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2262247C-0AAD-406C-94F2-296283827EB4}" xr6:coauthVersionLast="45" xr6:coauthVersionMax="47" xr10:uidLastSave="{00000000-0000-0000-0000-000000000000}"/>
  <bookViews>
    <workbookView xWindow="-108" yWindow="-108" windowWidth="23256" windowHeight="12456" firstSheet="1" activeTab="8" xr2:uid="{00000000-000D-0000-FFFF-FFFF00000000}"/>
  </bookViews>
  <sheets>
    <sheet name="LK" sheetId="5" r:id="rId1"/>
    <sheet name="Riwayat Revisi" sheetId="9" r:id="rId2"/>
    <sheet name="ID" sheetId="1" r:id="rId3"/>
    <sheet name="UB" sheetId="2" r:id="rId4"/>
    <sheet name="Penyelia" sheetId="3" r:id="rId5"/>
    <sheet name="LH" sheetId="4" r:id="rId6"/>
    <sheet name="SERTIFIKAT" sheetId="10" r:id="rId7"/>
    <sheet name="DB Thermohygro" sheetId="7" r:id="rId8"/>
    <sheet name="DB Thermo Air" sheetId="8" r:id="rId9"/>
    <sheet name="DB Balance" sheetId="6" r:id="rId10"/>
  </sheets>
  <externalReferences>
    <externalReference r:id="rId11"/>
    <externalReference r:id="rId12"/>
  </externalReferences>
  <definedNames>
    <definedName name="_xlnm.Print_Area" localSheetId="2">ID!$A$1:$L$75</definedName>
    <definedName name="_xlnm.Print_Area" localSheetId="5">LH!$A$1:$M$61</definedName>
    <definedName name="_xlnm.Print_Area" localSheetId="0">LK!$A$1:$N$72</definedName>
    <definedName name="_xlnm.Print_Area" localSheetId="4">Penyelia!$A$1:$N$54</definedName>
    <definedName name="_xlnm.Print_Area" localSheetId="6">SERTIFIKAT!$A$1:$F$61</definedName>
    <definedName name="_xlnm.Print_Area" localSheetId="3">UB!$A$1:$Q$56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5" i="8" l="1"/>
  <c r="D55" i="8"/>
  <c r="F18" i="4" l="1"/>
  <c r="F17" i="4"/>
  <c r="H16" i="4"/>
  <c r="F18" i="3"/>
  <c r="F17" i="3"/>
  <c r="F19" i="3"/>
  <c r="F19" i="4" s="1"/>
  <c r="H19" i="3"/>
  <c r="H19" i="4" s="1"/>
  <c r="H18" i="3"/>
  <c r="H18" i="4" s="1"/>
  <c r="H17" i="3"/>
  <c r="H17" i="4" s="1"/>
  <c r="H16" i="3"/>
  <c r="F16" i="3"/>
  <c r="F16" i="4" s="1"/>
  <c r="A66" i="8"/>
  <c r="A389" i="7"/>
  <c r="A410" i="7" s="1"/>
  <c r="A373" i="7" s="1"/>
  <c r="B74" i="1"/>
  <c r="B43" i="10"/>
  <c r="B45" i="10"/>
  <c r="B46" i="10" s="1"/>
  <c r="D4" i="10"/>
  <c r="D23" i="10" s="1"/>
  <c r="A3" i="10"/>
  <c r="F6" i="10" s="1"/>
  <c r="E26" i="10"/>
  <c r="A17" i="10"/>
  <c r="D12" i="10"/>
  <c r="F11" i="10"/>
  <c r="D11" i="10"/>
  <c r="H1" i="10"/>
  <c r="B50" i="10" l="1"/>
  <c r="A19" i="10" l="1"/>
  <c r="A22" i="10"/>
  <c r="A21" i="10"/>
  <c r="A20" i="10"/>
  <c r="V88" i="6" l="1"/>
  <c r="V92" i="6"/>
  <c r="V96" i="6"/>
  <c r="A58" i="8"/>
  <c r="Z4" i="8"/>
  <c r="S4" i="8"/>
  <c r="L4" i="8"/>
  <c r="E5" i="8"/>
  <c r="E6" i="8"/>
  <c r="E7" i="8"/>
  <c r="E8" i="8"/>
  <c r="E9" i="8"/>
  <c r="E10" i="8"/>
  <c r="E11" i="8"/>
  <c r="E4" i="8"/>
  <c r="I128" i="6"/>
  <c r="I127" i="6"/>
  <c r="I126" i="6"/>
  <c r="R65" i="6" l="1"/>
  <c r="Z72" i="6"/>
  <c r="AA72" i="6"/>
  <c r="AB72" i="6"/>
  <c r="Z73" i="6"/>
  <c r="AA73" i="6"/>
  <c r="AB73" i="6"/>
  <c r="Z74" i="6"/>
  <c r="AA74" i="6"/>
  <c r="AB74" i="6"/>
  <c r="Z75" i="6"/>
  <c r="AA75" i="6"/>
  <c r="AB75" i="6"/>
  <c r="Z64" i="6"/>
  <c r="AA64" i="6"/>
  <c r="AB64" i="6"/>
  <c r="Z65" i="6"/>
  <c r="AA65" i="6"/>
  <c r="AB65" i="6"/>
  <c r="Z66" i="6"/>
  <c r="AA66" i="6"/>
  <c r="AB66" i="6"/>
  <c r="Z67" i="6"/>
  <c r="AA67" i="6"/>
  <c r="AB67" i="6"/>
  <c r="Y75" i="6"/>
  <c r="Y74" i="6"/>
  <c r="Y73" i="6"/>
  <c r="Y72" i="6"/>
  <c r="Y67" i="6"/>
  <c r="Y66" i="6"/>
  <c r="Y65" i="6"/>
  <c r="Y64" i="6"/>
  <c r="Z56" i="6"/>
  <c r="AA56" i="6"/>
  <c r="AB56" i="6"/>
  <c r="Z57" i="6"/>
  <c r="AA57" i="6"/>
  <c r="AB57" i="6"/>
  <c r="Z58" i="6"/>
  <c r="AA58" i="6"/>
  <c r="AB58" i="6"/>
  <c r="Z59" i="6"/>
  <c r="AA59" i="6"/>
  <c r="AB59" i="6"/>
  <c r="Y59" i="6"/>
  <c r="Y58" i="6"/>
  <c r="Y57" i="6"/>
  <c r="Y56" i="6"/>
  <c r="Z48" i="6"/>
  <c r="AA48" i="6"/>
  <c r="AB48" i="6"/>
  <c r="Z49" i="6"/>
  <c r="AA49" i="6"/>
  <c r="AB49" i="6"/>
  <c r="Z50" i="6"/>
  <c r="AA50" i="6"/>
  <c r="AB50" i="6"/>
  <c r="Z51" i="6"/>
  <c r="AA51" i="6"/>
  <c r="AB51" i="6"/>
  <c r="Y51" i="6"/>
  <c r="Y50" i="6"/>
  <c r="Y49" i="6"/>
  <c r="Y48" i="6"/>
  <c r="Z40" i="6"/>
  <c r="AA40" i="6"/>
  <c r="AB40" i="6"/>
  <c r="Z41" i="6"/>
  <c r="AA41" i="6"/>
  <c r="AB41" i="6"/>
  <c r="Z42" i="6"/>
  <c r="AA42" i="6"/>
  <c r="AB42" i="6"/>
  <c r="Z43" i="6"/>
  <c r="AA43" i="6"/>
  <c r="AB43" i="6"/>
  <c r="Y43" i="6"/>
  <c r="Y42" i="6"/>
  <c r="Y41" i="6"/>
  <c r="Y40" i="6"/>
  <c r="S80" i="6"/>
  <c r="T80" i="6"/>
  <c r="U80" i="6"/>
  <c r="S81" i="6"/>
  <c r="T81" i="6"/>
  <c r="U81" i="6"/>
  <c r="S82" i="6"/>
  <c r="T82" i="6"/>
  <c r="U82" i="6"/>
  <c r="S83" i="6"/>
  <c r="T83" i="6"/>
  <c r="U83" i="6"/>
  <c r="R83" i="6"/>
  <c r="R82" i="6"/>
  <c r="R81" i="6"/>
  <c r="R80" i="6"/>
  <c r="S72" i="6"/>
  <c r="T72" i="6"/>
  <c r="U72" i="6"/>
  <c r="S73" i="6"/>
  <c r="T73" i="6"/>
  <c r="U73" i="6"/>
  <c r="S74" i="6"/>
  <c r="T74" i="6"/>
  <c r="U74" i="6"/>
  <c r="S75" i="6"/>
  <c r="T75" i="6"/>
  <c r="U75" i="6"/>
  <c r="R75" i="6"/>
  <c r="R74" i="6"/>
  <c r="R73" i="6"/>
  <c r="R72" i="6"/>
  <c r="S64" i="6"/>
  <c r="T64" i="6"/>
  <c r="U64" i="6"/>
  <c r="S65" i="6"/>
  <c r="T65" i="6"/>
  <c r="U65" i="6"/>
  <c r="S66" i="6"/>
  <c r="T66" i="6"/>
  <c r="U66" i="6"/>
  <c r="S67" i="6"/>
  <c r="T67" i="6"/>
  <c r="U67" i="6"/>
  <c r="R67" i="6"/>
  <c r="R66" i="6"/>
  <c r="R64" i="6"/>
  <c r="S56" i="6"/>
  <c r="T56" i="6"/>
  <c r="U56" i="6"/>
  <c r="S57" i="6"/>
  <c r="T57" i="6"/>
  <c r="U57" i="6"/>
  <c r="S58" i="6"/>
  <c r="T58" i="6"/>
  <c r="U58" i="6"/>
  <c r="S59" i="6"/>
  <c r="T59" i="6"/>
  <c r="U59" i="6"/>
  <c r="R59" i="6"/>
  <c r="R58" i="6"/>
  <c r="R57" i="6"/>
  <c r="R56" i="6"/>
  <c r="S48" i="6"/>
  <c r="T48" i="6"/>
  <c r="U48" i="6"/>
  <c r="S49" i="6"/>
  <c r="T49" i="6"/>
  <c r="U49" i="6"/>
  <c r="S50" i="6"/>
  <c r="T50" i="6"/>
  <c r="U50" i="6"/>
  <c r="S51" i="6"/>
  <c r="T51" i="6"/>
  <c r="U51" i="6"/>
  <c r="R51" i="6"/>
  <c r="R50" i="6"/>
  <c r="R49" i="6"/>
  <c r="R48" i="6"/>
  <c r="S40" i="6"/>
  <c r="T40" i="6"/>
  <c r="U40" i="6"/>
  <c r="S41" i="6"/>
  <c r="T41" i="6"/>
  <c r="U41" i="6"/>
  <c r="S42" i="6"/>
  <c r="T42" i="6"/>
  <c r="U42" i="6"/>
  <c r="S43" i="6"/>
  <c r="T43" i="6"/>
  <c r="U43" i="6"/>
  <c r="R43" i="6"/>
  <c r="R42" i="6"/>
  <c r="R41" i="6"/>
  <c r="R40" i="6"/>
  <c r="Q24" i="6"/>
  <c r="V83" i="6" s="1"/>
  <c r="Q25" i="6"/>
  <c r="AC43" i="6" s="1"/>
  <c r="Q26" i="6"/>
  <c r="AC51" i="6" s="1"/>
  <c r="Q27" i="6"/>
  <c r="AC59" i="6" s="1"/>
  <c r="Q28" i="6"/>
  <c r="AC67" i="6" s="1"/>
  <c r="Q29" i="6"/>
  <c r="AC75" i="6" s="1"/>
  <c r="O18" i="6"/>
  <c r="P18" i="6"/>
  <c r="N18" i="6"/>
  <c r="Q23" i="6"/>
  <c r="V75" i="6" s="1"/>
  <c r="Q22" i="6"/>
  <c r="V67" i="6" s="1"/>
  <c r="Q21" i="6"/>
  <c r="V59" i="6" s="1"/>
  <c r="Q20" i="6"/>
  <c r="V51" i="6" s="1"/>
  <c r="Q19" i="6"/>
  <c r="V43" i="6" s="1"/>
  <c r="K29" i="6"/>
  <c r="AC74" i="6" s="1"/>
  <c r="K28" i="6"/>
  <c r="AC66" i="6" s="1"/>
  <c r="K27" i="6"/>
  <c r="AC58" i="6" s="1"/>
  <c r="K26" i="6"/>
  <c r="AC50" i="6" s="1"/>
  <c r="K25" i="6"/>
  <c r="AC42" i="6" s="1"/>
  <c r="K24" i="6"/>
  <c r="V82" i="6" s="1"/>
  <c r="I18" i="6"/>
  <c r="J18" i="6"/>
  <c r="H18" i="6"/>
  <c r="O3" i="6"/>
  <c r="P3" i="6"/>
  <c r="N3" i="6"/>
  <c r="K23" i="6"/>
  <c r="V74" i="6" s="1"/>
  <c r="K22" i="6"/>
  <c r="V66" i="6" s="1"/>
  <c r="K21" i="6"/>
  <c r="V58" i="6" s="1"/>
  <c r="K20" i="6"/>
  <c r="V50" i="6" s="1"/>
  <c r="K19" i="6"/>
  <c r="V42" i="6" s="1"/>
  <c r="Q9" i="6"/>
  <c r="V81" i="6" s="1"/>
  <c r="Q10" i="6"/>
  <c r="AC41" i="6" s="1"/>
  <c r="Q11" i="6"/>
  <c r="AC49" i="6" s="1"/>
  <c r="Q12" i="6"/>
  <c r="AC57" i="6" s="1"/>
  <c r="Q13" i="6"/>
  <c r="AC65" i="6" s="1"/>
  <c r="Q14" i="6"/>
  <c r="AC73" i="6" s="1"/>
  <c r="Q8" i="6"/>
  <c r="V73" i="6" s="1"/>
  <c r="Q7" i="6"/>
  <c r="Q6" i="6"/>
  <c r="V57" i="6" s="1"/>
  <c r="Q5" i="6"/>
  <c r="V49" i="6" s="1"/>
  <c r="Q4" i="6"/>
  <c r="V41" i="6" s="1"/>
  <c r="I3" i="6"/>
  <c r="J3" i="6"/>
  <c r="H3" i="6"/>
  <c r="K13" i="6"/>
  <c r="AC64" i="6" s="1"/>
  <c r="K14" i="6"/>
  <c r="AC72" i="6" s="1"/>
  <c r="K12" i="6"/>
  <c r="AC56" i="6" s="1"/>
  <c r="K11" i="6"/>
  <c r="AC48" i="6" s="1"/>
  <c r="K10" i="6"/>
  <c r="AC40" i="6" s="1"/>
  <c r="K9" i="6"/>
  <c r="V80" i="6" s="1"/>
  <c r="K8" i="6"/>
  <c r="V72" i="6" s="1"/>
  <c r="K7" i="6"/>
  <c r="V64" i="6" s="1"/>
  <c r="K6" i="6"/>
  <c r="V56" i="6" s="1"/>
  <c r="K5" i="6"/>
  <c r="V48" i="6" s="1"/>
  <c r="K4" i="6"/>
  <c r="V40" i="6" s="1"/>
  <c r="J28" i="4"/>
  <c r="J29" i="4"/>
  <c r="E8" i="3"/>
  <c r="D47" i="2"/>
  <c r="F47" i="2" s="1"/>
  <c r="I47" i="2" s="1"/>
  <c r="B46" i="2"/>
  <c r="B43" i="2"/>
  <c r="B42" i="2"/>
  <c r="B41" i="2"/>
  <c r="B40" i="2"/>
  <c r="J48" i="2"/>
  <c r="J47" i="2"/>
  <c r="J46" i="2"/>
  <c r="M45" i="2"/>
  <c r="J45" i="2"/>
  <c r="J44" i="2"/>
  <c r="J43" i="2"/>
  <c r="M42" i="2"/>
  <c r="J40" i="2"/>
  <c r="I115" i="6"/>
  <c r="K115" i="6"/>
  <c r="K114" i="6"/>
  <c r="K113" i="6"/>
  <c r="J115" i="6"/>
  <c r="J114" i="6"/>
  <c r="I114" i="6"/>
  <c r="H115" i="6"/>
  <c r="H114" i="6"/>
  <c r="J113" i="6"/>
  <c r="I113" i="6"/>
  <c r="H113" i="6"/>
  <c r="D29" i="2"/>
  <c r="F29" i="2" s="1"/>
  <c r="I29" i="2" s="1"/>
  <c r="B28" i="2"/>
  <c r="B25" i="2"/>
  <c r="B24" i="2"/>
  <c r="B23" i="2"/>
  <c r="B22" i="2"/>
  <c r="J30" i="2"/>
  <c r="J29" i="2"/>
  <c r="J28" i="2"/>
  <c r="M27" i="2"/>
  <c r="J27" i="2"/>
  <c r="J26" i="2"/>
  <c r="J25" i="2"/>
  <c r="M24" i="2"/>
  <c r="J22" i="2"/>
  <c r="E84" i="6"/>
  <c r="K97" i="6" s="1"/>
  <c r="J122" i="6" s="1"/>
  <c r="L47" i="2" l="1"/>
  <c r="O47" i="2" s="1"/>
  <c r="Q47" i="2" s="1"/>
  <c r="L29" i="2"/>
  <c r="O29" i="2" s="1"/>
  <c r="V65" i="6"/>
  <c r="P29" i="2"/>
  <c r="Q29" i="2"/>
  <c r="E83" i="6"/>
  <c r="K93" i="6" s="1"/>
  <c r="J121" i="6" s="1"/>
  <c r="H128" i="6"/>
  <c r="H127" i="6"/>
  <c r="B96" i="6"/>
  <c r="B92" i="6"/>
  <c r="B88" i="6"/>
  <c r="D27" i="3" s="1"/>
  <c r="J27" i="4"/>
  <c r="P47" i="2" l="1"/>
  <c r="J128" i="6"/>
  <c r="D48" i="2" s="1"/>
  <c r="F48" i="2" s="1"/>
  <c r="I48" i="2" s="1"/>
  <c r="L48" i="2" s="1"/>
  <c r="O48" i="2" s="1"/>
  <c r="P48" i="2" s="1"/>
  <c r="J127" i="6"/>
  <c r="D30" i="2" s="1"/>
  <c r="F30" i="2" s="1"/>
  <c r="I30" i="2" s="1"/>
  <c r="L30" i="2" s="1"/>
  <c r="O30" i="2" s="1"/>
  <c r="P30" i="2" s="1"/>
  <c r="A20" i="2"/>
  <c r="D28" i="3"/>
  <c r="D28" i="4" s="1"/>
  <c r="G114" i="6"/>
  <c r="D29" i="3"/>
  <c r="D29" i="4" s="1"/>
  <c r="A38" i="2"/>
  <c r="G115" i="6"/>
  <c r="A2" i="2"/>
  <c r="G113" i="6"/>
  <c r="J12" i="2"/>
  <c r="J4" i="2"/>
  <c r="H126" i="6"/>
  <c r="J126" i="6" s="1"/>
  <c r="G128" i="6" l="1"/>
  <c r="G122" i="6"/>
  <c r="Q30" i="2"/>
  <c r="G121" i="6"/>
  <c r="G127" i="6"/>
  <c r="Q48" i="2"/>
  <c r="G126" i="6"/>
  <c r="G120" i="6"/>
  <c r="D12" i="2" l="1"/>
  <c r="F12" i="2" s="1"/>
  <c r="I12" i="2" s="1"/>
  <c r="L12" i="2" s="1"/>
  <c r="O12" i="2" s="1"/>
  <c r="Q12" i="2" s="1"/>
  <c r="P12" i="2" l="1"/>
  <c r="B41" i="3"/>
  <c r="B41" i="4" s="1"/>
  <c r="A41" i="3"/>
  <c r="A41" i="4" s="1"/>
  <c r="A71" i="8" l="1"/>
  <c r="A43" i="8" s="1"/>
  <c r="J70" i="8"/>
  <c r="K70" i="8"/>
  <c r="I70" i="8"/>
  <c r="J69" i="8"/>
  <c r="K69" i="8"/>
  <c r="I69" i="8"/>
  <c r="J68" i="8"/>
  <c r="K68" i="8"/>
  <c r="I68" i="8"/>
  <c r="J67" i="8"/>
  <c r="K67" i="8"/>
  <c r="I67" i="8"/>
  <c r="K37" i="8"/>
  <c r="L37" i="8"/>
  <c r="M37" i="8"/>
  <c r="O37" i="8"/>
  <c r="K38" i="8"/>
  <c r="L38" i="8"/>
  <c r="M38" i="8"/>
  <c r="O38" i="8"/>
  <c r="K39" i="8"/>
  <c r="L39" i="8"/>
  <c r="M39" i="8"/>
  <c r="O39" i="8"/>
  <c r="K40" i="8"/>
  <c r="L40" i="8"/>
  <c r="M40" i="8"/>
  <c r="O40" i="8"/>
  <c r="J40" i="8"/>
  <c r="J39" i="8"/>
  <c r="J38" i="8"/>
  <c r="J37" i="8"/>
  <c r="K30" i="8"/>
  <c r="L30" i="8"/>
  <c r="M30" i="8"/>
  <c r="O30" i="8"/>
  <c r="K31" i="8"/>
  <c r="L31" i="8"/>
  <c r="M31" i="8"/>
  <c r="O31" i="8"/>
  <c r="K32" i="8"/>
  <c r="L32" i="8"/>
  <c r="M32" i="8"/>
  <c r="O32" i="8"/>
  <c r="K33" i="8"/>
  <c r="L33" i="8"/>
  <c r="M33" i="8"/>
  <c r="O33" i="8"/>
  <c r="J33" i="8"/>
  <c r="J32" i="8"/>
  <c r="J31" i="8"/>
  <c r="J30" i="8"/>
  <c r="K23" i="8"/>
  <c r="L23" i="8"/>
  <c r="M23" i="8"/>
  <c r="O23" i="8"/>
  <c r="K24" i="8"/>
  <c r="L24" i="8"/>
  <c r="M24" i="8"/>
  <c r="O24" i="8"/>
  <c r="K25" i="8"/>
  <c r="L25" i="8"/>
  <c r="M25" i="8"/>
  <c r="O25" i="8"/>
  <c r="K26" i="8"/>
  <c r="L26" i="8"/>
  <c r="M26" i="8"/>
  <c r="O26" i="8"/>
  <c r="J26" i="8"/>
  <c r="J25" i="8"/>
  <c r="J24" i="8"/>
  <c r="J23" i="8"/>
  <c r="K16" i="8"/>
  <c r="L16" i="8"/>
  <c r="M16" i="8"/>
  <c r="O16" i="8"/>
  <c r="K17" i="8"/>
  <c r="L17" i="8"/>
  <c r="M17" i="8"/>
  <c r="O17" i="8"/>
  <c r="K18" i="8"/>
  <c r="L18" i="8"/>
  <c r="M18" i="8"/>
  <c r="O18" i="8"/>
  <c r="K19" i="8"/>
  <c r="L19" i="8"/>
  <c r="M19" i="8"/>
  <c r="O19" i="8"/>
  <c r="J19" i="8"/>
  <c r="J18" i="8"/>
  <c r="J17" i="8"/>
  <c r="J16" i="8"/>
  <c r="C37" i="8"/>
  <c r="D37" i="8"/>
  <c r="E37" i="8"/>
  <c r="G37" i="8"/>
  <c r="C38" i="8"/>
  <c r="D38" i="8"/>
  <c r="E38" i="8"/>
  <c r="G38" i="8"/>
  <c r="C39" i="8"/>
  <c r="D39" i="8"/>
  <c r="E39" i="8"/>
  <c r="G39" i="8"/>
  <c r="C40" i="8"/>
  <c r="D40" i="8"/>
  <c r="E40" i="8"/>
  <c r="G40" i="8"/>
  <c r="B40" i="8"/>
  <c r="B39" i="8"/>
  <c r="B38" i="8"/>
  <c r="B37" i="8"/>
  <c r="C30" i="8"/>
  <c r="D30" i="8"/>
  <c r="E30" i="8"/>
  <c r="G30" i="8"/>
  <c r="C31" i="8"/>
  <c r="D31" i="8"/>
  <c r="E31" i="8"/>
  <c r="G31" i="8"/>
  <c r="C32" i="8"/>
  <c r="D32" i="8"/>
  <c r="E32" i="8"/>
  <c r="G32" i="8"/>
  <c r="C33" i="8"/>
  <c r="D33" i="8"/>
  <c r="E33" i="8"/>
  <c r="G33" i="8"/>
  <c r="B33" i="8"/>
  <c r="B32" i="8"/>
  <c r="B31" i="8"/>
  <c r="B30" i="8"/>
  <c r="C23" i="8"/>
  <c r="D23" i="8"/>
  <c r="E23" i="8"/>
  <c r="G23" i="8"/>
  <c r="C24" i="8"/>
  <c r="D24" i="8"/>
  <c r="E24" i="8"/>
  <c r="G24" i="8"/>
  <c r="C25" i="8"/>
  <c r="D25" i="8"/>
  <c r="E25" i="8"/>
  <c r="G25" i="8"/>
  <c r="C26" i="8"/>
  <c r="D26" i="8"/>
  <c r="E26" i="8"/>
  <c r="G26" i="8"/>
  <c r="B26" i="8"/>
  <c r="B25" i="8"/>
  <c r="B24" i="8"/>
  <c r="B23" i="8"/>
  <c r="C19" i="8"/>
  <c r="D19" i="8"/>
  <c r="E19" i="8"/>
  <c r="G19" i="8"/>
  <c r="C18" i="8"/>
  <c r="D18" i="8"/>
  <c r="E18" i="8"/>
  <c r="G18" i="8"/>
  <c r="C17" i="8"/>
  <c r="D17" i="8"/>
  <c r="E17" i="8"/>
  <c r="G17" i="8"/>
  <c r="C16" i="8"/>
  <c r="D16" i="8"/>
  <c r="E16" i="8"/>
  <c r="G16" i="8"/>
  <c r="B19" i="8"/>
  <c r="Z11" i="8"/>
  <c r="N40" i="8" s="1"/>
  <c r="Z10" i="8"/>
  <c r="N33" i="8" s="1"/>
  <c r="Z9" i="8"/>
  <c r="N26" i="8" s="1"/>
  <c r="Z8" i="8"/>
  <c r="N19" i="8" s="1"/>
  <c r="Z7" i="8"/>
  <c r="F40" i="8" s="1"/>
  <c r="Z6" i="8"/>
  <c r="F33" i="8" s="1"/>
  <c r="Z5" i="8"/>
  <c r="F26" i="8" s="1"/>
  <c r="F19" i="8"/>
  <c r="B18" i="8"/>
  <c r="B17" i="8"/>
  <c r="B16" i="8"/>
  <c r="S11" i="8"/>
  <c r="N39" i="8" s="1"/>
  <c r="S10" i="8"/>
  <c r="N32" i="8" s="1"/>
  <c r="S9" i="8"/>
  <c r="N25" i="8" s="1"/>
  <c r="S8" i="8"/>
  <c r="N18" i="8" s="1"/>
  <c r="S7" i="8"/>
  <c r="F39" i="8" s="1"/>
  <c r="S6" i="8"/>
  <c r="F32" i="8" s="1"/>
  <c r="S5" i="8"/>
  <c r="F25" i="8" s="1"/>
  <c r="F18" i="8"/>
  <c r="L11" i="8"/>
  <c r="N38" i="8" s="1"/>
  <c r="L10" i="8"/>
  <c r="N31" i="8" s="1"/>
  <c r="L9" i="8"/>
  <c r="N24" i="8" s="1"/>
  <c r="L8" i="8"/>
  <c r="N17" i="8" s="1"/>
  <c r="L7" i="8"/>
  <c r="F38" i="8" s="1"/>
  <c r="L6" i="8"/>
  <c r="F31" i="8" s="1"/>
  <c r="L5" i="8"/>
  <c r="F24" i="8" s="1"/>
  <c r="F17" i="8"/>
  <c r="D11" i="2"/>
  <c r="F11" i="2" s="1"/>
  <c r="I11" i="2" s="1"/>
  <c r="M51" i="6"/>
  <c r="M50" i="6"/>
  <c r="M49" i="6"/>
  <c r="M48" i="6"/>
  <c r="M43" i="6"/>
  <c r="M42" i="6"/>
  <c r="M41" i="6"/>
  <c r="M40" i="6"/>
  <c r="F59" i="6"/>
  <c r="F58" i="6"/>
  <c r="F57" i="6"/>
  <c r="F56" i="6"/>
  <c r="F51" i="6"/>
  <c r="F50" i="6"/>
  <c r="F49" i="6"/>
  <c r="F48" i="6"/>
  <c r="F43" i="6"/>
  <c r="F42" i="6"/>
  <c r="F41" i="6"/>
  <c r="F40" i="6"/>
  <c r="J134" i="6"/>
  <c r="J133" i="6"/>
  <c r="J132" i="6"/>
  <c r="J131" i="6"/>
  <c r="E32" i="6"/>
  <c r="E33" i="6"/>
  <c r="E34" i="6"/>
  <c r="E35" i="6"/>
  <c r="E31" i="6"/>
  <c r="E23" i="6"/>
  <c r="E24" i="6"/>
  <c r="E25" i="6"/>
  <c r="E26" i="6"/>
  <c r="E22" i="6"/>
  <c r="E14" i="6"/>
  <c r="E15" i="6"/>
  <c r="E16" i="6"/>
  <c r="E17" i="6"/>
  <c r="E13" i="6"/>
  <c r="E5" i="6"/>
  <c r="E6" i="6"/>
  <c r="E7" i="6"/>
  <c r="E8" i="6"/>
  <c r="E4" i="6"/>
  <c r="G40" i="6" s="1"/>
  <c r="J11" i="2"/>
  <c r="V379" i="7"/>
  <c r="V378" i="7"/>
  <c r="V377" i="7"/>
  <c r="T379" i="7"/>
  <c r="T378" i="7"/>
  <c r="T377" i="7"/>
  <c r="K409" i="7"/>
  <c r="J409" i="7"/>
  <c r="I409" i="7"/>
  <c r="K408" i="7"/>
  <c r="J408" i="7"/>
  <c r="K407" i="7"/>
  <c r="J407" i="7"/>
  <c r="I407" i="7"/>
  <c r="K406" i="7"/>
  <c r="J406" i="7"/>
  <c r="I406" i="7"/>
  <c r="K405" i="7"/>
  <c r="J405" i="7"/>
  <c r="I405" i="7"/>
  <c r="K404" i="7"/>
  <c r="J404" i="7"/>
  <c r="I404" i="7"/>
  <c r="K403" i="7"/>
  <c r="J403" i="7"/>
  <c r="I403" i="7"/>
  <c r="K402" i="7"/>
  <c r="J402" i="7"/>
  <c r="I402" i="7"/>
  <c r="K401" i="7"/>
  <c r="J401" i="7"/>
  <c r="I401" i="7"/>
  <c r="K400" i="7"/>
  <c r="J400" i="7"/>
  <c r="I400" i="7"/>
  <c r="K399" i="7"/>
  <c r="J399" i="7"/>
  <c r="I399" i="7"/>
  <c r="K398" i="7"/>
  <c r="J398" i="7"/>
  <c r="I398" i="7"/>
  <c r="K397" i="7"/>
  <c r="J397" i="7"/>
  <c r="I397" i="7"/>
  <c r="K396" i="7"/>
  <c r="J396" i="7"/>
  <c r="I396" i="7"/>
  <c r="K395" i="7"/>
  <c r="J395" i="7"/>
  <c r="I395" i="7"/>
  <c r="K394" i="7"/>
  <c r="J394" i="7"/>
  <c r="I394" i="7"/>
  <c r="K393" i="7"/>
  <c r="J393" i="7"/>
  <c r="I393" i="7"/>
  <c r="K392" i="7"/>
  <c r="J392" i="7"/>
  <c r="I392" i="7"/>
  <c r="K391" i="7"/>
  <c r="J391" i="7"/>
  <c r="I391" i="7"/>
  <c r="K390" i="7"/>
  <c r="J390" i="7"/>
  <c r="I390" i="7"/>
  <c r="V371" i="7"/>
  <c r="U371" i="7"/>
  <c r="T371" i="7"/>
  <c r="S371" i="7"/>
  <c r="N371" i="7"/>
  <c r="M371" i="7"/>
  <c r="L371" i="7"/>
  <c r="K371" i="7"/>
  <c r="F371" i="7"/>
  <c r="E371" i="7"/>
  <c r="D371" i="7"/>
  <c r="C371" i="7"/>
  <c r="V370" i="7"/>
  <c r="U370" i="7"/>
  <c r="T370" i="7"/>
  <c r="S370" i="7"/>
  <c r="N370" i="7"/>
  <c r="M370" i="7"/>
  <c r="L370" i="7"/>
  <c r="K370" i="7"/>
  <c r="F370" i="7"/>
  <c r="E370" i="7"/>
  <c r="D370" i="7"/>
  <c r="C370" i="7"/>
  <c r="V369" i="7"/>
  <c r="U369" i="7"/>
  <c r="T369" i="7"/>
  <c r="S369" i="7"/>
  <c r="N369" i="7"/>
  <c r="M369" i="7"/>
  <c r="L369" i="7"/>
  <c r="K369" i="7"/>
  <c r="F369" i="7"/>
  <c r="E369" i="7"/>
  <c r="D369" i="7"/>
  <c r="C369" i="7"/>
  <c r="V368" i="7"/>
  <c r="U368" i="7"/>
  <c r="T368" i="7"/>
  <c r="S368" i="7"/>
  <c r="N368" i="7"/>
  <c r="M368" i="7"/>
  <c r="L368" i="7"/>
  <c r="K368" i="7"/>
  <c r="F368" i="7"/>
  <c r="E368" i="7"/>
  <c r="D368" i="7"/>
  <c r="C368" i="7"/>
  <c r="V367" i="7"/>
  <c r="U367" i="7"/>
  <c r="T367" i="7"/>
  <c r="S367" i="7"/>
  <c r="N367" i="7"/>
  <c r="M367" i="7"/>
  <c r="L367" i="7"/>
  <c r="K367" i="7"/>
  <c r="F367" i="7"/>
  <c r="E367" i="7"/>
  <c r="D367" i="7"/>
  <c r="C367" i="7"/>
  <c r="V366" i="7"/>
  <c r="U366" i="7"/>
  <c r="T366" i="7"/>
  <c r="S366" i="7"/>
  <c r="N366" i="7"/>
  <c r="M366" i="7"/>
  <c r="L366" i="7"/>
  <c r="K366" i="7"/>
  <c r="F366" i="7"/>
  <c r="E366" i="7"/>
  <c r="D366" i="7"/>
  <c r="C366" i="7"/>
  <c r="V365" i="7"/>
  <c r="U365" i="7"/>
  <c r="T365" i="7"/>
  <c r="S365" i="7"/>
  <c r="N365" i="7"/>
  <c r="M365" i="7"/>
  <c r="L365" i="7"/>
  <c r="K365" i="7"/>
  <c r="F365" i="7"/>
  <c r="E365" i="7"/>
  <c r="D365" i="7"/>
  <c r="C365" i="7"/>
  <c r="V364" i="7"/>
  <c r="U364" i="7"/>
  <c r="T364" i="7"/>
  <c r="S364" i="7"/>
  <c r="N364" i="7"/>
  <c r="M364" i="7"/>
  <c r="L364" i="7"/>
  <c r="K364" i="7"/>
  <c r="F364" i="7"/>
  <c r="E364" i="7"/>
  <c r="D364" i="7"/>
  <c r="C364" i="7"/>
  <c r="V363" i="7"/>
  <c r="U363" i="7"/>
  <c r="T363" i="7"/>
  <c r="S363" i="7"/>
  <c r="N363" i="7"/>
  <c r="M363" i="7"/>
  <c r="L363" i="7"/>
  <c r="K363" i="7"/>
  <c r="F363" i="7"/>
  <c r="E363" i="7"/>
  <c r="D363" i="7"/>
  <c r="C363" i="7"/>
  <c r="V362" i="7"/>
  <c r="U362" i="7"/>
  <c r="T362" i="7"/>
  <c r="S362" i="7"/>
  <c r="N362" i="7"/>
  <c r="M362" i="7"/>
  <c r="L362" i="7"/>
  <c r="K362" i="7"/>
  <c r="F362" i="7"/>
  <c r="E362" i="7"/>
  <c r="D362" i="7"/>
  <c r="C362" i="7"/>
  <c r="V361" i="7"/>
  <c r="U361" i="7"/>
  <c r="T361" i="7"/>
  <c r="S361" i="7"/>
  <c r="N361" i="7"/>
  <c r="M361" i="7"/>
  <c r="L361" i="7"/>
  <c r="K361" i="7"/>
  <c r="F361" i="7"/>
  <c r="E361" i="7"/>
  <c r="D361" i="7"/>
  <c r="C361" i="7"/>
  <c r="V360" i="7"/>
  <c r="U360" i="7"/>
  <c r="T360" i="7"/>
  <c r="S360" i="7"/>
  <c r="N360" i="7"/>
  <c r="M360" i="7"/>
  <c r="L360" i="7"/>
  <c r="K360" i="7"/>
  <c r="F360" i="7"/>
  <c r="E360" i="7"/>
  <c r="D360" i="7"/>
  <c r="C360" i="7"/>
  <c r="V359" i="7"/>
  <c r="U359" i="7"/>
  <c r="T359" i="7"/>
  <c r="S359" i="7"/>
  <c r="N359" i="7"/>
  <c r="M359" i="7"/>
  <c r="L359" i="7"/>
  <c r="K359" i="7"/>
  <c r="F359" i="7"/>
  <c r="E359" i="7"/>
  <c r="D359" i="7"/>
  <c r="C359" i="7"/>
  <c r="V358" i="7"/>
  <c r="U358" i="7"/>
  <c r="T358" i="7"/>
  <c r="S358" i="7"/>
  <c r="N358" i="7"/>
  <c r="M358" i="7"/>
  <c r="L358" i="7"/>
  <c r="K358" i="7"/>
  <c r="F358" i="7"/>
  <c r="E358" i="7"/>
  <c r="D358" i="7"/>
  <c r="C358" i="7"/>
  <c r="V357" i="7"/>
  <c r="U357" i="7"/>
  <c r="T357" i="7"/>
  <c r="S357" i="7"/>
  <c r="N357" i="7"/>
  <c r="M357" i="7"/>
  <c r="L357" i="7"/>
  <c r="K357" i="7"/>
  <c r="F357" i="7"/>
  <c r="D382" i="7" s="1"/>
  <c r="E357" i="7"/>
  <c r="D357" i="7"/>
  <c r="C357" i="7"/>
  <c r="V356" i="7"/>
  <c r="U356" i="7"/>
  <c r="T356" i="7"/>
  <c r="S356" i="7"/>
  <c r="N356" i="7"/>
  <c r="M356" i="7"/>
  <c r="L356" i="7"/>
  <c r="K356" i="7"/>
  <c r="F356" i="7"/>
  <c r="E356" i="7"/>
  <c r="D356" i="7"/>
  <c r="C356" i="7"/>
  <c r="V355" i="7"/>
  <c r="U355" i="7"/>
  <c r="T355" i="7"/>
  <c r="S355" i="7"/>
  <c r="N355" i="7"/>
  <c r="M355" i="7"/>
  <c r="L355" i="7"/>
  <c r="K355" i="7"/>
  <c r="F355" i="7"/>
  <c r="E355" i="7"/>
  <c r="D355" i="7"/>
  <c r="C355" i="7"/>
  <c r="V354" i="7"/>
  <c r="U354" i="7"/>
  <c r="T354" i="7"/>
  <c r="S354" i="7"/>
  <c r="N354" i="7"/>
  <c r="M354" i="7"/>
  <c r="L354" i="7"/>
  <c r="K354" i="7"/>
  <c r="F354" i="7"/>
  <c r="E354" i="7"/>
  <c r="D354" i="7"/>
  <c r="C354" i="7"/>
  <c r="V353" i="7"/>
  <c r="U353" i="7"/>
  <c r="T353" i="7"/>
  <c r="S353" i="7"/>
  <c r="N353" i="7"/>
  <c r="M353" i="7"/>
  <c r="L353" i="7"/>
  <c r="K353" i="7"/>
  <c r="F353" i="7"/>
  <c r="E353" i="7"/>
  <c r="D353" i="7"/>
  <c r="C353" i="7"/>
  <c r="V352" i="7"/>
  <c r="U352" i="7"/>
  <c r="T352" i="7"/>
  <c r="S352" i="7"/>
  <c r="N352" i="7"/>
  <c r="M352" i="7"/>
  <c r="L352" i="7"/>
  <c r="K352" i="7"/>
  <c r="F352" i="7"/>
  <c r="E352" i="7"/>
  <c r="D352" i="7"/>
  <c r="C352" i="7"/>
  <c r="V350" i="7"/>
  <c r="U350" i="7"/>
  <c r="T350" i="7"/>
  <c r="S350" i="7"/>
  <c r="N350" i="7"/>
  <c r="M350" i="7"/>
  <c r="L350" i="7"/>
  <c r="K350" i="7"/>
  <c r="F350" i="7"/>
  <c r="E350" i="7"/>
  <c r="D350" i="7"/>
  <c r="C350" i="7"/>
  <c r="V349" i="7"/>
  <c r="U349" i="7"/>
  <c r="T349" i="7"/>
  <c r="S349" i="7"/>
  <c r="N349" i="7"/>
  <c r="M349" i="7"/>
  <c r="L349" i="7"/>
  <c r="K349" i="7"/>
  <c r="F349" i="7"/>
  <c r="E349" i="7"/>
  <c r="D349" i="7"/>
  <c r="C349" i="7"/>
  <c r="V348" i="7"/>
  <c r="U348" i="7"/>
  <c r="T348" i="7"/>
  <c r="S348" i="7"/>
  <c r="N348" i="7"/>
  <c r="M348" i="7"/>
  <c r="L348" i="7"/>
  <c r="K348" i="7"/>
  <c r="F348" i="7"/>
  <c r="E348" i="7"/>
  <c r="D348" i="7"/>
  <c r="C348" i="7"/>
  <c r="V347" i="7"/>
  <c r="U347" i="7"/>
  <c r="T347" i="7"/>
  <c r="S347" i="7"/>
  <c r="N347" i="7"/>
  <c r="M347" i="7"/>
  <c r="L347" i="7"/>
  <c r="K347" i="7"/>
  <c r="F347" i="7"/>
  <c r="E347" i="7"/>
  <c r="D347" i="7"/>
  <c r="C347" i="7"/>
  <c r="V346" i="7"/>
  <c r="U346" i="7"/>
  <c r="T346" i="7"/>
  <c r="S346" i="7"/>
  <c r="N346" i="7"/>
  <c r="M346" i="7"/>
  <c r="L346" i="7"/>
  <c r="K346" i="7"/>
  <c r="F346" i="7"/>
  <c r="E346" i="7"/>
  <c r="D346" i="7"/>
  <c r="C346" i="7"/>
  <c r="V345" i="7"/>
  <c r="U345" i="7"/>
  <c r="T345" i="7"/>
  <c r="S345" i="7"/>
  <c r="N345" i="7"/>
  <c r="M345" i="7"/>
  <c r="L345" i="7"/>
  <c r="K345" i="7"/>
  <c r="F345" i="7"/>
  <c r="E345" i="7"/>
  <c r="D345" i="7"/>
  <c r="C345" i="7"/>
  <c r="V344" i="7"/>
  <c r="U344" i="7"/>
  <c r="T344" i="7"/>
  <c r="S344" i="7"/>
  <c r="N344" i="7"/>
  <c r="M344" i="7"/>
  <c r="L344" i="7"/>
  <c r="K344" i="7"/>
  <c r="F344" i="7"/>
  <c r="E344" i="7"/>
  <c r="D344" i="7"/>
  <c r="C344" i="7"/>
  <c r="V343" i="7"/>
  <c r="U343" i="7"/>
  <c r="T343" i="7"/>
  <c r="S343" i="7"/>
  <c r="N343" i="7"/>
  <c r="M343" i="7"/>
  <c r="L343" i="7"/>
  <c r="K343" i="7"/>
  <c r="F343" i="7"/>
  <c r="E343" i="7"/>
  <c r="D343" i="7"/>
  <c r="C343" i="7"/>
  <c r="V342" i="7"/>
  <c r="U342" i="7"/>
  <c r="T342" i="7"/>
  <c r="S342" i="7"/>
  <c r="N342" i="7"/>
  <c r="M342" i="7"/>
  <c r="L342" i="7"/>
  <c r="K342" i="7"/>
  <c r="F342" i="7"/>
  <c r="E342" i="7"/>
  <c r="D342" i="7"/>
  <c r="C342" i="7"/>
  <c r="V341" i="7"/>
  <c r="U341" i="7"/>
  <c r="T341" i="7"/>
  <c r="S341" i="7"/>
  <c r="N341" i="7"/>
  <c r="M341" i="7"/>
  <c r="L341" i="7"/>
  <c r="K341" i="7"/>
  <c r="F341" i="7"/>
  <c r="E341" i="7"/>
  <c r="D341" i="7"/>
  <c r="C341" i="7"/>
  <c r="V340" i="7"/>
  <c r="U340" i="7"/>
  <c r="T340" i="7"/>
  <c r="S340" i="7"/>
  <c r="N340" i="7"/>
  <c r="M340" i="7"/>
  <c r="L340" i="7"/>
  <c r="K340" i="7"/>
  <c r="F340" i="7"/>
  <c r="E340" i="7"/>
  <c r="D340" i="7"/>
  <c r="C340" i="7"/>
  <c r="V339" i="7"/>
  <c r="U339" i="7"/>
  <c r="T339" i="7"/>
  <c r="S339" i="7"/>
  <c r="N339" i="7"/>
  <c r="M339" i="7"/>
  <c r="L339" i="7"/>
  <c r="K339" i="7"/>
  <c r="F339" i="7"/>
  <c r="E339" i="7"/>
  <c r="D339" i="7"/>
  <c r="C339" i="7"/>
  <c r="V338" i="7"/>
  <c r="U338" i="7"/>
  <c r="T338" i="7"/>
  <c r="S338" i="7"/>
  <c r="N338" i="7"/>
  <c r="M338" i="7"/>
  <c r="L338" i="7"/>
  <c r="K338" i="7"/>
  <c r="F338" i="7"/>
  <c r="E338" i="7"/>
  <c r="D338" i="7"/>
  <c r="C338" i="7"/>
  <c r="V337" i="7"/>
  <c r="U337" i="7"/>
  <c r="T337" i="7"/>
  <c r="S337" i="7"/>
  <c r="N337" i="7"/>
  <c r="M337" i="7"/>
  <c r="L337" i="7"/>
  <c r="K337" i="7"/>
  <c r="F337" i="7"/>
  <c r="E337" i="7"/>
  <c r="D337" i="7"/>
  <c r="C337" i="7"/>
  <c r="V336" i="7"/>
  <c r="U336" i="7"/>
  <c r="T336" i="7"/>
  <c r="S336" i="7"/>
  <c r="N336" i="7"/>
  <c r="M336" i="7"/>
  <c r="L336" i="7"/>
  <c r="K336" i="7"/>
  <c r="F336" i="7"/>
  <c r="E336" i="7"/>
  <c r="D336" i="7"/>
  <c r="C336" i="7"/>
  <c r="V335" i="7"/>
  <c r="U335" i="7"/>
  <c r="T335" i="7"/>
  <c r="S335" i="7"/>
  <c r="N335" i="7"/>
  <c r="M335" i="7"/>
  <c r="L335" i="7"/>
  <c r="K335" i="7"/>
  <c r="F335" i="7"/>
  <c r="E335" i="7"/>
  <c r="D335" i="7"/>
  <c r="C335" i="7"/>
  <c r="V334" i="7"/>
  <c r="U334" i="7"/>
  <c r="T334" i="7"/>
  <c r="S334" i="7"/>
  <c r="N334" i="7"/>
  <c r="M334" i="7"/>
  <c r="L334" i="7"/>
  <c r="K334" i="7"/>
  <c r="F334" i="7"/>
  <c r="E334" i="7"/>
  <c r="D334" i="7"/>
  <c r="C334" i="7"/>
  <c r="V333" i="7"/>
  <c r="U333" i="7"/>
  <c r="T333" i="7"/>
  <c r="S333" i="7"/>
  <c r="N333" i="7"/>
  <c r="M333" i="7"/>
  <c r="L333" i="7"/>
  <c r="K333" i="7"/>
  <c r="F333" i="7"/>
  <c r="E333" i="7"/>
  <c r="D333" i="7"/>
  <c r="C333" i="7"/>
  <c r="V332" i="7"/>
  <c r="U332" i="7"/>
  <c r="T332" i="7"/>
  <c r="S332" i="7"/>
  <c r="N332" i="7"/>
  <c r="M332" i="7"/>
  <c r="L332" i="7"/>
  <c r="K332" i="7"/>
  <c r="F332" i="7"/>
  <c r="E332" i="7"/>
  <c r="D332" i="7"/>
  <c r="C332" i="7"/>
  <c r="V331" i="7"/>
  <c r="U331" i="7"/>
  <c r="T331" i="7"/>
  <c r="S331" i="7"/>
  <c r="N331" i="7"/>
  <c r="M331" i="7"/>
  <c r="L331" i="7"/>
  <c r="K331" i="7"/>
  <c r="F331" i="7"/>
  <c r="E331" i="7"/>
  <c r="D331" i="7"/>
  <c r="C331" i="7"/>
  <c r="V329" i="7"/>
  <c r="U329" i="7"/>
  <c r="T329" i="7"/>
  <c r="S329" i="7"/>
  <c r="N329" i="7"/>
  <c r="M329" i="7"/>
  <c r="L329" i="7"/>
  <c r="K329" i="7"/>
  <c r="F329" i="7"/>
  <c r="E329" i="7"/>
  <c r="D329" i="7"/>
  <c r="C329" i="7"/>
  <c r="V328" i="7"/>
  <c r="U328" i="7"/>
  <c r="T328" i="7"/>
  <c r="S328" i="7"/>
  <c r="N328" i="7"/>
  <c r="M328" i="7"/>
  <c r="L328" i="7"/>
  <c r="K328" i="7"/>
  <c r="F328" i="7"/>
  <c r="E328" i="7"/>
  <c r="D328" i="7"/>
  <c r="C328" i="7"/>
  <c r="V327" i="7"/>
  <c r="U327" i="7"/>
  <c r="T327" i="7"/>
  <c r="S327" i="7"/>
  <c r="N327" i="7"/>
  <c r="M327" i="7"/>
  <c r="L327" i="7"/>
  <c r="K327" i="7"/>
  <c r="F327" i="7"/>
  <c r="E327" i="7"/>
  <c r="D327" i="7"/>
  <c r="C327" i="7"/>
  <c r="V326" i="7"/>
  <c r="U326" i="7"/>
  <c r="T326" i="7"/>
  <c r="S326" i="7"/>
  <c r="N326" i="7"/>
  <c r="M326" i="7"/>
  <c r="L326" i="7"/>
  <c r="K326" i="7"/>
  <c r="F326" i="7"/>
  <c r="E326" i="7"/>
  <c r="D326" i="7"/>
  <c r="C326" i="7"/>
  <c r="V325" i="7"/>
  <c r="U325" i="7"/>
  <c r="T325" i="7"/>
  <c r="S325" i="7"/>
  <c r="N325" i="7"/>
  <c r="M325" i="7"/>
  <c r="L325" i="7"/>
  <c r="K325" i="7"/>
  <c r="F325" i="7"/>
  <c r="E325" i="7"/>
  <c r="D325" i="7"/>
  <c r="C325" i="7"/>
  <c r="V324" i="7"/>
  <c r="U324" i="7"/>
  <c r="T324" i="7"/>
  <c r="S324" i="7"/>
  <c r="N324" i="7"/>
  <c r="M324" i="7"/>
  <c r="L324" i="7"/>
  <c r="K324" i="7"/>
  <c r="F324" i="7"/>
  <c r="E324" i="7"/>
  <c r="D324" i="7"/>
  <c r="C324" i="7"/>
  <c r="V323" i="7"/>
  <c r="U323" i="7"/>
  <c r="T323" i="7"/>
  <c r="S323" i="7"/>
  <c r="N323" i="7"/>
  <c r="M323" i="7"/>
  <c r="L323" i="7"/>
  <c r="K323" i="7"/>
  <c r="F323" i="7"/>
  <c r="E323" i="7"/>
  <c r="D323" i="7"/>
  <c r="C323" i="7"/>
  <c r="V322" i="7"/>
  <c r="U322" i="7"/>
  <c r="T322" i="7"/>
  <c r="S322" i="7"/>
  <c r="N322" i="7"/>
  <c r="M322" i="7"/>
  <c r="L322" i="7"/>
  <c r="K322" i="7"/>
  <c r="F322" i="7"/>
  <c r="E322" i="7"/>
  <c r="D322" i="7"/>
  <c r="C322" i="7"/>
  <c r="V321" i="7"/>
  <c r="U321" i="7"/>
  <c r="T321" i="7"/>
  <c r="S321" i="7"/>
  <c r="N321" i="7"/>
  <c r="M321" i="7"/>
  <c r="L321" i="7"/>
  <c r="K321" i="7"/>
  <c r="F321" i="7"/>
  <c r="E321" i="7"/>
  <c r="D321" i="7"/>
  <c r="C321" i="7"/>
  <c r="V320" i="7"/>
  <c r="U320" i="7"/>
  <c r="T320" i="7"/>
  <c r="S320" i="7"/>
  <c r="N320" i="7"/>
  <c r="M320" i="7"/>
  <c r="L320" i="7"/>
  <c r="K320" i="7"/>
  <c r="F320" i="7"/>
  <c r="E320" i="7"/>
  <c r="D320" i="7"/>
  <c r="C320" i="7"/>
  <c r="V319" i="7"/>
  <c r="U319" i="7"/>
  <c r="T319" i="7"/>
  <c r="S319" i="7"/>
  <c r="N319" i="7"/>
  <c r="M319" i="7"/>
  <c r="L319" i="7"/>
  <c r="K319" i="7"/>
  <c r="F319" i="7"/>
  <c r="E319" i="7"/>
  <c r="D319" i="7"/>
  <c r="C319" i="7"/>
  <c r="V318" i="7"/>
  <c r="U318" i="7"/>
  <c r="T318" i="7"/>
  <c r="S318" i="7"/>
  <c r="N318" i="7"/>
  <c r="M318" i="7"/>
  <c r="L318" i="7"/>
  <c r="K318" i="7"/>
  <c r="F318" i="7"/>
  <c r="E318" i="7"/>
  <c r="D318" i="7"/>
  <c r="C318" i="7"/>
  <c r="V317" i="7"/>
  <c r="U317" i="7"/>
  <c r="T317" i="7"/>
  <c r="S317" i="7"/>
  <c r="N317" i="7"/>
  <c r="M317" i="7"/>
  <c r="L317" i="7"/>
  <c r="K317" i="7"/>
  <c r="F317" i="7"/>
  <c r="E317" i="7"/>
  <c r="D317" i="7"/>
  <c r="C317" i="7"/>
  <c r="V316" i="7"/>
  <c r="U316" i="7"/>
  <c r="T316" i="7"/>
  <c r="S316" i="7"/>
  <c r="N316" i="7"/>
  <c r="M316" i="7"/>
  <c r="L316" i="7"/>
  <c r="K316" i="7"/>
  <c r="F316" i="7"/>
  <c r="E316" i="7"/>
  <c r="D316" i="7"/>
  <c r="C316" i="7"/>
  <c r="V315" i="7"/>
  <c r="U315" i="7"/>
  <c r="T315" i="7"/>
  <c r="S315" i="7"/>
  <c r="N315" i="7"/>
  <c r="M315" i="7"/>
  <c r="L315" i="7"/>
  <c r="K315" i="7"/>
  <c r="F315" i="7"/>
  <c r="E315" i="7"/>
  <c r="D315" i="7"/>
  <c r="C315" i="7"/>
  <c r="V314" i="7"/>
  <c r="U314" i="7"/>
  <c r="T314" i="7"/>
  <c r="S314" i="7"/>
  <c r="N314" i="7"/>
  <c r="M314" i="7"/>
  <c r="L314" i="7"/>
  <c r="K314" i="7"/>
  <c r="F314" i="7"/>
  <c r="E314" i="7"/>
  <c r="D314" i="7"/>
  <c r="C314" i="7"/>
  <c r="V313" i="7"/>
  <c r="U313" i="7"/>
  <c r="T313" i="7"/>
  <c r="S313" i="7"/>
  <c r="N313" i="7"/>
  <c r="M313" i="7"/>
  <c r="L313" i="7"/>
  <c r="K313" i="7"/>
  <c r="F313" i="7"/>
  <c r="E313" i="7"/>
  <c r="D313" i="7"/>
  <c r="C313" i="7"/>
  <c r="V312" i="7"/>
  <c r="U312" i="7"/>
  <c r="T312" i="7"/>
  <c r="S312" i="7"/>
  <c r="N312" i="7"/>
  <c r="M312" i="7"/>
  <c r="L312" i="7"/>
  <c r="K312" i="7"/>
  <c r="F312" i="7"/>
  <c r="E312" i="7"/>
  <c r="D312" i="7"/>
  <c r="C312" i="7"/>
  <c r="V311" i="7"/>
  <c r="U311" i="7"/>
  <c r="T311" i="7"/>
  <c r="S311" i="7"/>
  <c r="N311" i="7"/>
  <c r="M311" i="7"/>
  <c r="L311" i="7"/>
  <c r="K311" i="7"/>
  <c r="F311" i="7"/>
  <c r="E311" i="7"/>
  <c r="D311" i="7"/>
  <c r="C311" i="7"/>
  <c r="V310" i="7"/>
  <c r="U310" i="7"/>
  <c r="T310" i="7"/>
  <c r="S310" i="7"/>
  <c r="N310" i="7"/>
  <c r="M310" i="7"/>
  <c r="L310" i="7"/>
  <c r="K310" i="7"/>
  <c r="F310" i="7"/>
  <c r="E310" i="7"/>
  <c r="D310" i="7"/>
  <c r="C310" i="7"/>
  <c r="V308" i="7"/>
  <c r="U308" i="7"/>
  <c r="T308" i="7"/>
  <c r="S308" i="7"/>
  <c r="N308" i="7"/>
  <c r="M308" i="7"/>
  <c r="L308" i="7"/>
  <c r="K308" i="7"/>
  <c r="F308" i="7"/>
  <c r="E308" i="7"/>
  <c r="D308" i="7"/>
  <c r="C308" i="7"/>
  <c r="V307" i="7"/>
  <c r="U307" i="7"/>
  <c r="T307" i="7"/>
  <c r="S307" i="7"/>
  <c r="N307" i="7"/>
  <c r="M307" i="7"/>
  <c r="L307" i="7"/>
  <c r="K307" i="7"/>
  <c r="F307" i="7"/>
  <c r="E307" i="7"/>
  <c r="D307" i="7"/>
  <c r="C307" i="7"/>
  <c r="V306" i="7"/>
  <c r="U306" i="7"/>
  <c r="T306" i="7"/>
  <c r="S306" i="7"/>
  <c r="N306" i="7"/>
  <c r="M306" i="7"/>
  <c r="L306" i="7"/>
  <c r="K306" i="7"/>
  <c r="F306" i="7"/>
  <c r="E306" i="7"/>
  <c r="D306" i="7"/>
  <c r="C306" i="7"/>
  <c r="V305" i="7"/>
  <c r="U305" i="7"/>
  <c r="T305" i="7"/>
  <c r="S305" i="7"/>
  <c r="N305" i="7"/>
  <c r="M305" i="7"/>
  <c r="L305" i="7"/>
  <c r="K305" i="7"/>
  <c r="F305" i="7"/>
  <c r="E305" i="7"/>
  <c r="D305" i="7"/>
  <c r="C305" i="7"/>
  <c r="V304" i="7"/>
  <c r="U304" i="7"/>
  <c r="T304" i="7"/>
  <c r="S304" i="7"/>
  <c r="N304" i="7"/>
  <c r="M304" i="7"/>
  <c r="L304" i="7"/>
  <c r="K304" i="7"/>
  <c r="F304" i="7"/>
  <c r="E304" i="7"/>
  <c r="D304" i="7"/>
  <c r="C304" i="7"/>
  <c r="V303" i="7"/>
  <c r="U303" i="7"/>
  <c r="T303" i="7"/>
  <c r="S303" i="7"/>
  <c r="N303" i="7"/>
  <c r="M303" i="7"/>
  <c r="L303" i="7"/>
  <c r="K303" i="7"/>
  <c r="F303" i="7"/>
  <c r="E303" i="7"/>
  <c r="D303" i="7"/>
  <c r="C303" i="7"/>
  <c r="V302" i="7"/>
  <c r="U302" i="7"/>
  <c r="T302" i="7"/>
  <c r="S302" i="7"/>
  <c r="N302" i="7"/>
  <c r="M302" i="7"/>
  <c r="L302" i="7"/>
  <c r="K302" i="7"/>
  <c r="F302" i="7"/>
  <c r="E302" i="7"/>
  <c r="D302" i="7"/>
  <c r="C302" i="7"/>
  <c r="V301" i="7"/>
  <c r="U301" i="7"/>
  <c r="T301" i="7"/>
  <c r="S301" i="7"/>
  <c r="N301" i="7"/>
  <c r="M301" i="7"/>
  <c r="L301" i="7"/>
  <c r="K301" i="7"/>
  <c r="F301" i="7"/>
  <c r="E301" i="7"/>
  <c r="D301" i="7"/>
  <c r="C301" i="7"/>
  <c r="V300" i="7"/>
  <c r="U300" i="7"/>
  <c r="T300" i="7"/>
  <c r="S300" i="7"/>
  <c r="N300" i="7"/>
  <c r="M300" i="7"/>
  <c r="L300" i="7"/>
  <c r="K300" i="7"/>
  <c r="F300" i="7"/>
  <c r="E300" i="7"/>
  <c r="D300" i="7"/>
  <c r="C300" i="7"/>
  <c r="V299" i="7"/>
  <c r="U299" i="7"/>
  <c r="T299" i="7"/>
  <c r="S299" i="7"/>
  <c r="N299" i="7"/>
  <c r="M299" i="7"/>
  <c r="L299" i="7"/>
  <c r="K299" i="7"/>
  <c r="F299" i="7"/>
  <c r="E299" i="7"/>
  <c r="D299" i="7"/>
  <c r="C299" i="7"/>
  <c r="V298" i="7"/>
  <c r="U298" i="7"/>
  <c r="T298" i="7"/>
  <c r="S298" i="7"/>
  <c r="N298" i="7"/>
  <c r="M298" i="7"/>
  <c r="L298" i="7"/>
  <c r="K298" i="7"/>
  <c r="F298" i="7"/>
  <c r="E298" i="7"/>
  <c r="D298" i="7"/>
  <c r="C298" i="7"/>
  <c r="V297" i="7"/>
  <c r="U297" i="7"/>
  <c r="T297" i="7"/>
  <c r="S297" i="7"/>
  <c r="N297" i="7"/>
  <c r="M297" i="7"/>
  <c r="L297" i="7"/>
  <c r="K297" i="7"/>
  <c r="F297" i="7"/>
  <c r="E297" i="7"/>
  <c r="D297" i="7"/>
  <c r="C297" i="7"/>
  <c r="V296" i="7"/>
  <c r="U296" i="7"/>
  <c r="T296" i="7"/>
  <c r="S296" i="7"/>
  <c r="N296" i="7"/>
  <c r="M296" i="7"/>
  <c r="L296" i="7"/>
  <c r="K296" i="7"/>
  <c r="F296" i="7"/>
  <c r="E296" i="7"/>
  <c r="D296" i="7"/>
  <c r="C296" i="7"/>
  <c r="V295" i="7"/>
  <c r="U295" i="7"/>
  <c r="T295" i="7"/>
  <c r="S295" i="7"/>
  <c r="N295" i="7"/>
  <c r="M295" i="7"/>
  <c r="L295" i="7"/>
  <c r="K295" i="7"/>
  <c r="F295" i="7"/>
  <c r="E295" i="7"/>
  <c r="D295" i="7"/>
  <c r="C295" i="7"/>
  <c r="V294" i="7"/>
  <c r="U294" i="7"/>
  <c r="T294" i="7"/>
  <c r="S294" i="7"/>
  <c r="N294" i="7"/>
  <c r="M294" i="7"/>
  <c r="L294" i="7"/>
  <c r="K294" i="7"/>
  <c r="F294" i="7"/>
  <c r="E294" i="7"/>
  <c r="D294" i="7"/>
  <c r="C294" i="7"/>
  <c r="V293" i="7"/>
  <c r="U293" i="7"/>
  <c r="T293" i="7"/>
  <c r="S293" i="7"/>
  <c r="N293" i="7"/>
  <c r="M293" i="7"/>
  <c r="L293" i="7"/>
  <c r="K293" i="7"/>
  <c r="F293" i="7"/>
  <c r="E293" i="7"/>
  <c r="D293" i="7"/>
  <c r="C293" i="7"/>
  <c r="Z292" i="7"/>
  <c r="V292" i="7"/>
  <c r="U292" i="7"/>
  <c r="T292" i="7"/>
  <c r="S292" i="7"/>
  <c r="N292" i="7"/>
  <c r="M292" i="7"/>
  <c r="L292" i="7"/>
  <c r="K292" i="7"/>
  <c r="F292" i="7"/>
  <c r="E292" i="7"/>
  <c r="D292" i="7"/>
  <c r="C292" i="7"/>
  <c r="Z291" i="7"/>
  <c r="V291" i="7"/>
  <c r="U291" i="7"/>
  <c r="T291" i="7"/>
  <c r="S291" i="7"/>
  <c r="N291" i="7"/>
  <c r="M291" i="7"/>
  <c r="L291" i="7"/>
  <c r="K291" i="7"/>
  <c r="F291" i="7"/>
  <c r="E291" i="7"/>
  <c r="D291" i="7"/>
  <c r="C291" i="7"/>
  <c r="Z290" i="7"/>
  <c r="V290" i="7"/>
  <c r="U290" i="7"/>
  <c r="T290" i="7"/>
  <c r="S290" i="7"/>
  <c r="N290" i="7"/>
  <c r="M290" i="7"/>
  <c r="L290" i="7"/>
  <c r="K290" i="7"/>
  <c r="F290" i="7"/>
  <c r="E290" i="7"/>
  <c r="D290" i="7"/>
  <c r="C290" i="7"/>
  <c r="Z289" i="7"/>
  <c r="V289" i="7"/>
  <c r="U289" i="7"/>
  <c r="T289" i="7"/>
  <c r="S289" i="7"/>
  <c r="N289" i="7"/>
  <c r="M289" i="7"/>
  <c r="L289" i="7"/>
  <c r="K289" i="7"/>
  <c r="F289" i="7"/>
  <c r="E289" i="7"/>
  <c r="D289" i="7"/>
  <c r="C289" i="7"/>
  <c r="Z288" i="7"/>
  <c r="Z287" i="7"/>
  <c r="V287" i="7"/>
  <c r="U287" i="7"/>
  <c r="T287" i="7"/>
  <c r="S287" i="7"/>
  <c r="N287" i="7"/>
  <c r="M287" i="7"/>
  <c r="L287" i="7"/>
  <c r="K287" i="7"/>
  <c r="F287" i="7"/>
  <c r="E287" i="7"/>
  <c r="D287" i="7"/>
  <c r="C287" i="7"/>
  <c r="Z286" i="7"/>
  <c r="V286" i="7"/>
  <c r="U286" i="7"/>
  <c r="T286" i="7"/>
  <c r="S286" i="7"/>
  <c r="N286" i="7"/>
  <c r="M286" i="7"/>
  <c r="L286" i="7"/>
  <c r="K286" i="7"/>
  <c r="F286" i="7"/>
  <c r="E286" i="7"/>
  <c r="D286" i="7"/>
  <c r="C286" i="7"/>
  <c r="Z285" i="7"/>
  <c r="V285" i="7"/>
  <c r="U285" i="7"/>
  <c r="T285" i="7"/>
  <c r="S285" i="7"/>
  <c r="N285" i="7"/>
  <c r="M285" i="7"/>
  <c r="L285" i="7"/>
  <c r="K285" i="7"/>
  <c r="F285" i="7"/>
  <c r="E285" i="7"/>
  <c r="D285" i="7"/>
  <c r="C285" i="7"/>
  <c r="Z284" i="7"/>
  <c r="V284" i="7"/>
  <c r="U284" i="7"/>
  <c r="T284" i="7"/>
  <c r="S284" i="7"/>
  <c r="N284" i="7"/>
  <c r="M284" i="7"/>
  <c r="L284" i="7"/>
  <c r="K284" i="7"/>
  <c r="F284" i="7"/>
  <c r="E284" i="7"/>
  <c r="D284" i="7"/>
  <c r="C284" i="7"/>
  <c r="Z283" i="7"/>
  <c r="V283" i="7"/>
  <c r="U283" i="7"/>
  <c r="T283" i="7"/>
  <c r="S283" i="7"/>
  <c r="N283" i="7"/>
  <c r="M283" i="7"/>
  <c r="L283" i="7"/>
  <c r="K283" i="7"/>
  <c r="F283" i="7"/>
  <c r="E283" i="7"/>
  <c r="D283" i="7"/>
  <c r="C283" i="7"/>
  <c r="Z282" i="7"/>
  <c r="V282" i="7"/>
  <c r="U282" i="7"/>
  <c r="T282" i="7"/>
  <c r="S282" i="7"/>
  <c r="N282" i="7"/>
  <c r="M282" i="7"/>
  <c r="L282" i="7"/>
  <c r="K282" i="7"/>
  <c r="F282" i="7"/>
  <c r="E282" i="7"/>
  <c r="D282" i="7"/>
  <c r="C282" i="7"/>
  <c r="Z281" i="7"/>
  <c r="V281" i="7"/>
  <c r="U281" i="7"/>
  <c r="T281" i="7"/>
  <c r="S281" i="7"/>
  <c r="N281" i="7"/>
  <c r="M281" i="7"/>
  <c r="L281" i="7"/>
  <c r="K281" i="7"/>
  <c r="F281" i="7"/>
  <c r="E281" i="7"/>
  <c r="D281" i="7"/>
  <c r="C281" i="7"/>
  <c r="Z280" i="7"/>
  <c r="V280" i="7"/>
  <c r="U280" i="7"/>
  <c r="T280" i="7"/>
  <c r="S280" i="7"/>
  <c r="N280" i="7"/>
  <c r="M280" i="7"/>
  <c r="L280" i="7"/>
  <c r="K280" i="7"/>
  <c r="F280" i="7"/>
  <c r="E280" i="7"/>
  <c r="D280" i="7"/>
  <c r="C280" i="7"/>
  <c r="Z279" i="7"/>
  <c r="V279" i="7"/>
  <c r="U279" i="7"/>
  <c r="T279" i="7"/>
  <c r="S279" i="7"/>
  <c r="N279" i="7"/>
  <c r="M279" i="7"/>
  <c r="L279" i="7"/>
  <c r="K279" i="7"/>
  <c r="F279" i="7"/>
  <c r="E279" i="7"/>
  <c r="D279" i="7"/>
  <c r="C279" i="7"/>
  <c r="Z278" i="7"/>
  <c r="V278" i="7"/>
  <c r="U278" i="7"/>
  <c r="T278" i="7"/>
  <c r="S278" i="7"/>
  <c r="N278" i="7"/>
  <c r="M278" i="7"/>
  <c r="L278" i="7"/>
  <c r="K278" i="7"/>
  <c r="F278" i="7"/>
  <c r="E278" i="7"/>
  <c r="D278" i="7"/>
  <c r="C278" i="7"/>
  <c r="Z277" i="7"/>
  <c r="V277" i="7"/>
  <c r="U277" i="7"/>
  <c r="T277" i="7"/>
  <c r="S277" i="7"/>
  <c r="N277" i="7"/>
  <c r="M277" i="7"/>
  <c r="L277" i="7"/>
  <c r="K277" i="7"/>
  <c r="F277" i="7"/>
  <c r="E277" i="7"/>
  <c r="D277" i="7"/>
  <c r="C277" i="7"/>
  <c r="Z276" i="7"/>
  <c r="V276" i="7"/>
  <c r="U276" i="7"/>
  <c r="T276" i="7"/>
  <c r="S276" i="7"/>
  <c r="N276" i="7"/>
  <c r="M276" i="7"/>
  <c r="L276" i="7"/>
  <c r="K276" i="7"/>
  <c r="F276" i="7"/>
  <c r="E276" i="7"/>
  <c r="D276" i="7"/>
  <c r="C276" i="7"/>
  <c r="Z275" i="7"/>
  <c r="V275" i="7"/>
  <c r="U275" i="7"/>
  <c r="T275" i="7"/>
  <c r="S275" i="7"/>
  <c r="N275" i="7"/>
  <c r="M275" i="7"/>
  <c r="L275" i="7"/>
  <c r="K275" i="7"/>
  <c r="F275" i="7"/>
  <c r="E275" i="7"/>
  <c r="D275" i="7"/>
  <c r="C275" i="7"/>
  <c r="Z274" i="7"/>
  <c r="V274" i="7"/>
  <c r="U274" i="7"/>
  <c r="T274" i="7"/>
  <c r="S274" i="7"/>
  <c r="N274" i="7"/>
  <c r="M274" i="7"/>
  <c r="L274" i="7"/>
  <c r="K274" i="7"/>
  <c r="F274" i="7"/>
  <c r="E274" i="7"/>
  <c r="D274" i="7"/>
  <c r="C274" i="7"/>
  <c r="Z273" i="7"/>
  <c r="V273" i="7"/>
  <c r="U273" i="7"/>
  <c r="T273" i="7"/>
  <c r="S273" i="7"/>
  <c r="N273" i="7"/>
  <c r="M273" i="7"/>
  <c r="L273" i="7"/>
  <c r="K273" i="7"/>
  <c r="F273" i="7"/>
  <c r="E273" i="7"/>
  <c r="D273" i="7"/>
  <c r="C273" i="7"/>
  <c r="V272" i="7"/>
  <c r="U272" i="7"/>
  <c r="T272" i="7"/>
  <c r="S272" i="7"/>
  <c r="N272" i="7"/>
  <c r="M272" i="7"/>
  <c r="L272" i="7"/>
  <c r="K272" i="7"/>
  <c r="F272" i="7"/>
  <c r="E272" i="7"/>
  <c r="D272" i="7"/>
  <c r="C272" i="7"/>
  <c r="V271" i="7"/>
  <c r="U271" i="7"/>
  <c r="T271" i="7"/>
  <c r="S271" i="7"/>
  <c r="N271" i="7"/>
  <c r="M271" i="7"/>
  <c r="L271" i="7"/>
  <c r="K271" i="7"/>
  <c r="F271" i="7"/>
  <c r="E271" i="7"/>
  <c r="D271" i="7"/>
  <c r="C271" i="7"/>
  <c r="V270" i="7"/>
  <c r="U270" i="7"/>
  <c r="T270" i="7"/>
  <c r="S270" i="7"/>
  <c r="N270" i="7"/>
  <c r="M270" i="7"/>
  <c r="L270" i="7"/>
  <c r="K270" i="7"/>
  <c r="F270" i="7"/>
  <c r="E270" i="7"/>
  <c r="D270" i="7"/>
  <c r="C270" i="7"/>
  <c r="V269" i="7"/>
  <c r="U269" i="7"/>
  <c r="T269" i="7"/>
  <c r="S269" i="7"/>
  <c r="N269" i="7"/>
  <c r="M269" i="7"/>
  <c r="L269" i="7"/>
  <c r="K269" i="7"/>
  <c r="F269" i="7"/>
  <c r="E269" i="7"/>
  <c r="D269" i="7"/>
  <c r="C269" i="7"/>
  <c r="Z268" i="7"/>
  <c r="V268" i="7"/>
  <c r="U268" i="7"/>
  <c r="T268" i="7"/>
  <c r="S268" i="7"/>
  <c r="N268" i="7"/>
  <c r="M268" i="7"/>
  <c r="L268" i="7"/>
  <c r="K268" i="7"/>
  <c r="F268" i="7"/>
  <c r="E268" i="7"/>
  <c r="D268" i="7"/>
  <c r="C268" i="7"/>
  <c r="Z267" i="7"/>
  <c r="Z266" i="7"/>
  <c r="V266" i="7"/>
  <c r="U266" i="7"/>
  <c r="T266" i="7"/>
  <c r="S266" i="7"/>
  <c r="N266" i="7"/>
  <c r="M266" i="7"/>
  <c r="L266" i="7"/>
  <c r="K266" i="7"/>
  <c r="F266" i="7"/>
  <c r="E266" i="7"/>
  <c r="D266" i="7"/>
  <c r="C266" i="7"/>
  <c r="Z265" i="7"/>
  <c r="V265" i="7"/>
  <c r="U265" i="7"/>
  <c r="T265" i="7"/>
  <c r="S265" i="7"/>
  <c r="N265" i="7"/>
  <c r="M265" i="7"/>
  <c r="L265" i="7"/>
  <c r="K265" i="7"/>
  <c r="F265" i="7"/>
  <c r="E265" i="7"/>
  <c r="D265" i="7"/>
  <c r="C265" i="7"/>
  <c r="Z264" i="7"/>
  <c r="V264" i="7"/>
  <c r="U264" i="7"/>
  <c r="T264" i="7"/>
  <c r="S264" i="7"/>
  <c r="N264" i="7"/>
  <c r="M264" i="7"/>
  <c r="L264" i="7"/>
  <c r="K264" i="7"/>
  <c r="F264" i="7"/>
  <c r="E264" i="7"/>
  <c r="D264" i="7"/>
  <c r="C264" i="7"/>
  <c r="Z263" i="7"/>
  <c r="V263" i="7"/>
  <c r="U263" i="7"/>
  <c r="T263" i="7"/>
  <c r="S263" i="7"/>
  <c r="N263" i="7"/>
  <c r="M263" i="7"/>
  <c r="L263" i="7"/>
  <c r="K263" i="7"/>
  <c r="F263" i="7"/>
  <c r="E263" i="7"/>
  <c r="D263" i="7"/>
  <c r="C263" i="7"/>
  <c r="Z262" i="7"/>
  <c r="V262" i="7"/>
  <c r="U262" i="7"/>
  <c r="T262" i="7"/>
  <c r="S262" i="7"/>
  <c r="N262" i="7"/>
  <c r="M262" i="7"/>
  <c r="L262" i="7"/>
  <c r="K262" i="7"/>
  <c r="F262" i="7"/>
  <c r="E262" i="7"/>
  <c r="D262" i="7"/>
  <c r="C262" i="7"/>
  <c r="Z261" i="7"/>
  <c r="V261" i="7"/>
  <c r="U261" i="7"/>
  <c r="T261" i="7"/>
  <c r="S261" i="7"/>
  <c r="N261" i="7"/>
  <c r="M261" i="7"/>
  <c r="L261" i="7"/>
  <c r="K261" i="7"/>
  <c r="F261" i="7"/>
  <c r="E261" i="7"/>
  <c r="D261" i="7"/>
  <c r="C261" i="7"/>
  <c r="Z260" i="7"/>
  <c r="V260" i="7"/>
  <c r="U260" i="7"/>
  <c r="T260" i="7"/>
  <c r="S260" i="7"/>
  <c r="N260" i="7"/>
  <c r="M260" i="7"/>
  <c r="L260" i="7"/>
  <c r="K260" i="7"/>
  <c r="F260" i="7"/>
  <c r="E260" i="7"/>
  <c r="D260" i="7"/>
  <c r="C260" i="7"/>
  <c r="Z259" i="7"/>
  <c r="V259" i="7"/>
  <c r="U259" i="7"/>
  <c r="T259" i="7"/>
  <c r="S259" i="7"/>
  <c r="N259" i="7"/>
  <c r="M259" i="7"/>
  <c r="L259" i="7"/>
  <c r="K259" i="7"/>
  <c r="F259" i="7"/>
  <c r="E259" i="7"/>
  <c r="D259" i="7"/>
  <c r="C259" i="7"/>
  <c r="Z258" i="7"/>
  <c r="V258" i="7"/>
  <c r="U258" i="7"/>
  <c r="T258" i="7"/>
  <c r="S258" i="7"/>
  <c r="N258" i="7"/>
  <c r="M258" i="7"/>
  <c r="L258" i="7"/>
  <c r="K258" i="7"/>
  <c r="F258" i="7"/>
  <c r="E258" i="7"/>
  <c r="D258" i="7"/>
  <c r="C258" i="7"/>
  <c r="Z257" i="7"/>
  <c r="V257" i="7"/>
  <c r="U257" i="7"/>
  <c r="T257" i="7"/>
  <c r="S257" i="7"/>
  <c r="N257" i="7"/>
  <c r="M257" i="7"/>
  <c r="L257" i="7"/>
  <c r="K257" i="7"/>
  <c r="F257" i="7"/>
  <c r="E257" i="7"/>
  <c r="D257" i="7"/>
  <c r="C257" i="7"/>
  <c r="Z256" i="7"/>
  <c r="V256" i="7"/>
  <c r="U256" i="7"/>
  <c r="T256" i="7"/>
  <c r="S256" i="7"/>
  <c r="N256" i="7"/>
  <c r="M256" i="7"/>
  <c r="L256" i="7"/>
  <c r="K256" i="7"/>
  <c r="F256" i="7"/>
  <c r="E256" i="7"/>
  <c r="D256" i="7"/>
  <c r="C256" i="7"/>
  <c r="Z255" i="7"/>
  <c r="V255" i="7"/>
  <c r="U255" i="7"/>
  <c r="T255" i="7"/>
  <c r="S255" i="7"/>
  <c r="N255" i="7"/>
  <c r="M255" i="7"/>
  <c r="L255" i="7"/>
  <c r="K255" i="7"/>
  <c r="F255" i="7"/>
  <c r="E255" i="7"/>
  <c r="D255" i="7"/>
  <c r="C255" i="7"/>
  <c r="Z254" i="7"/>
  <c r="V254" i="7"/>
  <c r="U254" i="7"/>
  <c r="T254" i="7"/>
  <c r="S254" i="7"/>
  <c r="N254" i="7"/>
  <c r="M254" i="7"/>
  <c r="L254" i="7"/>
  <c r="K254" i="7"/>
  <c r="F254" i="7"/>
  <c r="E254" i="7"/>
  <c r="D254" i="7"/>
  <c r="C254" i="7"/>
  <c r="Z253" i="7"/>
  <c r="V253" i="7"/>
  <c r="U253" i="7"/>
  <c r="T253" i="7"/>
  <c r="S253" i="7"/>
  <c r="N253" i="7"/>
  <c r="M253" i="7"/>
  <c r="L253" i="7"/>
  <c r="K253" i="7"/>
  <c r="F253" i="7"/>
  <c r="E253" i="7"/>
  <c r="D253" i="7"/>
  <c r="C253" i="7"/>
  <c r="Z252" i="7"/>
  <c r="V252" i="7"/>
  <c r="U252" i="7"/>
  <c r="T252" i="7"/>
  <c r="S252" i="7"/>
  <c r="N252" i="7"/>
  <c r="M252" i="7"/>
  <c r="L252" i="7"/>
  <c r="K252" i="7"/>
  <c r="F252" i="7"/>
  <c r="E252" i="7"/>
  <c r="D252" i="7"/>
  <c r="C252" i="7"/>
  <c r="Z251" i="7"/>
  <c r="V251" i="7"/>
  <c r="U251" i="7"/>
  <c r="T251" i="7"/>
  <c r="S251" i="7"/>
  <c r="N251" i="7"/>
  <c r="M251" i="7"/>
  <c r="L251" i="7"/>
  <c r="K251" i="7"/>
  <c r="F251" i="7"/>
  <c r="E251" i="7"/>
  <c r="D251" i="7"/>
  <c r="C251" i="7"/>
  <c r="Z250" i="7"/>
  <c r="V250" i="7"/>
  <c r="U250" i="7"/>
  <c r="T250" i="7"/>
  <c r="S250" i="7"/>
  <c r="N250" i="7"/>
  <c r="M250" i="7"/>
  <c r="L250" i="7"/>
  <c r="K250" i="7"/>
  <c r="F250" i="7"/>
  <c r="E250" i="7"/>
  <c r="D250" i="7"/>
  <c r="C250" i="7"/>
  <c r="Z249" i="7"/>
  <c r="V249" i="7"/>
  <c r="U249" i="7"/>
  <c r="T249" i="7"/>
  <c r="S249" i="7"/>
  <c r="N249" i="7"/>
  <c r="M249" i="7"/>
  <c r="L249" i="7"/>
  <c r="K249" i="7"/>
  <c r="F249" i="7"/>
  <c r="E249" i="7"/>
  <c r="D249" i="7"/>
  <c r="C249" i="7"/>
  <c r="V248" i="7"/>
  <c r="U248" i="7"/>
  <c r="T248" i="7"/>
  <c r="S248" i="7"/>
  <c r="N248" i="7"/>
  <c r="M248" i="7"/>
  <c r="L248" i="7"/>
  <c r="K248" i="7"/>
  <c r="F248" i="7"/>
  <c r="E248" i="7"/>
  <c r="D248" i="7"/>
  <c r="C248" i="7"/>
  <c r="V247" i="7"/>
  <c r="U247" i="7"/>
  <c r="T247" i="7"/>
  <c r="S247" i="7"/>
  <c r="N247" i="7"/>
  <c r="M247" i="7"/>
  <c r="L247" i="7"/>
  <c r="K247" i="7"/>
  <c r="F247" i="7"/>
  <c r="E247" i="7"/>
  <c r="D247" i="7"/>
  <c r="C247" i="7"/>
  <c r="V245" i="7"/>
  <c r="U245" i="7"/>
  <c r="T245" i="7"/>
  <c r="S245" i="7"/>
  <c r="N245" i="7"/>
  <c r="M245" i="7"/>
  <c r="L245" i="7"/>
  <c r="K245" i="7"/>
  <c r="F245" i="7"/>
  <c r="E245" i="7"/>
  <c r="D245" i="7"/>
  <c r="C245" i="7"/>
  <c r="Z244" i="7"/>
  <c r="V244" i="7"/>
  <c r="U244" i="7"/>
  <c r="T244" i="7"/>
  <c r="S244" i="7"/>
  <c r="N244" i="7"/>
  <c r="M244" i="7"/>
  <c r="L244" i="7"/>
  <c r="K244" i="7"/>
  <c r="F244" i="7"/>
  <c r="E244" i="7"/>
  <c r="D244" i="7"/>
  <c r="C244" i="7"/>
  <c r="Z243" i="7"/>
  <c r="V243" i="7"/>
  <c r="U243" i="7"/>
  <c r="T243" i="7"/>
  <c r="S243" i="7"/>
  <c r="N243" i="7"/>
  <c r="M243" i="7"/>
  <c r="L243" i="7"/>
  <c r="K243" i="7"/>
  <c r="F243" i="7"/>
  <c r="E243" i="7"/>
  <c r="D243" i="7"/>
  <c r="C243" i="7"/>
  <c r="Z242" i="7"/>
  <c r="V242" i="7"/>
  <c r="U242" i="7"/>
  <c r="T242" i="7"/>
  <c r="S242" i="7"/>
  <c r="N242" i="7"/>
  <c r="M242" i="7"/>
  <c r="L242" i="7"/>
  <c r="K242" i="7"/>
  <c r="F242" i="7"/>
  <c r="E242" i="7"/>
  <c r="D242" i="7"/>
  <c r="C242" i="7"/>
  <c r="Z241" i="7"/>
  <c r="V241" i="7"/>
  <c r="U241" i="7"/>
  <c r="T241" i="7"/>
  <c r="S241" i="7"/>
  <c r="N241" i="7"/>
  <c r="M241" i="7"/>
  <c r="L241" i="7"/>
  <c r="K241" i="7"/>
  <c r="F241" i="7"/>
  <c r="E241" i="7"/>
  <c r="D241" i="7"/>
  <c r="C241" i="7"/>
  <c r="Z240" i="7"/>
  <c r="V240" i="7"/>
  <c r="U240" i="7"/>
  <c r="T240" i="7"/>
  <c r="S240" i="7"/>
  <c r="N240" i="7"/>
  <c r="M240" i="7"/>
  <c r="L240" i="7"/>
  <c r="K240" i="7"/>
  <c r="F240" i="7"/>
  <c r="E240" i="7"/>
  <c r="D240" i="7"/>
  <c r="C240" i="7"/>
  <c r="Z239" i="7"/>
  <c r="V239" i="7"/>
  <c r="U239" i="7"/>
  <c r="T239" i="7"/>
  <c r="S239" i="7"/>
  <c r="N239" i="7"/>
  <c r="M239" i="7"/>
  <c r="L239" i="7"/>
  <c r="K239" i="7"/>
  <c r="F239" i="7"/>
  <c r="E239" i="7"/>
  <c r="D239" i="7"/>
  <c r="C239" i="7"/>
  <c r="Z238" i="7"/>
  <c r="V238" i="7"/>
  <c r="U238" i="7"/>
  <c r="T238" i="7"/>
  <c r="S238" i="7"/>
  <c r="N238" i="7"/>
  <c r="M238" i="7"/>
  <c r="L238" i="7"/>
  <c r="K238" i="7"/>
  <c r="F238" i="7"/>
  <c r="E238" i="7"/>
  <c r="D238" i="7"/>
  <c r="C238" i="7"/>
  <c r="Z237" i="7"/>
  <c r="V237" i="7"/>
  <c r="U237" i="7"/>
  <c r="T237" i="7"/>
  <c r="S237" i="7"/>
  <c r="N237" i="7"/>
  <c r="M237" i="7"/>
  <c r="L237" i="7"/>
  <c r="K237" i="7"/>
  <c r="F237" i="7"/>
  <c r="E237" i="7"/>
  <c r="D237" i="7"/>
  <c r="C237" i="7"/>
  <c r="Z236" i="7"/>
  <c r="V236" i="7"/>
  <c r="U236" i="7"/>
  <c r="T236" i="7"/>
  <c r="S236" i="7"/>
  <c r="N236" i="7"/>
  <c r="M236" i="7"/>
  <c r="L236" i="7"/>
  <c r="K236" i="7"/>
  <c r="F236" i="7"/>
  <c r="E236" i="7"/>
  <c r="D236" i="7"/>
  <c r="C236" i="7"/>
  <c r="Z235" i="7"/>
  <c r="V235" i="7"/>
  <c r="U235" i="7"/>
  <c r="T235" i="7"/>
  <c r="S235" i="7"/>
  <c r="N235" i="7"/>
  <c r="M235" i="7"/>
  <c r="L235" i="7"/>
  <c r="K235" i="7"/>
  <c r="F235" i="7"/>
  <c r="E235" i="7"/>
  <c r="D235" i="7"/>
  <c r="C235" i="7"/>
  <c r="Z234" i="7"/>
  <c r="V234" i="7"/>
  <c r="U234" i="7"/>
  <c r="T234" i="7"/>
  <c r="S234" i="7"/>
  <c r="N234" i="7"/>
  <c r="M234" i="7"/>
  <c r="L234" i="7"/>
  <c r="K234" i="7"/>
  <c r="F234" i="7"/>
  <c r="E234" i="7"/>
  <c r="D234" i="7"/>
  <c r="C234" i="7"/>
  <c r="Z233" i="7"/>
  <c r="V233" i="7"/>
  <c r="U233" i="7"/>
  <c r="T233" i="7"/>
  <c r="S233" i="7"/>
  <c r="N233" i="7"/>
  <c r="M233" i="7"/>
  <c r="L233" i="7"/>
  <c r="K233" i="7"/>
  <c r="F233" i="7"/>
  <c r="E233" i="7"/>
  <c r="D233" i="7"/>
  <c r="C233" i="7"/>
  <c r="Z232" i="7"/>
  <c r="V232" i="7"/>
  <c r="U232" i="7"/>
  <c r="T232" i="7"/>
  <c r="S232" i="7"/>
  <c r="N232" i="7"/>
  <c r="M232" i="7"/>
  <c r="L232" i="7"/>
  <c r="K232" i="7"/>
  <c r="F232" i="7"/>
  <c r="E232" i="7"/>
  <c r="D232" i="7"/>
  <c r="C232" i="7"/>
  <c r="Z231" i="7"/>
  <c r="V231" i="7"/>
  <c r="U231" i="7"/>
  <c r="T231" i="7"/>
  <c r="S231" i="7"/>
  <c r="N231" i="7"/>
  <c r="M231" i="7"/>
  <c r="L231" i="7"/>
  <c r="K231" i="7"/>
  <c r="F231" i="7"/>
  <c r="E231" i="7"/>
  <c r="D231" i="7"/>
  <c r="C231" i="7"/>
  <c r="Z230" i="7"/>
  <c r="V230" i="7"/>
  <c r="U230" i="7"/>
  <c r="T230" i="7"/>
  <c r="S230" i="7"/>
  <c r="N230" i="7"/>
  <c r="M230" i="7"/>
  <c r="L230" i="7"/>
  <c r="K230" i="7"/>
  <c r="F230" i="7"/>
  <c r="E230" i="7"/>
  <c r="D230" i="7"/>
  <c r="C230" i="7"/>
  <c r="Z229" i="7"/>
  <c r="V229" i="7"/>
  <c r="U229" i="7"/>
  <c r="T229" i="7"/>
  <c r="S229" i="7"/>
  <c r="N229" i="7"/>
  <c r="M229" i="7"/>
  <c r="L229" i="7"/>
  <c r="K229" i="7"/>
  <c r="F229" i="7"/>
  <c r="E229" i="7"/>
  <c r="D229" i="7"/>
  <c r="C229" i="7"/>
  <c r="Z228" i="7"/>
  <c r="V228" i="7"/>
  <c r="U228" i="7"/>
  <c r="T228" i="7"/>
  <c r="S228" i="7"/>
  <c r="N228" i="7"/>
  <c r="M228" i="7"/>
  <c r="L228" i="7"/>
  <c r="K228" i="7"/>
  <c r="F228" i="7"/>
  <c r="E228" i="7"/>
  <c r="D228" i="7"/>
  <c r="C228" i="7"/>
  <c r="Z227" i="7"/>
  <c r="V227" i="7"/>
  <c r="U227" i="7"/>
  <c r="T227" i="7"/>
  <c r="S227" i="7"/>
  <c r="N227" i="7"/>
  <c r="M227" i="7"/>
  <c r="L227" i="7"/>
  <c r="K227" i="7"/>
  <c r="F227" i="7"/>
  <c r="E227" i="7"/>
  <c r="D227" i="7"/>
  <c r="C227" i="7"/>
  <c r="Z226" i="7"/>
  <c r="V226" i="7"/>
  <c r="U226" i="7"/>
  <c r="T226" i="7"/>
  <c r="S226" i="7"/>
  <c r="N226" i="7"/>
  <c r="M226" i="7"/>
  <c r="L226" i="7"/>
  <c r="K226" i="7"/>
  <c r="F226" i="7"/>
  <c r="E226" i="7"/>
  <c r="D226" i="7"/>
  <c r="C226" i="7"/>
  <c r="Z225" i="7"/>
  <c r="U220" i="7"/>
  <c r="W371" i="7" s="1"/>
  <c r="N220" i="7"/>
  <c r="O371" i="7" s="1"/>
  <c r="G220" i="7"/>
  <c r="G371" i="7" s="1"/>
  <c r="U219" i="7"/>
  <c r="W350" i="7" s="1"/>
  <c r="N219" i="7"/>
  <c r="O350" i="7" s="1"/>
  <c r="G219" i="7"/>
  <c r="G350" i="7" s="1"/>
  <c r="U218" i="7"/>
  <c r="W329" i="7" s="1"/>
  <c r="N218" i="7"/>
  <c r="O329" i="7" s="1"/>
  <c r="G218" i="7"/>
  <c r="G329" i="7" s="1"/>
  <c r="U217" i="7"/>
  <c r="W308" i="7" s="1"/>
  <c r="N217" i="7"/>
  <c r="O308" i="7" s="1"/>
  <c r="G217" i="7"/>
  <c r="G308" i="7" s="1"/>
  <c r="U216" i="7"/>
  <c r="W287" i="7" s="1"/>
  <c r="N216" i="7"/>
  <c r="O287" i="7" s="1"/>
  <c r="G216" i="7"/>
  <c r="G287" i="7" s="1"/>
  <c r="U215" i="7"/>
  <c r="W266" i="7" s="1"/>
  <c r="N215" i="7"/>
  <c r="O266" i="7" s="1"/>
  <c r="G215" i="7"/>
  <c r="G266" i="7" s="1"/>
  <c r="U214" i="7"/>
  <c r="W245" i="7" s="1"/>
  <c r="N214" i="7"/>
  <c r="O245" i="7" s="1"/>
  <c r="G214" i="7"/>
  <c r="G245" i="7" s="1"/>
  <c r="M213" i="7"/>
  <c r="T213" i="7" s="1"/>
  <c r="L213" i="7"/>
  <c r="S213" i="7" s="1"/>
  <c r="K213" i="7"/>
  <c r="R213" i="7" s="1"/>
  <c r="I211" i="7"/>
  <c r="P211" i="7" s="1"/>
  <c r="U209" i="7"/>
  <c r="W370" i="7" s="1"/>
  <c r="N209" i="7"/>
  <c r="O370" i="7" s="1"/>
  <c r="G209" i="7"/>
  <c r="G370" i="7" s="1"/>
  <c r="U208" i="7"/>
  <c r="W349" i="7" s="1"/>
  <c r="N208" i="7"/>
  <c r="O349" i="7" s="1"/>
  <c r="G208" i="7"/>
  <c r="G349" i="7" s="1"/>
  <c r="U207" i="7"/>
  <c r="W328" i="7" s="1"/>
  <c r="N207" i="7"/>
  <c r="O328" i="7" s="1"/>
  <c r="G207" i="7"/>
  <c r="G328" i="7" s="1"/>
  <c r="U206" i="7"/>
  <c r="W307" i="7" s="1"/>
  <c r="N206" i="7"/>
  <c r="O307" i="7" s="1"/>
  <c r="G206" i="7"/>
  <c r="G307" i="7" s="1"/>
  <c r="U205" i="7"/>
  <c r="W286" i="7" s="1"/>
  <c r="N205" i="7"/>
  <c r="O286" i="7" s="1"/>
  <c r="G205" i="7"/>
  <c r="U204" i="7"/>
  <c r="W265" i="7" s="1"/>
  <c r="N204" i="7"/>
  <c r="O265" i="7" s="1"/>
  <c r="G204" i="7"/>
  <c r="G265" i="7" s="1"/>
  <c r="U203" i="7"/>
  <c r="W244" i="7" s="1"/>
  <c r="N203" i="7"/>
  <c r="O244" i="7" s="1"/>
  <c r="G203" i="7"/>
  <c r="G244" i="7" s="1"/>
  <c r="M202" i="7"/>
  <c r="T202" i="7" s="1"/>
  <c r="L202" i="7"/>
  <c r="S202" i="7" s="1"/>
  <c r="K202" i="7"/>
  <c r="R202" i="7" s="1"/>
  <c r="I200" i="7"/>
  <c r="P200" i="7" s="1"/>
  <c r="U198" i="7"/>
  <c r="W369" i="7" s="1"/>
  <c r="N198" i="7"/>
  <c r="O369" i="7" s="1"/>
  <c r="G198" i="7"/>
  <c r="G369" i="7" s="1"/>
  <c r="U197" i="7"/>
  <c r="W348" i="7" s="1"/>
  <c r="N197" i="7"/>
  <c r="O348" i="7" s="1"/>
  <c r="G197" i="7"/>
  <c r="G348" i="7" s="1"/>
  <c r="U196" i="7"/>
  <c r="W327" i="7" s="1"/>
  <c r="N196" i="7"/>
  <c r="O327" i="7" s="1"/>
  <c r="G196" i="7"/>
  <c r="G327" i="7" s="1"/>
  <c r="U195" i="7"/>
  <c r="W306" i="7" s="1"/>
  <c r="N195" i="7"/>
  <c r="O306" i="7" s="1"/>
  <c r="G195" i="7"/>
  <c r="G306" i="7" s="1"/>
  <c r="U194" i="7"/>
  <c r="W285" i="7" s="1"/>
  <c r="N194" i="7"/>
  <c r="O285" i="7" s="1"/>
  <c r="G194" i="7"/>
  <c r="U193" i="7"/>
  <c r="W264" i="7" s="1"/>
  <c r="N193" i="7"/>
  <c r="O264" i="7" s="1"/>
  <c r="G193" i="7"/>
  <c r="G264" i="7" s="1"/>
  <c r="U192" i="7"/>
  <c r="W243" i="7" s="1"/>
  <c r="N192" i="7"/>
  <c r="O243" i="7" s="1"/>
  <c r="G192" i="7"/>
  <c r="G243" i="7" s="1"/>
  <c r="M191" i="7"/>
  <c r="T191" i="7" s="1"/>
  <c r="L191" i="7"/>
  <c r="S191" i="7" s="1"/>
  <c r="K191" i="7"/>
  <c r="R191" i="7" s="1"/>
  <c r="I189" i="7"/>
  <c r="P189" i="7" s="1"/>
  <c r="U187" i="7"/>
  <c r="W368" i="7" s="1"/>
  <c r="N187" i="7"/>
  <c r="O368" i="7" s="1"/>
  <c r="G187" i="7"/>
  <c r="G368" i="7" s="1"/>
  <c r="U186" i="7"/>
  <c r="W347" i="7" s="1"/>
  <c r="N186" i="7"/>
  <c r="O347" i="7" s="1"/>
  <c r="G186" i="7"/>
  <c r="G347" i="7" s="1"/>
  <c r="U185" i="7"/>
  <c r="W326" i="7" s="1"/>
  <c r="N185" i="7"/>
  <c r="O326" i="7" s="1"/>
  <c r="G185" i="7"/>
  <c r="G326" i="7" s="1"/>
  <c r="U184" i="7"/>
  <c r="W305" i="7" s="1"/>
  <c r="N184" i="7"/>
  <c r="O305" i="7" s="1"/>
  <c r="G184" i="7"/>
  <c r="G305" i="7" s="1"/>
  <c r="U183" i="7"/>
  <c r="W284" i="7" s="1"/>
  <c r="N183" i="7"/>
  <c r="O284" i="7" s="1"/>
  <c r="G183" i="7"/>
  <c r="G284" i="7" s="1"/>
  <c r="U182" i="7"/>
  <c r="W263" i="7" s="1"/>
  <c r="N182" i="7"/>
  <c r="O263" i="7" s="1"/>
  <c r="G182" i="7"/>
  <c r="G263" i="7" s="1"/>
  <c r="U181" i="7"/>
  <c r="W242" i="7" s="1"/>
  <c r="N181" i="7"/>
  <c r="O242" i="7" s="1"/>
  <c r="G181" i="7"/>
  <c r="G242" i="7" s="1"/>
  <c r="M180" i="7"/>
  <c r="T180" i="7" s="1"/>
  <c r="L180" i="7"/>
  <c r="S180" i="7" s="1"/>
  <c r="K180" i="7"/>
  <c r="R180" i="7" s="1"/>
  <c r="I178" i="7"/>
  <c r="P178" i="7" s="1"/>
  <c r="U176" i="7"/>
  <c r="W367" i="7" s="1"/>
  <c r="N176" i="7"/>
  <c r="O367" i="7" s="1"/>
  <c r="G176" i="7"/>
  <c r="G367" i="7" s="1"/>
  <c r="U175" i="7"/>
  <c r="W346" i="7" s="1"/>
  <c r="N175" i="7"/>
  <c r="O346" i="7" s="1"/>
  <c r="G175" i="7"/>
  <c r="G346" i="7" s="1"/>
  <c r="U174" i="7"/>
  <c r="W325" i="7" s="1"/>
  <c r="N174" i="7"/>
  <c r="O325" i="7" s="1"/>
  <c r="G174" i="7"/>
  <c r="G325" i="7" s="1"/>
  <c r="U173" i="7"/>
  <c r="W304" i="7" s="1"/>
  <c r="N173" i="7"/>
  <c r="O304" i="7" s="1"/>
  <c r="G173" i="7"/>
  <c r="G304" i="7" s="1"/>
  <c r="U172" i="7"/>
  <c r="W283" i="7" s="1"/>
  <c r="N172" i="7"/>
  <c r="O283" i="7" s="1"/>
  <c r="G172" i="7"/>
  <c r="G283" i="7" s="1"/>
  <c r="U171" i="7"/>
  <c r="W262" i="7" s="1"/>
  <c r="N171" i="7"/>
  <c r="O262" i="7" s="1"/>
  <c r="G171" i="7"/>
  <c r="G262" i="7" s="1"/>
  <c r="U170" i="7"/>
  <c r="W241" i="7" s="1"/>
  <c r="N170" i="7"/>
  <c r="O241" i="7" s="1"/>
  <c r="G170" i="7"/>
  <c r="G241" i="7" s="1"/>
  <c r="M169" i="7"/>
  <c r="T169" i="7" s="1"/>
  <c r="L169" i="7"/>
  <c r="S169" i="7" s="1"/>
  <c r="K169" i="7"/>
  <c r="R169" i="7" s="1"/>
  <c r="I167" i="7"/>
  <c r="P167" i="7" s="1"/>
  <c r="U165" i="7"/>
  <c r="W366" i="7" s="1"/>
  <c r="N165" i="7"/>
  <c r="O366" i="7" s="1"/>
  <c r="G165" i="7"/>
  <c r="G366" i="7" s="1"/>
  <c r="U164" i="7"/>
  <c r="W345" i="7" s="1"/>
  <c r="N164" i="7"/>
  <c r="O345" i="7" s="1"/>
  <c r="G164" i="7"/>
  <c r="G345" i="7" s="1"/>
  <c r="U163" i="7"/>
  <c r="W324" i="7" s="1"/>
  <c r="N163" i="7"/>
  <c r="O324" i="7" s="1"/>
  <c r="G163" i="7"/>
  <c r="G324" i="7" s="1"/>
  <c r="U162" i="7"/>
  <c r="W303" i="7" s="1"/>
  <c r="N162" i="7"/>
  <c r="O303" i="7" s="1"/>
  <c r="G162" i="7"/>
  <c r="G303" i="7" s="1"/>
  <c r="U161" i="7"/>
  <c r="W282" i="7" s="1"/>
  <c r="N161" i="7"/>
  <c r="O282" i="7" s="1"/>
  <c r="G161" i="7"/>
  <c r="G282" i="7" s="1"/>
  <c r="U160" i="7"/>
  <c r="W261" i="7" s="1"/>
  <c r="N160" i="7"/>
  <c r="O261" i="7" s="1"/>
  <c r="G160" i="7"/>
  <c r="G261" i="7" s="1"/>
  <c r="U159" i="7"/>
  <c r="W240" i="7" s="1"/>
  <c r="N159" i="7"/>
  <c r="O240" i="7" s="1"/>
  <c r="G159" i="7"/>
  <c r="G240" i="7" s="1"/>
  <c r="M158" i="7"/>
  <c r="T158" i="7" s="1"/>
  <c r="L158" i="7"/>
  <c r="S158" i="7" s="1"/>
  <c r="K158" i="7"/>
  <c r="R158" i="7" s="1"/>
  <c r="I156" i="7"/>
  <c r="P156" i="7" s="1"/>
  <c r="U154" i="7"/>
  <c r="W365" i="7" s="1"/>
  <c r="N154" i="7"/>
  <c r="O365" i="7" s="1"/>
  <c r="G154" i="7"/>
  <c r="G365" i="7" s="1"/>
  <c r="U153" i="7"/>
  <c r="W344" i="7" s="1"/>
  <c r="N153" i="7"/>
  <c r="O344" i="7" s="1"/>
  <c r="G153" i="7"/>
  <c r="G344" i="7" s="1"/>
  <c r="U152" i="7"/>
  <c r="W323" i="7" s="1"/>
  <c r="N152" i="7"/>
  <c r="O323" i="7" s="1"/>
  <c r="G152" i="7"/>
  <c r="G323" i="7" s="1"/>
  <c r="U151" i="7"/>
  <c r="W302" i="7" s="1"/>
  <c r="N151" i="7"/>
  <c r="G151" i="7"/>
  <c r="U150" i="7"/>
  <c r="W281" i="7" s="1"/>
  <c r="N150" i="7"/>
  <c r="G150" i="7"/>
  <c r="G281" i="7" s="1"/>
  <c r="U149" i="7"/>
  <c r="W260" i="7" s="1"/>
  <c r="N149" i="7"/>
  <c r="O260" i="7" s="1"/>
  <c r="G149" i="7"/>
  <c r="G260" i="7" s="1"/>
  <c r="U148" i="7"/>
  <c r="W239" i="7" s="1"/>
  <c r="N148" i="7"/>
  <c r="O239" i="7" s="1"/>
  <c r="G148" i="7"/>
  <c r="G239" i="7" s="1"/>
  <c r="M147" i="7"/>
  <c r="T147" i="7" s="1"/>
  <c r="L147" i="7"/>
  <c r="S147" i="7" s="1"/>
  <c r="K147" i="7"/>
  <c r="R147" i="7" s="1"/>
  <c r="I145" i="7"/>
  <c r="P145" i="7" s="1"/>
  <c r="U143" i="7"/>
  <c r="W364" i="7" s="1"/>
  <c r="N143" i="7"/>
  <c r="O364" i="7" s="1"/>
  <c r="G143" i="7"/>
  <c r="G364" i="7" s="1"/>
  <c r="U142" i="7"/>
  <c r="W343" i="7" s="1"/>
  <c r="N142" i="7"/>
  <c r="O343" i="7" s="1"/>
  <c r="G142" i="7"/>
  <c r="G343" i="7" s="1"/>
  <c r="U141" i="7"/>
  <c r="W322" i="7" s="1"/>
  <c r="N141" i="7"/>
  <c r="O322" i="7" s="1"/>
  <c r="G141" i="7"/>
  <c r="G322" i="7" s="1"/>
  <c r="U140" i="7"/>
  <c r="W301" i="7" s="1"/>
  <c r="N140" i="7"/>
  <c r="O301" i="7" s="1"/>
  <c r="G140" i="7"/>
  <c r="U139" i="7"/>
  <c r="W280" i="7" s="1"/>
  <c r="N139" i="7"/>
  <c r="O280" i="7" s="1"/>
  <c r="G139" i="7"/>
  <c r="G280" i="7" s="1"/>
  <c r="U138" i="7"/>
  <c r="W259" i="7" s="1"/>
  <c r="N138" i="7"/>
  <c r="O259" i="7" s="1"/>
  <c r="G138" i="7"/>
  <c r="G259" i="7" s="1"/>
  <c r="U137" i="7"/>
  <c r="W238" i="7" s="1"/>
  <c r="N137" i="7"/>
  <c r="O238" i="7" s="1"/>
  <c r="G137" i="7"/>
  <c r="G238" i="7" s="1"/>
  <c r="M136" i="7"/>
  <c r="T136" i="7" s="1"/>
  <c r="L136" i="7"/>
  <c r="S136" i="7" s="1"/>
  <c r="K136" i="7"/>
  <c r="R136" i="7" s="1"/>
  <c r="I134" i="7"/>
  <c r="P134" i="7" s="1"/>
  <c r="U132" i="7"/>
  <c r="W363" i="7" s="1"/>
  <c r="N132" i="7"/>
  <c r="O363" i="7" s="1"/>
  <c r="G132" i="7"/>
  <c r="G363" i="7" s="1"/>
  <c r="U131" i="7"/>
  <c r="W342" i="7" s="1"/>
  <c r="N131" i="7"/>
  <c r="O342" i="7" s="1"/>
  <c r="G131" i="7"/>
  <c r="G342" i="7" s="1"/>
  <c r="U130" i="7"/>
  <c r="W321" i="7" s="1"/>
  <c r="N130" i="7"/>
  <c r="O321" i="7" s="1"/>
  <c r="G130" i="7"/>
  <c r="G321" i="7" s="1"/>
  <c r="U129" i="7"/>
  <c r="W300" i="7" s="1"/>
  <c r="N129" i="7"/>
  <c r="O300" i="7" s="1"/>
  <c r="G129" i="7"/>
  <c r="G300" i="7" s="1"/>
  <c r="U128" i="7"/>
  <c r="W279" i="7" s="1"/>
  <c r="N128" i="7"/>
  <c r="O279" i="7" s="1"/>
  <c r="G128" i="7"/>
  <c r="G279" i="7" s="1"/>
  <c r="U127" i="7"/>
  <c r="W258" i="7" s="1"/>
  <c r="N127" i="7"/>
  <c r="O258" i="7" s="1"/>
  <c r="G127" i="7"/>
  <c r="G258" i="7" s="1"/>
  <c r="U126" i="7"/>
  <c r="W237" i="7" s="1"/>
  <c r="N126" i="7"/>
  <c r="O237" i="7" s="1"/>
  <c r="G126" i="7"/>
  <c r="G237" i="7" s="1"/>
  <c r="M125" i="7"/>
  <c r="T125" i="7" s="1"/>
  <c r="L125" i="7"/>
  <c r="S125" i="7" s="1"/>
  <c r="K125" i="7"/>
  <c r="R125" i="7" s="1"/>
  <c r="I123" i="7"/>
  <c r="P123" i="7" s="1"/>
  <c r="U121" i="7"/>
  <c r="W362" i="7" s="1"/>
  <c r="N121" i="7"/>
  <c r="O362" i="7" s="1"/>
  <c r="G121" i="7"/>
  <c r="G362" i="7" s="1"/>
  <c r="U120" i="7"/>
  <c r="W341" i="7" s="1"/>
  <c r="N120" i="7"/>
  <c r="O341" i="7" s="1"/>
  <c r="G120" i="7"/>
  <c r="G341" i="7" s="1"/>
  <c r="U119" i="7"/>
  <c r="W320" i="7" s="1"/>
  <c r="N119" i="7"/>
  <c r="O320" i="7" s="1"/>
  <c r="G119" i="7"/>
  <c r="G320" i="7" s="1"/>
  <c r="U118" i="7"/>
  <c r="W299" i="7" s="1"/>
  <c r="N118" i="7"/>
  <c r="O299" i="7" s="1"/>
  <c r="G118" i="7"/>
  <c r="G299" i="7" s="1"/>
  <c r="U117" i="7"/>
  <c r="W278" i="7" s="1"/>
  <c r="N117" i="7"/>
  <c r="O278" i="7" s="1"/>
  <c r="G117" i="7"/>
  <c r="G278" i="7" s="1"/>
  <c r="U116" i="7"/>
  <c r="W257" i="7" s="1"/>
  <c r="N116" i="7"/>
  <c r="O257" i="7" s="1"/>
  <c r="G116" i="7"/>
  <c r="G257" i="7" s="1"/>
  <c r="U115" i="7"/>
  <c r="W236" i="7" s="1"/>
  <c r="N115" i="7"/>
  <c r="O236" i="7" s="1"/>
  <c r="G115" i="7"/>
  <c r="G236" i="7" s="1"/>
  <c r="M114" i="7"/>
  <c r="T114" i="7" s="1"/>
  <c r="L114" i="7"/>
  <c r="S114" i="7" s="1"/>
  <c r="K114" i="7"/>
  <c r="R114" i="7" s="1"/>
  <c r="I112" i="7"/>
  <c r="P112" i="7" s="1"/>
  <c r="U110" i="7"/>
  <c r="W361" i="7" s="1"/>
  <c r="N110" i="7"/>
  <c r="O361" i="7" s="1"/>
  <c r="G110" i="7"/>
  <c r="G361" i="7" s="1"/>
  <c r="U109" i="7"/>
  <c r="W340" i="7" s="1"/>
  <c r="N109" i="7"/>
  <c r="O340" i="7" s="1"/>
  <c r="G109" i="7"/>
  <c r="G340" i="7" s="1"/>
  <c r="U108" i="7"/>
  <c r="W319" i="7" s="1"/>
  <c r="N108" i="7"/>
  <c r="O319" i="7" s="1"/>
  <c r="G108" i="7"/>
  <c r="G319" i="7" s="1"/>
  <c r="U107" i="7"/>
  <c r="W298" i="7" s="1"/>
  <c r="N107" i="7"/>
  <c r="O298" i="7" s="1"/>
  <c r="G107" i="7"/>
  <c r="G298" i="7" s="1"/>
  <c r="U106" i="7"/>
  <c r="W277" i="7" s="1"/>
  <c r="N106" i="7"/>
  <c r="O277" i="7" s="1"/>
  <c r="G106" i="7"/>
  <c r="G277" i="7" s="1"/>
  <c r="U105" i="7"/>
  <c r="W256" i="7" s="1"/>
  <c r="N105" i="7"/>
  <c r="O256" i="7" s="1"/>
  <c r="G105" i="7"/>
  <c r="G256" i="7" s="1"/>
  <c r="U104" i="7"/>
  <c r="W235" i="7" s="1"/>
  <c r="N104" i="7"/>
  <c r="O235" i="7" s="1"/>
  <c r="G104" i="7"/>
  <c r="G235" i="7" s="1"/>
  <c r="M103" i="7"/>
  <c r="T103" i="7" s="1"/>
  <c r="L103" i="7"/>
  <c r="S103" i="7" s="1"/>
  <c r="K103" i="7"/>
  <c r="R103" i="7" s="1"/>
  <c r="I101" i="7"/>
  <c r="P101" i="7" s="1"/>
  <c r="U99" i="7"/>
  <c r="W360" i="7" s="1"/>
  <c r="N99" i="7"/>
  <c r="O360" i="7" s="1"/>
  <c r="G99" i="7"/>
  <c r="G360" i="7" s="1"/>
  <c r="U98" i="7"/>
  <c r="W339" i="7" s="1"/>
  <c r="N98" i="7"/>
  <c r="O339" i="7" s="1"/>
  <c r="G98" i="7"/>
  <c r="G339" i="7" s="1"/>
  <c r="U97" i="7"/>
  <c r="W318" i="7" s="1"/>
  <c r="N97" i="7"/>
  <c r="O318" i="7" s="1"/>
  <c r="G97" i="7"/>
  <c r="G318" i="7" s="1"/>
  <c r="U96" i="7"/>
  <c r="W297" i="7" s="1"/>
  <c r="N96" i="7"/>
  <c r="O297" i="7" s="1"/>
  <c r="G96" i="7"/>
  <c r="G297" i="7" s="1"/>
  <c r="U95" i="7"/>
  <c r="W276" i="7" s="1"/>
  <c r="N95" i="7"/>
  <c r="O276" i="7" s="1"/>
  <c r="G95" i="7"/>
  <c r="G276" i="7" s="1"/>
  <c r="U94" i="7"/>
  <c r="W255" i="7" s="1"/>
  <c r="N94" i="7"/>
  <c r="O255" i="7" s="1"/>
  <c r="G94" i="7"/>
  <c r="G255" i="7" s="1"/>
  <c r="U93" i="7"/>
  <c r="W234" i="7" s="1"/>
  <c r="N93" i="7"/>
  <c r="O234" i="7" s="1"/>
  <c r="G93" i="7"/>
  <c r="G234" i="7" s="1"/>
  <c r="M92" i="7"/>
  <c r="T92" i="7" s="1"/>
  <c r="L92" i="7"/>
  <c r="S92" i="7" s="1"/>
  <c r="K92" i="7"/>
  <c r="R92" i="7" s="1"/>
  <c r="I90" i="7"/>
  <c r="P90" i="7" s="1"/>
  <c r="U88" i="7"/>
  <c r="W359" i="7" s="1"/>
  <c r="N88" i="7"/>
  <c r="O359" i="7" s="1"/>
  <c r="G88" i="7"/>
  <c r="G359" i="7" s="1"/>
  <c r="U87" i="7"/>
  <c r="W338" i="7" s="1"/>
  <c r="N87" i="7"/>
  <c r="O338" i="7" s="1"/>
  <c r="G87" i="7"/>
  <c r="G338" i="7" s="1"/>
  <c r="U86" i="7"/>
  <c r="W317" i="7" s="1"/>
  <c r="N86" i="7"/>
  <c r="O317" i="7" s="1"/>
  <c r="G86" i="7"/>
  <c r="G317" i="7" s="1"/>
  <c r="U85" i="7"/>
  <c r="W296" i="7" s="1"/>
  <c r="N85" i="7"/>
  <c r="O296" i="7" s="1"/>
  <c r="G85" i="7"/>
  <c r="G296" i="7" s="1"/>
  <c r="U84" i="7"/>
  <c r="W275" i="7" s="1"/>
  <c r="N84" i="7"/>
  <c r="O275" i="7" s="1"/>
  <c r="G84" i="7"/>
  <c r="G275" i="7" s="1"/>
  <c r="U83" i="7"/>
  <c r="W254" i="7" s="1"/>
  <c r="N83" i="7"/>
  <c r="O254" i="7" s="1"/>
  <c r="G83" i="7"/>
  <c r="G254" i="7" s="1"/>
  <c r="U82" i="7"/>
  <c r="W233" i="7" s="1"/>
  <c r="N82" i="7"/>
  <c r="O233" i="7" s="1"/>
  <c r="G82" i="7"/>
  <c r="G233" i="7" s="1"/>
  <c r="M81" i="7"/>
  <c r="T81" i="7" s="1"/>
  <c r="L81" i="7"/>
  <c r="S81" i="7" s="1"/>
  <c r="K81" i="7"/>
  <c r="R81" i="7" s="1"/>
  <c r="I79" i="7"/>
  <c r="P79" i="7" s="1"/>
  <c r="U77" i="7"/>
  <c r="W358" i="7" s="1"/>
  <c r="N77" i="7"/>
  <c r="O358" i="7" s="1"/>
  <c r="G77" i="7"/>
  <c r="G358" i="7" s="1"/>
  <c r="U76" i="7"/>
  <c r="W337" i="7" s="1"/>
  <c r="N76" i="7"/>
  <c r="O337" i="7" s="1"/>
  <c r="G76" i="7"/>
  <c r="G337" i="7" s="1"/>
  <c r="U75" i="7"/>
  <c r="W316" i="7" s="1"/>
  <c r="N75" i="7"/>
  <c r="O316" i="7" s="1"/>
  <c r="G75" i="7"/>
  <c r="G316" i="7" s="1"/>
  <c r="U74" i="7"/>
  <c r="W295" i="7" s="1"/>
  <c r="N74" i="7"/>
  <c r="O295" i="7" s="1"/>
  <c r="G74" i="7"/>
  <c r="G295" i="7" s="1"/>
  <c r="U73" i="7"/>
  <c r="W274" i="7" s="1"/>
  <c r="N73" i="7"/>
  <c r="O274" i="7" s="1"/>
  <c r="G73" i="7"/>
  <c r="G274" i="7" s="1"/>
  <c r="U72" i="7"/>
  <c r="W253" i="7" s="1"/>
  <c r="N72" i="7"/>
  <c r="O253" i="7" s="1"/>
  <c r="G72" i="7"/>
  <c r="G253" i="7" s="1"/>
  <c r="U71" i="7"/>
  <c r="W232" i="7" s="1"/>
  <c r="N71" i="7"/>
  <c r="O232" i="7" s="1"/>
  <c r="G71" i="7"/>
  <c r="G232" i="7" s="1"/>
  <c r="M70" i="7"/>
  <c r="T70" i="7" s="1"/>
  <c r="L70" i="7"/>
  <c r="S70" i="7" s="1"/>
  <c r="K70" i="7"/>
  <c r="R70" i="7" s="1"/>
  <c r="I68" i="7"/>
  <c r="P68" i="7" s="1"/>
  <c r="U66" i="7"/>
  <c r="W357" i="7" s="1"/>
  <c r="N66" i="7"/>
  <c r="O357" i="7" s="1"/>
  <c r="G66" i="7"/>
  <c r="G357" i="7" s="1"/>
  <c r="U65" i="7"/>
  <c r="W336" i="7" s="1"/>
  <c r="N65" i="7"/>
  <c r="O336" i="7" s="1"/>
  <c r="G65" i="7"/>
  <c r="G336" i="7" s="1"/>
  <c r="U64" i="7"/>
  <c r="W315" i="7" s="1"/>
  <c r="N64" i="7"/>
  <c r="O315" i="7" s="1"/>
  <c r="G64" i="7"/>
  <c r="G315" i="7" s="1"/>
  <c r="U63" i="7"/>
  <c r="W294" i="7" s="1"/>
  <c r="N63" i="7"/>
  <c r="O294" i="7" s="1"/>
  <c r="G63" i="7"/>
  <c r="G294" i="7" s="1"/>
  <c r="U62" i="7"/>
  <c r="W273" i="7" s="1"/>
  <c r="N62" i="7"/>
  <c r="O273" i="7" s="1"/>
  <c r="G62" i="7"/>
  <c r="G273" i="7" s="1"/>
  <c r="U61" i="7"/>
  <c r="W252" i="7" s="1"/>
  <c r="N61" i="7"/>
  <c r="O252" i="7" s="1"/>
  <c r="G61" i="7"/>
  <c r="G252" i="7" s="1"/>
  <c r="U60" i="7"/>
  <c r="W231" i="7" s="1"/>
  <c r="N60" i="7"/>
  <c r="O231" i="7" s="1"/>
  <c r="G60" i="7"/>
  <c r="G231" i="7" s="1"/>
  <c r="M59" i="7"/>
  <c r="T59" i="7" s="1"/>
  <c r="L59" i="7"/>
  <c r="S59" i="7" s="1"/>
  <c r="K59" i="7"/>
  <c r="R59" i="7" s="1"/>
  <c r="I57" i="7"/>
  <c r="P57" i="7" s="1"/>
  <c r="U55" i="7"/>
  <c r="W356" i="7" s="1"/>
  <c r="N55" i="7"/>
  <c r="O356" i="7" s="1"/>
  <c r="G55" i="7"/>
  <c r="G356" i="7" s="1"/>
  <c r="U54" i="7"/>
  <c r="W335" i="7" s="1"/>
  <c r="N54" i="7"/>
  <c r="O335" i="7" s="1"/>
  <c r="G54" i="7"/>
  <c r="G335" i="7" s="1"/>
  <c r="U53" i="7"/>
  <c r="W314" i="7" s="1"/>
  <c r="N53" i="7"/>
  <c r="O314" i="7" s="1"/>
  <c r="G53" i="7"/>
  <c r="G314" i="7" s="1"/>
  <c r="U52" i="7"/>
  <c r="W293" i="7" s="1"/>
  <c r="N52" i="7"/>
  <c r="O293" i="7" s="1"/>
  <c r="G52" i="7"/>
  <c r="G293" i="7" s="1"/>
  <c r="U51" i="7"/>
  <c r="W272" i="7" s="1"/>
  <c r="N51" i="7"/>
  <c r="O272" i="7" s="1"/>
  <c r="G51" i="7"/>
  <c r="G272" i="7" s="1"/>
  <c r="U50" i="7"/>
  <c r="W251" i="7" s="1"/>
  <c r="N50" i="7"/>
  <c r="O251" i="7" s="1"/>
  <c r="G50" i="7"/>
  <c r="G251" i="7" s="1"/>
  <c r="U49" i="7"/>
  <c r="W230" i="7" s="1"/>
  <c r="N49" i="7"/>
  <c r="O230" i="7" s="1"/>
  <c r="G49" i="7"/>
  <c r="G230" i="7" s="1"/>
  <c r="L48" i="7"/>
  <c r="S48" i="7" s="1"/>
  <c r="K48" i="7"/>
  <c r="R48" i="7" s="1"/>
  <c r="I46" i="7"/>
  <c r="P46" i="7" s="1"/>
  <c r="U44" i="7"/>
  <c r="W355" i="7" s="1"/>
  <c r="N44" i="7"/>
  <c r="O355" i="7" s="1"/>
  <c r="G44" i="7"/>
  <c r="G355" i="7" s="1"/>
  <c r="U43" i="7"/>
  <c r="W334" i="7" s="1"/>
  <c r="N43" i="7"/>
  <c r="O334" i="7" s="1"/>
  <c r="G43" i="7"/>
  <c r="G334" i="7" s="1"/>
  <c r="U42" i="7"/>
  <c r="W313" i="7" s="1"/>
  <c r="N42" i="7"/>
  <c r="O313" i="7" s="1"/>
  <c r="G42" i="7"/>
  <c r="G313" i="7" s="1"/>
  <c r="U41" i="7"/>
  <c r="W292" i="7" s="1"/>
  <c r="N41" i="7"/>
  <c r="O292" i="7" s="1"/>
  <c r="G41" i="7"/>
  <c r="G292" i="7" s="1"/>
  <c r="U40" i="7"/>
  <c r="W271" i="7" s="1"/>
  <c r="N40" i="7"/>
  <c r="O271" i="7" s="1"/>
  <c r="G40" i="7"/>
  <c r="G271" i="7" s="1"/>
  <c r="U39" i="7"/>
  <c r="W250" i="7" s="1"/>
  <c r="N39" i="7"/>
  <c r="O250" i="7" s="1"/>
  <c r="G39" i="7"/>
  <c r="G250" i="7" s="1"/>
  <c r="U38" i="7"/>
  <c r="W229" i="7" s="1"/>
  <c r="N38" i="7"/>
  <c r="O229" i="7" s="1"/>
  <c r="G38" i="7"/>
  <c r="G229" i="7" s="1"/>
  <c r="M37" i="7"/>
  <c r="T37" i="7" s="1"/>
  <c r="L37" i="7"/>
  <c r="S37" i="7" s="1"/>
  <c r="K37" i="7"/>
  <c r="R37" i="7" s="1"/>
  <c r="P35" i="7"/>
  <c r="I35" i="7"/>
  <c r="U33" i="7"/>
  <c r="W354" i="7" s="1"/>
  <c r="N33" i="7"/>
  <c r="O354" i="7" s="1"/>
  <c r="G33" i="7"/>
  <c r="G354" i="7" s="1"/>
  <c r="U32" i="7"/>
  <c r="W333" i="7" s="1"/>
  <c r="N32" i="7"/>
  <c r="O333" i="7" s="1"/>
  <c r="G32" i="7"/>
  <c r="G333" i="7" s="1"/>
  <c r="U31" i="7"/>
  <c r="W312" i="7" s="1"/>
  <c r="N31" i="7"/>
  <c r="O312" i="7" s="1"/>
  <c r="G31" i="7"/>
  <c r="G312" i="7" s="1"/>
  <c r="U30" i="7"/>
  <c r="W291" i="7" s="1"/>
  <c r="N30" i="7"/>
  <c r="O291" i="7" s="1"/>
  <c r="G30" i="7"/>
  <c r="G291" i="7" s="1"/>
  <c r="U29" i="7"/>
  <c r="W270" i="7" s="1"/>
  <c r="N29" i="7"/>
  <c r="O270" i="7" s="1"/>
  <c r="G29" i="7"/>
  <c r="G270" i="7" s="1"/>
  <c r="U28" i="7"/>
  <c r="W249" i="7" s="1"/>
  <c r="N28" i="7"/>
  <c r="O249" i="7" s="1"/>
  <c r="G28" i="7"/>
  <c r="G249" i="7" s="1"/>
  <c r="U27" i="7"/>
  <c r="W228" i="7" s="1"/>
  <c r="N27" i="7"/>
  <c r="O228" i="7" s="1"/>
  <c r="G27" i="7"/>
  <c r="G228" i="7" s="1"/>
  <c r="S26" i="7"/>
  <c r="M26" i="7"/>
  <c r="T26" i="7" s="1"/>
  <c r="L26" i="7"/>
  <c r="K26" i="7"/>
  <c r="R26" i="7" s="1"/>
  <c r="I24" i="7"/>
  <c r="P24" i="7" s="1"/>
  <c r="U22" i="7"/>
  <c r="W353" i="7" s="1"/>
  <c r="N22" i="7"/>
  <c r="O353" i="7" s="1"/>
  <c r="G22" i="7"/>
  <c r="G353" i="7" s="1"/>
  <c r="U21" i="7"/>
  <c r="W332" i="7" s="1"/>
  <c r="N21" i="7"/>
  <c r="O332" i="7" s="1"/>
  <c r="G21" i="7"/>
  <c r="G332" i="7" s="1"/>
  <c r="U20" i="7"/>
  <c r="W311" i="7" s="1"/>
  <c r="N20" i="7"/>
  <c r="O311" i="7" s="1"/>
  <c r="G20" i="7"/>
  <c r="G311" i="7" s="1"/>
  <c r="U19" i="7"/>
  <c r="W290" i="7" s="1"/>
  <c r="N19" i="7"/>
  <c r="O290" i="7" s="1"/>
  <c r="G19" i="7"/>
  <c r="G290" i="7" s="1"/>
  <c r="U18" i="7"/>
  <c r="W269" i="7" s="1"/>
  <c r="N18" i="7"/>
  <c r="O269" i="7" s="1"/>
  <c r="G18" i="7"/>
  <c r="G269" i="7" s="1"/>
  <c r="U17" i="7"/>
  <c r="W248" i="7" s="1"/>
  <c r="N17" i="7"/>
  <c r="O248" i="7" s="1"/>
  <c r="G17" i="7"/>
  <c r="G248" i="7" s="1"/>
  <c r="U16" i="7"/>
  <c r="W227" i="7" s="1"/>
  <c r="N16" i="7"/>
  <c r="O227" i="7" s="1"/>
  <c r="G16" i="7"/>
  <c r="G227" i="7" s="1"/>
  <c r="M15" i="7"/>
  <c r="T15" i="7" s="1"/>
  <c r="L15" i="7"/>
  <c r="S15" i="7" s="1"/>
  <c r="K15" i="7"/>
  <c r="R15" i="7" s="1"/>
  <c r="I13" i="7"/>
  <c r="P13" i="7" s="1"/>
  <c r="U11" i="7"/>
  <c r="W352" i="7" s="1"/>
  <c r="N11" i="7"/>
  <c r="O352" i="7" s="1"/>
  <c r="G11" i="7"/>
  <c r="G352" i="7" s="1"/>
  <c r="U10" i="7"/>
  <c r="W331" i="7" s="1"/>
  <c r="N10" i="7"/>
  <c r="O331" i="7" s="1"/>
  <c r="G10" i="7"/>
  <c r="G331" i="7" s="1"/>
  <c r="U9" i="7"/>
  <c r="W310" i="7" s="1"/>
  <c r="N9" i="7"/>
  <c r="G9" i="7"/>
  <c r="G310" i="7" s="1"/>
  <c r="U8" i="7"/>
  <c r="W289" i="7" s="1"/>
  <c r="N8" i="7"/>
  <c r="O289" i="7" s="1"/>
  <c r="G8" i="7"/>
  <c r="G289" i="7" s="1"/>
  <c r="U7" i="7"/>
  <c r="W268" i="7" s="1"/>
  <c r="N7" i="7"/>
  <c r="O268" i="7" s="1"/>
  <c r="G7" i="7"/>
  <c r="G268" i="7" s="1"/>
  <c r="U6" i="7"/>
  <c r="W247" i="7" s="1"/>
  <c r="N6" i="7"/>
  <c r="O247" i="7" s="1"/>
  <c r="G6" i="7"/>
  <c r="G247" i="7" s="1"/>
  <c r="U5" i="7"/>
  <c r="W226" i="7" s="1"/>
  <c r="N5" i="7"/>
  <c r="O226" i="7" s="1"/>
  <c r="G5" i="7"/>
  <c r="G226" i="7" s="1"/>
  <c r="M4" i="7"/>
  <c r="T4" i="7" s="1"/>
  <c r="L4" i="7"/>
  <c r="S4" i="7" s="1"/>
  <c r="K4" i="7"/>
  <c r="R4" i="7" s="1"/>
  <c r="I2" i="7"/>
  <c r="P2" i="7" s="1"/>
  <c r="O310" i="7" l="1"/>
  <c r="D49" i="8"/>
  <c r="L11" i="2"/>
  <c r="O11" i="2" s="1"/>
  <c r="P11" i="2" s="1"/>
  <c r="A50" i="8"/>
  <c r="B51" i="8"/>
  <c r="C51" i="8"/>
  <c r="F52" i="8"/>
  <c r="D52" i="8"/>
  <c r="B45" i="8"/>
  <c r="F46" i="8"/>
  <c r="C45" i="8"/>
  <c r="C48" i="8"/>
  <c r="C52" i="8"/>
  <c r="A46" i="8"/>
  <c r="F47" i="8"/>
  <c r="B48" i="8"/>
  <c r="B52" i="8"/>
  <c r="A49" i="8"/>
  <c r="F51" i="8"/>
  <c r="A45" i="8"/>
  <c r="A48" i="8"/>
  <c r="B50" i="8"/>
  <c r="C50" i="8"/>
  <c r="D51" i="8"/>
  <c r="D45" i="8"/>
  <c r="A51" i="8"/>
  <c r="B46" i="8"/>
  <c r="D46" i="8"/>
  <c r="F48" i="8"/>
  <c r="A52" i="8"/>
  <c r="C46" i="8"/>
  <c r="D47" i="8"/>
  <c r="F49" i="8"/>
  <c r="F45" i="8"/>
  <c r="G19" i="3" s="1"/>
  <c r="G19" i="4" s="1"/>
  <c r="B47" i="8"/>
  <c r="C47" i="8"/>
  <c r="D48" i="8"/>
  <c r="F50" i="8"/>
  <c r="A47" i="8"/>
  <c r="B49" i="8"/>
  <c r="C49" i="8"/>
  <c r="D50" i="8"/>
  <c r="A42" i="8"/>
  <c r="B373" i="7"/>
  <c r="C375" i="7" s="1"/>
  <c r="I375" i="7" s="1"/>
  <c r="O375" i="7" s="1"/>
  <c r="B377" i="7"/>
  <c r="D381" i="7"/>
  <c r="O302" i="7"/>
  <c r="O281" i="7"/>
  <c r="G286" i="7"/>
  <c r="G285" i="7"/>
  <c r="A376" i="7"/>
  <c r="B378" i="7"/>
  <c r="E377" i="7"/>
  <c r="D376" i="7"/>
  <c r="E380" i="7"/>
  <c r="A378" i="7"/>
  <c r="D377" i="7"/>
  <c r="C376" i="7"/>
  <c r="E382" i="7"/>
  <c r="E381" i="7"/>
  <c r="D380" i="7"/>
  <c r="E379" i="7"/>
  <c r="C377" i="7"/>
  <c r="B376" i="7"/>
  <c r="G373" i="7"/>
  <c r="C382" i="7"/>
  <c r="C381" i="7"/>
  <c r="B380" i="7"/>
  <c r="C379" i="7"/>
  <c r="A377" i="7"/>
  <c r="B382" i="7"/>
  <c r="B381" i="7"/>
  <c r="A380" i="7"/>
  <c r="B379" i="7"/>
  <c r="E378" i="7"/>
  <c r="A382" i="7"/>
  <c r="A381" i="7"/>
  <c r="A379" i="7"/>
  <c r="D378" i="7"/>
  <c r="S373" i="7"/>
  <c r="C378" i="7"/>
  <c r="E376" i="7"/>
  <c r="D379" i="7"/>
  <c r="C380" i="7"/>
  <c r="G301" i="7"/>
  <c r="G302" i="7"/>
  <c r="Q11" i="2" l="1"/>
  <c r="S386" i="7"/>
  <c r="U377" i="7" s="1"/>
  <c r="N390" i="7" s="1"/>
  <c r="E16" i="3" s="1"/>
  <c r="D44" i="8"/>
  <c r="C44" i="8"/>
  <c r="B44" i="8"/>
  <c r="B375" i="7"/>
  <c r="H375" i="7" s="1"/>
  <c r="N375" i="7" s="1"/>
  <c r="D375" i="7"/>
  <c r="J375" i="7" s="1"/>
  <c r="P375" i="7" s="1"/>
  <c r="H373" i="7"/>
  <c r="N373" i="7" s="1"/>
  <c r="W377" i="7"/>
  <c r="O390" i="7" s="1"/>
  <c r="G16" i="3" s="1"/>
  <c r="G16" i="4" s="1"/>
  <c r="W379" i="7"/>
  <c r="O392" i="7" s="1"/>
  <c r="G18" i="3" s="1"/>
  <c r="G18" i="4" s="1"/>
  <c r="W378" i="7"/>
  <c r="O391" i="7" s="1"/>
  <c r="G17" i="3" s="1"/>
  <c r="G17" i="4" s="1"/>
  <c r="H382" i="7"/>
  <c r="H381" i="7"/>
  <c r="G380" i="7"/>
  <c r="H379" i="7"/>
  <c r="K378" i="7"/>
  <c r="M373" i="7"/>
  <c r="G382" i="7"/>
  <c r="G381" i="7"/>
  <c r="G379" i="7"/>
  <c r="J378" i="7"/>
  <c r="I378" i="7"/>
  <c r="K376" i="7"/>
  <c r="K380" i="7"/>
  <c r="G378" i="7"/>
  <c r="J377" i="7"/>
  <c r="I376" i="7"/>
  <c r="K382" i="7"/>
  <c r="K381" i="7"/>
  <c r="J380" i="7"/>
  <c r="K379" i="7"/>
  <c r="I377" i="7"/>
  <c r="H376" i="7"/>
  <c r="J382" i="7"/>
  <c r="J381" i="7"/>
  <c r="I380" i="7"/>
  <c r="J379" i="7"/>
  <c r="H377" i="7"/>
  <c r="G376" i="7"/>
  <c r="I382" i="7"/>
  <c r="I381" i="7"/>
  <c r="H380" i="7"/>
  <c r="I379" i="7"/>
  <c r="G377" i="7"/>
  <c r="K377" i="7"/>
  <c r="J376" i="7"/>
  <c r="H378" i="7"/>
  <c r="T373" i="7"/>
  <c r="C72" i="6" l="1"/>
  <c r="T381" i="7"/>
  <c r="T386" i="7"/>
  <c r="U378" i="7" s="1"/>
  <c r="Q382" i="7"/>
  <c r="Q381" i="7"/>
  <c r="P380" i="7"/>
  <c r="Q379" i="7"/>
  <c r="O377" i="7"/>
  <c r="N376" i="7"/>
  <c r="P382" i="7"/>
  <c r="P381" i="7"/>
  <c r="O380" i="7"/>
  <c r="P379" i="7"/>
  <c r="N377" i="7"/>
  <c r="M376" i="7"/>
  <c r="O382" i="7"/>
  <c r="O381" i="7"/>
  <c r="N380" i="7"/>
  <c r="O379" i="7"/>
  <c r="M377" i="7"/>
  <c r="M382" i="7"/>
  <c r="M381" i="7"/>
  <c r="M379" i="7"/>
  <c r="P378" i="7"/>
  <c r="O378" i="7"/>
  <c r="Q376" i="7"/>
  <c r="N378" i="7"/>
  <c r="Q377" i="7"/>
  <c r="P376" i="7"/>
  <c r="Q380" i="7"/>
  <c r="M378" i="7"/>
  <c r="P377" i="7"/>
  <c r="O376" i="7"/>
  <c r="M380" i="7"/>
  <c r="N381" i="7"/>
  <c r="N379" i="7"/>
  <c r="N382" i="7"/>
  <c r="Q378" i="7"/>
  <c r="N391" i="7" l="1"/>
  <c r="C73" i="6"/>
  <c r="U386" i="7"/>
  <c r="U379" i="7" s="1"/>
  <c r="D9" i="4"/>
  <c r="E9" i="3"/>
  <c r="E9" i="4" s="1"/>
  <c r="D18" i="10" s="1"/>
  <c r="A9" i="3"/>
  <c r="A9" i="4" s="1"/>
  <c r="E10" i="1"/>
  <c r="T382" i="7" l="1"/>
  <c r="E17" i="3"/>
  <c r="N392" i="7"/>
  <c r="C74" i="6"/>
  <c r="J50" i="4"/>
  <c r="J49" i="4"/>
  <c r="J56" i="4"/>
  <c r="T383" i="7" l="1"/>
  <c r="E18" i="3"/>
  <c r="A25" i="3"/>
  <c r="A25" i="4" s="1"/>
  <c r="H51" i="3" l="1"/>
  <c r="C51" i="3"/>
  <c r="J8" i="2" l="1"/>
  <c r="J10" i="2" l="1"/>
  <c r="B10" i="2"/>
  <c r="B7" i="2" l="1"/>
  <c r="J7" i="2"/>
  <c r="B6" i="2"/>
  <c r="B5" i="2"/>
  <c r="B4" i="2"/>
  <c r="D105" i="6" l="1"/>
  <c r="D102" i="6"/>
  <c r="D6" i="2" l="1"/>
  <c r="D42" i="2"/>
  <c r="F42" i="2" s="1"/>
  <c r="I42" i="2" s="1"/>
  <c r="L42" i="2" s="1"/>
  <c r="O42" i="2" s="1"/>
  <c r="D24" i="2"/>
  <c r="F24" i="2" s="1"/>
  <c r="I24" i="2" s="1"/>
  <c r="L24" i="2" s="1"/>
  <c r="O24" i="2" s="1"/>
  <c r="D9" i="2"/>
  <c r="D45" i="2"/>
  <c r="F45" i="2" s="1"/>
  <c r="I45" i="2" s="1"/>
  <c r="L45" i="2" s="1"/>
  <c r="O45" i="2" s="1"/>
  <c r="D27" i="2"/>
  <c r="F27" i="2" s="1"/>
  <c r="I27" i="2" s="1"/>
  <c r="L27" i="2" s="1"/>
  <c r="O27" i="2" s="1"/>
  <c r="N23" i="8"/>
  <c r="E50" i="8" s="1"/>
  <c r="N30" i="8"/>
  <c r="E51" i="8" s="1"/>
  <c r="N37" i="8"/>
  <c r="E52" i="8" s="1"/>
  <c r="N16" i="8"/>
  <c r="E49" i="8" s="1"/>
  <c r="F37" i="8"/>
  <c r="E48" i="8" s="1"/>
  <c r="F30" i="8"/>
  <c r="E47" i="8" s="1"/>
  <c r="F23" i="8"/>
  <c r="E46" i="8" s="1"/>
  <c r="F16" i="8"/>
  <c r="E45" i="8" s="1"/>
  <c r="K48" i="6"/>
  <c r="L48" i="6"/>
  <c r="J48" i="6"/>
  <c r="P27" i="2" l="1"/>
  <c r="Q27" i="2"/>
  <c r="Q45" i="2"/>
  <c r="P45" i="2"/>
  <c r="Q24" i="2"/>
  <c r="P24" i="2"/>
  <c r="P42" i="2"/>
  <c r="Q42" i="2"/>
  <c r="N51" i="6"/>
  <c r="N50" i="6"/>
  <c r="N49" i="6"/>
  <c r="N48" i="6"/>
  <c r="K49" i="6"/>
  <c r="L49" i="6"/>
  <c r="K50" i="6"/>
  <c r="L50" i="6"/>
  <c r="K51" i="6"/>
  <c r="L51" i="6"/>
  <c r="J50" i="6"/>
  <c r="J51" i="6"/>
  <c r="J49" i="6"/>
  <c r="K40" i="6" l="1"/>
  <c r="L40" i="6"/>
  <c r="K41" i="6"/>
  <c r="L41" i="6"/>
  <c r="K42" i="6"/>
  <c r="L42" i="6"/>
  <c r="K43" i="6"/>
  <c r="L43" i="6"/>
  <c r="J43" i="6"/>
  <c r="J42" i="6"/>
  <c r="J41" i="6"/>
  <c r="J40" i="6"/>
  <c r="D56" i="6"/>
  <c r="E56" i="6"/>
  <c r="D57" i="6"/>
  <c r="E57" i="6"/>
  <c r="D58" i="6"/>
  <c r="E58" i="6"/>
  <c r="D59" i="6"/>
  <c r="E59" i="6"/>
  <c r="C59" i="6"/>
  <c r="C58" i="6"/>
  <c r="C57" i="6"/>
  <c r="C56" i="6"/>
  <c r="D48" i="6"/>
  <c r="E48" i="6"/>
  <c r="D49" i="6"/>
  <c r="E49" i="6"/>
  <c r="D50" i="6"/>
  <c r="E50" i="6"/>
  <c r="D51" i="6"/>
  <c r="E51" i="6"/>
  <c r="C51" i="6"/>
  <c r="C50" i="6"/>
  <c r="C49" i="6"/>
  <c r="C48" i="6"/>
  <c r="D40" i="6"/>
  <c r="E40" i="6"/>
  <c r="D41" i="6"/>
  <c r="E41" i="6"/>
  <c r="D42" i="6"/>
  <c r="E42" i="6"/>
  <c r="D43" i="6"/>
  <c r="E43" i="6"/>
  <c r="C43" i="6"/>
  <c r="C42" i="6"/>
  <c r="C41" i="6"/>
  <c r="C40" i="6"/>
  <c r="I134" i="6"/>
  <c r="H134" i="6"/>
  <c r="I133" i="6"/>
  <c r="H133" i="6"/>
  <c r="I132" i="6"/>
  <c r="H132" i="6"/>
  <c r="I131" i="6"/>
  <c r="H131" i="6"/>
  <c r="A130" i="6"/>
  <c r="N43" i="6"/>
  <c r="G59" i="6"/>
  <c r="G51" i="6"/>
  <c r="G43" i="6"/>
  <c r="N42" i="6"/>
  <c r="G58" i="6"/>
  <c r="G50" i="6"/>
  <c r="G42" i="6"/>
  <c r="N41" i="6"/>
  <c r="G57" i="6"/>
  <c r="G49" i="6"/>
  <c r="G41" i="6"/>
  <c r="N40" i="6"/>
  <c r="G56" i="6"/>
  <c r="G48" i="6"/>
  <c r="A135" i="6" l="1"/>
  <c r="A137" i="6" s="1"/>
  <c r="A142" i="6" s="1"/>
  <c r="B59" i="1" s="1"/>
  <c r="O86" i="6"/>
  <c r="B62" i="6"/>
  <c r="A62" i="6" l="1"/>
  <c r="E66" i="6" s="1"/>
  <c r="P88" i="6"/>
  <c r="S88" i="6"/>
  <c r="R88" i="6"/>
  <c r="Q88" i="6"/>
  <c r="B64" i="6"/>
  <c r="C64" i="6"/>
  <c r="D67" i="6"/>
  <c r="C68" i="6"/>
  <c r="B65" i="6"/>
  <c r="C65" i="6"/>
  <c r="E68" i="6"/>
  <c r="D64" i="6"/>
  <c r="E82" i="6"/>
  <c r="K89" i="6" s="1"/>
  <c r="J120" i="6" s="1"/>
  <c r="C82" i="6"/>
  <c r="D103" i="6" s="1"/>
  <c r="F103" i="6" s="1"/>
  <c r="D43" i="2" s="1"/>
  <c r="F43" i="2" s="1"/>
  <c r="I43" i="2" s="1"/>
  <c r="L43" i="2" s="1"/>
  <c r="O43" i="2" s="1"/>
  <c r="B58" i="8"/>
  <c r="B68" i="6" l="1"/>
  <c r="A67" i="6"/>
  <c r="D66" i="6"/>
  <c r="A65" i="6"/>
  <c r="E69" i="6"/>
  <c r="D106" i="6" s="1"/>
  <c r="D10" i="2" s="1"/>
  <c r="F10" i="2" s="1"/>
  <c r="I10" i="2" s="1"/>
  <c r="L10" i="2" s="1"/>
  <c r="O10" i="2" s="1"/>
  <c r="P10" i="2" s="1"/>
  <c r="B66" i="6"/>
  <c r="A69" i="6"/>
  <c r="B69" i="6"/>
  <c r="D101" i="6" s="1"/>
  <c r="D23" i="2" s="1"/>
  <c r="F23" i="2" s="1"/>
  <c r="I23" i="2" s="1"/>
  <c r="L23" i="2" s="1"/>
  <c r="O23" i="2" s="1"/>
  <c r="B67" i="6"/>
  <c r="D68" i="6"/>
  <c r="E67" i="6"/>
  <c r="A66" i="6"/>
  <c r="C66" i="6"/>
  <c r="C69" i="6"/>
  <c r="A68" i="6"/>
  <c r="D69" i="6"/>
  <c r="E65" i="6"/>
  <c r="C67" i="6"/>
  <c r="D65" i="6"/>
  <c r="T93" i="6"/>
  <c r="S96" i="6"/>
  <c r="R99" i="6"/>
  <c r="R91" i="6"/>
  <c r="Q94" i="6"/>
  <c r="P97" i="6"/>
  <c r="P89" i="6"/>
  <c r="T92" i="6"/>
  <c r="S95" i="6"/>
  <c r="R98" i="6"/>
  <c r="R90" i="6"/>
  <c r="Q93" i="6"/>
  <c r="P96" i="6"/>
  <c r="T99" i="6"/>
  <c r="T91" i="6"/>
  <c r="S94" i="6"/>
  <c r="R97" i="6"/>
  <c r="R89" i="6"/>
  <c r="Q92" i="6"/>
  <c r="P95" i="6"/>
  <c r="P91" i="6"/>
  <c r="T98" i="6"/>
  <c r="T90" i="6"/>
  <c r="S93" i="6"/>
  <c r="R96" i="6"/>
  <c r="Q99" i="6"/>
  <c r="Q91" i="6"/>
  <c r="P94" i="6"/>
  <c r="T97" i="6"/>
  <c r="T89" i="6"/>
  <c r="S92" i="6"/>
  <c r="R95" i="6"/>
  <c r="Q98" i="6"/>
  <c r="Q90" i="6"/>
  <c r="P93" i="6"/>
  <c r="T96" i="6"/>
  <c r="S99" i="6"/>
  <c r="S91" i="6"/>
  <c r="R94" i="6"/>
  <c r="Q97" i="6"/>
  <c r="Q89" i="6"/>
  <c r="P92" i="6"/>
  <c r="P99" i="6"/>
  <c r="T95" i="6"/>
  <c r="S98" i="6"/>
  <c r="S90" i="6"/>
  <c r="R93" i="6"/>
  <c r="Q96" i="6"/>
  <c r="T94" i="6"/>
  <c r="S97" i="6"/>
  <c r="S89" i="6"/>
  <c r="R92" i="6"/>
  <c r="Q95" i="6"/>
  <c r="P98" i="6"/>
  <c r="P90" i="6"/>
  <c r="Q43" i="2"/>
  <c r="P43" i="2"/>
  <c r="D28" i="2"/>
  <c r="F28" i="2" s="1"/>
  <c r="I28" i="2" s="1"/>
  <c r="L28" i="2" s="1"/>
  <c r="O28" i="2" s="1"/>
  <c r="D7" i="2"/>
  <c r="F7" i="2" s="1"/>
  <c r="I7" i="2" s="1"/>
  <c r="L7" i="2" s="1"/>
  <c r="O7" i="2" s="1"/>
  <c r="P7" i="2" s="1"/>
  <c r="D25" i="2"/>
  <c r="F25" i="2" s="1"/>
  <c r="I25" i="2" s="1"/>
  <c r="L25" i="2" s="1"/>
  <c r="O25" i="2" s="1"/>
  <c r="D5" i="2" l="1"/>
  <c r="F5" i="2" s="1"/>
  <c r="D46" i="2"/>
  <c r="F46" i="2" s="1"/>
  <c r="I46" i="2" s="1"/>
  <c r="L46" i="2" s="1"/>
  <c r="O46" i="2" s="1"/>
  <c r="D99" i="6"/>
  <c r="D22" i="2" s="1"/>
  <c r="F22" i="2" s="1"/>
  <c r="I22" i="2" s="1"/>
  <c r="L22" i="2" s="1"/>
  <c r="O22" i="2" s="1"/>
  <c r="Q22" i="2" s="1"/>
  <c r="D100" i="6"/>
  <c r="D40" i="2" s="1"/>
  <c r="F40" i="2" s="1"/>
  <c r="I40" i="2" s="1"/>
  <c r="L40" i="2" s="1"/>
  <c r="O40" i="2" s="1"/>
  <c r="P40" i="2" s="1"/>
  <c r="D98" i="6"/>
  <c r="D4" i="2" s="1"/>
  <c r="F4" i="2" s="1"/>
  <c r="D41" i="2"/>
  <c r="F41" i="2" s="1"/>
  <c r="I41" i="2" s="1"/>
  <c r="L41" i="2" s="1"/>
  <c r="O41" i="2" s="1"/>
  <c r="Q41" i="2" s="1"/>
  <c r="W97" i="6"/>
  <c r="W93" i="6"/>
  <c r="W89" i="6"/>
  <c r="Y95" i="6"/>
  <c r="Y93" i="6"/>
  <c r="W91" i="6"/>
  <c r="Y87" i="6"/>
  <c r="Y97" i="6"/>
  <c r="Y89" i="6"/>
  <c r="W95" i="6"/>
  <c r="W87" i="6"/>
  <c r="Y91" i="6"/>
  <c r="Q10" i="2"/>
  <c r="P46" i="2"/>
  <c r="Q46" i="2"/>
  <c r="Q23" i="2"/>
  <c r="P23" i="2"/>
  <c r="P28" i="2"/>
  <c r="Q28" i="2"/>
  <c r="Q7" i="2"/>
  <c r="Q25" i="2"/>
  <c r="P25" i="2"/>
  <c r="B25" i="3"/>
  <c r="P22" i="2" l="1"/>
  <c r="Q40" i="2"/>
  <c r="P41" i="2"/>
  <c r="X92" i="6"/>
  <c r="C92" i="6" s="1"/>
  <c r="F92" i="6" s="1"/>
  <c r="X96" i="6"/>
  <c r="C96" i="6" s="1"/>
  <c r="F96" i="6" s="1"/>
  <c r="E13" i="3"/>
  <c r="E23" i="3"/>
  <c r="E22" i="3"/>
  <c r="B23" i="3"/>
  <c r="B23" i="4" s="1"/>
  <c r="B22" i="3"/>
  <c r="B22" i="4" s="1"/>
  <c r="B21" i="3"/>
  <c r="B21" i="4" s="1"/>
  <c r="A21" i="3"/>
  <c r="A21" i="4" s="1"/>
  <c r="E22" i="4" l="1"/>
  <c r="E23" i="4"/>
  <c r="B82" i="6" l="1"/>
  <c r="J26" i="4" l="1"/>
  <c r="B33" i="3"/>
  <c r="B33" i="4" s="1"/>
  <c r="D5" i="3"/>
  <c r="D6" i="3"/>
  <c r="D7" i="3"/>
  <c r="D8" i="3"/>
  <c r="D10" i="3"/>
  <c r="D11" i="3"/>
  <c r="D12" i="3"/>
  <c r="D12" i="4" s="1"/>
  <c r="E12" i="3" l="1"/>
  <c r="E12" i="4" s="1"/>
  <c r="D17" i="10" s="1"/>
  <c r="A12" i="3"/>
  <c r="A12" i="4" s="1"/>
  <c r="H66" i="6" l="1"/>
  <c r="K68" i="6"/>
  <c r="F6" i="2"/>
  <c r="I6" i="2" s="1"/>
  <c r="I5" i="2"/>
  <c r="H67" i="6"/>
  <c r="H65" i="6"/>
  <c r="H64" i="6"/>
  <c r="E8" i="4"/>
  <c r="F26" i="4"/>
  <c r="B26" i="4"/>
  <c r="D19" i="4"/>
  <c r="D26" i="3"/>
  <c r="D26" i="4" s="1"/>
  <c r="C27" i="4"/>
  <c r="C26" i="3"/>
  <c r="C26" i="4" s="1"/>
  <c r="B25" i="4"/>
  <c r="E13" i="4"/>
  <c r="D13" i="4"/>
  <c r="A13" i="4"/>
  <c r="A1" i="4"/>
  <c r="B46" i="3"/>
  <c r="B46" i="4" s="1"/>
  <c r="D20" i="10" s="1"/>
  <c r="B45" i="3"/>
  <c r="B45" i="4" s="1"/>
  <c r="A45" i="3"/>
  <c r="A45" i="4" s="1"/>
  <c r="B38" i="3"/>
  <c r="B38" i="4" s="1"/>
  <c r="B39" i="3"/>
  <c r="B39" i="4" s="1"/>
  <c r="B37" i="3"/>
  <c r="B37" i="4" s="1"/>
  <c r="B36" i="3"/>
  <c r="B36" i="4" s="1"/>
  <c r="A36" i="3"/>
  <c r="A36" i="4" s="1"/>
  <c r="B31" i="3"/>
  <c r="B31" i="4" s="1"/>
  <c r="A31" i="3"/>
  <c r="A31" i="4" s="1"/>
  <c r="B32" i="3"/>
  <c r="B32" i="4" s="1"/>
  <c r="B27" i="3"/>
  <c r="B27" i="4" s="1"/>
  <c r="D17" i="3"/>
  <c r="D17" i="4" s="1"/>
  <c r="D18" i="3"/>
  <c r="D18" i="4" s="1"/>
  <c r="D16" i="3"/>
  <c r="D16" i="4" s="1"/>
  <c r="E6" i="3"/>
  <c r="E6" i="4" s="1"/>
  <c r="D9" i="10" s="1"/>
  <c r="E7" i="3"/>
  <c r="E7" i="4" s="1"/>
  <c r="D10" i="10" s="1"/>
  <c r="E10" i="3"/>
  <c r="E10" i="4" s="1"/>
  <c r="D19" i="10" s="1"/>
  <c r="B54" i="10" s="1"/>
  <c r="B55" i="10" s="1"/>
  <c r="E11" i="3"/>
  <c r="E11" i="4" s="1"/>
  <c r="D21" i="10" s="1"/>
  <c r="E5" i="3"/>
  <c r="E5" i="4" s="1"/>
  <c r="D8" i="10" s="1"/>
  <c r="D6" i="4"/>
  <c r="D7" i="4"/>
  <c r="D8" i="4"/>
  <c r="D10" i="4"/>
  <c r="D11" i="4"/>
  <c r="D5" i="4"/>
  <c r="B17" i="3"/>
  <c r="B17" i="4" s="1"/>
  <c r="B18" i="3"/>
  <c r="B18" i="4" s="1"/>
  <c r="B16" i="3"/>
  <c r="B16" i="4" s="1"/>
  <c r="B15" i="3"/>
  <c r="B15" i="4" s="1"/>
  <c r="A15" i="3"/>
  <c r="A15" i="4" s="1"/>
  <c r="A6" i="3"/>
  <c r="A6" i="4" s="1"/>
  <c r="A7" i="3"/>
  <c r="A7" i="4" s="1"/>
  <c r="A8" i="3"/>
  <c r="A8" i="4" s="1"/>
  <c r="A10" i="3"/>
  <c r="A10" i="4" s="1"/>
  <c r="A11" i="3"/>
  <c r="A11" i="4" s="1"/>
  <c r="A5" i="3"/>
  <c r="A5" i="4" s="1"/>
  <c r="F9" i="2"/>
  <c r="I9" i="2" s="1"/>
  <c r="J9" i="2"/>
  <c r="B59" i="10" l="1"/>
  <c r="B58" i="10"/>
  <c r="B57" i="10" s="1"/>
  <c r="D22" i="10" s="1"/>
  <c r="E18" i="4"/>
  <c r="L6" i="2"/>
  <c r="L9" i="2"/>
  <c r="L5" i="2"/>
  <c r="O5" i="2" s="1"/>
  <c r="Q5" i="2" s="1"/>
  <c r="D27" i="4" l="1"/>
  <c r="P5" i="2"/>
  <c r="E16" i="4"/>
  <c r="E17" i="4" l="1"/>
  <c r="B61" i="8" l="1"/>
  <c r="D61" i="8" l="1"/>
  <c r="D96" i="6"/>
  <c r="D92" i="6"/>
  <c r="D88" i="6"/>
  <c r="A64" i="8" l="1"/>
  <c r="E19" i="3"/>
  <c r="H92" i="6"/>
  <c r="E92" i="6"/>
  <c r="H96" i="6"/>
  <c r="E96" i="6"/>
  <c r="E88" i="6"/>
  <c r="D8" i="2" s="1"/>
  <c r="I8" i="2" s="1"/>
  <c r="L8" i="2" s="1"/>
  <c r="O8" i="2" s="1"/>
  <c r="H88" i="6"/>
  <c r="D104" i="6"/>
  <c r="I4" i="2" s="1"/>
  <c r="L4" i="2" s="1"/>
  <c r="O4" i="2" s="1"/>
  <c r="Q4" i="2" s="1"/>
  <c r="E19" i="4" l="1"/>
  <c r="D44" i="2"/>
  <c r="G96" i="6"/>
  <c r="I96" i="6" s="1"/>
  <c r="J96" i="6" s="1"/>
  <c r="G92" i="6"/>
  <c r="I92" i="6" s="1"/>
  <c r="J92" i="6" s="1"/>
  <c r="F28" i="3" s="1"/>
  <c r="F28" i="4" s="1"/>
  <c r="D26" i="2"/>
  <c r="G88" i="6"/>
  <c r="P4" i="2"/>
  <c r="F8" i="2"/>
  <c r="Q8" i="2"/>
  <c r="P8" i="2"/>
  <c r="F26" i="2" l="1"/>
  <c r="I26" i="2"/>
  <c r="L26" i="2" s="1"/>
  <c r="O26" i="2" s="1"/>
  <c r="F29" i="3"/>
  <c r="F29" i="4" s="1"/>
  <c r="K96" i="6"/>
  <c r="I122" i="6"/>
  <c r="K122" i="6"/>
  <c r="F44" i="2"/>
  <c r="I44" i="2"/>
  <c r="L44" i="2" s="1"/>
  <c r="O44" i="2" s="1"/>
  <c r="K92" i="6"/>
  <c r="K121" i="6"/>
  <c r="I121" i="6"/>
  <c r="H122" i="6" l="1"/>
  <c r="H29" i="3"/>
  <c r="P26" i="2"/>
  <c r="P31" i="2" s="1"/>
  <c r="P32" i="2" s="1"/>
  <c r="Q26" i="2"/>
  <c r="Q31" i="2" s="1"/>
  <c r="P44" i="2"/>
  <c r="P49" i="2" s="1"/>
  <c r="P50" i="2" s="1"/>
  <c r="Q44" i="2"/>
  <c r="Q49" i="2" s="1"/>
  <c r="H121" i="6"/>
  <c r="H28" i="3"/>
  <c r="P28" i="3" s="1"/>
  <c r="Q28" i="3" s="1"/>
  <c r="P51" i="2" l="1"/>
  <c r="P52" i="2" s="1"/>
  <c r="P53" i="2" s="1"/>
  <c r="P54" i="2" s="1"/>
  <c r="G108" i="6" s="1"/>
  <c r="P33" i="2"/>
  <c r="P34" i="2" s="1"/>
  <c r="P35" i="2" s="1"/>
  <c r="P36" i="2" s="1"/>
  <c r="G107" i="6" s="1"/>
  <c r="P29" i="3"/>
  <c r="Q29" i="3" s="1"/>
  <c r="H29" i="4"/>
  <c r="H28" i="4"/>
  <c r="X88" i="6" l="1"/>
  <c r="C88" i="6" s="1"/>
  <c r="F88" i="6" s="1"/>
  <c r="M6" i="2" l="1"/>
  <c r="O6" i="2" s="1"/>
  <c r="M9" i="2"/>
  <c r="O9" i="2" s="1"/>
  <c r="I88" i="6"/>
  <c r="J88" i="6" s="1"/>
  <c r="Q9" i="2" l="1"/>
  <c r="P9" i="2"/>
  <c r="I120" i="6"/>
  <c r="K120" i="6"/>
  <c r="K88" i="6"/>
  <c r="F27" i="3"/>
  <c r="F27" i="4" s="1"/>
  <c r="Q6" i="2"/>
  <c r="P6" i="2"/>
  <c r="P13" i="2" l="1"/>
  <c r="P14" i="2" s="1"/>
  <c r="Q13" i="2"/>
  <c r="H120" i="6"/>
  <c r="H27" i="3"/>
  <c r="P27" i="3" s="1"/>
  <c r="Q27" i="3" s="1"/>
  <c r="P15" i="2" l="1"/>
  <c r="P16" i="2" s="1"/>
  <c r="P17" i="2" s="1"/>
  <c r="P18" i="2" s="1"/>
  <c r="G106" i="6" s="1"/>
  <c r="H106" i="6" s="1"/>
  <c r="I106" i="6" s="1"/>
  <c r="K27" i="3" s="1"/>
  <c r="K27" i="4" s="1"/>
  <c r="H27" i="4"/>
  <c r="R27" i="3"/>
  <c r="S27" i="3" s="1"/>
  <c r="A169" i="6" s="1"/>
  <c r="A171" i="6" s="1"/>
  <c r="I107" i="6" l="1"/>
  <c r="K28" i="3" s="1"/>
  <c r="K28" i="4" s="1"/>
  <c r="I108" i="6"/>
  <c r="K29" i="3" s="1"/>
  <c r="K29" i="4" s="1"/>
  <c r="A175" i="6"/>
  <c r="A177" i="6" s="1"/>
  <c r="A180" i="6" s="1"/>
  <c r="A174" i="6"/>
  <c r="H2" i="1" l="1"/>
  <c r="A2" i="3" s="1"/>
  <c r="A2" i="4" s="1"/>
  <c r="B67" i="1"/>
  <c r="B42" i="3" s="1"/>
  <c r="B42" i="4" s="1"/>
  <c r="B34" i="3"/>
  <c r="B3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6AB170B7-9EE9-4B0D-A020-2D2A71E63121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<sst xmlns="http://schemas.openxmlformats.org/spreadsheetml/2006/main" count="1877" uniqueCount="399">
  <si>
    <t>Lembar Kerja Kalibrasi Mikropipet Variabel</t>
  </si>
  <si>
    <t xml:space="preserve">Nomor Sertifikat : 37 /           /               -            / E -         </t>
  </si>
  <si>
    <t>Merek</t>
  </si>
  <si>
    <t>:</t>
  </si>
  <si>
    <t>Model/Tipe</t>
  </si>
  <si>
    <t>No. Seri</t>
  </si>
  <si>
    <t>Kapasitas</t>
  </si>
  <si>
    <t>µl</t>
  </si>
  <si>
    <t>Tanggal Penerimaan</t>
  </si>
  <si>
    <t>Tanggal Kalibrasi</t>
  </si>
  <si>
    <t>Tempat Kalibrasi</t>
  </si>
  <si>
    <t>Nama Ruang</t>
  </si>
  <si>
    <t>I.</t>
  </si>
  <si>
    <t>Kondisi Ruang</t>
  </si>
  <si>
    <t>Awal</t>
  </si>
  <si>
    <t>Akhir</t>
  </si>
  <si>
    <t>Suhu ruang</t>
  </si>
  <si>
    <t>°C</t>
  </si>
  <si>
    <t>Kelembaban</t>
  </si>
  <si>
    <t>%RH</t>
  </si>
  <si>
    <t>Tekanan udara</t>
  </si>
  <si>
    <t>hPa</t>
  </si>
  <si>
    <r>
      <t>Suhu air (t</t>
    </r>
    <r>
      <rPr>
        <vertAlign val="subscript"/>
        <sz val="12"/>
        <color theme="1"/>
        <rFont val="Arial"/>
        <family val="2"/>
      </rPr>
      <t>w</t>
    </r>
    <r>
      <rPr>
        <sz val="12"/>
        <color theme="1"/>
        <rFont val="Arial"/>
        <family val="2"/>
      </rPr>
      <t>)</t>
    </r>
  </si>
  <si>
    <t xml:space="preserve">II.     </t>
  </si>
  <si>
    <t>Pemeriksaan Kondisi Fisik dan Fungsi Alat</t>
  </si>
  <si>
    <t>1. Fisik</t>
  </si>
  <si>
    <t>Baik / Tidak Baik</t>
  </si>
  <si>
    <t>2. Fungsi</t>
  </si>
  <si>
    <t>III.</t>
  </si>
  <si>
    <t>Kalibrasi Akurasi Volume</t>
  </si>
  <si>
    <t>No</t>
  </si>
  <si>
    <t>Parameter</t>
  </si>
  <si>
    <t>Setting Alat</t>
  </si>
  <si>
    <t>Pembacaan Standar (g)</t>
  </si>
  <si>
    <t>Waktu Total (s)</t>
  </si>
  <si>
    <t>A. Volume (µl)</t>
  </si>
  <si>
    <t>B. Volume (µl)</t>
  </si>
  <si>
    <t>Efek Evaporasi</t>
  </si>
  <si>
    <t>Pembacaan Setelah Waktu Total</t>
  </si>
  <si>
    <t>Bejana kosong</t>
  </si>
  <si>
    <t>Waktu (s)</t>
  </si>
  <si>
    <t>C. Volume (µl)</t>
  </si>
  <si>
    <t>IV.</t>
  </si>
  <si>
    <t>Keterangan</t>
  </si>
  <si>
    <t>Ketidakpastian pengukuran dilaporkan pada tingkat kepercayaan 95% dengan faktor cakupan k = 2</t>
  </si>
  <si>
    <t>V.</t>
  </si>
  <si>
    <t>Alat Yang Digunakan</t>
  </si>
  <si>
    <t>Pippette callibration balance, Merek: Sartorius, Type: GPC26-CW, SN: 32804763</t>
  </si>
  <si>
    <t>Pippette callibration balance, Merek: Sartorius, Type: MSA 2298-100-DU, SN: 36301077</t>
  </si>
  <si>
    <t>Pippette callibration balance, Merek Sartorius, Type: BCE224i-1S, SN: 39606016</t>
  </si>
  <si>
    <t>Digital Thermohygrobarometer, Merek : Greisinger, Model : GFTB 200, SN( 34903046/ 34903051/ 34903053 )</t>
  </si>
  <si>
    <t>Digital Thermohygrometer, Merek : GREISINGER, Model : GFTB 202, SN: 34904091</t>
  </si>
  <si>
    <t>Digital Thermohygrometer, Merek : EXTECH, Model : SD700, SN(A.100586/A.100605/A.100609/A.100611)</t>
  </si>
  <si>
    <t>Digital Thermohygrometer, Merek : EXTECH, Model : SD700, SN(A.100615/A.100616/A.100617/A.100618)</t>
  </si>
  <si>
    <t>Digital thermometer, Merek AccuMac, Type : AM 8010, SN : PT10130121</t>
  </si>
  <si>
    <t>Digital thermometer, Merek Greisinger, Type : GMH 5530, SN : (33700051/ 33700052)</t>
  </si>
  <si>
    <t>VI.</t>
  </si>
  <si>
    <t>Petugas Kalibrasi</t>
  </si>
  <si>
    <t>Alat yang dikalibrasi dalam batas toleransi dan dinyatakan LAIK PAKAI</t>
  </si>
  <si>
    <t>Alat yang dikalibrasi melebihi batas toleransi dan dinyatakan TIDAK LAIK PAKAI</t>
  </si>
  <si>
    <t>Donny Martha</t>
  </si>
  <si>
    <t>Dany Firmanto</t>
  </si>
  <si>
    <t>Choirul Huda</t>
  </si>
  <si>
    <t>No.</t>
  </si>
  <si>
    <t>Tanggal</t>
  </si>
  <si>
    <t>Revisi</t>
  </si>
  <si>
    <t xml:space="preserve">Nama </t>
  </si>
  <si>
    <t>Kalibrasi akurasi volume</t>
  </si>
  <si>
    <t>pengujian kinerja</t>
  </si>
  <si>
    <t>Venna</t>
  </si>
  <si>
    <t>NIP berbold, menggunakan titik</t>
  </si>
  <si>
    <t>NIP tidak bold tanpa titik</t>
  </si>
  <si>
    <t>Koreksi dengan ABS</t>
  </si>
  <si>
    <t>Koreksi tanpa ABS</t>
  </si>
  <si>
    <t>Tidak ada kapasitas 0.5</t>
  </si>
  <si>
    <t>Ditambahkan kapasitas 0.5</t>
  </si>
  <si>
    <t>Donny</t>
  </si>
  <si>
    <t>22 Juni 2021</t>
  </si>
  <si>
    <t>pada keterangan tidak ada disebutkan BSN</t>
  </si>
  <si>
    <t>Ditambahkan keterangan BSN</t>
  </si>
  <si>
    <t>Liha</t>
  </si>
  <si>
    <t>27.1.2022</t>
  </si>
  <si>
    <t>-</t>
  </si>
  <si>
    <t>Tanggal Penerimaan Alat</t>
  </si>
  <si>
    <t>venna</t>
  </si>
  <si>
    <t>5.3.2023</t>
  </si>
  <si>
    <t>Tambahan keterangan dan dikolom penguapan jia diatas 50 diberi (-) saja</t>
  </si>
  <si>
    <t>Done</t>
  </si>
  <si>
    <t>Input Data Kalibrasi Mikropipet Variabel</t>
  </si>
  <si>
    <t>SOCOREX</t>
  </si>
  <si>
    <t>ACURA 815</t>
  </si>
  <si>
    <t>18071332</t>
  </si>
  <si>
    <t>2 - 20 µl</t>
  </si>
  <si>
    <t>10 November 2016</t>
  </si>
  <si>
    <t>Laboratorium Kalibrasi LPFK Banjarbaru</t>
  </si>
  <si>
    <t>Metode Kerja</t>
  </si>
  <si>
    <t>II.</t>
  </si>
  <si>
    <t>Baik</t>
  </si>
  <si>
    <t>Pengujian Kinerja</t>
  </si>
  <si>
    <t>Kesimpulan</t>
  </si>
  <si>
    <t>VII.</t>
  </si>
  <si>
    <t>Tanggal pembuatan laporan</t>
  </si>
  <si>
    <t>UNCERTAINTY BUDGET</t>
  </si>
  <si>
    <t>Komponen</t>
  </si>
  <si>
    <t>Value</t>
  </si>
  <si>
    <t>Satuan</t>
  </si>
  <si>
    <t>Konversi</t>
  </si>
  <si>
    <t>Distribusi</t>
  </si>
  <si>
    <t>U</t>
  </si>
  <si>
    <t>Pembagi</t>
  </si>
  <si>
    <t>vi</t>
  </si>
  <si>
    <t>ui</t>
  </si>
  <si>
    <t>ci</t>
  </si>
  <si>
    <t>uici</t>
  </si>
  <si>
    <t>(uici)^2</t>
  </si>
  <si>
    <t>(uici)^4/vi</t>
  </si>
  <si>
    <t>mg</t>
  </si>
  <si>
    <t>µg</t>
  </si>
  <si>
    <t>normal</t>
  </si>
  <si>
    <r>
      <t>nl/</t>
    </r>
    <r>
      <rPr>
        <sz val="10"/>
        <rFont val="Calibri"/>
        <family val="2"/>
      </rPr>
      <t>µ</t>
    </r>
    <r>
      <rPr>
        <sz val="9"/>
        <rFont val="Times New Roman"/>
        <family val="1"/>
      </rPr>
      <t>g</t>
    </r>
  </si>
  <si>
    <r>
      <t>nl/</t>
    </r>
    <r>
      <rPr>
        <sz val="10"/>
        <rFont val="Calibri"/>
        <family val="2"/>
      </rPr>
      <t>°</t>
    </r>
    <r>
      <rPr>
        <sz val="9"/>
        <rFont val="Times New Roman"/>
        <family val="1"/>
      </rPr>
      <t>C</t>
    </r>
  </si>
  <si>
    <t>mg/ml</t>
  </si>
  <si>
    <r>
      <t>µg/µ</t>
    </r>
    <r>
      <rPr>
        <sz val="8.1"/>
        <color theme="1"/>
        <rFont val="Calibri"/>
        <family val="2"/>
      </rPr>
      <t>l</t>
    </r>
  </si>
  <si>
    <t>rect.</t>
  </si>
  <si>
    <t>Densitas Air</t>
  </si>
  <si>
    <r>
      <t>µg/µ</t>
    </r>
    <r>
      <rPr>
        <sz val="8.1"/>
        <color theme="1"/>
        <rFont val="Calibri"/>
        <family val="2"/>
        <scheme val="minor"/>
      </rPr>
      <t>l</t>
    </r>
  </si>
  <si>
    <r>
      <t>nl/µ</t>
    </r>
    <r>
      <rPr>
        <sz val="9"/>
        <rFont val="Calibri"/>
        <family val="2"/>
        <scheme val="minor"/>
      </rPr>
      <t>g</t>
    </r>
  </si>
  <si>
    <t>Coef. Cubic Thermal</t>
  </si>
  <si>
    <r>
      <t xml:space="preserve">nl </t>
    </r>
    <r>
      <rPr>
        <sz val="10"/>
        <rFont val="Calibri"/>
        <family val="2"/>
      </rPr>
      <t>°</t>
    </r>
    <r>
      <rPr>
        <sz val="9"/>
        <rFont val="Times New Roman"/>
        <family val="1"/>
      </rPr>
      <t>C</t>
    </r>
  </si>
  <si>
    <t>Efek Operator</t>
  </si>
  <si>
    <t>nl</t>
  </si>
  <si>
    <t>Jumlah</t>
  </si>
  <si>
    <t>Ketidakpastian baku gabungan, Uc</t>
  </si>
  <si>
    <r>
      <t>Uc</t>
    </r>
    <r>
      <rPr>
        <sz val="11"/>
        <rFont val="Times New Roman"/>
        <family val="1"/>
      </rPr>
      <t xml:space="preserve"> = </t>
    </r>
    <r>
      <rPr>
        <sz val="11"/>
        <rFont val="Symbol"/>
        <family val="1"/>
        <charset val="2"/>
      </rPr>
      <t>Ö</t>
    </r>
    <r>
      <rPr>
        <sz val="11"/>
        <rFont val="Times New Roman"/>
        <family val="1"/>
      </rPr>
      <t xml:space="preserve">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)²]</t>
    </r>
  </si>
  <si>
    <t>Derajat kebebasan efektif, veff</t>
  </si>
  <si>
    <r>
      <t>n</t>
    </r>
    <r>
      <rPr>
        <vertAlign val="subscript"/>
        <sz val="11"/>
        <rFont val="Times New Roman"/>
        <family val="1"/>
      </rPr>
      <t>eff</t>
    </r>
    <r>
      <rPr>
        <sz val="11"/>
        <rFont val="Times New Roman"/>
        <family val="1"/>
      </rPr>
      <t xml:space="preserve"> = u</t>
    </r>
    <r>
      <rPr>
        <vertAlign val="subscript"/>
        <sz val="11"/>
        <rFont val="Times New Roman"/>
        <family val="1"/>
      </rPr>
      <t>c</t>
    </r>
    <r>
      <rPr>
        <vertAlign val="superscript"/>
        <sz val="11"/>
        <rFont val="Times New Roman"/>
        <family val="1"/>
      </rPr>
      <t>4</t>
    </r>
    <r>
      <rPr>
        <sz val="11"/>
        <rFont val="Times New Roman"/>
        <family val="1"/>
      </rPr>
      <t xml:space="preserve"> /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</t>
    </r>
    <r>
      <rPr>
        <vertAlign val="superscript"/>
        <sz val="11"/>
        <rFont val="Times New Roman"/>
        <family val="1"/>
      </rPr>
      <t xml:space="preserve"> 4</t>
    </r>
    <r>
      <rPr>
        <sz val="11"/>
        <rFont val="Times New Roman"/>
        <family val="1"/>
      </rPr>
      <t>/</t>
    </r>
    <r>
      <rPr>
        <sz val="11"/>
        <rFont val="Symbol"/>
        <family val="1"/>
        <charset val="2"/>
      </rPr>
      <t>n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]</t>
    </r>
  </si>
  <si>
    <t>Faktor cakupan, k-student's for veff and CL 95%</t>
  </si>
  <si>
    <t>k</t>
  </si>
  <si>
    <t>Ketidakpastian bentangan, U = k.Uc</t>
  </si>
  <si>
    <t>U = k. Uc</t>
  </si>
  <si>
    <t>Hasil Kalibrasi Mikropipet Variabel</t>
  </si>
  <si>
    <t>Pembacaan standar</t>
  </si>
  <si>
    <t>Koreksi</t>
  </si>
  <si>
    <t>Ketidakpastian pengukuran</t>
  </si>
  <si>
    <t>Score</t>
  </si>
  <si>
    <t>Volume (µl)</t>
  </si>
  <si>
    <t>±</t>
  </si>
  <si>
    <t>Nama</t>
  </si>
  <si>
    <t>Paraf</t>
  </si>
  <si>
    <t>Penyelia  :</t>
  </si>
  <si>
    <t>INPUT SERTIFIKAT THERMOHYGROMETER</t>
  </si>
  <si>
    <t>KOREKSI KIMO THERMOHYGROMETER 15062873</t>
  </si>
  <si>
    <t>U95</t>
  </si>
  <si>
    <t>Suhu</t>
  </si>
  <si>
    <t>Tahun</t>
  </si>
  <si>
    <t>DRIFT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</si>
  <si>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</si>
  <si>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</si>
  <si>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</si>
  <si>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</si>
  <si>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</si>
  <si>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</si>
  <si>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</si>
  <si>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</si>
  <si>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</si>
  <si>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</si>
  <si>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</si>
  <si>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</si>
  <si>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</si>
  <si>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</si>
  <si>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</si>
  <si>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</si>
  <si>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</si>
  <si>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</si>
  <si>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</si>
  <si>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</si>
  <si>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</si>
  <si>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</si>
  <si>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</si>
  <si>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standar</t>
  </si>
  <si>
    <t>Rata-rata Terkoreksi</t>
  </si>
  <si>
    <t>STDEV</t>
  </si>
  <si>
    <t>HASIL</t>
  </si>
  <si>
    <t>Koreksi Suhu</t>
  </si>
  <si>
    <t>Koreksi Kelembaban</t>
  </si>
  <si>
    <t>Koreksi tekanan</t>
  </si>
  <si>
    <t>Konversi TEXT</t>
  </si>
  <si>
    <t xml:space="preserve"> °C</t>
  </si>
  <si>
    <t xml:space="preserve"> %RH</t>
  </si>
  <si>
    <t xml:space="preserve"> hPa</t>
  </si>
  <si>
    <t xml:space="preserve">( </t>
  </si>
  <si>
    <t xml:space="preserve"> ± </t>
  </si>
  <si>
    <t xml:space="preserve"> )</t>
  </si>
  <si>
    <t>1. Sertifikat Accumac PT10130121</t>
  </si>
  <si>
    <t>2. Sertifikat Greisinger 33700051</t>
  </si>
  <si>
    <t>3. Sertifikat Greisinger 33700052</t>
  </si>
  <si>
    <t>4. Sertifikat 4</t>
  </si>
  <si>
    <t>(g)</t>
  </si>
  <si>
    <t>Sertifikat thermometer air</t>
  </si>
  <si>
    <t>TEXT</t>
  </si>
  <si>
    <r>
      <t>U</t>
    </r>
    <r>
      <rPr>
        <vertAlign val="subscript"/>
        <sz val="11"/>
        <color theme="1"/>
        <rFont val="Calibri"/>
        <family val="2"/>
        <scheme val="minor"/>
      </rPr>
      <t>95</t>
    </r>
  </si>
  <si>
    <t>FORECAST KOREKSI SUHU</t>
  </si>
  <si>
    <t>Rata rata terkoreksi</t>
  </si>
  <si>
    <r>
      <t>Suhu (t</t>
    </r>
    <r>
      <rPr>
        <vertAlign val="sub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)</t>
    </r>
  </si>
  <si>
    <t>Digital thermometer</t>
  </si>
  <si>
    <t>Menyetujui ,</t>
  </si>
  <si>
    <t>Choirul Huda, S.Tr. Kes</t>
  </si>
  <si>
    <t>Halaman 2 dari 2 halaman</t>
  </si>
  <si>
    <t>NIP 198103112010121001</t>
  </si>
  <si>
    <t>NIP 198008062010121001</t>
  </si>
  <si>
    <t>Kepala Instalasi Laboratorium</t>
  </si>
  <si>
    <t>Pengujian dan Kalibrasi</t>
  </si>
  <si>
    <t>Koordinator Laboratorium</t>
  </si>
  <si>
    <t>Flow dan Volume</t>
  </si>
  <si>
    <t>Sertifikat Satorius GPC26-CW, SN: 32804763</t>
  </si>
  <si>
    <t>KOREKSI Sertifikat Satorius GPC26-CW, SN: 32804763</t>
  </si>
  <si>
    <t>Koreksi Sertifikat Satorius MSA 225S-100-DU, SN: 36301077</t>
  </si>
  <si>
    <t>Uncertainty</t>
  </si>
  <si>
    <t>LOP</t>
  </si>
  <si>
    <t>Sertifikat Satorius MSA 225S-100-DU, SN: 36301077</t>
  </si>
  <si>
    <t>Koreksi Sertifikat Sartorius, Type BCE224i-1S, SN: 39606016</t>
  </si>
  <si>
    <t>Koreksi Sertifikat 02</t>
  </si>
  <si>
    <t>Sertifikat Sartorius, Type BCE224i-1S, SN: 39606016</t>
  </si>
  <si>
    <t>Sertifikat 02</t>
  </si>
  <si>
    <t>Sertifikat</t>
  </si>
  <si>
    <t>Koreksi Sertifikat</t>
  </si>
  <si>
    <r>
      <t>Tabel Densitas air destilasi (kg/m</t>
    </r>
    <r>
      <rPr>
        <b/>
        <vertAlign val="superscript"/>
        <sz val="8"/>
        <color theme="1"/>
        <rFont val="Calibri"/>
        <family val="2"/>
        <scheme val="minor"/>
      </rPr>
      <t>3</t>
    </r>
    <r>
      <rPr>
        <b/>
        <sz val="8"/>
        <color theme="1"/>
        <rFont val="Calibri"/>
        <family val="2"/>
        <scheme val="minor"/>
      </rPr>
      <t>)</t>
    </r>
  </si>
  <si>
    <r>
      <t>Tabel Densitas udara (kg/m</t>
    </r>
    <r>
      <rPr>
        <b/>
        <vertAlign val="superscript"/>
        <sz val="9"/>
        <color theme="1"/>
        <rFont val="Calibri"/>
        <family val="2"/>
        <scheme val="minor"/>
      </rPr>
      <t>3</t>
    </r>
    <r>
      <rPr>
        <b/>
        <sz val="9"/>
        <color theme="1"/>
        <rFont val="Calibri"/>
        <family val="2"/>
        <scheme val="minor"/>
      </rPr>
      <t>)</t>
    </r>
  </si>
  <si>
    <t>a0</t>
  </si>
  <si>
    <r>
      <t>k</t>
    </r>
    <r>
      <rPr>
        <vertAlign val="subscript"/>
        <sz val="11"/>
        <color theme="1"/>
        <rFont val="Calibri"/>
        <family val="2"/>
        <scheme val="minor"/>
      </rPr>
      <t>1</t>
    </r>
  </si>
  <si>
    <t>a1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</si>
  <si>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</si>
  <si>
    <t>a2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</si>
  <si>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</si>
  <si>
    <t>a3</t>
  </si>
  <si>
    <t>a4</t>
  </si>
  <si>
    <t>gram</t>
  </si>
  <si>
    <t>ID</t>
  </si>
  <si>
    <t>1 ml =</t>
  </si>
  <si>
    <t>Suhu ruangan :</t>
  </si>
  <si>
    <r>
      <t xml:space="preserve">1 </t>
    </r>
    <r>
      <rPr>
        <sz val="9"/>
        <color theme="1"/>
        <rFont val="Calibri"/>
        <family val="2"/>
      </rPr>
      <t>µl =</t>
    </r>
  </si>
  <si>
    <t>g (water)</t>
  </si>
  <si>
    <t>Kelembaban :</t>
  </si>
  <si>
    <t xml:space="preserve">1 kg/m3 = </t>
  </si>
  <si>
    <t>g/ml</t>
  </si>
  <si>
    <t xml:space="preserve">Tekanan Udara : </t>
  </si>
  <si>
    <t>1 gram =</t>
  </si>
  <si>
    <t>kg</t>
  </si>
  <si>
    <t>ta0 =</t>
  </si>
  <si>
    <t>1 mg =</t>
  </si>
  <si>
    <r>
      <t>Densitas anak timbangan (P</t>
    </r>
    <r>
      <rPr>
        <vertAlign val="subscript"/>
        <sz val="9"/>
        <color theme="1"/>
        <rFont val="Calibri"/>
        <family val="2"/>
        <scheme val="minor"/>
      </rPr>
      <t xml:space="preserve">b) </t>
    </r>
    <r>
      <rPr>
        <sz val="9"/>
        <color theme="1"/>
        <rFont val="Calibri"/>
        <family val="2"/>
        <scheme val="minor"/>
      </rPr>
      <t>:</t>
    </r>
  </si>
  <si>
    <r>
      <t>kg/m</t>
    </r>
    <r>
      <rPr>
        <vertAlign val="superscript"/>
        <sz val="9"/>
        <color theme="1"/>
        <rFont val="Calibri"/>
        <family val="2"/>
        <scheme val="minor"/>
      </rPr>
      <t>3</t>
    </r>
  </si>
  <si>
    <r>
      <t>t</t>
    </r>
    <r>
      <rPr>
        <vertAlign val="subscript"/>
        <sz val="9"/>
        <color theme="1"/>
        <rFont val="Calibri"/>
        <family val="2"/>
        <scheme val="minor"/>
      </rPr>
      <t xml:space="preserve">d20 </t>
    </r>
    <r>
      <rPr>
        <sz val="9"/>
        <color theme="1"/>
        <rFont val="Calibri"/>
        <family val="2"/>
        <scheme val="minor"/>
      </rPr>
      <t>=</t>
    </r>
  </si>
  <si>
    <t>1 nl =</t>
  </si>
  <si>
    <t>1 mg/ml =</t>
  </si>
  <si>
    <r>
      <t>Densitas Udara (P</t>
    </r>
    <r>
      <rPr>
        <b/>
        <vertAlign val="subscript"/>
        <sz val="12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>)(kg/m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</si>
  <si>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r>
      <t>Densitas anak timbangan (P</t>
    </r>
    <r>
      <rPr>
        <b/>
        <vertAlign val="subscript"/>
        <sz val="12"/>
        <color theme="1"/>
        <rFont val="Calibri"/>
        <family val="2"/>
        <scheme val="minor"/>
      </rPr>
      <t>b</t>
    </r>
    <r>
      <rPr>
        <b/>
        <sz val="12"/>
        <color theme="1"/>
        <rFont val="Calibri"/>
        <family val="2"/>
        <scheme val="minor"/>
      </rPr>
      <t>)(kg/m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</si>
  <si>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t>Koefisien Muai Bahan (Plastic)</t>
  </si>
  <si>
    <t>Std Dev</t>
  </si>
  <si>
    <t>1 g/ml =</t>
  </si>
  <si>
    <r>
      <t>Setting pada alat (</t>
    </r>
    <r>
      <rPr>
        <b/>
        <sz val="12"/>
        <color theme="1"/>
        <rFont val="Calibri"/>
        <family val="2"/>
      </rPr>
      <t>µl)</t>
    </r>
  </si>
  <si>
    <t>Rata rata pembacaan standar (g)</t>
  </si>
  <si>
    <r>
      <t>Suhu air (</t>
    </r>
    <r>
      <rPr>
        <b/>
        <sz val="12"/>
        <color theme="1"/>
        <rFont val="Calibri"/>
        <family val="2"/>
      </rPr>
      <t>°C) (t</t>
    </r>
    <r>
      <rPr>
        <b/>
        <vertAlign val="subscript"/>
        <sz val="12"/>
        <color theme="1"/>
        <rFont val="Calibri"/>
        <family val="2"/>
      </rPr>
      <t>w</t>
    </r>
    <r>
      <rPr>
        <b/>
        <sz val="12"/>
        <color theme="1"/>
        <rFont val="Calibri"/>
        <family val="2"/>
      </rPr>
      <t>)</t>
    </r>
  </si>
  <si>
    <r>
      <t>Densitas Air (P</t>
    </r>
    <r>
      <rPr>
        <b/>
        <vertAlign val="subscript"/>
        <sz val="12"/>
        <color theme="1"/>
        <rFont val="Calibri"/>
        <family val="2"/>
        <scheme val="minor"/>
      </rPr>
      <t>w</t>
    </r>
    <r>
      <rPr>
        <b/>
        <sz val="12"/>
        <color theme="1"/>
        <rFont val="Calibri"/>
        <family val="2"/>
        <scheme val="minor"/>
      </rPr>
      <t>)(kg/m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</si>
  <si>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t>m (g)</t>
  </si>
  <si>
    <t>Efek Bouyancy (Z)</t>
  </si>
  <si>
    <t>Efek temperatur (Y)</t>
  </si>
  <si>
    <r>
      <t>V</t>
    </r>
    <r>
      <rPr>
        <b/>
        <vertAlign val="subscript"/>
        <sz val="12"/>
        <color theme="1"/>
        <rFont val="Calibri"/>
        <family val="2"/>
        <scheme val="minor"/>
      </rPr>
      <t>20 (ml)</t>
    </r>
  </si>
  <si>
    <r>
      <t>V</t>
    </r>
    <r>
      <rPr>
        <b/>
        <vertAlign val="subscript"/>
        <sz val="12"/>
        <color theme="1"/>
        <rFont val="Calibri"/>
        <family val="2"/>
        <scheme val="minor"/>
      </rPr>
      <t>20 (</t>
    </r>
    <r>
      <rPr>
        <b/>
        <vertAlign val="subscript"/>
        <sz val="12"/>
        <color theme="1"/>
        <rFont val="Calibri"/>
        <family val="2"/>
      </rPr>
      <t>µ</t>
    </r>
    <r>
      <rPr>
        <b/>
        <vertAlign val="subscript"/>
        <sz val="12"/>
        <color theme="1"/>
        <rFont val="Calibri"/>
        <family val="2"/>
        <scheme val="minor"/>
      </rPr>
      <t>l)</t>
    </r>
  </si>
  <si>
    <t xml:space="preserve">Correction (µl) </t>
  </si>
  <si>
    <t>Interpolasi Koreksi</t>
  </si>
  <si>
    <t>Sistematic error (Es)</t>
  </si>
  <si>
    <t>Random Error (Sr)</t>
  </si>
  <si>
    <t>1. Massa Air (Repeatability)</t>
  </si>
  <si>
    <t>g</t>
  </si>
  <si>
    <t>2. Massa Air (Repeatability)</t>
  </si>
  <si>
    <t>3. Massa Air (Repeatability)</t>
  </si>
  <si>
    <t>Massa Air (Sertifikat timbangan)</t>
  </si>
  <si>
    <t>Densitas Suhu Air (Sertifikat thermometer air)</t>
  </si>
  <si>
    <t>C</t>
  </si>
  <si>
    <t>Densitas Anak Timbangan</t>
  </si>
  <si>
    <t>kg/m3</t>
  </si>
  <si>
    <t>Densitas Suhu Air</t>
  </si>
  <si>
    <t>Koefisien Muai Bahan</t>
  </si>
  <si>
    <t>Decimal</t>
  </si>
  <si>
    <t>HASIL 2-SD</t>
  </si>
  <si>
    <t>Drift</t>
  </si>
  <si>
    <t>Maximum Permissible Error Type A dan D1</t>
  </si>
  <si>
    <r>
      <t>Volume (</t>
    </r>
    <r>
      <rPr>
        <b/>
        <sz val="10"/>
        <color theme="1"/>
        <rFont val="Calibri"/>
        <family val="2"/>
      </rPr>
      <t>µl</t>
    </r>
    <r>
      <rPr>
        <b/>
        <sz val="10"/>
        <color theme="1"/>
        <rFont val="Times New Roman"/>
        <family val="1"/>
      </rPr>
      <t>)</t>
    </r>
  </si>
  <si>
    <t>Sistematic error</t>
  </si>
  <si>
    <t>Random error</t>
  </si>
  <si>
    <r>
      <t xml:space="preserve">Sistematic Error </t>
    </r>
    <r>
      <rPr>
        <b/>
        <i/>
        <sz val="10"/>
        <color theme="1"/>
        <rFont val="Arial"/>
        <family val="2"/>
      </rPr>
      <t>(Es)</t>
    </r>
  </si>
  <si>
    <t>Random Error</t>
  </si>
  <si>
    <t>Sr</t>
  </si>
  <si>
    <t>CV</t>
  </si>
  <si>
    <t>HASIL MPE Mikropipet</t>
  </si>
  <si>
    <r>
      <t xml:space="preserve">Sistematic error </t>
    </r>
    <r>
      <rPr>
        <b/>
        <i/>
        <sz val="11"/>
        <color theme="1"/>
        <rFont val="Calibri"/>
        <family val="2"/>
        <scheme val="minor"/>
      </rPr>
      <t>(Es)</t>
    </r>
  </si>
  <si>
    <r>
      <t>EFEK EVAPORASI (M</t>
    </r>
    <r>
      <rPr>
        <b/>
        <vertAlign val="subscript"/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>)</t>
    </r>
  </si>
  <si>
    <r>
      <t>M</t>
    </r>
    <r>
      <rPr>
        <vertAlign val="subscript"/>
        <sz val="11"/>
        <color theme="1"/>
        <rFont val="Calibri"/>
        <family val="2"/>
        <scheme val="minor"/>
      </rPr>
      <t>10</t>
    </r>
  </si>
  <si>
    <r>
      <t>M</t>
    </r>
    <r>
      <rPr>
        <vertAlign val="subscript"/>
        <sz val="11"/>
        <color theme="1"/>
        <rFont val="Calibri"/>
        <family val="2"/>
        <scheme val="minor"/>
      </rPr>
      <t>11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</si>
  <si>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E</t>
    </r>
  </si>
  <si>
    <t>Pippette callibration balance 02</t>
  </si>
  <si>
    <t>Hasil kalibrasi pippette calibration balance tertelusur ke Satuan Internasional ( SI ) melalui SNSU-BSN</t>
  </si>
  <si>
    <t>Rangga Setya Hantoko</t>
  </si>
  <si>
    <t>Tidak Baik</t>
  </si>
  <si>
    <t>Hary Ernanto</t>
  </si>
  <si>
    <t>Isra Mahensa</t>
  </si>
  <si>
    <t xml:space="preserve">Dibuat : </t>
  </si>
  <si>
    <t>Muhammad Zaenuri Sugiasmoro</t>
  </si>
  <si>
    <t>Hamdan Syarif</t>
  </si>
  <si>
    <r>
      <t xml:space="preserve">0.1 - 2.5 </t>
    </r>
    <r>
      <rPr>
        <sz val="11"/>
        <color theme="1"/>
        <rFont val="Calibri"/>
        <family val="2"/>
      </rPr>
      <t>µ</t>
    </r>
    <r>
      <rPr>
        <sz val="8.8000000000000007"/>
        <color theme="1"/>
        <rFont val="Calibri"/>
        <family val="2"/>
      </rPr>
      <t>l</t>
    </r>
  </si>
  <si>
    <t>Gusti Arya Dinata</t>
  </si>
  <si>
    <t>0.5 - 10 µl</t>
  </si>
  <si>
    <t>Muhammad Irfan Husnuzhzhan</t>
  </si>
  <si>
    <t>2 - 10 µl</t>
  </si>
  <si>
    <t>Muhammad Iqbal Saiful Rahman</t>
  </si>
  <si>
    <t>Fatimah Novrianisa</t>
  </si>
  <si>
    <t>5 - 50 µl</t>
  </si>
  <si>
    <t>Venna Filosofia</t>
  </si>
  <si>
    <t>10 - 100 µl</t>
  </si>
  <si>
    <t>Taufik Priawan</t>
  </si>
  <si>
    <t>20 - 200 µl</t>
  </si>
  <si>
    <t>Muhammad Alpian Hadi</t>
  </si>
  <si>
    <t>50 - 200 µl</t>
  </si>
  <si>
    <t>Wardimanul Abrar</t>
  </si>
  <si>
    <t>100 - 1000 µl</t>
  </si>
  <si>
    <t>Septia Khairunnisa</t>
  </si>
  <si>
    <t>200 - 1000 µl</t>
  </si>
  <si>
    <t>Siti Fathul Jannah</t>
  </si>
  <si>
    <t>1000 - 5000 µl</t>
  </si>
  <si>
    <t>Ryan Rama Chaesar R</t>
  </si>
  <si>
    <t/>
  </si>
  <si>
    <r>
      <t xml:space="preserve">Disarankan untuk melakukan </t>
    </r>
    <r>
      <rPr>
        <i/>
        <sz val="10"/>
        <color theme="1"/>
        <rFont val="Calibri"/>
        <family val="2"/>
        <scheme val="minor"/>
      </rPr>
      <t xml:space="preserve">adjustment </t>
    </r>
    <r>
      <rPr>
        <sz val="10"/>
        <color theme="1"/>
        <rFont val="Calibri"/>
        <family val="2"/>
        <scheme val="minor"/>
      </rPr>
      <t>pada mikropipet</t>
    </r>
  </si>
  <si>
    <t>Readability(Ketelitian/akurasi timbangan)</t>
  </si>
  <si>
    <t>Reproducibility (Repeatability)</t>
  </si>
  <si>
    <t>Linearity(Pembebanan tidak di pusat Pan)</t>
  </si>
  <si>
    <t>3.7.2023</t>
  </si>
  <si>
    <t>Update sertifikat 32804763
36301077
39606016</t>
  </si>
  <si>
    <t>Rev 6 : 3.7.2023</t>
  </si>
  <si>
    <t>Laboratorium</t>
  </si>
  <si>
    <t xml:space="preserve">Nomor Sertifikat : 36 / </t>
  </si>
  <si>
    <t xml:space="preserve">Nomor Surat Keterangan : 36 / M - </t>
  </si>
  <si>
    <t>1 / VII - 23 / E - 007 Dt</t>
  </si>
  <si>
    <t xml:space="preserve">                                                                 </t>
  </si>
  <si>
    <t xml:space="preserve">Nama Alat            : </t>
  </si>
  <si>
    <t xml:space="preserve">Nomor Order           : </t>
  </si>
  <si>
    <t>Model / Tipe</t>
  </si>
  <si>
    <t>Nomor Seri</t>
  </si>
  <si>
    <t>Resolusi</t>
  </si>
  <si>
    <t>Nama Pemilik      :</t>
  </si>
  <si>
    <t xml:space="preserve">Identitas Pemilik     : </t>
  </si>
  <si>
    <t>Alamat Pemilik</t>
  </si>
  <si>
    <t>Jalan ABC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</si>
  <si>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</si>
  <si>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</si>
  <si>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</si>
  <si>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</si>
  <si>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</si>
  <si>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</si>
  <si>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</si>
  <si>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</si>
  <si>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</si>
  <si>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KALIBRASI</t>
  </si>
  <si>
    <t>SERTIFIKAT PENGUJIAN</t>
  </si>
  <si>
    <t>BAHAN RUANGAN &amp; PENANGGUNG JAWAB</t>
  </si>
  <si>
    <t>NAMA RUANGAN PADA INPUT DATA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</si>
  <si>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</si>
  <si>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</si>
  <si>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</si>
  <si>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</si>
  <si>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</si>
  <si>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</si>
  <si>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MK. 115 - 2019</t>
  </si>
  <si>
    <t>MIKROPIPET VARIABLE</t>
  </si>
  <si>
    <t>Pippette Callibration Balance, Merek : Sartorius, Tipe : GPC26-CW, SN : 32804763</t>
  </si>
  <si>
    <t>Pippette Callibration Balance, Merek : Sartorius, Tipe : MSA 225S-100-DU, SN : 36301077</t>
  </si>
  <si>
    <t>Pippette Callibration Balance, Merek : Sartorius, Tipe : BCE224i-1S, SN : 39606016</t>
  </si>
  <si>
    <t>Thermohygrolight, Merek : KIMO, Model : KH-210-AO, SN : 15062873</t>
  </si>
  <si>
    <t>Thermohygrolight, Merek : KIMO, Model : KH-210-AO, SN : 15062874</t>
  </si>
  <si>
    <t>Thermohygrolight, Merek : KIMO, Model : KH-210-AO, SN : 14082463</t>
  </si>
  <si>
    <t>Thermohygrolight, Merek : KIMO, Model : KH-210-AO, SN : 15062872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</si>
  <si>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</si>
  <si>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</si>
  <si>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</si>
  <si>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</si>
  <si>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</si>
  <si>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</si>
  <si>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</si>
  <si>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Thermohygrolight, Merek : EXTECH, Model : SD700, SN : A.100586</t>
  </si>
  <si>
    <t>Thermohygrolight, Merek : EXTECH, Model : SD700, SN : A.100605</t>
  </si>
  <si>
    <t>Thermohygrolight, Merek : EXTECH, Model : SD700, SN : A.100609</t>
  </si>
  <si>
    <t>Thermohygrolight, Merek : EXTECH, Model : SD700, SN : A.100611</t>
  </si>
  <si>
    <t>Thermohygrolight, Merek : EXTECH, Model : SD700, SN : A.100616</t>
  </si>
  <si>
    <t>Thermohygrolight, Merek : EXTECH, Model : SD700, SN : A.100617</t>
  </si>
  <si>
    <t>Thermohygrolight, Merek : EXTECH, Model : SD700, SN : A.100618</t>
  </si>
  <si>
    <t>Thermohygrolight, Merek : EXTECH, Model : SD700, SN : A.100615</t>
  </si>
  <si>
    <t>Digital Thermometer, Merek : AccuMac, Tipe : AM 8010, SN : PT10130121</t>
  </si>
  <si>
    <t>Digital Thermometer, Merek : Greisinger, Tipe : GMH 5530, SN : 33700051</t>
  </si>
  <si>
    <t>Digital Thermometer, Merek : Greisinger, Tipe : GMH 5530, SN : 33700052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</si>
</sst>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0.0"/>
    <numFmt numFmtId="165" formatCode="0.000"/>
    <numFmt numFmtId="166" formatCode="0.00000"/>
    <numFmt numFmtId="167" formatCode="0.0000"/>
    <numFmt numFmtId="168" formatCode="0.00000000E+00"/>
    <numFmt numFmtId="169" formatCode="\:"/>
    <numFmt numFmtId="170" formatCode="\±\ \ \ \ \ 0.0\ \ \°\C"/>
    <numFmt numFmtId="171" formatCode="0\ \µ\l"/>
    <numFmt numFmtId="172" formatCode="0.000000"/>
    <numFmt numFmtId="173" formatCode="\±\ 0.00"/>
    <numFmt numFmtId="174" formatCode="0\ &quot;%&quot;"/>
    <numFmt numFmtId="175" formatCode="0.0\ &quot;%&quot;"/>
    <numFmt numFmtId="176" formatCode="0.00\ &quot;%&quot;"/>
    <numFmt numFmtId="177" formatCode="[$-421]dd\ mmmm\ yyyy;@"/>
    <numFmt numFmtId="178" formatCode="0.0000000000"/>
    <numFmt numFmtId="179" formatCode="0.0000000"/>
    <numFmt numFmtId="180" formatCode="0\ &quot;BPM&quot;"/>
    <numFmt numFmtId="181" formatCode="[$-C09]d\ mmmm\ yyyy;@"/>
  </numFmts>
  <fonts count="10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vertAlign val="sub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vertAlign val="subscript"/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i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vertAlign val="subscript"/>
      <sz val="11"/>
      <name val="Times New Roman"/>
      <family val="1"/>
    </font>
    <font>
      <sz val="11"/>
      <name val="Times New Roman"/>
      <family val="1"/>
    </font>
    <font>
      <sz val="11"/>
      <name val="Symbol"/>
      <family val="1"/>
      <charset val="2"/>
    </font>
    <font>
      <vertAlign val="superscript"/>
      <sz val="1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8.1"/>
      <color theme="1"/>
      <name val="Calibri"/>
      <family val="2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u/>
      <sz val="14"/>
      <color theme="1"/>
      <name val="Times New Roman"/>
      <family val="1"/>
    </font>
    <font>
      <b/>
      <vertAlign val="superscript"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vertAlign val="superscript"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Times New Roman"/>
      <family val="1"/>
    </font>
    <font>
      <sz val="8"/>
      <name val="Times New Roman"/>
      <family val="1"/>
    </font>
    <font>
      <b/>
      <sz val="10"/>
      <color theme="1"/>
      <name val="Calibri"/>
      <family val="2"/>
      <scheme val="minor"/>
    </font>
    <font>
      <sz val="10"/>
      <name val="Calibri"/>
      <family val="2"/>
    </font>
    <font>
      <sz val="9"/>
      <name val="Times New Roman"/>
      <family val="1"/>
    </font>
    <font>
      <sz val="12"/>
      <name val="Calibri"/>
      <family val="2"/>
      <scheme val="minor"/>
    </font>
    <font>
      <b/>
      <sz val="10"/>
      <name val="Calibri"/>
      <family val="2"/>
    </font>
    <font>
      <b/>
      <u/>
      <sz val="14"/>
      <name val="Arial"/>
      <family val="2"/>
    </font>
    <font>
      <sz val="12"/>
      <color theme="1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sz val="8"/>
      <name val="Calibri"/>
      <family val="2"/>
      <scheme val="minor"/>
    </font>
    <font>
      <b/>
      <sz val="14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i/>
      <sz val="10"/>
      <name val="Times New Roman"/>
      <family val="1"/>
    </font>
    <font>
      <b/>
      <sz val="9"/>
      <name val="Arial"/>
      <family val="2"/>
    </font>
    <font>
      <sz val="11"/>
      <name val="Arial"/>
      <family val="2"/>
    </font>
    <font>
      <b/>
      <u/>
      <sz val="14"/>
      <color theme="1"/>
      <name val="Arial"/>
      <family val="2"/>
    </font>
    <font>
      <sz val="13"/>
      <color theme="1"/>
      <name val="Arial"/>
      <family val="2"/>
    </font>
    <font>
      <b/>
      <sz val="11"/>
      <name val="Arial"/>
      <family val="2"/>
    </font>
    <font>
      <sz val="8"/>
      <color theme="1"/>
      <name val="Arial"/>
      <family val="2"/>
    </font>
    <font>
      <b/>
      <vertAlign val="subscript"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</font>
    <font>
      <sz val="10"/>
      <name val="Calibri"/>
      <family val="2"/>
      <scheme val="minor"/>
    </font>
    <font>
      <sz val="8.1"/>
      <color theme="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Times New Roman"/>
      <family val="1"/>
    </font>
    <font>
      <b/>
      <i/>
      <sz val="12"/>
      <name val="Arial"/>
      <family val="2"/>
    </font>
    <font>
      <b/>
      <i/>
      <sz val="11"/>
      <name val="Arial"/>
      <family val="2"/>
    </font>
    <font>
      <i/>
      <u/>
      <sz val="11"/>
      <name val="Arial"/>
      <family val="2"/>
    </font>
    <font>
      <b/>
      <sz val="10"/>
      <color theme="1"/>
      <name val="Times New Roman"/>
      <family val="1"/>
    </font>
    <font>
      <b/>
      <sz val="10"/>
      <color theme="1"/>
      <name val="Calibri"/>
      <family val="2"/>
    </font>
    <font>
      <i/>
      <sz val="12"/>
      <color theme="1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0" tint="-0.1499984740745262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Calibri"/>
      <family val="2"/>
      <scheme val="minor"/>
    </font>
    <font>
      <sz val="12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8.8000000000000007"/>
      <color theme="1"/>
      <name val="Calibri"/>
      <family val="2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color rgb="FFFF0000"/>
      <name val="Arial"/>
      <family val="2"/>
    </font>
    <font>
      <sz val="12"/>
      <color rgb="FFFF0000"/>
      <name val="Arial"/>
      <family val="2"/>
    </font>
    <font>
      <sz val="11"/>
      <color rgb="FFFF0000"/>
      <name val="Arial"/>
      <family val="2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</cellStyleXfs>
  <cellXfs count="921">
    <xf numFmtId="0" fontId="0" fillId="0" borderId="0" xfId="0"/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/>
    <xf numFmtId="0" fontId="0" fillId="0" borderId="17" xfId="0" applyBorder="1"/>
    <xf numFmtId="0" fontId="9" fillId="2" borderId="8" xfId="3" applyFont="1" applyFill="1" applyBorder="1" applyAlignment="1">
      <alignment vertical="center"/>
    </xf>
    <xf numFmtId="0" fontId="9" fillId="2" borderId="8" xfId="3" applyFont="1" applyFill="1" applyBorder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2" borderId="1" xfId="3" applyFont="1" applyFill="1" applyBorder="1" applyAlignment="1">
      <alignment horizontal="center" vertical="center"/>
    </xf>
    <xf numFmtId="167" fontId="10" fillId="2" borderId="1" xfId="3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3" borderId="10" xfId="0" applyFont="1" applyFill="1" applyBorder="1"/>
    <xf numFmtId="0" fontId="5" fillId="3" borderId="11" xfId="0" applyFont="1" applyFill="1" applyBorder="1" applyAlignment="1">
      <alignment horizontal="right" vertical="center"/>
    </xf>
    <xf numFmtId="164" fontId="5" fillId="3" borderId="22" xfId="0" applyNumberFormat="1" applyFont="1" applyFill="1" applyBorder="1" applyAlignment="1">
      <alignment horizontal="center" vertical="center"/>
    </xf>
    <xf numFmtId="0" fontId="6" fillId="3" borderId="12" xfId="0" applyFont="1" applyFill="1" applyBorder="1"/>
    <xf numFmtId="0" fontId="5" fillId="3" borderId="20" xfId="0" applyFont="1" applyFill="1" applyBorder="1"/>
    <xf numFmtId="0" fontId="5" fillId="3" borderId="8" xfId="0" applyFont="1" applyFill="1" applyBorder="1" applyAlignment="1">
      <alignment horizontal="right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5" fillId="3" borderId="21" xfId="0" applyFont="1" applyFill="1" applyBorder="1"/>
    <xf numFmtId="0" fontId="5" fillId="3" borderId="1" xfId="0" applyFont="1" applyFill="1" applyBorder="1" applyAlignment="1">
      <alignment horizontal="center" vertical="center"/>
    </xf>
    <xf numFmtId="0" fontId="6" fillId="3" borderId="21" xfId="0" applyFont="1" applyFill="1" applyBorder="1"/>
    <xf numFmtId="0" fontId="5" fillId="3" borderId="20" xfId="0" applyFont="1" applyFill="1" applyBorder="1" applyAlignment="1">
      <alignment horizontal="left" vertical="center"/>
    </xf>
    <xf numFmtId="0" fontId="5" fillId="3" borderId="20" xfId="0" applyFont="1" applyFill="1" applyBorder="1" applyAlignment="1">
      <alignment horizontal="right" vertical="center"/>
    </xf>
    <xf numFmtId="0" fontId="5" fillId="3" borderId="23" xfId="0" applyFont="1" applyFill="1" applyBorder="1" applyAlignment="1">
      <alignment horizontal="right" vertical="center"/>
    </xf>
    <xf numFmtId="0" fontId="5" fillId="3" borderId="24" xfId="0" applyFont="1" applyFill="1" applyBorder="1" applyAlignment="1">
      <alignment horizontal="right" vertical="center"/>
    </xf>
    <xf numFmtId="0" fontId="5" fillId="3" borderId="16" xfId="0" applyFont="1" applyFill="1" applyBorder="1" applyAlignment="1">
      <alignment horizontal="center" vertical="center"/>
    </xf>
    <xf numFmtId="0" fontId="6" fillId="3" borderId="31" xfId="0" applyFont="1" applyFill="1" applyBorder="1"/>
    <xf numFmtId="0" fontId="5" fillId="0" borderId="0" xfId="0" applyFont="1"/>
    <xf numFmtId="0" fontId="0" fillId="0" borderId="44" xfId="0" applyBorder="1"/>
    <xf numFmtId="0" fontId="0" fillId="0" borderId="9" xfId="0" applyBorder="1"/>
    <xf numFmtId="2" fontId="31" fillId="5" borderId="1" xfId="0" applyNumberFormat="1" applyFont="1" applyFill="1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30" xfId="0" applyBorder="1"/>
    <xf numFmtId="167" fontId="10" fillId="2" borderId="3" xfId="3" applyNumberFormat="1" applyFont="1" applyFill="1" applyBorder="1" applyAlignment="1">
      <alignment horizontal="center" vertical="center"/>
    </xf>
    <xf numFmtId="2" fontId="10" fillId="2" borderId="1" xfId="3" applyNumberFormat="1" applyFont="1" applyFill="1" applyBorder="1" applyAlignment="1">
      <alignment horizontal="center" vertical="center"/>
    </xf>
    <xf numFmtId="0" fontId="11" fillId="2" borderId="8" xfId="3" applyFont="1" applyFill="1" applyBorder="1" applyAlignment="1">
      <alignment vertical="center"/>
    </xf>
    <xf numFmtId="2" fontId="11" fillId="2" borderId="8" xfId="3" applyNumberFormat="1" applyFont="1" applyFill="1" applyBorder="1" applyAlignment="1">
      <alignment vertical="center"/>
    </xf>
    <xf numFmtId="0" fontId="12" fillId="2" borderId="8" xfId="3" applyFont="1" applyFill="1" applyBorder="1" applyAlignment="1">
      <alignment vertical="center"/>
    </xf>
    <xf numFmtId="2" fontId="12" fillId="2" borderId="8" xfId="3" applyNumberFormat="1" applyFont="1" applyFill="1" applyBorder="1" applyAlignment="1">
      <alignment vertical="center"/>
    </xf>
    <xf numFmtId="0" fontId="13" fillId="2" borderId="8" xfId="3" applyFont="1" applyFill="1" applyBorder="1" applyAlignment="1">
      <alignment vertical="center"/>
    </xf>
    <xf numFmtId="167" fontId="14" fillId="2" borderId="1" xfId="3" applyNumberFormat="1" applyFont="1" applyFill="1" applyBorder="1" applyAlignment="1">
      <alignment horizontal="center" vertical="center"/>
    </xf>
    <xf numFmtId="0" fontId="15" fillId="2" borderId="8" xfId="3" applyFont="1" applyFill="1" applyBorder="1" applyAlignment="1">
      <alignment vertical="center"/>
    </xf>
    <xf numFmtId="0" fontId="14" fillId="2" borderId="8" xfId="3" applyFont="1" applyFill="1" applyBorder="1" applyAlignment="1">
      <alignment vertical="center"/>
    </xf>
    <xf numFmtId="165" fontId="3" fillId="2" borderId="1" xfId="3" applyNumberFormat="1" applyFont="1" applyFill="1" applyBorder="1" applyAlignment="1">
      <alignment horizontal="center" vertical="center"/>
    </xf>
    <xf numFmtId="0" fontId="36" fillId="0" borderId="26" xfId="0" applyFont="1" applyBorder="1"/>
    <xf numFmtId="0" fontId="33" fillId="0" borderId="48" xfId="0" applyFont="1" applyBorder="1"/>
    <xf numFmtId="0" fontId="33" fillId="0" borderId="48" xfId="0" applyFont="1" applyBorder="1" applyAlignment="1">
      <alignment horizontal="center" vertical="center"/>
    </xf>
    <xf numFmtId="0" fontId="33" fillId="0" borderId="6" xfId="0" applyFont="1" applyBorder="1"/>
    <xf numFmtId="0" fontId="33" fillId="0" borderId="6" xfId="0" applyFont="1" applyBorder="1" applyAlignment="1">
      <alignment horizontal="center" vertical="center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33" fillId="0" borderId="29" xfId="0" applyFont="1" applyBorder="1" applyAlignment="1">
      <alignment horizontal="center" vertical="center"/>
    </xf>
    <xf numFmtId="0" fontId="33" fillId="2" borderId="56" xfId="0" quotePrefix="1" applyFont="1" applyFill="1" applyBorder="1" applyAlignment="1">
      <alignment vertical="center"/>
    </xf>
    <xf numFmtId="0" fontId="33" fillId="0" borderId="58" xfId="0" applyFont="1" applyBorder="1"/>
    <xf numFmtId="0" fontId="33" fillId="0" borderId="47" xfId="0" applyFont="1" applyBorder="1" applyAlignment="1">
      <alignment horizontal="center" vertical="center"/>
    </xf>
    <xf numFmtId="0" fontId="33" fillId="0" borderId="59" xfId="0" applyFont="1" applyBorder="1"/>
    <xf numFmtId="0" fontId="36" fillId="0" borderId="27" xfId="0" applyFont="1" applyBorder="1"/>
    <xf numFmtId="0" fontId="36" fillId="0" borderId="28" xfId="0" applyFont="1" applyBorder="1"/>
    <xf numFmtId="0" fontId="10" fillId="0" borderId="44" xfId="0" applyFont="1" applyBorder="1"/>
    <xf numFmtId="0" fontId="19" fillId="2" borderId="0" xfId="0" applyFont="1" applyFill="1" applyAlignment="1">
      <alignment horizontal="center" vertical="center"/>
    </xf>
    <xf numFmtId="0" fontId="38" fillId="0" borderId="0" xfId="0" applyFont="1"/>
    <xf numFmtId="0" fontId="40" fillId="0" borderId="0" xfId="1" applyFont="1" applyAlignment="1">
      <alignment horizontal="center"/>
    </xf>
    <xf numFmtId="0" fontId="41" fillId="0" borderId="0" xfId="1" applyFont="1"/>
    <xf numFmtId="164" fontId="41" fillId="0" borderId="0" xfId="1" applyNumberFormat="1" applyFont="1"/>
    <xf numFmtId="2" fontId="41" fillId="0" borderId="0" xfId="1" applyNumberFormat="1" applyFont="1"/>
    <xf numFmtId="0" fontId="41" fillId="0" borderId="0" xfId="1" applyFont="1" applyAlignment="1">
      <alignment horizontal="right"/>
    </xf>
    <xf numFmtId="0" fontId="41" fillId="0" borderId="32" xfId="1" applyFont="1" applyBorder="1" applyAlignment="1">
      <alignment horizontal="left" vertical="center"/>
    </xf>
    <xf numFmtId="0" fontId="41" fillId="0" borderId="32" xfId="1" applyFont="1" applyBorder="1"/>
    <xf numFmtId="0" fontId="41" fillId="0" borderId="33" xfId="1" quotePrefix="1" applyFont="1" applyBorder="1" applyAlignment="1">
      <alignment horizontal="left" vertical="center"/>
    </xf>
    <xf numFmtId="0" fontId="41" fillId="0" borderId="33" xfId="1" applyFont="1" applyBorder="1" applyAlignment="1">
      <alignment horizontal="left" vertical="center"/>
    </xf>
    <xf numFmtId="0" fontId="41" fillId="0" borderId="33" xfId="1" applyFont="1" applyBorder="1"/>
    <xf numFmtId="0" fontId="41" fillId="0" borderId="33" xfId="1" quotePrefix="1" applyFont="1" applyBorder="1" applyAlignment="1">
      <alignment vertical="center"/>
    </xf>
    <xf numFmtId="0" fontId="41" fillId="0" borderId="53" xfId="1" applyFont="1" applyBorder="1"/>
    <xf numFmtId="0" fontId="40" fillId="0" borderId="0" xfId="1" applyFont="1"/>
    <xf numFmtId="0" fontId="42" fillId="0" borderId="0" xfId="0" applyFont="1"/>
    <xf numFmtId="0" fontId="38" fillId="0" borderId="1" xfId="0" applyFont="1" applyBorder="1" applyAlignment="1">
      <alignment horizontal="center" vertical="center"/>
    </xf>
    <xf numFmtId="0" fontId="38" fillId="0" borderId="0" xfId="0" applyFont="1" applyAlignment="1">
      <alignment horizontal="right" vertical="center"/>
    </xf>
    <xf numFmtId="0" fontId="38" fillId="0" borderId="1" xfId="0" applyFont="1" applyBorder="1" applyAlignment="1">
      <alignment horizontal="left" vertical="center"/>
    </xf>
    <xf numFmtId="0" fontId="38" fillId="0" borderId="1" xfId="0" applyFont="1" applyBorder="1"/>
    <xf numFmtId="0" fontId="38" fillId="0" borderId="0" xfId="0" applyFont="1" applyAlignment="1">
      <alignment horizontal="center" vertical="center"/>
    </xf>
    <xf numFmtId="0" fontId="38" fillId="0" borderId="0" xfId="0" applyFont="1" applyAlignment="1">
      <alignment vertical="center"/>
    </xf>
    <xf numFmtId="0" fontId="38" fillId="0" borderId="39" xfId="0" applyFont="1" applyBorder="1" applyAlignment="1">
      <alignment horizontal="center" vertical="center"/>
    </xf>
    <xf numFmtId="2" fontId="38" fillId="0" borderId="51" xfId="0" applyNumberFormat="1" applyFont="1" applyBorder="1" applyAlignment="1">
      <alignment horizontal="center" vertical="center"/>
    </xf>
    <xf numFmtId="165" fontId="38" fillId="0" borderId="0" xfId="0" applyNumberFormat="1" applyFont="1" applyAlignment="1">
      <alignment horizontal="center" vertical="center"/>
    </xf>
    <xf numFmtId="0" fontId="38" fillId="0" borderId="40" xfId="0" applyFont="1" applyBorder="1" applyAlignment="1">
      <alignment horizontal="center" vertical="center"/>
    </xf>
    <xf numFmtId="2" fontId="38" fillId="0" borderId="33" xfId="0" applyNumberFormat="1" applyFont="1" applyBorder="1" applyAlignment="1">
      <alignment horizontal="center" vertical="center"/>
    </xf>
    <xf numFmtId="2" fontId="38" fillId="0" borderId="52" xfId="0" applyNumberFormat="1" applyFont="1" applyBorder="1" applyAlignment="1">
      <alignment horizontal="center" vertical="center"/>
    </xf>
    <xf numFmtId="0" fontId="38" fillId="0" borderId="2" xfId="0" applyFont="1" applyBorder="1" applyAlignment="1">
      <alignment vertical="center"/>
    </xf>
    <xf numFmtId="167" fontId="38" fillId="0" borderId="7" xfId="0" applyNumberFormat="1" applyFont="1" applyBorder="1" applyAlignment="1">
      <alignment horizontal="center" vertical="center"/>
    </xf>
    <xf numFmtId="167" fontId="38" fillId="0" borderId="0" xfId="0" applyNumberFormat="1" applyFont="1" applyAlignment="1">
      <alignment horizontal="center" vertical="center"/>
    </xf>
    <xf numFmtId="0" fontId="42" fillId="0" borderId="0" xfId="0" applyFont="1" applyAlignment="1">
      <alignment horizontal="left" vertical="center"/>
    </xf>
    <xf numFmtId="0" fontId="38" fillId="0" borderId="0" xfId="0" applyFont="1" applyAlignment="1">
      <alignment horizontal="left" vertical="center"/>
    </xf>
    <xf numFmtId="0" fontId="42" fillId="0" borderId="0" xfId="0" applyFont="1" applyAlignment="1">
      <alignment vertical="center"/>
    </xf>
    <xf numFmtId="0" fontId="38" fillId="0" borderId="32" xfId="0" applyFont="1" applyBorder="1" applyAlignment="1">
      <alignment vertical="center"/>
    </xf>
    <xf numFmtId="0" fontId="40" fillId="2" borderId="0" xfId="0" applyFont="1" applyFill="1" applyAlignment="1">
      <alignment vertical="center"/>
    </xf>
    <xf numFmtId="0" fontId="41" fillId="2" borderId="0" xfId="0" applyFont="1" applyFill="1" applyAlignment="1">
      <alignment vertical="center"/>
    </xf>
    <xf numFmtId="0" fontId="47" fillId="8" borderId="1" xfId="0" applyFont="1" applyFill="1" applyBorder="1" applyAlignment="1" applyProtection="1">
      <alignment horizontal="center" vertical="center"/>
      <protection locked="0"/>
    </xf>
    <xf numFmtId="0" fontId="10" fillId="0" borderId="0" xfId="0" applyFont="1"/>
    <xf numFmtId="2" fontId="10" fillId="5" borderId="1" xfId="0" applyNumberFormat="1" applyFont="1" applyFill="1" applyBorder="1" applyAlignment="1">
      <alignment horizontal="center" vertical="center"/>
    </xf>
    <xf numFmtId="2" fontId="10" fillId="5" borderId="1" xfId="0" applyNumberFormat="1" applyFont="1" applyFill="1" applyBorder="1" applyAlignment="1">
      <alignment horizontal="center"/>
    </xf>
    <xf numFmtId="0" fontId="0" fillId="0" borderId="1" xfId="0" applyBorder="1"/>
    <xf numFmtId="0" fontId="38" fillId="0" borderId="0" xfId="0" applyFont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164" fontId="38" fillId="0" borderId="0" xfId="0" applyNumberFormat="1" applyFont="1" applyAlignment="1">
      <alignment horizontal="left" vertical="center"/>
    </xf>
    <xf numFmtId="2" fontId="38" fillId="0" borderId="0" xfId="0" applyNumberFormat="1" applyFont="1" applyAlignment="1">
      <alignment horizontal="left" vertical="center"/>
    </xf>
    <xf numFmtId="0" fontId="42" fillId="0" borderId="1" xfId="0" applyFont="1" applyBorder="1" applyAlignment="1">
      <alignment horizontal="center" vertical="center"/>
    </xf>
    <xf numFmtId="0" fontId="38" fillId="0" borderId="0" xfId="0" applyFont="1" applyAlignment="1">
      <alignment horizontal="left"/>
    </xf>
    <xf numFmtId="2" fontId="38" fillId="0" borderId="0" xfId="0" applyNumberFormat="1" applyFont="1"/>
    <xf numFmtId="0" fontId="42" fillId="0" borderId="0" xfId="0" applyFont="1" applyAlignment="1">
      <alignment vertical="center" wrapText="1"/>
    </xf>
    <xf numFmtId="0" fontId="22" fillId="0" borderId="0" xfId="0" applyFont="1"/>
    <xf numFmtId="0" fontId="22" fillId="0" borderId="44" xfId="0" applyFont="1" applyBorder="1" applyAlignment="1">
      <alignment horizontal="center" vertical="center"/>
    </xf>
    <xf numFmtId="167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4" borderId="15" xfId="0" applyFont="1" applyFill="1" applyBorder="1" applyAlignment="1">
      <alignment horizontal="center" vertical="center"/>
    </xf>
    <xf numFmtId="167" fontId="22" fillId="4" borderId="16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50" fillId="5" borderId="1" xfId="0" applyFont="1" applyFill="1" applyBorder="1" applyAlignment="1">
      <alignment horizontal="center" vertical="center"/>
    </xf>
    <xf numFmtId="0" fontId="50" fillId="2" borderId="1" xfId="0" applyFont="1" applyFill="1" applyBorder="1" applyAlignment="1">
      <alignment horizontal="center" vertical="center"/>
    </xf>
    <xf numFmtId="0" fontId="22" fillId="4" borderId="16" xfId="0" applyFont="1" applyFill="1" applyBorder="1" applyAlignment="1">
      <alignment horizontal="center" vertical="center" wrapText="1"/>
    </xf>
    <xf numFmtId="164" fontId="22" fillId="4" borderId="16" xfId="0" applyNumberFormat="1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center"/>
    </xf>
    <xf numFmtId="0" fontId="47" fillId="0" borderId="0" xfId="0" applyFont="1" applyAlignment="1" applyProtection="1">
      <alignment vertical="center"/>
      <protection locked="0"/>
    </xf>
    <xf numFmtId="0" fontId="30" fillId="0" borderId="0" xfId="3" applyFont="1" applyAlignment="1" applyProtection="1">
      <alignment vertical="center"/>
      <protection locked="0"/>
    </xf>
    <xf numFmtId="0" fontId="0" fillId="0" borderId="0" xfId="0" applyAlignment="1">
      <alignment horizontal="left" vertical="center"/>
    </xf>
    <xf numFmtId="2" fontId="1" fillId="0" borderId="0" xfId="0" applyNumberFormat="1" applyFont="1" applyAlignment="1" applyProtection="1">
      <alignment horizontal="center"/>
      <protection locked="0"/>
    </xf>
    <xf numFmtId="0" fontId="11" fillId="6" borderId="1" xfId="0" applyFont="1" applyFill="1" applyBorder="1" applyAlignment="1" applyProtection="1">
      <alignment vertical="center"/>
      <protection locked="0"/>
    </xf>
    <xf numFmtId="0" fontId="10" fillId="6" borderId="8" xfId="0" applyFont="1" applyFill="1" applyBorder="1" applyAlignment="1" applyProtection="1">
      <alignment horizontal="center" vertical="center"/>
      <protection locked="0"/>
    </xf>
    <xf numFmtId="0" fontId="10" fillId="6" borderId="8" xfId="0" applyFont="1" applyFill="1" applyBorder="1" applyAlignment="1" applyProtection="1">
      <alignment vertical="center"/>
      <protection locked="0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1" fillId="6" borderId="2" xfId="0" applyFont="1" applyFill="1" applyBorder="1" applyAlignment="1" applyProtection="1">
      <alignment vertical="center"/>
      <protection locked="0"/>
    </xf>
    <xf numFmtId="0" fontId="11" fillId="6" borderId="8" xfId="0" applyFont="1" applyFill="1" applyBorder="1" applyAlignment="1" applyProtection="1">
      <alignment vertical="center"/>
      <protection locked="0"/>
    </xf>
    <xf numFmtId="0" fontId="11" fillId="6" borderId="7" xfId="0" applyFont="1" applyFill="1" applyBorder="1" applyAlignment="1" applyProtection="1">
      <alignment vertical="center"/>
      <protection locked="0"/>
    </xf>
    <xf numFmtId="0" fontId="38" fillId="6" borderId="2" xfId="0" applyFont="1" applyFill="1" applyBorder="1" applyAlignment="1">
      <alignment horizontal="left" vertical="center"/>
    </xf>
    <xf numFmtId="0" fontId="50" fillId="8" borderId="1" xfId="0" applyFont="1" applyFill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33" fillId="0" borderId="2" xfId="0" applyFont="1" applyBorder="1"/>
    <xf numFmtId="0" fontId="33" fillId="0" borderId="8" xfId="0" applyFont="1" applyBorder="1"/>
    <xf numFmtId="0" fontId="33" fillId="0" borderId="15" xfId="0" applyFont="1" applyBorder="1"/>
    <xf numFmtId="0" fontId="33" fillId="0" borderId="42" xfId="0" applyFont="1" applyBorder="1"/>
    <xf numFmtId="0" fontId="33" fillId="0" borderId="24" xfId="0" applyFont="1" applyBorder="1"/>
    <xf numFmtId="0" fontId="33" fillId="0" borderId="0" xfId="0" applyFont="1" applyAlignment="1">
      <alignment vertical="center"/>
    </xf>
    <xf numFmtId="0" fontId="33" fillId="0" borderId="25" xfId="0" applyFont="1" applyBorder="1" applyAlignment="1">
      <alignment vertical="center"/>
    </xf>
    <xf numFmtId="0" fontId="33" fillId="0" borderId="25" xfId="0" applyFont="1" applyBorder="1"/>
    <xf numFmtId="0" fontId="47" fillId="5" borderId="1" xfId="0" applyFont="1" applyFill="1" applyBorder="1" applyAlignment="1" applyProtection="1">
      <alignment vertical="center"/>
      <protection locked="0"/>
    </xf>
    <xf numFmtId="0" fontId="0" fillId="0" borderId="1" xfId="0" applyBorder="1" applyAlignment="1">
      <alignment horizontal="left" vertical="center"/>
    </xf>
    <xf numFmtId="166" fontId="0" fillId="0" borderId="1" xfId="0" applyNumberFormat="1" applyBorder="1" applyAlignment="1">
      <alignment horizontal="center" vertical="center"/>
    </xf>
    <xf numFmtId="172" fontId="0" fillId="0" borderId="1" xfId="0" applyNumberFormat="1" applyBorder="1" applyAlignment="1">
      <alignment horizontal="center" vertical="center"/>
    </xf>
    <xf numFmtId="166" fontId="1" fillId="5" borderId="1" xfId="0" applyNumberFormat="1" applyFont="1" applyFill="1" applyBorder="1" applyAlignment="1" applyProtection="1">
      <alignment horizontal="center"/>
      <protection locked="0"/>
    </xf>
    <xf numFmtId="2" fontId="0" fillId="0" borderId="1" xfId="0" applyNumberFormat="1" applyBorder="1" applyAlignment="1">
      <alignment horizontal="center" vertical="center"/>
    </xf>
    <xf numFmtId="166" fontId="10" fillId="5" borderId="1" xfId="0" applyNumberFormat="1" applyFont="1" applyFill="1" applyBorder="1" applyAlignment="1">
      <alignment horizontal="center" vertical="center"/>
    </xf>
    <xf numFmtId="166" fontId="10" fillId="5" borderId="1" xfId="0" applyNumberFormat="1" applyFont="1" applyFill="1" applyBorder="1" applyAlignment="1">
      <alignment horizontal="center"/>
    </xf>
    <xf numFmtId="172" fontId="10" fillId="5" borderId="1" xfId="0" applyNumberFormat="1" applyFont="1" applyFill="1" applyBorder="1" applyAlignment="1">
      <alignment horizontal="center" vertical="center"/>
    </xf>
    <xf numFmtId="172" fontId="10" fillId="5" borderId="1" xfId="0" applyNumberFormat="1" applyFont="1" applyFill="1" applyBorder="1" applyAlignment="1">
      <alignment horizontal="center"/>
    </xf>
    <xf numFmtId="172" fontId="10" fillId="8" borderId="1" xfId="0" applyNumberFormat="1" applyFont="1" applyFill="1" applyBorder="1" applyAlignment="1">
      <alignment horizontal="center" vertical="center"/>
    </xf>
    <xf numFmtId="172" fontId="10" fillId="2" borderId="1" xfId="0" applyNumberFormat="1" applyFont="1" applyFill="1" applyBorder="1" applyAlignment="1">
      <alignment horizontal="center" vertical="center"/>
    </xf>
    <xf numFmtId="0" fontId="9" fillId="2" borderId="8" xfId="3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center" vertical="center"/>
    </xf>
    <xf numFmtId="0" fontId="0" fillId="0" borderId="2" xfId="0" applyBorder="1"/>
    <xf numFmtId="0" fontId="0" fillId="0" borderId="8" xfId="0" applyBorder="1"/>
    <xf numFmtId="0" fontId="0" fillId="0" borderId="7" xfId="0" applyBorder="1"/>
    <xf numFmtId="165" fontId="10" fillId="2" borderId="1" xfId="3" applyNumberFormat="1" applyFont="1" applyFill="1" applyBorder="1" applyAlignment="1">
      <alignment horizontal="center" vertical="center"/>
    </xf>
    <xf numFmtId="11" fontId="10" fillId="2" borderId="1" xfId="3" applyNumberFormat="1" applyFont="1" applyFill="1" applyBorder="1" applyAlignment="1">
      <alignment horizontal="center" vertical="center"/>
    </xf>
    <xf numFmtId="0" fontId="0" fillId="4" borderId="1" xfId="0" applyFill="1" applyBorder="1"/>
    <xf numFmtId="167" fontId="0" fillId="4" borderId="7" xfId="0" applyNumberFormat="1" applyFill="1" applyBorder="1" applyAlignment="1">
      <alignment horizontal="center" vertical="center"/>
    </xf>
    <xf numFmtId="166" fontId="10" fillId="2" borderId="1" xfId="3" applyNumberFormat="1" applyFont="1" applyFill="1" applyBorder="1" applyAlignment="1">
      <alignment horizontal="center" vertical="center"/>
    </xf>
    <xf numFmtId="167" fontId="11" fillId="2" borderId="8" xfId="3" applyNumberFormat="1" applyFont="1" applyFill="1" applyBorder="1" applyAlignment="1">
      <alignment vertical="center"/>
    </xf>
    <xf numFmtId="167" fontId="12" fillId="2" borderId="8" xfId="3" applyNumberFormat="1" applyFont="1" applyFill="1" applyBorder="1" applyAlignment="1">
      <alignment vertical="center"/>
    </xf>
    <xf numFmtId="0" fontId="22" fillId="0" borderId="8" xfId="0" applyFont="1" applyBorder="1"/>
    <xf numFmtId="0" fontId="22" fillId="0" borderId="8" xfId="0" applyFont="1" applyBorder="1" applyAlignment="1">
      <alignment vertical="center"/>
    </xf>
    <xf numFmtId="0" fontId="36" fillId="0" borderId="27" xfId="0" applyFont="1" applyBorder="1" applyAlignment="1">
      <alignment horizontal="center" vertical="center"/>
    </xf>
    <xf numFmtId="167" fontId="60" fillId="2" borderId="1" xfId="3" applyNumberFormat="1" applyFont="1" applyFill="1" applyBorder="1" applyAlignment="1">
      <alignment horizontal="center" vertical="center"/>
    </xf>
    <xf numFmtId="0" fontId="60" fillId="2" borderId="1" xfId="3" applyFont="1" applyFill="1" applyBorder="1" applyAlignment="1">
      <alignment horizontal="center" vertical="center"/>
    </xf>
    <xf numFmtId="167" fontId="60" fillId="2" borderId="8" xfId="3" applyNumberFormat="1" applyFont="1" applyFill="1" applyBorder="1" applyAlignment="1">
      <alignment horizontal="center" vertical="center"/>
    </xf>
    <xf numFmtId="0" fontId="63" fillId="9" borderId="1" xfId="0" applyFont="1" applyFill="1" applyBorder="1" applyAlignment="1">
      <alignment horizontal="center" vertical="center"/>
    </xf>
    <xf numFmtId="2" fontId="35" fillId="4" borderId="1" xfId="0" applyNumberFormat="1" applyFont="1" applyFill="1" applyBorder="1" applyAlignment="1">
      <alignment horizontal="center" vertical="center"/>
    </xf>
    <xf numFmtId="0" fontId="35" fillId="4" borderId="1" xfId="0" applyFont="1" applyFill="1" applyBorder="1" applyAlignment="1">
      <alignment vertical="center"/>
    </xf>
    <xf numFmtId="0" fontId="10" fillId="10" borderId="18" xfId="0" applyFont="1" applyFill="1" applyBorder="1" applyAlignment="1">
      <alignment horizontal="center" vertical="center"/>
    </xf>
    <xf numFmtId="0" fontId="10" fillId="10" borderId="49" xfId="0" applyFont="1" applyFill="1" applyBorder="1" applyAlignment="1">
      <alignment horizontal="center" vertical="center"/>
    </xf>
    <xf numFmtId="0" fontId="10" fillId="10" borderId="50" xfId="0" applyFont="1" applyFill="1" applyBorder="1" applyAlignment="1">
      <alignment horizontal="center" vertical="center"/>
    </xf>
    <xf numFmtId="0" fontId="10" fillId="0" borderId="9" xfId="0" applyFont="1" applyBorder="1"/>
    <xf numFmtId="0" fontId="33" fillId="0" borderId="8" xfId="0" applyFont="1" applyBorder="1" applyAlignment="1">
      <alignment horizontal="center" vertical="center"/>
    </xf>
    <xf numFmtId="0" fontId="33" fillId="0" borderId="7" xfId="0" applyFont="1" applyBorder="1"/>
    <xf numFmtId="0" fontId="33" fillId="0" borderId="14" xfId="0" applyFont="1" applyBorder="1" applyAlignment="1">
      <alignment horizontal="center"/>
    </xf>
    <xf numFmtId="0" fontId="36" fillId="0" borderId="0" xfId="0" applyFont="1"/>
    <xf numFmtId="164" fontId="64" fillId="0" borderId="0" xfId="0" applyNumberFormat="1" applyFont="1" applyAlignment="1" applyProtection="1">
      <alignment horizontal="center" vertical="center"/>
      <protection locked="0"/>
    </xf>
    <xf numFmtId="0" fontId="48" fillId="0" borderId="0" xfId="0" applyFont="1" applyAlignment="1" applyProtection="1">
      <alignment vertical="center"/>
      <protection locked="0"/>
    </xf>
    <xf numFmtId="164" fontId="65" fillId="2" borderId="0" xfId="0" applyNumberFormat="1" applyFont="1" applyFill="1" applyAlignment="1" applyProtection="1">
      <alignment horizontal="center" vertical="center"/>
      <protection locked="0"/>
    </xf>
    <xf numFmtId="0" fontId="52" fillId="0" borderId="0" xfId="0" applyFont="1" applyAlignment="1">
      <alignment horizontal="center" vertical="center"/>
    </xf>
    <xf numFmtId="0" fontId="52" fillId="0" borderId="0" xfId="0" applyFont="1"/>
    <xf numFmtId="0" fontId="52" fillId="0" borderId="0" xfId="0" applyFont="1" applyAlignment="1">
      <alignment horizontal="center"/>
    </xf>
    <xf numFmtId="0" fontId="52" fillId="0" borderId="0" xfId="0" applyFont="1" applyAlignment="1">
      <alignment vertical="center"/>
    </xf>
    <xf numFmtId="0" fontId="66" fillId="0" borderId="0" xfId="0" applyFont="1" applyAlignment="1">
      <alignment vertical="center" wrapText="1"/>
    </xf>
    <xf numFmtId="0" fontId="67" fillId="9" borderId="1" xfId="0" applyFont="1" applyFill="1" applyBorder="1" applyAlignment="1">
      <alignment horizontal="center" vertical="center" wrapText="1"/>
    </xf>
    <xf numFmtId="175" fontId="0" fillId="0" borderId="1" xfId="0" applyNumberFormat="1" applyBorder="1" applyAlignment="1">
      <alignment horizontal="center" vertical="center"/>
    </xf>
    <xf numFmtId="0" fontId="69" fillId="9" borderId="1" xfId="0" applyFont="1" applyFill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52" fillId="2" borderId="0" xfId="0" applyFont="1" applyFill="1" applyAlignment="1">
      <alignment horizontal="center" vertical="center"/>
    </xf>
    <xf numFmtId="0" fontId="52" fillId="2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 wrapText="1"/>
    </xf>
    <xf numFmtId="0" fontId="70" fillId="0" borderId="0" xfId="0" applyFont="1" applyProtection="1">
      <protection locked="0"/>
    </xf>
    <xf numFmtId="0" fontId="52" fillId="2" borderId="0" xfId="4" applyFont="1" applyFill="1" applyAlignment="1" applyProtection="1">
      <alignment vertical="center"/>
      <protection locked="0"/>
    </xf>
    <xf numFmtId="0" fontId="55" fillId="2" borderId="0" xfId="4" applyFont="1" applyFill="1" applyAlignment="1" applyProtection="1">
      <alignment vertical="center"/>
      <protection locked="0"/>
    </xf>
    <xf numFmtId="0" fontId="52" fillId="0" borderId="0" xfId="0" applyFont="1" applyAlignment="1" applyProtection="1">
      <alignment vertical="center"/>
      <protection locked="0"/>
    </xf>
    <xf numFmtId="0" fontId="52" fillId="2" borderId="0" xfId="0" applyFont="1" applyFill="1" applyAlignment="1" applyProtection="1">
      <alignment vertical="center"/>
      <protection locked="0"/>
    </xf>
    <xf numFmtId="0" fontId="42" fillId="0" borderId="0" xfId="0" applyFont="1" applyProtection="1">
      <protection locked="0"/>
    </xf>
    <xf numFmtId="0" fontId="38" fillId="0" borderId="0" xfId="0" applyFont="1" applyProtection="1">
      <protection locked="0"/>
    </xf>
    <xf numFmtId="0" fontId="38" fillId="0" borderId="0" xfId="0" applyFont="1" applyAlignment="1" applyProtection="1">
      <alignment horizontal="left" vertical="center"/>
      <protection locked="0"/>
    </xf>
    <xf numFmtId="0" fontId="41" fillId="2" borderId="0" xfId="0" applyFont="1" applyFill="1" applyAlignment="1" applyProtection="1">
      <alignment vertical="center"/>
      <protection locked="0"/>
    </xf>
    <xf numFmtId="0" fontId="41" fillId="0" borderId="0" xfId="0" applyFont="1" applyAlignment="1" applyProtection="1">
      <alignment vertical="center"/>
      <protection locked="0"/>
    </xf>
    <xf numFmtId="165" fontId="41" fillId="0" borderId="0" xfId="0" applyNumberFormat="1" applyFont="1" applyAlignment="1" applyProtection="1">
      <alignment vertical="center"/>
      <protection locked="0"/>
    </xf>
    <xf numFmtId="2" fontId="41" fillId="2" borderId="0" xfId="0" applyNumberFormat="1" applyFont="1" applyFill="1" applyAlignment="1" applyProtection="1">
      <alignment vertical="center"/>
      <protection locked="0"/>
    </xf>
    <xf numFmtId="0" fontId="40" fillId="0" borderId="0" xfId="0" applyFont="1" applyAlignment="1" applyProtection="1">
      <alignment vertical="center"/>
      <protection locked="0"/>
    </xf>
    <xf numFmtId="0" fontId="40" fillId="2" borderId="0" xfId="0" applyFont="1" applyFill="1" applyAlignment="1" applyProtection="1">
      <alignment vertical="center"/>
      <protection locked="0"/>
    </xf>
    <xf numFmtId="0" fontId="56" fillId="0" borderId="0" xfId="0" applyFont="1" applyAlignment="1" applyProtection="1">
      <alignment horizontal="right" vertical="center"/>
      <protection locked="0"/>
    </xf>
    <xf numFmtId="169" fontId="38" fillId="0" borderId="0" xfId="0" applyNumberFormat="1" applyFont="1" applyAlignment="1">
      <alignment horizontal="right" vertical="center"/>
    </xf>
    <xf numFmtId="169" fontId="38" fillId="0" borderId="0" xfId="0" applyNumberFormat="1" applyFont="1"/>
    <xf numFmtId="171" fontId="38" fillId="0" borderId="0" xfId="0" applyNumberFormat="1" applyFont="1" applyAlignment="1">
      <alignment horizontal="left" vertical="center"/>
    </xf>
    <xf numFmtId="0" fontId="48" fillId="2" borderId="0" xfId="0" applyFont="1" applyFill="1" applyAlignment="1">
      <alignment vertical="center"/>
    </xf>
    <xf numFmtId="167" fontId="48" fillId="2" borderId="0" xfId="0" applyNumberFormat="1" applyFont="1" applyFill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167" fontId="1" fillId="2" borderId="2" xfId="0" applyNumberFormat="1" applyFont="1" applyFill="1" applyBorder="1" applyAlignment="1">
      <alignment horizontal="left" vertical="center"/>
    </xf>
    <xf numFmtId="167" fontId="1" fillId="2" borderId="8" xfId="0" applyNumberFormat="1" applyFont="1" applyFill="1" applyBorder="1" applyAlignment="1">
      <alignment horizontal="center" vertical="center"/>
    </xf>
    <xf numFmtId="0" fontId="48" fillId="2" borderId="0" xfId="0" applyFont="1" applyFill="1" applyAlignment="1" applyProtection="1">
      <alignment vertical="center"/>
      <protection locked="0"/>
    </xf>
    <xf numFmtId="0" fontId="70" fillId="0" borderId="1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/>
    </xf>
    <xf numFmtId="0" fontId="71" fillId="0" borderId="1" xfId="0" applyFont="1" applyBorder="1"/>
    <xf numFmtId="177" fontId="71" fillId="0" borderId="1" xfId="0" applyNumberFormat="1" applyFont="1" applyBorder="1" applyAlignment="1">
      <alignment horizontal="center" vertical="center"/>
    </xf>
    <xf numFmtId="0" fontId="52" fillId="0" borderId="2" xfId="0" quotePrefix="1" applyFont="1" applyBorder="1" applyAlignment="1" applyProtection="1">
      <alignment horizontal="center" wrapText="1"/>
      <protection locked="0"/>
    </xf>
    <xf numFmtId="0" fontId="52" fillId="0" borderId="1" xfId="0" applyFont="1" applyBorder="1" applyAlignment="1" applyProtection="1">
      <alignment horizontal="center" wrapText="1"/>
      <protection locked="0"/>
    </xf>
    <xf numFmtId="0" fontId="72" fillId="0" borderId="0" xfId="0" applyFont="1"/>
    <xf numFmtId="0" fontId="71" fillId="0" borderId="1" xfId="0" quotePrefix="1" applyFont="1" applyBorder="1" applyAlignment="1">
      <alignment horizontal="center" vertical="center"/>
    </xf>
    <xf numFmtId="0" fontId="41" fillId="0" borderId="0" xfId="1" applyFont="1" applyAlignment="1" applyProtection="1">
      <alignment vertical="center"/>
      <protection locked="0"/>
    </xf>
    <xf numFmtId="0" fontId="39" fillId="0" borderId="0" xfId="1" applyFont="1" applyAlignment="1" applyProtection="1">
      <alignment vertical="center"/>
      <protection locked="0"/>
    </xf>
    <xf numFmtId="0" fontId="39" fillId="0" borderId="0" xfId="1" applyFont="1" applyAlignment="1" applyProtection="1">
      <alignment horizontal="right" vertical="center"/>
      <protection locked="0"/>
    </xf>
    <xf numFmtId="0" fontId="38" fillId="6" borderId="0" xfId="0" applyFont="1" applyFill="1" applyAlignment="1" applyProtection="1">
      <alignment vertical="center"/>
      <protection locked="0"/>
    </xf>
    <xf numFmtId="0" fontId="40" fillId="0" borderId="0" xfId="1" applyFont="1" applyAlignment="1" applyProtection="1">
      <alignment horizontal="center" vertical="center"/>
      <protection locked="0"/>
    </xf>
    <xf numFmtId="0" fontId="38" fillId="0" borderId="0" xfId="0" applyFont="1" applyAlignment="1" applyProtection="1">
      <alignment vertical="center"/>
      <protection locked="0"/>
    </xf>
    <xf numFmtId="164" fontId="41" fillId="0" borderId="0" xfId="1" applyNumberFormat="1" applyFont="1" applyAlignment="1" applyProtection="1">
      <alignment vertical="center"/>
      <protection locked="0"/>
    </xf>
    <xf numFmtId="2" fontId="41" fillId="0" borderId="0" xfId="1" applyNumberFormat="1" applyFont="1" applyAlignment="1" applyProtection="1">
      <alignment vertical="center"/>
      <protection locked="0"/>
    </xf>
    <xf numFmtId="0" fontId="41" fillId="0" borderId="0" xfId="1" applyFont="1" applyAlignment="1" applyProtection="1">
      <alignment horizontal="right" vertical="center"/>
      <protection locked="0"/>
    </xf>
    <xf numFmtId="0" fontId="38" fillId="0" borderId="0" xfId="0" applyFont="1" applyAlignment="1" applyProtection="1">
      <alignment horizontal="right" vertical="center"/>
      <protection locked="0"/>
    </xf>
    <xf numFmtId="0" fontId="41" fillId="2" borderId="0" xfId="1" applyFont="1" applyFill="1" applyAlignment="1" applyProtection="1">
      <alignment horizontal="left" vertical="center"/>
      <protection locked="0"/>
    </xf>
    <xf numFmtId="0" fontId="41" fillId="2" borderId="0" xfId="1" applyFont="1" applyFill="1" applyAlignment="1" applyProtection="1">
      <alignment vertical="center"/>
      <protection locked="0"/>
    </xf>
    <xf numFmtId="0" fontId="40" fillId="0" borderId="0" xfId="1" applyFont="1" applyAlignment="1" applyProtection="1">
      <alignment vertical="center"/>
      <protection locked="0"/>
    </xf>
    <xf numFmtId="0" fontId="42" fillId="0" borderId="0" xfId="0" applyFont="1" applyAlignment="1" applyProtection="1">
      <alignment vertical="center"/>
      <protection locked="0"/>
    </xf>
    <xf numFmtId="0" fontId="38" fillId="0" borderId="1" xfId="0" applyFont="1" applyBorder="1" applyAlignment="1" applyProtection="1">
      <alignment horizontal="center" vertical="center"/>
      <protection locked="0"/>
    </xf>
    <xf numFmtId="2" fontId="38" fillId="0" borderId="0" xfId="0" applyNumberFormat="1" applyFont="1" applyAlignment="1" applyProtection="1">
      <alignment horizontal="center" vertical="center"/>
      <protection locked="0"/>
    </xf>
    <xf numFmtId="0" fontId="38" fillId="0" borderId="0" xfId="0" applyFont="1" applyAlignment="1" applyProtection="1">
      <alignment horizontal="center" vertical="center"/>
      <protection locked="0"/>
    </xf>
    <xf numFmtId="0" fontId="52" fillId="2" borderId="0" xfId="0" applyFont="1" applyFill="1" applyAlignment="1" applyProtection="1">
      <alignment vertical="top"/>
      <protection locked="0"/>
    </xf>
    <xf numFmtId="165" fontId="38" fillId="0" borderId="0" xfId="0" applyNumberFormat="1" applyFont="1" applyAlignment="1" applyProtection="1">
      <alignment vertical="center"/>
      <protection locked="0"/>
    </xf>
    <xf numFmtId="0" fontId="38" fillId="0" borderId="36" xfId="0" applyFont="1" applyBorder="1" applyAlignment="1" applyProtection="1">
      <alignment horizontal="center" vertical="center"/>
      <protection locked="0"/>
    </xf>
    <xf numFmtId="0" fontId="38" fillId="0" borderId="37" xfId="0" applyFont="1" applyBorder="1" applyAlignment="1" applyProtection="1">
      <alignment horizontal="center" vertical="center"/>
      <protection locked="0"/>
    </xf>
    <xf numFmtId="0" fontId="38" fillId="0" borderId="38" xfId="0" applyFont="1" applyBorder="1" applyAlignment="1" applyProtection="1">
      <alignment horizontal="center" vertical="center"/>
      <protection locked="0"/>
    </xf>
    <xf numFmtId="0" fontId="38" fillId="0" borderId="25" xfId="0" applyFont="1" applyBorder="1" applyAlignment="1" applyProtection="1">
      <alignment horizontal="center" vertical="center"/>
      <protection locked="0"/>
    </xf>
    <xf numFmtId="0" fontId="42" fillId="0" borderId="0" xfId="0" applyFont="1" applyAlignment="1" applyProtection="1">
      <alignment horizontal="left" vertical="center"/>
      <protection locked="0"/>
    </xf>
    <xf numFmtId="2" fontId="2" fillId="0" borderId="0" xfId="3" applyNumberFormat="1"/>
    <xf numFmtId="2" fontId="48" fillId="5" borderId="13" xfId="3" applyNumberFormat="1" applyFont="1" applyFill="1" applyBorder="1" applyAlignment="1">
      <alignment horizontal="center" vertical="center"/>
    </xf>
    <xf numFmtId="2" fontId="48" fillId="8" borderId="14" xfId="3" applyNumberFormat="1" applyFont="1" applyFill="1" applyBorder="1" applyAlignment="1">
      <alignment horizontal="center" vertical="center"/>
    </xf>
    <xf numFmtId="2" fontId="9" fillId="5" borderId="1" xfId="3" applyNumberFormat="1" applyFont="1" applyFill="1" applyBorder="1" applyAlignment="1">
      <alignment horizontal="center" vertical="center"/>
    </xf>
    <xf numFmtId="1" fontId="47" fillId="8" borderId="1" xfId="3" applyNumberFormat="1" applyFont="1" applyFill="1" applyBorder="1" applyAlignment="1">
      <alignment horizontal="center" vertical="center"/>
    </xf>
    <xf numFmtId="1" fontId="47" fillId="5" borderId="1" xfId="3" applyNumberFormat="1" applyFont="1" applyFill="1" applyBorder="1" applyAlignment="1">
      <alignment horizontal="center" vertical="center"/>
    </xf>
    <xf numFmtId="1" fontId="48" fillId="0" borderId="1" xfId="3" applyNumberFormat="1" applyFont="1" applyBorder="1" applyAlignment="1">
      <alignment horizontal="center" vertical="center"/>
    </xf>
    <xf numFmtId="1" fontId="2" fillId="8" borderId="1" xfId="3" applyNumberFormat="1" applyFill="1" applyBorder="1" applyAlignment="1">
      <alignment horizontal="center" vertical="center"/>
    </xf>
    <xf numFmtId="172" fontId="2" fillId="8" borderId="1" xfId="3" applyNumberFormat="1" applyFill="1" applyBorder="1" applyAlignment="1">
      <alignment horizontal="center" vertical="center"/>
    </xf>
    <xf numFmtId="172" fontId="2" fillId="5" borderId="1" xfId="3" applyNumberFormat="1" applyFill="1" applyBorder="1" applyAlignment="1">
      <alignment horizontal="center"/>
    </xf>
    <xf numFmtId="2" fontId="48" fillId="5" borderId="15" xfId="3" applyNumberFormat="1" applyFont="1" applyFill="1" applyBorder="1" applyAlignment="1">
      <alignment horizontal="center" vertical="center"/>
    </xf>
    <xf numFmtId="2" fontId="48" fillId="8" borderId="17" xfId="3" applyNumberFormat="1" applyFont="1" applyFill="1" applyBorder="1" applyAlignment="1">
      <alignment horizontal="center" vertical="center"/>
    </xf>
    <xf numFmtId="1" fontId="2" fillId="8" borderId="1" xfId="3" applyNumberFormat="1" applyFill="1" applyBorder="1" applyAlignment="1">
      <alignment horizontal="center"/>
    </xf>
    <xf numFmtId="172" fontId="2" fillId="8" borderId="1" xfId="3" applyNumberFormat="1" applyFill="1" applyBorder="1" applyAlignment="1">
      <alignment horizontal="center"/>
    </xf>
    <xf numFmtId="172" fontId="2" fillId="8" borderId="1" xfId="3" quotePrefix="1" applyNumberFormat="1" applyFill="1" applyBorder="1" applyAlignment="1">
      <alignment horizontal="center"/>
    </xf>
    <xf numFmtId="1" fontId="2" fillId="0" borderId="0" xfId="3" applyNumberFormat="1"/>
    <xf numFmtId="2" fontId="10" fillId="0" borderId="0" xfId="3" applyNumberFormat="1" applyFont="1"/>
    <xf numFmtId="2" fontId="2" fillId="0" borderId="0" xfId="3" applyNumberFormat="1" applyAlignment="1">
      <alignment horizontal="center"/>
    </xf>
    <xf numFmtId="1" fontId="2" fillId="2" borderId="0" xfId="3" applyNumberFormat="1" applyFill="1" applyAlignment="1">
      <alignment horizontal="center" vertical="center"/>
    </xf>
    <xf numFmtId="2" fontId="2" fillId="2" borderId="0" xfId="3" applyNumberFormat="1" applyFill="1" applyAlignment="1">
      <alignment horizontal="center"/>
    </xf>
    <xf numFmtId="2" fontId="2" fillId="2" borderId="0" xfId="3" quotePrefix="1" applyNumberFormat="1" applyFill="1" applyAlignment="1">
      <alignment horizontal="center"/>
    </xf>
    <xf numFmtId="2" fontId="2" fillId="2" borderId="0" xfId="3" applyNumberFormat="1" applyFill="1"/>
    <xf numFmtId="1" fontId="2" fillId="2" borderId="44" xfId="3" applyNumberFormat="1" applyFill="1" applyBorder="1" applyAlignment="1">
      <alignment horizontal="center" vertical="center"/>
    </xf>
    <xf numFmtId="1" fontId="47" fillId="8" borderId="1" xfId="3" quotePrefix="1" applyNumberFormat="1" applyFont="1" applyFill="1" applyBorder="1" applyAlignment="1">
      <alignment horizontal="center" vertical="center"/>
    </xf>
    <xf numFmtId="2" fontId="2" fillId="0" borderId="49" xfId="3" applyNumberFormat="1" applyBorder="1"/>
    <xf numFmtId="1" fontId="2" fillId="0" borderId="44" xfId="3" applyNumberFormat="1" applyBorder="1" applyAlignment="1">
      <alignment horizontal="center" vertical="center"/>
    </xf>
    <xf numFmtId="2" fontId="2" fillId="0" borderId="0" xfId="3" quotePrefix="1" applyNumberFormat="1" applyAlignment="1">
      <alignment horizontal="center"/>
    </xf>
    <xf numFmtId="2" fontId="48" fillId="0" borderId="1" xfId="3" applyNumberFormat="1" applyFont="1" applyBorder="1" applyAlignment="1">
      <alignment horizontal="center" vertical="center"/>
    </xf>
    <xf numFmtId="2" fontId="2" fillId="8" borderId="1" xfId="3" applyNumberFormat="1" applyFill="1" applyBorder="1" applyAlignment="1">
      <alignment horizontal="center" vertical="center"/>
    </xf>
    <xf numFmtId="172" fontId="2" fillId="8" borderId="1" xfId="3" quotePrefix="1" applyNumberFormat="1" applyFill="1" applyBorder="1" applyAlignment="1">
      <alignment horizontal="center" vertical="center"/>
    </xf>
    <xf numFmtId="2" fontId="2" fillId="8" borderId="1" xfId="3" applyNumberFormat="1" applyFill="1" applyBorder="1" applyAlignment="1">
      <alignment horizontal="center"/>
    </xf>
    <xf numFmtId="2" fontId="10" fillId="7" borderId="45" xfId="3" applyNumberFormat="1" applyFont="1" applyFill="1" applyBorder="1"/>
    <xf numFmtId="2" fontId="30" fillId="2" borderId="1" xfId="3" applyNumberFormat="1" applyFont="1" applyFill="1" applyBorder="1" applyAlignment="1">
      <alignment vertical="center"/>
    </xf>
    <xf numFmtId="2" fontId="2" fillId="0" borderId="1" xfId="3" applyNumberFormat="1" applyBorder="1"/>
    <xf numFmtId="2" fontId="30" fillId="2" borderId="49" xfId="3" applyNumberFormat="1" applyFont="1" applyFill="1" applyBorder="1" applyAlignment="1">
      <alignment horizontal="center" vertical="center"/>
    </xf>
    <xf numFmtId="2" fontId="50" fillId="5" borderId="1" xfId="3" applyNumberFormat="1" applyFont="1" applyFill="1" applyBorder="1" applyAlignment="1">
      <alignment horizontal="center" vertical="center"/>
    </xf>
    <xf numFmtId="2" fontId="11" fillId="4" borderId="13" xfId="3" applyNumberFormat="1" applyFont="1" applyFill="1" applyBorder="1" applyAlignment="1">
      <alignment horizontal="center" vertical="center"/>
    </xf>
    <xf numFmtId="2" fontId="11" fillId="4" borderId="14" xfId="3" applyNumberFormat="1" applyFont="1" applyFill="1" applyBorder="1" applyAlignment="1">
      <alignment horizontal="center" vertical="center"/>
    </xf>
    <xf numFmtId="2" fontId="10" fillId="5" borderId="1" xfId="3" applyNumberFormat="1" applyFont="1" applyFill="1" applyBorder="1" applyAlignment="1">
      <alignment horizontal="center" vertical="center"/>
    </xf>
    <xf numFmtId="2" fontId="10" fillId="5" borderId="3" xfId="3" applyNumberFormat="1" applyFont="1" applyFill="1" applyBorder="1" applyAlignment="1">
      <alignment horizontal="center" vertical="center"/>
    </xf>
    <xf numFmtId="2" fontId="10" fillId="5" borderId="14" xfId="3" applyNumberFormat="1" applyFont="1" applyFill="1" applyBorder="1" applyAlignment="1">
      <alignment horizontal="center" vertical="center"/>
    </xf>
    <xf numFmtId="2" fontId="11" fillId="4" borderId="13" xfId="3" applyNumberFormat="1" applyFont="1" applyFill="1" applyBorder="1" applyAlignment="1">
      <alignment horizontal="center"/>
    </xf>
    <xf numFmtId="2" fontId="11" fillId="4" borderId="14" xfId="3" applyNumberFormat="1" applyFont="1" applyFill="1" applyBorder="1" applyAlignment="1">
      <alignment horizontal="center"/>
    </xf>
    <xf numFmtId="2" fontId="10" fillId="5" borderId="1" xfId="3" applyNumberFormat="1" applyFont="1" applyFill="1" applyBorder="1" applyAlignment="1">
      <alignment horizontal="center"/>
    </xf>
    <xf numFmtId="2" fontId="10" fillId="5" borderId="14" xfId="3" applyNumberFormat="1" applyFont="1" applyFill="1" applyBorder="1" applyAlignment="1">
      <alignment horizontal="center"/>
    </xf>
    <xf numFmtId="2" fontId="48" fillId="4" borderId="14" xfId="3" applyNumberFormat="1" applyFont="1" applyFill="1" applyBorder="1" applyAlignment="1">
      <alignment horizontal="center"/>
    </xf>
    <xf numFmtId="2" fontId="11" fillId="4" borderId="15" xfId="3" applyNumberFormat="1" applyFont="1" applyFill="1" applyBorder="1" applyAlignment="1">
      <alignment horizontal="center" vertical="center"/>
    </xf>
    <xf numFmtId="2" fontId="48" fillId="4" borderId="17" xfId="3" applyNumberFormat="1" applyFont="1" applyFill="1" applyBorder="1" applyAlignment="1">
      <alignment horizontal="center"/>
    </xf>
    <xf numFmtId="2" fontId="10" fillId="5" borderId="16" xfId="3" applyNumberFormat="1" applyFont="1" applyFill="1" applyBorder="1" applyAlignment="1">
      <alignment horizontal="center" vertical="center"/>
    </xf>
    <xf numFmtId="2" fontId="10" fillId="5" borderId="16" xfId="3" applyNumberFormat="1" applyFont="1" applyFill="1" applyBorder="1" applyAlignment="1">
      <alignment horizontal="center"/>
    </xf>
    <xf numFmtId="2" fontId="10" fillId="5" borderId="17" xfId="3" applyNumberFormat="1" applyFont="1" applyFill="1" applyBorder="1" applyAlignment="1">
      <alignment horizontal="center"/>
    </xf>
    <xf numFmtId="2" fontId="10" fillId="0" borderId="0" xfId="3" applyNumberFormat="1" applyFont="1" applyAlignment="1">
      <alignment horizontal="center" vertical="center"/>
    </xf>
    <xf numFmtId="2" fontId="10" fillId="0" borderId="43" xfId="3" applyNumberFormat="1" applyFont="1" applyBorder="1"/>
    <xf numFmtId="2" fontId="10" fillId="2" borderId="1" xfId="3" applyNumberFormat="1" applyFont="1" applyFill="1" applyBorder="1" applyAlignment="1">
      <alignment horizontal="center"/>
    </xf>
    <xf numFmtId="2" fontId="10" fillId="2" borderId="4" xfId="3" applyNumberFormat="1" applyFont="1" applyFill="1" applyBorder="1" applyAlignment="1">
      <alignment horizontal="center" vertical="center"/>
    </xf>
    <xf numFmtId="2" fontId="10" fillId="2" borderId="4" xfId="3" applyNumberFormat="1" applyFont="1" applyFill="1" applyBorder="1" applyAlignment="1">
      <alignment horizontal="center"/>
    </xf>
    <xf numFmtId="2" fontId="10" fillId="2" borderId="55" xfId="3" applyNumberFormat="1" applyFont="1" applyFill="1" applyBorder="1" applyAlignment="1">
      <alignment horizontal="center"/>
    </xf>
    <xf numFmtId="2" fontId="10" fillId="2" borderId="0" xfId="3" applyNumberFormat="1" applyFont="1" applyFill="1"/>
    <xf numFmtId="2" fontId="10" fillId="5" borderId="22" xfId="3" applyNumberFormat="1" applyFont="1" applyFill="1" applyBorder="1" applyAlignment="1">
      <alignment horizontal="center" vertical="center"/>
    </xf>
    <xf numFmtId="2" fontId="10" fillId="5" borderId="22" xfId="3" applyNumberFormat="1" applyFont="1" applyFill="1" applyBorder="1" applyAlignment="1">
      <alignment horizontal="center"/>
    </xf>
    <xf numFmtId="2" fontId="10" fillId="5" borderId="19" xfId="3" applyNumberFormat="1" applyFont="1" applyFill="1" applyBorder="1" applyAlignment="1">
      <alignment horizontal="center"/>
    </xf>
    <xf numFmtId="2" fontId="10" fillId="0" borderId="49" xfId="3" applyNumberFormat="1" applyFont="1" applyBorder="1"/>
    <xf numFmtId="2" fontId="51" fillId="4" borderId="14" xfId="3" applyNumberFormat="1" applyFont="1" applyFill="1" applyBorder="1" applyAlignment="1">
      <alignment horizontal="center" vertical="center"/>
    </xf>
    <xf numFmtId="2" fontId="10" fillId="5" borderId="17" xfId="3" applyNumberFormat="1" applyFont="1" applyFill="1" applyBorder="1" applyAlignment="1">
      <alignment horizontal="center" vertical="center"/>
    </xf>
    <xf numFmtId="2" fontId="10" fillId="2" borderId="54" xfId="3" applyNumberFormat="1" applyFont="1" applyFill="1" applyBorder="1" applyAlignment="1">
      <alignment horizontal="center" vertical="center"/>
    </xf>
    <xf numFmtId="2" fontId="10" fillId="2" borderId="25" xfId="3" applyNumberFormat="1" applyFont="1" applyFill="1" applyBorder="1" applyAlignment="1">
      <alignment horizontal="center" vertical="center"/>
    </xf>
    <xf numFmtId="2" fontId="10" fillId="2" borderId="55" xfId="3" applyNumberFormat="1" applyFont="1" applyFill="1" applyBorder="1" applyAlignment="1">
      <alignment horizontal="center" vertical="center"/>
    </xf>
    <xf numFmtId="2" fontId="10" fillId="5" borderId="19" xfId="3" applyNumberFormat="1" applyFont="1" applyFill="1" applyBorder="1" applyAlignment="1">
      <alignment horizontal="center" vertical="center"/>
    </xf>
    <xf numFmtId="2" fontId="10" fillId="2" borderId="61" xfId="3" applyNumberFormat="1" applyFont="1" applyFill="1" applyBorder="1" applyAlignment="1">
      <alignment horizontal="center" vertical="center"/>
    </xf>
    <xf numFmtId="2" fontId="10" fillId="2" borderId="44" xfId="3" applyNumberFormat="1" applyFont="1" applyFill="1" applyBorder="1" applyAlignment="1">
      <alignment horizontal="center" vertical="center"/>
    </xf>
    <xf numFmtId="2" fontId="10" fillId="0" borderId="44" xfId="3" applyNumberFormat="1" applyFont="1" applyBorder="1" applyAlignment="1">
      <alignment horizontal="center" vertical="center"/>
    </xf>
    <xf numFmtId="2" fontId="10" fillId="2" borderId="0" xfId="3" applyNumberFormat="1" applyFont="1" applyFill="1" applyAlignment="1">
      <alignment horizontal="center" vertical="center"/>
    </xf>
    <xf numFmtId="1" fontId="30" fillId="2" borderId="1" xfId="3" applyNumberFormat="1" applyFont="1" applyFill="1" applyBorder="1" applyAlignment="1">
      <alignment horizontal="center" vertical="center"/>
    </xf>
    <xf numFmtId="1" fontId="30" fillId="2" borderId="18" xfId="3" applyNumberFormat="1" applyFont="1" applyFill="1" applyBorder="1" applyAlignment="1">
      <alignment horizontal="center" vertical="center"/>
    </xf>
    <xf numFmtId="2" fontId="50" fillId="2" borderId="1" xfId="3" applyNumberFormat="1" applyFont="1" applyFill="1" applyBorder="1" applyAlignment="1">
      <alignment horizontal="center" vertical="center"/>
    </xf>
    <xf numFmtId="2" fontId="9" fillId="2" borderId="1" xfId="3" applyNumberFormat="1" applyFont="1" applyFill="1" applyBorder="1" applyAlignment="1">
      <alignment horizontal="center" vertical="center"/>
    </xf>
    <xf numFmtId="1" fontId="50" fillId="2" borderId="1" xfId="3" applyNumberFormat="1" applyFont="1" applyFill="1" applyBorder="1" applyAlignment="1">
      <alignment horizontal="center" vertical="center"/>
    </xf>
    <xf numFmtId="2" fontId="12" fillId="2" borderId="1" xfId="3" applyNumberFormat="1" applyFont="1" applyFill="1" applyBorder="1" applyAlignment="1">
      <alignment horizontal="center" vertical="center"/>
    </xf>
    <xf numFmtId="1" fontId="10" fillId="2" borderId="1" xfId="3" applyNumberFormat="1" applyFont="1" applyFill="1" applyBorder="1" applyAlignment="1">
      <alignment horizontal="center" vertical="center"/>
    </xf>
    <xf numFmtId="172" fontId="10" fillId="2" borderId="1" xfId="3" applyNumberFormat="1" applyFont="1" applyFill="1" applyBorder="1" applyAlignment="1">
      <alignment horizontal="center" vertical="center"/>
    </xf>
    <xf numFmtId="2" fontId="10" fillId="2" borderId="13" xfId="3" applyNumberFormat="1" applyFont="1" applyFill="1" applyBorder="1" applyAlignment="1">
      <alignment horizontal="center"/>
    </xf>
    <xf numFmtId="2" fontId="10" fillId="8" borderId="1" xfId="3" applyNumberFormat="1" applyFont="1" applyFill="1" applyBorder="1" applyAlignment="1">
      <alignment horizontal="center"/>
    </xf>
    <xf numFmtId="2" fontId="10" fillId="2" borderId="14" xfId="3" applyNumberFormat="1" applyFont="1" applyFill="1" applyBorder="1" applyAlignment="1">
      <alignment horizontal="center"/>
    </xf>
    <xf numFmtId="2" fontId="2" fillId="0" borderId="15" xfId="3" applyNumberFormat="1" applyBorder="1" applyAlignment="1">
      <alignment horizontal="center" vertical="center"/>
    </xf>
    <xf numFmtId="2" fontId="2" fillId="8" borderId="16" xfId="3" applyNumberFormat="1" applyFill="1" applyBorder="1" applyAlignment="1">
      <alignment horizontal="center" vertical="center"/>
    </xf>
    <xf numFmtId="2" fontId="2" fillId="0" borderId="16" xfId="3" applyNumberFormat="1" applyBorder="1" applyAlignment="1">
      <alignment horizontal="center" vertical="center"/>
    </xf>
    <xf numFmtId="2" fontId="10" fillId="2" borderId="17" xfId="3" applyNumberFormat="1" applyFont="1" applyFill="1" applyBorder="1" applyAlignment="1">
      <alignment horizontal="center"/>
    </xf>
    <xf numFmtId="2" fontId="10" fillId="2" borderId="44" xfId="3" applyNumberFormat="1" applyFont="1" applyFill="1" applyBorder="1" applyAlignment="1">
      <alignment horizontal="center"/>
    </xf>
    <xf numFmtId="2" fontId="11" fillId="2" borderId="0" xfId="3" applyNumberFormat="1" applyFont="1" applyFill="1"/>
    <xf numFmtId="2" fontId="2" fillId="8" borderId="22" xfId="3" applyNumberFormat="1" applyFill="1" applyBorder="1"/>
    <xf numFmtId="2" fontId="2" fillId="8" borderId="19" xfId="3" applyNumberFormat="1" applyFill="1" applyBorder="1"/>
    <xf numFmtId="2" fontId="12" fillId="2" borderId="0" xfId="3" applyNumberFormat="1" applyFont="1" applyFill="1"/>
    <xf numFmtId="2" fontId="2" fillId="8" borderId="1" xfId="3" applyNumberFormat="1" applyFill="1" applyBorder="1"/>
    <xf numFmtId="2" fontId="2" fillId="8" borderId="14" xfId="3" applyNumberFormat="1" applyFill="1" applyBorder="1"/>
    <xf numFmtId="2" fontId="10" fillId="2" borderId="44" xfId="3" applyNumberFormat="1" applyFont="1" applyFill="1" applyBorder="1"/>
    <xf numFmtId="2" fontId="2" fillId="8" borderId="16" xfId="3" applyNumberFormat="1" applyFill="1" applyBorder="1"/>
    <xf numFmtId="2" fontId="2" fillId="8" borderId="17" xfId="3" applyNumberFormat="1" applyFill="1" applyBorder="1"/>
    <xf numFmtId="2" fontId="2" fillId="0" borderId="1" xfId="3" applyNumberFormat="1" applyBorder="1" applyAlignment="1">
      <alignment horizontal="center" vertical="center" wrapText="1"/>
    </xf>
    <xf numFmtId="2" fontId="10" fillId="5" borderId="1" xfId="3" applyNumberFormat="1" applyFont="1" applyFill="1" applyBorder="1" applyAlignment="1">
      <alignment vertical="center"/>
    </xf>
    <xf numFmtId="2" fontId="10" fillId="5" borderId="2" xfId="3" applyNumberFormat="1" applyFont="1" applyFill="1" applyBorder="1" applyAlignment="1">
      <alignment vertical="center"/>
    </xf>
    <xf numFmtId="2" fontId="10" fillId="5" borderId="6" xfId="3" applyNumberFormat="1" applyFont="1" applyFill="1" applyBorder="1" applyAlignment="1">
      <alignment vertical="center"/>
    </xf>
    <xf numFmtId="2" fontId="10" fillId="5" borderId="7" xfId="3" applyNumberFormat="1" applyFont="1" applyFill="1" applyBorder="1" applyAlignment="1">
      <alignment vertical="center"/>
    </xf>
    <xf numFmtId="1" fontId="10" fillId="5" borderId="1" xfId="3" applyNumberFormat="1" applyFont="1" applyFill="1" applyBorder="1" applyAlignment="1">
      <alignment horizontal="center" vertical="center"/>
    </xf>
    <xf numFmtId="178" fontId="14" fillId="2" borderId="13" xfId="3" applyNumberFormat="1" applyFont="1" applyFill="1" applyBorder="1" applyAlignment="1">
      <alignment horizontal="center" vertical="center"/>
    </xf>
    <xf numFmtId="2" fontId="14" fillId="2" borderId="1" xfId="3" applyNumberFormat="1" applyFont="1" applyFill="1" applyBorder="1" applyAlignment="1">
      <alignment horizontal="center" vertical="center"/>
    </xf>
    <xf numFmtId="2" fontId="35" fillId="0" borderId="14" xfId="3" applyNumberFormat="1" applyFont="1" applyBorder="1" applyAlignment="1">
      <alignment vertical="center"/>
    </xf>
    <xf numFmtId="2" fontId="14" fillId="2" borderId="13" xfId="3" applyNumberFormat="1" applyFont="1" applyFill="1" applyBorder="1" applyAlignment="1">
      <alignment horizontal="center" vertical="center"/>
    </xf>
    <xf numFmtId="2" fontId="41" fillId="0" borderId="14" xfId="3" applyNumberFormat="1" applyFont="1" applyBorder="1" applyAlignment="1">
      <alignment horizontal="left" vertical="center"/>
    </xf>
    <xf numFmtId="2" fontId="10" fillId="2" borderId="15" xfId="3" applyNumberFormat="1" applyFont="1" applyFill="1" applyBorder="1"/>
    <xf numFmtId="2" fontId="35" fillId="0" borderId="16" xfId="3" applyNumberFormat="1" applyFont="1" applyBorder="1" applyAlignment="1">
      <alignment horizontal="center" vertical="center"/>
    </xf>
    <xf numFmtId="2" fontId="35" fillId="0" borderId="17" xfId="3" applyNumberFormat="1" applyFont="1" applyBorder="1" applyAlignment="1">
      <alignment horizontal="center" vertical="center"/>
    </xf>
    <xf numFmtId="2" fontId="10" fillId="5" borderId="3" xfId="3" applyNumberFormat="1" applyFont="1" applyFill="1" applyBorder="1" applyAlignment="1">
      <alignment vertical="center"/>
    </xf>
    <xf numFmtId="2" fontId="10" fillId="5" borderId="34" xfId="3" applyNumberFormat="1" applyFont="1" applyFill="1" applyBorder="1" applyAlignment="1">
      <alignment vertical="center"/>
    </xf>
    <xf numFmtId="2" fontId="10" fillId="5" borderId="6" xfId="3" applyNumberFormat="1" applyFont="1" applyFill="1" applyBorder="1" applyAlignment="1">
      <alignment horizontal="center" vertical="center"/>
    </xf>
    <xf numFmtId="2" fontId="10" fillId="5" borderId="57" xfId="3" applyNumberFormat="1" applyFont="1" applyFill="1" applyBorder="1" applyAlignment="1">
      <alignment vertical="center"/>
    </xf>
    <xf numFmtId="1" fontId="10" fillId="5" borderId="3" xfId="3" applyNumberFormat="1" applyFont="1" applyFill="1" applyBorder="1" applyAlignment="1">
      <alignment horizontal="center" vertical="center"/>
    </xf>
    <xf numFmtId="0" fontId="55" fillId="2" borderId="1" xfId="0" applyFont="1" applyFill="1" applyBorder="1" applyAlignment="1">
      <alignment horizontal="left"/>
    </xf>
    <xf numFmtId="0" fontId="52" fillId="0" borderId="0" xfId="0" applyFont="1" applyAlignment="1" applyProtection="1">
      <alignment horizontal="left"/>
      <protection hidden="1"/>
    </xf>
    <xf numFmtId="0" fontId="52" fillId="2" borderId="1" xfId="0" quotePrefix="1" applyFont="1" applyFill="1" applyBorder="1"/>
    <xf numFmtId="0" fontId="52" fillId="2" borderId="0" xfId="0" applyFont="1" applyFill="1" applyProtection="1">
      <protection hidden="1"/>
    </xf>
    <xf numFmtId="0" fontId="52" fillId="2" borderId="1" xfId="0" applyFont="1" applyFill="1" applyBorder="1"/>
    <xf numFmtId="0" fontId="71" fillId="0" borderId="0" xfId="0" applyFont="1" applyAlignment="1">
      <alignment horizontal="left" vertical="center"/>
    </xf>
    <xf numFmtId="167" fontId="10" fillId="2" borderId="6" xfId="3" applyNumberFormat="1" applyFont="1" applyFill="1" applyBorder="1" applyAlignment="1">
      <alignment horizontal="center" vertical="center"/>
    </xf>
    <xf numFmtId="2" fontId="60" fillId="2" borderId="1" xfId="3" applyNumberFormat="1" applyFont="1" applyFill="1" applyBorder="1" applyAlignment="1">
      <alignment horizontal="center" vertical="center"/>
    </xf>
    <xf numFmtId="165" fontId="60" fillId="2" borderId="1" xfId="3" applyNumberFormat="1" applyFont="1" applyFill="1" applyBorder="1" applyAlignment="1">
      <alignment horizontal="center" vertical="center"/>
    </xf>
    <xf numFmtId="0" fontId="73" fillId="8" borderId="1" xfId="0" applyFont="1" applyFill="1" applyBorder="1" applyAlignment="1">
      <alignment horizontal="center" vertical="center"/>
    </xf>
    <xf numFmtId="0" fontId="74" fillId="0" borderId="1" xfId="0" applyFont="1" applyBorder="1" applyAlignment="1">
      <alignment horizontal="center" vertical="center"/>
    </xf>
    <xf numFmtId="179" fontId="1" fillId="5" borderId="1" xfId="0" applyNumberFormat="1" applyFont="1" applyFill="1" applyBorder="1" applyAlignment="1" applyProtection="1">
      <alignment horizontal="center"/>
      <protection locked="0"/>
    </xf>
    <xf numFmtId="167" fontId="1" fillId="5" borderId="1" xfId="0" applyNumberFormat="1" applyFont="1" applyFill="1" applyBorder="1" applyAlignment="1" applyProtection="1">
      <alignment horizontal="center"/>
      <protection locked="0"/>
    </xf>
    <xf numFmtId="0" fontId="0" fillId="5" borderId="1" xfId="0" applyFill="1" applyBorder="1"/>
    <xf numFmtId="172" fontId="0" fillId="5" borderId="1" xfId="0" applyNumberFormat="1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 vertical="center"/>
    </xf>
    <xf numFmtId="167" fontId="0" fillId="5" borderId="1" xfId="0" applyNumberFormat="1" applyFill="1" applyBorder="1" applyAlignment="1">
      <alignment horizontal="center" vertical="center"/>
    </xf>
    <xf numFmtId="0" fontId="50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 vertical="center"/>
    </xf>
    <xf numFmtId="166" fontId="10" fillId="4" borderId="1" xfId="0" applyNumberFormat="1" applyFont="1" applyFill="1" applyBorder="1" applyAlignment="1">
      <alignment horizontal="center" vertical="center"/>
    </xf>
    <xf numFmtId="172" fontId="0" fillId="4" borderId="1" xfId="0" applyNumberForma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167" fontId="0" fillId="4" borderId="1" xfId="0" applyNumberForma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/>
    </xf>
    <xf numFmtId="166" fontId="10" fillId="4" borderId="1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vertical="center"/>
    </xf>
    <xf numFmtId="168" fontId="29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left" vertical="center"/>
    </xf>
    <xf numFmtId="0" fontId="5" fillId="0" borderId="1" xfId="0" applyFont="1" applyBorder="1"/>
    <xf numFmtId="167" fontId="5" fillId="0" borderId="1" xfId="0" applyNumberFormat="1" applyFont="1" applyBorder="1" applyAlignment="1">
      <alignment horizontal="right" vertical="center"/>
    </xf>
    <xf numFmtId="179" fontId="10" fillId="2" borderId="1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2" fillId="0" borderId="0" xfId="0" applyFont="1" applyAlignment="1">
      <alignment horizontal="right" vertical="center"/>
    </xf>
    <xf numFmtId="0" fontId="22" fillId="0" borderId="43" xfId="0" applyFont="1" applyBorder="1"/>
    <xf numFmtId="0" fontId="22" fillId="0" borderId="43" xfId="0" applyFont="1" applyBorder="1" applyAlignment="1">
      <alignment horizontal="right" vertical="center"/>
    </xf>
    <xf numFmtId="0" fontId="22" fillId="0" borderId="43" xfId="0" applyFont="1" applyBorder="1" applyAlignment="1">
      <alignment horizontal="center" vertical="center"/>
    </xf>
    <xf numFmtId="2" fontId="30" fillId="2" borderId="0" xfId="3" applyNumberFormat="1" applyFont="1" applyFill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/>
    </xf>
    <xf numFmtId="2" fontId="1" fillId="5" borderId="1" xfId="0" applyNumberFormat="1" applyFont="1" applyFill="1" applyBorder="1" applyAlignment="1" applyProtection="1">
      <alignment horizontal="center"/>
      <protection locked="0"/>
    </xf>
    <xf numFmtId="2" fontId="0" fillId="0" borderId="0" xfId="0" applyNumberFormat="1" applyAlignment="1">
      <alignment horizontal="center" vertical="center"/>
    </xf>
    <xf numFmtId="2" fontId="1" fillId="5" borderId="0" xfId="0" applyNumberFormat="1" applyFont="1" applyFill="1" applyAlignment="1" applyProtection="1">
      <alignment horizontal="center"/>
      <protection locked="0"/>
    </xf>
    <xf numFmtId="164" fontId="0" fillId="0" borderId="0" xfId="0" applyNumberFormat="1"/>
    <xf numFmtId="0" fontId="75" fillId="5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164" fontId="31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2" fontId="31" fillId="0" borderId="1" xfId="0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167" fontId="22" fillId="4" borderId="42" xfId="0" applyNumberFormat="1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 wrapText="1"/>
    </xf>
    <xf numFmtId="176" fontId="19" fillId="11" borderId="1" xfId="0" applyNumberFormat="1" applyFont="1" applyFill="1" applyBorder="1" applyAlignment="1">
      <alignment horizontal="center" vertical="center"/>
    </xf>
    <xf numFmtId="176" fontId="19" fillId="12" borderId="1" xfId="0" applyNumberFormat="1" applyFont="1" applyFill="1" applyBorder="1" applyAlignment="1">
      <alignment horizontal="center" vertical="center"/>
    </xf>
    <xf numFmtId="0" fontId="73" fillId="11" borderId="1" xfId="0" applyFont="1" applyFill="1" applyBorder="1" applyAlignment="1">
      <alignment horizontal="center" vertical="center" wrapText="1"/>
    </xf>
    <xf numFmtId="0" fontId="73" fillId="12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167" fontId="23" fillId="0" borderId="1" xfId="0" applyNumberFormat="1" applyFont="1" applyBorder="1" applyAlignment="1">
      <alignment horizontal="center" vertical="center"/>
    </xf>
    <xf numFmtId="167" fontId="73" fillId="4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5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/>
    </xf>
    <xf numFmtId="0" fontId="51" fillId="0" borderId="0" xfId="0" applyFont="1" applyAlignment="1">
      <alignment horizontal="center" vertical="center"/>
    </xf>
    <xf numFmtId="0" fontId="52" fillId="13" borderId="1" xfId="0" applyFont="1" applyFill="1" applyBorder="1" applyAlignment="1" applyProtection="1">
      <alignment horizontal="center" vertical="center"/>
      <protection locked="0"/>
    </xf>
    <xf numFmtId="172" fontId="0" fillId="13" borderId="1" xfId="0" applyNumberFormat="1" applyFill="1" applyBorder="1" applyAlignment="1">
      <alignment horizontal="center" vertical="center"/>
    </xf>
    <xf numFmtId="2" fontId="48" fillId="13" borderId="1" xfId="0" applyNumberFormat="1" applyFont="1" applyFill="1" applyBorder="1" applyAlignment="1">
      <alignment horizontal="center" vertical="center"/>
    </xf>
    <xf numFmtId="0" fontId="32" fillId="13" borderId="1" xfId="0" applyFont="1" applyFill="1" applyBorder="1" applyAlignment="1">
      <alignment horizontal="center" vertical="center"/>
    </xf>
    <xf numFmtId="0" fontId="74" fillId="0" borderId="0" xfId="0" applyFont="1"/>
    <xf numFmtId="0" fontId="19" fillId="14" borderId="1" xfId="0" applyFont="1" applyFill="1" applyBorder="1" applyAlignment="1">
      <alignment horizontal="center" vertical="center" wrapText="1"/>
    </xf>
    <xf numFmtId="2" fontId="38" fillId="14" borderId="1" xfId="0" applyNumberFormat="1" applyFont="1" applyFill="1" applyBorder="1" applyAlignment="1">
      <alignment horizontal="center" vertical="center"/>
    </xf>
    <xf numFmtId="0" fontId="0" fillId="0" borderId="0" xfId="0" quotePrefix="1"/>
    <xf numFmtId="0" fontId="10" fillId="0" borderId="0" xfId="0" applyFont="1" applyAlignment="1">
      <alignment horizontal="center" vertical="center"/>
    </xf>
    <xf numFmtId="0" fontId="38" fillId="0" borderId="0" xfId="0" applyFont="1" applyAlignment="1" applyProtection="1">
      <alignment vertical="center" wrapText="1"/>
      <protection locked="0"/>
    </xf>
    <xf numFmtId="0" fontId="9" fillId="2" borderId="1" xfId="3" applyFont="1" applyFill="1" applyBorder="1" applyAlignment="1">
      <alignment horizontal="center" vertical="center" wrapText="1"/>
    </xf>
    <xf numFmtId="2" fontId="9" fillId="2" borderId="1" xfId="3" applyNumberFormat="1" applyFont="1" applyFill="1" applyBorder="1" applyAlignment="1">
      <alignment horizontal="center" vertical="center" wrapText="1"/>
    </xf>
    <xf numFmtId="167" fontId="14" fillId="2" borderId="1" xfId="3" applyNumberFormat="1" applyFont="1" applyFill="1" applyBorder="1" applyAlignment="1">
      <alignment vertical="center"/>
    </xf>
    <xf numFmtId="0" fontId="14" fillId="2" borderId="1" xfId="3" applyFont="1" applyFill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167" fontId="60" fillId="2" borderId="7" xfId="3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5" xfId="0" applyBorder="1"/>
    <xf numFmtId="0" fontId="18" fillId="0" borderId="25" xfId="0" applyFont="1" applyBorder="1"/>
    <xf numFmtId="0" fontId="19" fillId="14" borderId="1" xfId="0" applyFont="1" applyFill="1" applyBorder="1" applyAlignment="1">
      <alignment horizontal="center"/>
    </xf>
    <xf numFmtId="0" fontId="38" fillId="0" borderId="63" xfId="0" applyFont="1" applyBorder="1" applyAlignment="1">
      <alignment horizontal="center" vertical="center"/>
    </xf>
    <xf numFmtId="0" fontId="71" fillId="0" borderId="1" xfId="0" applyFont="1" applyBorder="1" applyAlignment="1">
      <alignment vertical="center" wrapText="1"/>
    </xf>
    <xf numFmtId="0" fontId="71" fillId="0" borderId="1" xfId="0" applyFont="1" applyBorder="1" applyAlignment="1">
      <alignment horizontal="left" vertical="center" wrapText="1"/>
    </xf>
    <xf numFmtId="0" fontId="19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166" fontId="0" fillId="15" borderId="1" xfId="0" applyNumberFormat="1" applyFill="1" applyBorder="1" applyAlignment="1">
      <alignment horizontal="center" vertical="center"/>
    </xf>
    <xf numFmtId="0" fontId="81" fillId="0" borderId="0" xfId="0" applyFont="1" applyAlignment="1">
      <alignment vertical="center" wrapText="1"/>
    </xf>
    <xf numFmtId="0" fontId="83" fillId="0" borderId="0" xfId="0" applyFont="1"/>
    <xf numFmtId="0" fontId="83" fillId="0" borderId="0" xfId="0" applyFont="1" applyAlignment="1">
      <alignment horizontal="center" vertical="center"/>
    </xf>
    <xf numFmtId="0" fontId="44" fillId="0" borderId="0" xfId="0" applyFont="1"/>
    <xf numFmtId="0" fontId="44" fillId="0" borderId="0" xfId="0" applyFont="1" applyAlignment="1">
      <alignment vertical="center" wrapText="1"/>
    </xf>
    <xf numFmtId="167" fontId="83" fillId="0" borderId="0" xfId="0" applyNumberFormat="1" applyFont="1" applyAlignment="1">
      <alignment horizontal="center" vertical="center"/>
    </xf>
    <xf numFmtId="0" fontId="44" fillId="0" borderId="1" xfId="0" applyFont="1" applyBorder="1" applyAlignment="1">
      <alignment horizontal="left" vertical="center"/>
    </xf>
    <xf numFmtId="0" fontId="8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41" fillId="0" borderId="33" xfId="1" quotePrefix="1" applyFont="1" applyBorder="1" applyAlignment="1">
      <alignment horizontal="right" vertical="center"/>
    </xf>
    <xf numFmtId="0" fontId="71" fillId="0" borderId="2" xfId="0" applyFont="1" applyBorder="1" applyAlignment="1">
      <alignment horizontal="left" vertical="center" wrapText="1"/>
    </xf>
    <xf numFmtId="0" fontId="71" fillId="0" borderId="25" xfId="0" applyFont="1" applyBorder="1" applyAlignment="1">
      <alignment horizontal="left" vertical="center"/>
    </xf>
    <xf numFmtId="172" fontId="0" fillId="15" borderId="1" xfId="0" applyNumberForma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167" fontId="22" fillId="4" borderId="1" xfId="0" applyNumberFormat="1" applyFont="1" applyFill="1" applyBorder="1" applyAlignment="1">
      <alignment horizontal="center" vertical="center"/>
    </xf>
    <xf numFmtId="166" fontId="22" fillId="4" borderId="1" xfId="0" applyNumberFormat="1" applyFont="1" applyFill="1" applyBorder="1" applyAlignment="1">
      <alignment horizontal="center" vertical="center"/>
    </xf>
    <xf numFmtId="0" fontId="0" fillId="14" borderId="1" xfId="0" applyFill="1" applyBorder="1"/>
    <xf numFmtId="2" fontId="48" fillId="13" borderId="1" xfId="0" applyNumberFormat="1" applyFont="1" applyFill="1" applyBorder="1" applyAlignment="1">
      <alignment horizontal="center" vertical="center" wrapText="1"/>
    </xf>
    <xf numFmtId="1" fontId="52" fillId="13" borderId="1" xfId="0" applyNumberFormat="1" applyFont="1" applyFill="1" applyBorder="1" applyAlignment="1" applyProtection="1">
      <alignment horizontal="center" vertical="center"/>
      <protection locked="0"/>
    </xf>
    <xf numFmtId="0" fontId="0" fillId="13" borderId="1" xfId="0" applyFill="1" applyBorder="1"/>
    <xf numFmtId="175" fontId="38" fillId="14" borderId="1" xfId="0" applyNumberFormat="1" applyFont="1" applyFill="1" applyBorder="1" applyAlignment="1">
      <alignment horizontal="center" vertical="center"/>
    </xf>
    <xf numFmtId="171" fontId="0" fillId="14" borderId="1" xfId="0" applyNumberFormat="1" applyFill="1" applyBorder="1" applyAlignment="1">
      <alignment horizontal="center" vertical="center"/>
    </xf>
    <xf numFmtId="171" fontId="0" fillId="15" borderId="1" xfId="0" applyNumberFormat="1" applyFill="1" applyBorder="1" applyAlignment="1">
      <alignment horizontal="center" vertical="center"/>
    </xf>
    <xf numFmtId="0" fontId="0" fillId="0" borderId="1" xfId="0" quotePrefix="1" applyBorder="1"/>
    <xf numFmtId="0" fontId="38" fillId="0" borderId="39" xfId="0" applyFont="1" applyBorder="1" applyAlignment="1">
      <alignment horizontal="center" vertical="center" wrapText="1"/>
    </xf>
    <xf numFmtId="0" fontId="79" fillId="0" borderId="36" xfId="0" applyFont="1" applyBorder="1" applyAlignment="1">
      <alignment horizontal="right" vertical="center"/>
    </xf>
    <xf numFmtId="49" fontId="38" fillId="0" borderId="64" xfId="0" applyNumberFormat="1" applyFont="1" applyBorder="1" applyAlignment="1">
      <alignment vertical="center"/>
    </xf>
    <xf numFmtId="0" fontId="38" fillId="0" borderId="40" xfId="0" applyFont="1" applyBorder="1" applyAlignment="1">
      <alignment horizontal="center" vertical="center" wrapText="1"/>
    </xf>
    <xf numFmtId="0" fontId="79" fillId="0" borderId="37" xfId="0" applyFont="1" applyBorder="1" applyAlignment="1">
      <alignment horizontal="right" vertical="center"/>
    </xf>
    <xf numFmtId="49" fontId="38" fillId="0" borderId="65" xfId="0" applyNumberFormat="1" applyFont="1" applyBorder="1" applyAlignment="1">
      <alignment vertical="center"/>
    </xf>
    <xf numFmtId="0" fontId="38" fillId="0" borderId="41" xfId="0" applyFont="1" applyBorder="1" applyAlignment="1">
      <alignment horizontal="center" vertical="center"/>
    </xf>
    <xf numFmtId="0" fontId="38" fillId="0" borderId="41" xfId="0" applyFont="1" applyBorder="1" applyAlignment="1">
      <alignment horizontal="center" vertical="center" wrapText="1"/>
    </xf>
    <xf numFmtId="0" fontId="79" fillId="0" borderId="38" xfId="0" applyFont="1" applyBorder="1" applyAlignment="1">
      <alignment horizontal="right" vertical="center"/>
    </xf>
    <xf numFmtId="49" fontId="38" fillId="0" borderId="66" xfId="0" applyNumberFormat="1" applyFont="1" applyBorder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38" fillId="0" borderId="1" xfId="0" applyNumberFormat="1" applyFont="1" applyBorder="1" applyAlignment="1">
      <alignment horizontal="center" vertical="center"/>
    </xf>
    <xf numFmtId="173" fontId="38" fillId="0" borderId="0" xfId="0" applyNumberFormat="1" applyFont="1" applyAlignment="1">
      <alignment vertical="center"/>
    </xf>
    <xf numFmtId="173" fontId="38" fillId="0" borderId="0" xfId="0" applyNumberFormat="1" applyFont="1" applyAlignment="1">
      <alignment horizontal="right" vertical="center"/>
    </xf>
    <xf numFmtId="173" fontId="38" fillId="0" borderId="36" xfId="0" applyNumberFormat="1" applyFont="1" applyBorder="1" applyAlignment="1">
      <alignment horizontal="right" vertical="center"/>
    </xf>
    <xf numFmtId="173" fontId="38" fillId="0" borderId="64" xfId="0" applyNumberFormat="1" applyFont="1" applyBorder="1" applyAlignment="1">
      <alignment vertical="center"/>
    </xf>
    <xf numFmtId="173" fontId="38" fillId="0" borderId="37" xfId="0" applyNumberFormat="1" applyFont="1" applyBorder="1" applyAlignment="1">
      <alignment horizontal="right" vertical="center"/>
    </xf>
    <xf numFmtId="173" fontId="38" fillId="0" borderId="65" xfId="0" applyNumberFormat="1" applyFont="1" applyBorder="1" applyAlignment="1">
      <alignment vertical="center"/>
    </xf>
    <xf numFmtId="173" fontId="38" fillId="0" borderId="38" xfId="0" applyNumberFormat="1" applyFont="1" applyBorder="1" applyAlignment="1">
      <alignment horizontal="right" vertical="center"/>
    </xf>
    <xf numFmtId="173" fontId="38" fillId="0" borderId="66" xfId="0" applyNumberFormat="1" applyFont="1" applyBorder="1" applyAlignment="1">
      <alignment vertical="center"/>
    </xf>
    <xf numFmtId="0" fontId="48" fillId="0" borderId="1" xfId="0" applyFont="1" applyBorder="1" applyAlignment="1" applyProtection="1">
      <alignment horizontal="center" vertical="center"/>
      <protection locked="0"/>
    </xf>
    <xf numFmtId="172" fontId="74" fillId="0" borderId="1" xfId="0" applyNumberFormat="1" applyFont="1" applyBorder="1" applyAlignment="1">
      <alignment horizontal="center" vertical="center"/>
    </xf>
    <xf numFmtId="172" fontId="60" fillId="0" borderId="1" xfId="3" applyNumberFormat="1" applyFont="1" applyBorder="1" applyAlignment="1" applyProtection="1">
      <alignment horizontal="center" vertical="center"/>
      <protection locked="0"/>
    </xf>
    <xf numFmtId="172" fontId="60" fillId="0" borderId="1" xfId="0" applyNumberFormat="1" applyFont="1" applyBorder="1" applyAlignment="1" applyProtection="1">
      <alignment horizontal="center" vertical="center"/>
      <protection locked="0"/>
    </xf>
    <xf numFmtId="172" fontId="74" fillId="0" borderId="1" xfId="0" applyNumberFormat="1" applyFont="1" applyBorder="1" applyAlignment="1">
      <alignment horizontal="center"/>
    </xf>
    <xf numFmtId="179" fontId="60" fillId="5" borderId="1" xfId="0" applyNumberFormat="1" applyFont="1" applyFill="1" applyBorder="1" applyAlignment="1" applyProtection="1">
      <alignment horizontal="center"/>
      <protection locked="0"/>
    </xf>
    <xf numFmtId="0" fontId="74" fillId="0" borderId="1" xfId="0" applyFont="1" applyBorder="1" applyAlignment="1">
      <alignment horizontal="center"/>
    </xf>
    <xf numFmtId="0" fontId="60" fillId="0" borderId="1" xfId="3" applyFont="1" applyBorder="1" applyAlignment="1" applyProtection="1">
      <alignment horizontal="center" vertical="center"/>
      <protection locked="0"/>
    </xf>
    <xf numFmtId="0" fontId="60" fillId="0" borderId="1" xfId="0" applyFont="1" applyBorder="1" applyAlignment="1" applyProtection="1">
      <alignment horizontal="center" vertical="center"/>
      <protection locked="0"/>
    </xf>
    <xf numFmtId="166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72" fontId="10" fillId="4" borderId="1" xfId="0" applyNumberFormat="1" applyFont="1" applyFill="1" applyBorder="1" applyAlignment="1">
      <alignment horizontal="center" vertical="center"/>
    </xf>
    <xf numFmtId="172" fontId="10" fillId="4" borderId="1" xfId="0" applyNumberFormat="1" applyFont="1" applyFill="1" applyBorder="1" applyAlignment="1">
      <alignment horizontal="center"/>
    </xf>
    <xf numFmtId="167" fontId="0" fillId="0" borderId="3" xfId="0" applyNumberFormat="1" applyBorder="1" applyAlignment="1">
      <alignment horizontal="center" vertical="center"/>
    </xf>
    <xf numFmtId="167" fontId="1" fillId="5" borderId="3" xfId="0" applyNumberFormat="1" applyFont="1" applyFill="1" applyBorder="1" applyAlignment="1" applyProtection="1">
      <alignment horizontal="center"/>
      <protection locked="0"/>
    </xf>
    <xf numFmtId="167" fontId="0" fillId="0" borderId="0" xfId="0" applyNumberFormat="1" applyAlignment="1">
      <alignment horizontal="center" vertical="center"/>
    </xf>
    <xf numFmtId="167" fontId="0" fillId="0" borderId="6" xfId="0" applyNumberFormat="1" applyBorder="1" applyAlignment="1">
      <alignment horizontal="center" vertical="center"/>
    </xf>
    <xf numFmtId="167" fontId="0" fillId="0" borderId="6" xfId="0" applyNumberFormat="1" applyBorder="1" applyAlignment="1">
      <alignment horizontal="center"/>
    </xf>
    <xf numFmtId="167" fontId="1" fillId="0" borderId="6" xfId="0" applyNumberFormat="1" applyFont="1" applyBorder="1" applyAlignment="1" applyProtection="1">
      <alignment horizontal="center"/>
      <protection locked="0"/>
    </xf>
    <xf numFmtId="166" fontId="1" fillId="5" borderId="3" xfId="0" applyNumberFormat="1" applyFont="1" applyFill="1" applyBorder="1" applyAlignment="1" applyProtection="1">
      <alignment horizontal="center"/>
      <protection locked="0"/>
    </xf>
    <xf numFmtId="166" fontId="1" fillId="0" borderId="6" xfId="0" applyNumberFormat="1" applyFont="1" applyBorder="1" applyAlignment="1" applyProtection="1">
      <alignment horizontal="center"/>
      <protection locked="0"/>
    </xf>
    <xf numFmtId="172" fontId="10" fillId="5" borderId="2" xfId="0" applyNumberFormat="1" applyFont="1" applyFill="1" applyBorder="1" applyAlignment="1">
      <alignment horizontal="center" vertical="center"/>
    </xf>
    <xf numFmtId="172" fontId="10" fillId="5" borderId="2" xfId="0" applyNumberFormat="1" applyFont="1" applyFill="1" applyBorder="1" applyAlignment="1">
      <alignment horizontal="center"/>
    </xf>
    <xf numFmtId="0" fontId="11" fillId="0" borderId="0" xfId="0" applyFont="1" applyAlignment="1">
      <alignment vertical="center" wrapText="1"/>
    </xf>
    <xf numFmtId="0" fontId="30" fillId="0" borderId="0" xfId="3" applyFont="1" applyAlignment="1">
      <alignment vertical="center"/>
    </xf>
    <xf numFmtId="0" fontId="50" fillId="0" borderId="0" xfId="0" applyFont="1" applyAlignment="1">
      <alignment vertical="center"/>
    </xf>
    <xf numFmtId="0" fontId="50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10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0" fontId="11" fillId="0" borderId="25" xfId="0" applyFont="1" applyBorder="1" applyAlignment="1">
      <alignment vertical="center"/>
    </xf>
    <xf numFmtId="0" fontId="10" fillId="0" borderId="25" xfId="0" applyFont="1" applyBorder="1" applyAlignment="1">
      <alignment vertical="center"/>
    </xf>
    <xf numFmtId="0" fontId="47" fillId="12" borderId="1" xfId="0" applyFont="1" applyFill="1" applyBorder="1" applyAlignment="1" applyProtection="1">
      <alignment horizontal="center" vertical="center"/>
      <protection locked="0"/>
    </xf>
    <xf numFmtId="172" fontId="22" fillId="4" borderId="16" xfId="0" applyNumberFormat="1" applyFont="1" applyFill="1" applyBorder="1" applyAlignment="1">
      <alignment horizontal="center" vertical="center"/>
    </xf>
    <xf numFmtId="0" fontId="30" fillId="16" borderId="13" xfId="0" applyFont="1" applyFill="1" applyBorder="1" applyAlignment="1">
      <alignment horizontal="center" vertical="center"/>
    </xf>
    <xf numFmtId="172" fontId="30" fillId="16" borderId="1" xfId="0" applyNumberFormat="1" applyFont="1" applyFill="1" applyBorder="1" applyAlignment="1">
      <alignment horizontal="center" vertical="center"/>
    </xf>
    <xf numFmtId="172" fontId="30" fillId="16" borderId="14" xfId="0" applyNumberFormat="1" applyFont="1" applyFill="1" applyBorder="1" applyAlignment="1">
      <alignment horizontal="center" vertical="center"/>
    </xf>
    <xf numFmtId="172" fontId="30" fillId="16" borderId="13" xfId="0" applyNumberFormat="1" applyFont="1" applyFill="1" applyBorder="1" applyAlignment="1">
      <alignment horizontal="center" vertical="center"/>
    </xf>
    <xf numFmtId="0" fontId="30" fillId="16" borderId="1" xfId="0" applyFont="1" applyFill="1" applyBorder="1" applyAlignment="1">
      <alignment horizontal="center" vertical="center"/>
    </xf>
    <xf numFmtId="0" fontId="30" fillId="16" borderId="14" xfId="0" applyFont="1" applyFill="1" applyBorder="1" applyAlignment="1">
      <alignment horizontal="center" vertical="center"/>
    </xf>
    <xf numFmtId="0" fontId="30" fillId="16" borderId="15" xfId="0" applyFont="1" applyFill="1" applyBorder="1" applyAlignment="1">
      <alignment horizontal="center" vertical="center"/>
    </xf>
    <xf numFmtId="172" fontId="30" fillId="16" borderId="16" xfId="0" applyNumberFormat="1" applyFont="1" applyFill="1" applyBorder="1" applyAlignment="1">
      <alignment horizontal="center" vertical="center"/>
    </xf>
    <xf numFmtId="172" fontId="30" fillId="16" borderId="17" xfId="0" applyNumberFormat="1" applyFont="1" applyFill="1" applyBorder="1" applyAlignment="1">
      <alignment horizontal="center" vertical="center"/>
    </xf>
    <xf numFmtId="0" fontId="30" fillId="17" borderId="13" xfId="0" applyFont="1" applyFill="1" applyBorder="1" applyAlignment="1">
      <alignment horizontal="center" vertical="center"/>
    </xf>
    <xf numFmtId="172" fontId="30" fillId="17" borderId="1" xfId="0" applyNumberFormat="1" applyFont="1" applyFill="1" applyBorder="1" applyAlignment="1">
      <alignment horizontal="center" vertical="center"/>
    </xf>
    <xf numFmtId="172" fontId="30" fillId="17" borderId="14" xfId="0" applyNumberFormat="1" applyFont="1" applyFill="1" applyBorder="1" applyAlignment="1">
      <alignment horizontal="center" vertical="center"/>
    </xf>
    <xf numFmtId="172" fontId="30" fillId="17" borderId="13" xfId="0" applyNumberFormat="1" applyFont="1" applyFill="1" applyBorder="1" applyAlignment="1">
      <alignment horizontal="center" vertical="center"/>
    </xf>
    <xf numFmtId="0" fontId="30" fillId="17" borderId="1" xfId="0" applyFont="1" applyFill="1" applyBorder="1" applyAlignment="1">
      <alignment horizontal="center" vertical="center"/>
    </xf>
    <xf numFmtId="0" fontId="30" fillId="17" borderId="14" xfId="0" applyFont="1" applyFill="1" applyBorder="1" applyAlignment="1">
      <alignment horizontal="center" vertical="center"/>
    </xf>
    <xf numFmtId="0" fontId="30" fillId="17" borderId="15" xfId="0" applyFont="1" applyFill="1" applyBorder="1" applyAlignment="1">
      <alignment horizontal="center" vertical="center"/>
    </xf>
    <xf numFmtId="172" fontId="30" fillId="17" borderId="16" xfId="0" applyNumberFormat="1" applyFont="1" applyFill="1" applyBorder="1" applyAlignment="1">
      <alignment horizontal="center" vertical="center"/>
    </xf>
    <xf numFmtId="172" fontId="30" fillId="17" borderId="17" xfId="0" applyNumberFormat="1" applyFont="1" applyFill="1" applyBorder="1" applyAlignment="1">
      <alignment horizontal="center" vertical="center"/>
    </xf>
    <xf numFmtId="0" fontId="30" fillId="18" borderId="13" xfId="0" applyFont="1" applyFill="1" applyBorder="1" applyAlignment="1">
      <alignment horizontal="center" vertical="center"/>
    </xf>
    <xf numFmtId="172" fontId="30" fillId="18" borderId="1" xfId="0" applyNumberFormat="1" applyFont="1" applyFill="1" applyBorder="1" applyAlignment="1">
      <alignment horizontal="center" vertical="center"/>
    </xf>
    <xf numFmtId="172" fontId="30" fillId="18" borderId="14" xfId="0" applyNumberFormat="1" applyFont="1" applyFill="1" applyBorder="1" applyAlignment="1">
      <alignment horizontal="center" vertical="center"/>
    </xf>
    <xf numFmtId="172" fontId="30" fillId="18" borderId="13" xfId="0" applyNumberFormat="1" applyFont="1" applyFill="1" applyBorder="1" applyAlignment="1">
      <alignment horizontal="center" vertical="center"/>
    </xf>
    <xf numFmtId="0" fontId="30" fillId="18" borderId="1" xfId="0" applyFont="1" applyFill="1" applyBorder="1" applyAlignment="1">
      <alignment horizontal="center" vertical="center"/>
    </xf>
    <xf numFmtId="0" fontId="30" fillId="18" borderId="14" xfId="0" applyFont="1" applyFill="1" applyBorder="1" applyAlignment="1">
      <alignment horizontal="center" vertical="center"/>
    </xf>
    <xf numFmtId="0" fontId="30" fillId="18" borderId="15" xfId="0" applyFont="1" applyFill="1" applyBorder="1" applyAlignment="1">
      <alignment horizontal="center" vertical="center"/>
    </xf>
    <xf numFmtId="172" fontId="30" fillId="18" borderId="16" xfId="0" applyNumberFormat="1" applyFont="1" applyFill="1" applyBorder="1" applyAlignment="1">
      <alignment horizontal="center" vertical="center"/>
    </xf>
    <xf numFmtId="172" fontId="30" fillId="18" borderId="17" xfId="0" applyNumberFormat="1" applyFont="1" applyFill="1" applyBorder="1" applyAlignment="1">
      <alignment horizontal="center" vertical="center"/>
    </xf>
    <xf numFmtId="2" fontId="65" fillId="0" borderId="1" xfId="0" applyNumberFormat="1" applyFont="1" applyBorder="1" applyAlignment="1" applyProtection="1">
      <alignment horizontal="center" vertical="center"/>
      <protection locked="0"/>
    </xf>
    <xf numFmtId="2" fontId="19" fillId="11" borderId="1" xfId="0" applyNumberFormat="1" applyFont="1" applyFill="1" applyBorder="1" applyAlignment="1">
      <alignment horizontal="center" vertical="center"/>
    </xf>
    <xf numFmtId="2" fontId="19" fillId="11" borderId="1" xfId="0" applyNumberFormat="1" applyFont="1" applyFill="1" applyBorder="1" applyAlignment="1">
      <alignment horizontal="center"/>
    </xf>
    <xf numFmtId="2" fontId="19" fillId="12" borderId="1" xfId="0" applyNumberFormat="1" applyFont="1" applyFill="1" applyBorder="1" applyAlignment="1">
      <alignment horizontal="center" vertical="center"/>
    </xf>
    <xf numFmtId="2" fontId="19" fillId="12" borderId="1" xfId="0" applyNumberFormat="1" applyFont="1" applyFill="1" applyBorder="1" applyAlignment="1">
      <alignment horizontal="center"/>
    </xf>
    <xf numFmtId="179" fontId="10" fillId="2" borderId="1" xfId="3" applyNumberFormat="1" applyFont="1" applyFill="1" applyBorder="1" applyAlignment="1">
      <alignment horizontal="center" vertical="center"/>
    </xf>
    <xf numFmtId="164" fontId="38" fillId="0" borderId="39" xfId="0" applyNumberFormat="1" applyFont="1" applyBorder="1" applyAlignment="1">
      <alignment vertical="center"/>
    </xf>
    <xf numFmtId="164" fontId="38" fillId="0" borderId="40" xfId="0" applyNumberFormat="1" applyFont="1" applyBorder="1" applyAlignment="1">
      <alignment vertical="center"/>
    </xf>
    <xf numFmtId="164" fontId="38" fillId="0" borderId="41" xfId="0" applyNumberFormat="1" applyFont="1" applyBorder="1" applyAlignment="1">
      <alignment vertical="center"/>
    </xf>
    <xf numFmtId="164" fontId="85" fillId="0" borderId="1" xfId="0" applyNumberFormat="1" applyFont="1" applyBorder="1" applyAlignment="1">
      <alignment horizontal="center" vertical="top"/>
    </xf>
    <xf numFmtId="167" fontId="38" fillId="0" borderId="8" xfId="0" applyNumberFormat="1" applyFont="1" applyBorder="1" applyAlignment="1">
      <alignment horizontal="center" vertical="center"/>
    </xf>
    <xf numFmtId="0" fontId="38" fillId="0" borderId="7" xfId="0" applyFont="1" applyBorder="1" applyAlignment="1">
      <alignment vertical="center"/>
    </xf>
    <xf numFmtId="177" fontId="71" fillId="0" borderId="1" xfId="0" quotePrefix="1" applyNumberFormat="1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 wrapText="1"/>
    </xf>
    <xf numFmtId="2" fontId="2" fillId="8" borderId="1" xfId="3" quotePrefix="1" applyNumberFormat="1" applyFill="1" applyBorder="1" applyAlignment="1">
      <alignment horizontal="center"/>
    </xf>
    <xf numFmtId="0" fontId="63" fillId="13" borderId="1" xfId="0" applyFont="1" applyFill="1" applyBorder="1" applyAlignment="1">
      <alignment horizontal="center" vertical="center"/>
    </xf>
    <xf numFmtId="175" fontId="0" fillId="13" borderId="1" xfId="0" applyNumberFormat="1" applyFill="1" applyBorder="1" applyAlignment="1">
      <alignment horizontal="center" vertical="center"/>
    </xf>
    <xf numFmtId="0" fontId="88" fillId="6" borderId="0" xfId="1" applyFont="1" applyFill="1" applyAlignment="1" applyProtection="1">
      <alignment vertical="center"/>
      <protection locked="0"/>
    </xf>
    <xf numFmtId="0" fontId="89" fillId="6" borderId="0" xfId="1" applyFont="1" applyFill="1" applyAlignment="1" applyProtection="1">
      <alignment horizontal="left" vertical="center"/>
      <protection locked="0"/>
    </xf>
    <xf numFmtId="0" fontId="89" fillId="6" borderId="0" xfId="1" applyFont="1" applyFill="1" applyAlignment="1" applyProtection="1">
      <alignment vertical="center"/>
      <protection locked="0"/>
    </xf>
    <xf numFmtId="0" fontId="89" fillId="6" borderId="0" xfId="1" applyFont="1" applyFill="1" applyAlignment="1" applyProtection="1">
      <alignment horizontal="right" vertical="center"/>
      <protection locked="0"/>
    </xf>
    <xf numFmtId="164" fontId="89" fillId="6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5"/>
    <xf numFmtId="0" fontId="48" fillId="0" borderId="0" xfId="5" applyFont="1" applyAlignment="1" applyProtection="1">
      <alignment horizontal="center" wrapText="1"/>
      <protection hidden="1"/>
    </xf>
    <xf numFmtId="0" fontId="1" fillId="0" borderId="0" xfId="5" applyProtection="1">
      <protection locked="0"/>
    </xf>
    <xf numFmtId="0" fontId="92" fillId="0" borderId="0" xfId="5" applyFont="1" applyAlignment="1">
      <alignment horizontal="center" vertical="center" wrapText="1"/>
    </xf>
    <xf numFmtId="0" fontId="48" fillId="0" borderId="0" xfId="5" applyFont="1" applyProtection="1">
      <protection locked="0"/>
    </xf>
    <xf numFmtId="0" fontId="12" fillId="0" borderId="2" xfId="5" applyFont="1" applyBorder="1" applyAlignment="1">
      <alignment horizontal="left" vertical="top" wrapText="1"/>
    </xf>
    <xf numFmtId="0" fontId="12" fillId="0" borderId="7" xfId="5" applyFont="1" applyBorder="1" applyAlignment="1">
      <alignment horizontal="left" vertical="top" wrapText="1"/>
    </xf>
    <xf numFmtId="0" fontId="1" fillId="0" borderId="0" xfId="5" applyAlignment="1">
      <alignment horizontal="left" vertical="top"/>
    </xf>
    <xf numFmtId="0" fontId="12" fillId="0" borderId="7" xfId="5" applyFont="1" applyBorder="1" applyAlignment="1">
      <alignment horizontal="left" vertical="top"/>
    </xf>
    <xf numFmtId="0" fontId="12" fillId="0" borderId="0" xfId="5" applyFont="1" applyAlignment="1">
      <alignment vertical="center" wrapText="1"/>
    </xf>
    <xf numFmtId="0" fontId="12" fillId="0" borderId="0" xfId="5" applyFont="1" applyAlignment="1">
      <alignment horizontal="center" vertical="center" wrapText="1"/>
    </xf>
    <xf numFmtId="0" fontId="94" fillId="0" borderId="0" xfId="5" applyFont="1"/>
    <xf numFmtId="0" fontId="12" fillId="0" borderId="0" xfId="5" applyFont="1" applyAlignment="1" applyProtection="1">
      <alignment horizontal="center" vertical="center" wrapText="1"/>
      <protection locked="0"/>
    </xf>
    <xf numFmtId="1" fontId="12" fillId="0" borderId="0" xfId="5" quotePrefix="1" applyNumberFormat="1" applyFont="1" applyAlignment="1" applyProtection="1">
      <alignment horizontal="left"/>
      <protection locked="0"/>
    </xf>
    <xf numFmtId="0" fontId="12" fillId="0" borderId="0" xfId="5" applyFont="1" applyProtection="1">
      <protection locked="0"/>
    </xf>
    <xf numFmtId="1" fontId="93" fillId="0" borderId="0" xfId="5" quotePrefix="1" applyNumberFormat="1" applyFont="1" applyProtection="1">
      <protection locked="0"/>
    </xf>
    <xf numFmtId="0" fontId="94" fillId="0" borderId="0" xfId="5" applyFont="1" applyProtection="1">
      <protection locked="0"/>
    </xf>
    <xf numFmtId="180" fontId="12" fillId="0" borderId="0" xfId="5" quotePrefix="1" applyNumberFormat="1" applyFont="1" applyAlignment="1" applyProtection="1">
      <alignment horizontal="left"/>
      <protection locked="0"/>
    </xf>
    <xf numFmtId="2" fontId="93" fillId="0" borderId="0" xfId="5" quotePrefix="1" applyNumberFormat="1" applyFont="1" applyProtection="1">
      <protection locked="0"/>
    </xf>
    <xf numFmtId="0" fontId="1" fillId="0" borderId="0" xfId="5" applyAlignment="1">
      <alignment vertical="top" wrapText="1"/>
    </xf>
    <xf numFmtId="0" fontId="12" fillId="0" borderId="2" xfId="5" applyFont="1" applyBorder="1" applyAlignment="1">
      <alignment vertical="top"/>
    </xf>
    <xf numFmtId="0" fontId="12" fillId="0" borderId="7" xfId="5" applyFont="1" applyBorder="1" applyAlignment="1" applyProtection="1">
      <alignment vertical="top" wrapText="1"/>
      <protection locked="0"/>
    </xf>
    <xf numFmtId="0" fontId="12" fillId="0" borderId="7" xfId="5" applyFont="1" applyBorder="1" applyAlignment="1" applyProtection="1">
      <alignment vertical="top"/>
      <protection locked="0"/>
    </xf>
    <xf numFmtId="0" fontId="81" fillId="0" borderId="0" xfId="5" applyFont="1" applyAlignment="1">
      <alignment vertical="top"/>
    </xf>
    <xf numFmtId="0" fontId="12" fillId="0" borderId="0" xfId="5" applyFont="1" applyAlignment="1" applyProtection="1">
      <alignment horizontal="center" vertical="top" wrapText="1"/>
      <protection locked="0"/>
    </xf>
    <xf numFmtId="0" fontId="92" fillId="0" borderId="0" xfId="5" applyFont="1" applyAlignment="1">
      <alignment wrapText="1"/>
    </xf>
    <xf numFmtId="0" fontId="86" fillId="0" borderId="0" xfId="5" applyFont="1" applyAlignment="1">
      <alignment horizontal="center"/>
    </xf>
    <xf numFmtId="0" fontId="19" fillId="0" borderId="0" xfId="5" applyFont="1"/>
    <xf numFmtId="0" fontId="12" fillId="0" borderId="0" xfId="5" applyFont="1" applyAlignment="1">
      <alignment horizontal="center" vertical="top" wrapText="1"/>
    </xf>
    <xf numFmtId="0" fontId="12" fillId="0" borderId="0" xfId="5" applyFont="1" applyAlignment="1">
      <alignment vertical="top" wrapText="1"/>
    </xf>
    <xf numFmtId="0" fontId="12" fillId="0" borderId="0" xfId="5" applyFont="1" applyAlignment="1">
      <alignment horizontal="justify" vertical="center" wrapText="1"/>
    </xf>
    <xf numFmtId="0" fontId="67" fillId="0" borderId="0" xfId="5" applyFont="1" applyAlignment="1">
      <alignment vertical="center"/>
    </xf>
    <xf numFmtId="0" fontId="1" fillId="0" borderId="67" xfId="5" applyBorder="1"/>
    <xf numFmtId="0" fontId="95" fillId="0" borderId="50" xfId="5" applyFont="1" applyBorder="1"/>
    <xf numFmtId="0" fontId="1" fillId="0" borderId="44" xfId="5" applyBorder="1"/>
    <xf numFmtId="0" fontId="1" fillId="0" borderId="9" xfId="5" applyBorder="1"/>
    <xf numFmtId="0" fontId="1" fillId="0" borderId="44" xfId="5" applyBorder="1" applyAlignment="1">
      <alignment wrapText="1"/>
    </xf>
    <xf numFmtId="0" fontId="1" fillId="0" borderId="9" xfId="5" applyBorder="1" applyAlignment="1">
      <alignment wrapText="1"/>
    </xf>
    <xf numFmtId="0" fontId="95" fillId="0" borderId="9" xfId="5" applyFont="1" applyBorder="1"/>
    <xf numFmtId="0" fontId="96" fillId="0" borderId="9" xfId="5" applyFont="1" applyBorder="1" applyAlignment="1">
      <alignment horizontal="left" wrapText="1"/>
    </xf>
    <xf numFmtId="0" fontId="1" fillId="0" borderId="0" xfId="5" applyAlignment="1">
      <alignment wrapText="1"/>
    </xf>
    <xf numFmtId="0" fontId="96" fillId="0" borderId="44" xfId="5" applyFont="1" applyBorder="1" applyAlignment="1">
      <alignment wrapText="1"/>
    </xf>
    <xf numFmtId="177" fontId="96" fillId="0" borderId="9" xfId="5" applyNumberFormat="1" applyFont="1" applyBorder="1" applyAlignment="1">
      <alignment horizontal="left"/>
    </xf>
    <xf numFmtId="177" fontId="1" fillId="0" borderId="9" xfId="5" applyNumberFormat="1" applyBorder="1"/>
    <xf numFmtId="0" fontId="97" fillId="0" borderId="9" xfId="5" applyFont="1" applyBorder="1" applyAlignment="1">
      <alignment horizontal="left" wrapText="1"/>
    </xf>
    <xf numFmtId="0" fontId="96" fillId="0" borderId="9" xfId="5" applyFont="1" applyBorder="1" applyAlignment="1">
      <alignment wrapText="1"/>
    </xf>
    <xf numFmtId="0" fontId="96" fillId="0" borderId="44" xfId="5" applyFont="1" applyBorder="1"/>
    <xf numFmtId="0" fontId="96" fillId="0" borderId="45" xfId="5" applyFont="1" applyBorder="1"/>
    <xf numFmtId="0" fontId="96" fillId="0" borderId="68" xfId="5" applyFont="1" applyBorder="1" applyAlignment="1">
      <alignment wrapText="1"/>
    </xf>
    <xf numFmtId="49" fontId="89" fillId="6" borderId="0" xfId="0" quotePrefix="1" applyNumberFormat="1" applyFont="1" applyFill="1" applyAlignment="1" applyProtection="1">
      <alignment vertical="center"/>
      <protection locked="0"/>
    </xf>
    <xf numFmtId="164" fontId="38" fillId="0" borderId="0" xfId="0" applyNumberFormat="1" applyFont="1" applyAlignment="1">
      <alignment horizontal="center" vertical="center"/>
    </xf>
    <xf numFmtId="170" fontId="38" fillId="0" borderId="0" xfId="0" applyNumberFormat="1" applyFont="1" applyAlignment="1">
      <alignment horizontal="center" vertical="center"/>
    </xf>
    <xf numFmtId="2" fontId="38" fillId="0" borderId="0" xfId="0" applyNumberFormat="1" applyFont="1" applyAlignment="1">
      <alignment horizontal="center" vertical="center"/>
    </xf>
    <xf numFmtId="0" fontId="37" fillId="0" borderId="0" xfId="1" applyFont="1" applyAlignment="1">
      <alignment horizontal="center" vertical="center"/>
    </xf>
    <xf numFmtId="0" fontId="38" fillId="0" borderId="34" xfId="0" applyFont="1" applyBorder="1" applyAlignment="1">
      <alignment horizontal="center" vertical="center" wrapText="1"/>
    </xf>
    <xf numFmtId="0" fontId="38" fillId="0" borderId="25" xfId="0" applyFont="1" applyBorder="1" applyAlignment="1">
      <alignment horizontal="center" vertical="center" wrapText="1"/>
    </xf>
    <xf numFmtId="2" fontId="38" fillId="0" borderId="2" xfId="0" applyNumberFormat="1" applyFont="1" applyBorder="1" applyAlignment="1">
      <alignment horizontal="center" vertical="center"/>
    </xf>
    <xf numFmtId="2" fontId="38" fillId="0" borderId="7" xfId="0" applyNumberFormat="1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 wrapText="1"/>
    </xf>
    <xf numFmtId="0" fontId="39" fillId="0" borderId="0" xfId="1" applyFont="1" applyAlignment="1">
      <alignment horizontal="center" vertical="center"/>
    </xf>
    <xf numFmtId="0" fontId="42" fillId="0" borderId="34" xfId="0" applyFont="1" applyBorder="1" applyAlignment="1">
      <alignment horizontal="center" vertical="center" wrapText="1"/>
    </xf>
    <xf numFmtId="0" fontId="42" fillId="0" borderId="6" xfId="0" applyFont="1" applyBorder="1" applyAlignment="1">
      <alignment horizontal="center" vertical="center" wrapText="1"/>
    </xf>
    <xf numFmtId="0" fontId="42" fillId="0" borderId="35" xfId="0" applyFont="1" applyBorder="1" applyAlignment="1">
      <alignment horizontal="center" vertical="center" wrapText="1"/>
    </xf>
    <xf numFmtId="0" fontId="42" fillId="0" borderId="48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/>
    </xf>
    <xf numFmtId="0" fontId="38" fillId="0" borderId="4" xfId="0" applyFont="1" applyBorder="1" applyAlignment="1">
      <alignment horizontal="center" vertical="center"/>
    </xf>
    <xf numFmtId="0" fontId="38" fillId="0" borderId="5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left" vertical="center" wrapText="1"/>
    </xf>
    <xf numFmtId="0" fontId="38" fillId="0" borderId="7" xfId="0" applyFont="1" applyBorder="1" applyAlignment="1">
      <alignment horizontal="left" vertical="center" wrapText="1"/>
    </xf>
    <xf numFmtId="0" fontId="70" fillId="0" borderId="1" xfId="0" applyFont="1" applyBorder="1" applyAlignment="1">
      <alignment horizontal="center" vertical="center"/>
    </xf>
    <xf numFmtId="0" fontId="89" fillId="6" borderId="0" xfId="1" quotePrefix="1" applyFont="1" applyFill="1" applyAlignment="1" applyProtection="1">
      <alignment horizontal="left" vertical="center"/>
      <protection locked="0"/>
    </xf>
    <xf numFmtId="166" fontId="89" fillId="6" borderId="2" xfId="0" applyNumberFormat="1" applyFont="1" applyFill="1" applyBorder="1" applyAlignment="1" applyProtection="1">
      <alignment horizontal="center" vertical="center"/>
      <protection locked="0"/>
    </xf>
    <xf numFmtId="166" fontId="89" fillId="6" borderId="7" xfId="0" applyNumberFormat="1" applyFont="1" applyFill="1" applyBorder="1" applyAlignment="1" applyProtection="1">
      <alignment horizontal="center" vertical="center"/>
      <protection locked="0"/>
    </xf>
    <xf numFmtId="49" fontId="89" fillId="6" borderId="0" xfId="1" quotePrefix="1" applyNumberFormat="1" applyFont="1" applyFill="1" applyAlignment="1" applyProtection="1">
      <alignment horizontal="left" vertical="center"/>
      <protection locked="0"/>
    </xf>
    <xf numFmtId="0" fontId="38" fillId="0" borderId="0" xfId="0" applyFont="1" applyAlignment="1" applyProtection="1">
      <alignment horizontal="left" vertical="center"/>
      <protection locked="0"/>
    </xf>
    <xf numFmtId="0" fontId="42" fillId="0" borderId="1" xfId="0" applyFont="1" applyBorder="1" applyAlignment="1" applyProtection="1">
      <alignment horizontal="center" vertical="center" wrapText="1"/>
      <protection locked="0"/>
    </xf>
    <xf numFmtId="0" fontId="42" fillId="0" borderId="2" xfId="0" applyFont="1" applyBorder="1" applyAlignment="1" applyProtection="1">
      <alignment horizontal="center" vertical="center"/>
      <protection locked="0"/>
    </xf>
    <xf numFmtId="0" fontId="38" fillId="0" borderId="0" xfId="0" applyFont="1" applyAlignment="1" applyProtection="1">
      <alignment horizontal="left" vertical="top" wrapText="1"/>
      <protection locked="0"/>
    </xf>
    <xf numFmtId="0" fontId="42" fillId="0" borderId="3" xfId="0" applyFont="1" applyBorder="1" applyAlignment="1" applyProtection="1">
      <alignment horizontal="center" vertical="center" wrapText="1"/>
      <protection locked="0"/>
    </xf>
    <xf numFmtId="0" fontId="42" fillId="0" borderId="5" xfId="0" applyFont="1" applyBorder="1" applyAlignment="1" applyProtection="1">
      <alignment horizontal="center" vertical="center" wrapText="1"/>
      <protection locked="0"/>
    </xf>
    <xf numFmtId="166" fontId="89" fillId="6" borderId="1" xfId="0" applyNumberFormat="1" applyFont="1" applyFill="1" applyBorder="1" applyAlignment="1" applyProtection="1">
      <alignment horizontal="center" vertical="center"/>
      <protection locked="0"/>
    </xf>
    <xf numFmtId="166" fontId="89" fillId="6" borderId="1" xfId="0" quotePrefix="1" applyNumberFormat="1" applyFont="1" applyFill="1" applyBorder="1" applyAlignment="1" applyProtection="1">
      <alignment horizontal="center" vertical="center"/>
      <protection locked="0"/>
    </xf>
    <xf numFmtId="0" fontId="38" fillId="0" borderId="2" xfId="0" applyFont="1" applyBorder="1" applyAlignment="1" applyProtection="1">
      <alignment horizontal="left" vertical="center" wrapText="1"/>
      <protection locked="0"/>
    </xf>
    <xf numFmtId="0" fontId="38" fillId="0" borderId="7" xfId="0" applyFont="1" applyBorder="1" applyAlignment="1" applyProtection="1">
      <alignment horizontal="left" vertical="center" wrapText="1"/>
      <protection locked="0"/>
    </xf>
    <xf numFmtId="0" fontId="37" fillId="0" borderId="0" xfId="1" applyFont="1" applyAlignment="1" applyProtection="1">
      <alignment horizontal="center" vertical="center"/>
      <protection locked="0"/>
    </xf>
    <xf numFmtId="0" fontId="38" fillId="0" borderId="39" xfId="0" applyFont="1" applyBorder="1" applyAlignment="1" applyProtection="1">
      <alignment horizontal="center" vertical="center" wrapText="1"/>
      <protection locked="0"/>
    </xf>
    <xf numFmtId="0" fontId="38" fillId="0" borderId="40" xfId="0" applyFont="1" applyBorder="1" applyAlignment="1" applyProtection="1">
      <alignment horizontal="center" vertical="center" wrapText="1"/>
      <protection locked="0"/>
    </xf>
    <xf numFmtId="0" fontId="38" fillId="0" borderId="41" xfId="0" applyFont="1" applyBorder="1" applyAlignment="1" applyProtection="1">
      <alignment horizontal="center" vertical="center" wrapText="1"/>
      <protection locked="0"/>
    </xf>
    <xf numFmtId="171" fontId="89" fillId="6" borderId="3" xfId="1" quotePrefix="1" applyNumberFormat="1" applyFont="1" applyFill="1" applyBorder="1" applyAlignment="1" applyProtection="1">
      <alignment horizontal="center" vertical="center"/>
      <protection locked="0"/>
    </xf>
    <xf numFmtId="171" fontId="89" fillId="6" borderId="4" xfId="1" quotePrefix="1" applyNumberFormat="1" applyFont="1" applyFill="1" applyBorder="1" applyAlignment="1" applyProtection="1">
      <alignment horizontal="center" vertical="center"/>
      <protection locked="0"/>
    </xf>
    <xf numFmtId="171" fontId="89" fillId="6" borderId="5" xfId="1" quotePrefix="1" applyNumberFormat="1" applyFont="1" applyFill="1" applyBorder="1" applyAlignment="1" applyProtection="1">
      <alignment horizontal="center" vertical="center"/>
      <protection locked="0"/>
    </xf>
    <xf numFmtId="2" fontId="89" fillId="6" borderId="0" xfId="0" applyNumberFormat="1" applyFont="1" applyFill="1" applyAlignment="1" applyProtection="1">
      <alignment horizontal="left" vertical="center"/>
      <protection locked="0"/>
    </xf>
    <xf numFmtId="0" fontId="89" fillId="6" borderId="0" xfId="1" applyFont="1" applyFill="1" applyAlignment="1" applyProtection="1">
      <alignment horizontal="left" vertical="center"/>
      <protection locked="0"/>
    </xf>
    <xf numFmtId="0" fontId="89" fillId="6" borderId="0" xfId="0" applyFont="1" applyFill="1" applyAlignment="1" applyProtection="1">
      <alignment horizontal="left" vertical="center"/>
      <protection locked="0"/>
    </xf>
    <xf numFmtId="166" fontId="90" fillId="6" borderId="2" xfId="0" applyNumberFormat="1" applyFont="1" applyFill="1" applyBorder="1" applyAlignment="1">
      <alignment horizontal="center" vertical="center"/>
    </xf>
    <xf numFmtId="166" fontId="90" fillId="6" borderId="7" xfId="0" applyNumberFormat="1" applyFont="1" applyFill="1" applyBorder="1" applyAlignment="1">
      <alignment horizontal="center" vertical="center"/>
    </xf>
    <xf numFmtId="171" fontId="89" fillId="6" borderId="39" xfId="0" applyNumberFormat="1" applyFont="1" applyFill="1" applyBorder="1" applyAlignment="1" applyProtection="1">
      <alignment horizontal="center" vertical="center"/>
      <protection locked="0"/>
    </xf>
    <xf numFmtId="0" fontId="89" fillId="6" borderId="40" xfId="0" applyFont="1" applyFill="1" applyBorder="1" applyAlignment="1" applyProtection="1">
      <alignment horizontal="center" vertical="center"/>
      <protection locked="0"/>
    </xf>
    <xf numFmtId="0" fontId="89" fillId="6" borderId="41" xfId="0" applyFont="1" applyFill="1" applyBorder="1" applyAlignment="1" applyProtection="1">
      <alignment horizontal="center" vertical="center"/>
      <protection locked="0"/>
    </xf>
    <xf numFmtId="166" fontId="90" fillId="6" borderId="2" xfId="0" quotePrefix="1" applyNumberFormat="1" applyFont="1" applyFill="1" applyBorder="1" applyAlignment="1">
      <alignment horizontal="center" vertical="center"/>
    </xf>
    <xf numFmtId="167" fontId="89" fillId="6" borderId="2" xfId="0" applyNumberFormat="1" applyFont="1" applyFill="1" applyBorder="1" applyAlignment="1" applyProtection="1">
      <alignment horizontal="center" vertical="center"/>
      <protection locked="0"/>
    </xf>
    <xf numFmtId="167" fontId="89" fillId="6" borderId="7" xfId="0" applyNumberFormat="1" applyFont="1" applyFill="1" applyBorder="1" applyAlignment="1" applyProtection="1">
      <alignment horizontal="center" vertical="center"/>
      <protection locked="0"/>
    </xf>
    <xf numFmtId="0" fontId="89" fillId="6" borderId="0" xfId="0" applyFont="1" applyFill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9" fillId="2" borderId="1" xfId="3" applyFont="1" applyFill="1" applyBorder="1" applyAlignment="1">
      <alignment horizontal="center" vertical="center" wrapText="1"/>
    </xf>
    <xf numFmtId="0" fontId="9" fillId="2" borderId="8" xfId="3" applyFont="1" applyFill="1" applyBorder="1" applyAlignment="1">
      <alignment horizontal="left" vertical="center"/>
    </xf>
    <xf numFmtId="0" fontId="10" fillId="0" borderId="1" xfId="3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0" fillId="0" borderId="2" xfId="3" applyFont="1" applyBorder="1" applyAlignment="1">
      <alignment horizontal="left" vertical="center" wrapText="1"/>
    </xf>
    <xf numFmtId="0" fontId="10" fillId="0" borderId="7" xfId="3" applyFont="1" applyBorder="1" applyAlignment="1">
      <alignment horizontal="left" vertical="center" wrapText="1"/>
    </xf>
    <xf numFmtId="171" fontId="0" fillId="13" borderId="2" xfId="0" applyNumberFormat="1" applyFill="1" applyBorder="1" applyAlignment="1">
      <alignment horizontal="center" vertical="center"/>
    </xf>
    <xf numFmtId="171" fontId="0" fillId="13" borderId="8" xfId="0" applyNumberFormat="1" applyFill="1" applyBorder="1" applyAlignment="1">
      <alignment horizontal="center" vertical="center"/>
    </xf>
    <xf numFmtId="171" fontId="0" fillId="13" borderId="7" xfId="0" applyNumberFormat="1" applyFill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4" fontId="40" fillId="2" borderId="25" xfId="0" applyNumberFormat="1" applyFont="1" applyFill="1" applyBorder="1" applyAlignment="1">
      <alignment horizontal="center" vertical="center"/>
    </xf>
    <xf numFmtId="174" fontId="40" fillId="2" borderId="0" xfId="0" applyNumberFormat="1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42" fillId="0" borderId="2" xfId="0" applyFont="1" applyBorder="1" applyAlignment="1">
      <alignment horizontal="center" vertical="center" wrapText="1"/>
    </xf>
    <xf numFmtId="0" fontId="42" fillId="0" borderId="7" xfId="0" applyFont="1" applyBorder="1" applyAlignment="1">
      <alignment horizontal="center" vertical="center" wrapText="1"/>
    </xf>
    <xf numFmtId="2" fontId="38" fillId="0" borderId="39" xfId="0" applyNumberFormat="1" applyFont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40" xfId="0" applyFont="1" applyBorder="1" applyAlignment="1">
      <alignment horizontal="center" vertical="center"/>
    </xf>
    <xf numFmtId="0" fontId="38" fillId="0" borderId="41" xfId="0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 wrapText="1"/>
    </xf>
    <xf numFmtId="0" fontId="38" fillId="0" borderId="4" xfId="0" applyFont="1" applyBorder="1" applyAlignment="1">
      <alignment horizontal="center" vertical="center" wrapText="1"/>
    </xf>
    <xf numFmtId="0" fontId="38" fillId="0" borderId="5" xfId="0" applyFont="1" applyBorder="1" applyAlignment="1">
      <alignment horizontal="center" vertical="center" wrapText="1"/>
    </xf>
    <xf numFmtId="2" fontId="38" fillId="0" borderId="40" xfId="0" applyNumberFormat="1" applyFont="1" applyBorder="1" applyAlignment="1">
      <alignment horizontal="center" vertical="center"/>
    </xf>
    <xf numFmtId="2" fontId="38" fillId="0" borderId="41" xfId="0" applyNumberFormat="1" applyFont="1" applyBorder="1" applyAlignment="1">
      <alignment horizontal="center" vertical="center"/>
    </xf>
    <xf numFmtId="1" fontId="38" fillId="0" borderId="39" xfId="0" applyNumberFormat="1" applyFont="1" applyBorder="1" applyAlignment="1">
      <alignment horizontal="center" vertical="center" wrapText="1"/>
    </xf>
    <xf numFmtId="2" fontId="38" fillId="0" borderId="39" xfId="0" applyNumberFormat="1" applyFont="1" applyBorder="1" applyAlignment="1">
      <alignment horizontal="center" vertical="center" wrapText="1"/>
    </xf>
    <xf numFmtId="171" fontId="38" fillId="0" borderId="0" xfId="0" applyNumberFormat="1" applyFont="1" applyAlignment="1">
      <alignment horizontal="left" vertical="center"/>
    </xf>
    <xf numFmtId="0" fontId="38" fillId="0" borderId="39" xfId="0" applyFont="1" applyBorder="1" applyAlignment="1">
      <alignment horizontal="center" vertical="center" wrapText="1"/>
    </xf>
    <xf numFmtId="0" fontId="38" fillId="0" borderId="40" xfId="0" applyFont="1" applyBorder="1" applyAlignment="1">
      <alignment horizontal="center" vertical="center" wrapText="1"/>
    </xf>
    <xf numFmtId="0" fontId="38" fillId="0" borderId="41" xfId="0" applyFont="1" applyBorder="1" applyAlignment="1">
      <alignment horizontal="center" vertical="center" wrapText="1"/>
    </xf>
    <xf numFmtId="1" fontId="38" fillId="0" borderId="40" xfId="0" applyNumberFormat="1" applyFont="1" applyBorder="1" applyAlignment="1">
      <alignment horizontal="center" vertical="center" wrapText="1"/>
    </xf>
    <xf numFmtId="1" fontId="38" fillId="0" borderId="41" xfId="0" applyNumberFormat="1" applyFont="1" applyBorder="1" applyAlignment="1">
      <alignment horizontal="center" vertical="center" wrapText="1"/>
    </xf>
    <xf numFmtId="2" fontId="38" fillId="0" borderId="40" xfId="0" applyNumberFormat="1" applyFont="1" applyBorder="1" applyAlignment="1">
      <alignment horizontal="center" vertical="center" wrapText="1"/>
    </xf>
    <xf numFmtId="2" fontId="38" fillId="0" borderId="41" xfId="0" applyNumberFormat="1" applyFont="1" applyBorder="1" applyAlignment="1">
      <alignment horizontal="center" vertical="center" wrapText="1"/>
    </xf>
    <xf numFmtId="0" fontId="14" fillId="0" borderId="0" xfId="5" applyFont="1" applyAlignment="1">
      <alignment horizontal="left" vertical="center" wrapText="1"/>
    </xf>
    <xf numFmtId="0" fontId="12" fillId="0" borderId="0" xfId="5" applyFont="1" applyAlignment="1">
      <alignment horizontal="left" vertical="center" wrapText="1"/>
    </xf>
    <xf numFmtId="177" fontId="12" fillId="0" borderId="0" xfId="5" applyNumberFormat="1" applyFont="1" applyAlignment="1">
      <alignment horizontal="left" vertical="top" wrapText="1"/>
    </xf>
    <xf numFmtId="0" fontId="12" fillId="0" borderId="0" xfId="5" applyFont="1" applyAlignment="1">
      <alignment horizontal="left" vertical="top" wrapText="1"/>
    </xf>
    <xf numFmtId="0" fontId="12" fillId="4" borderId="0" xfId="5" applyFont="1" applyFill="1" applyAlignment="1">
      <alignment horizontal="justify" vertical="center" wrapText="1"/>
    </xf>
    <xf numFmtId="177" fontId="12" fillId="0" borderId="0" xfId="5" applyNumberFormat="1" applyFont="1" applyAlignment="1">
      <alignment horizontal="left" vertical="center" wrapText="1"/>
    </xf>
    <xf numFmtId="0" fontId="12" fillId="0" borderId="2" xfId="5" applyFont="1" applyBorder="1" applyAlignment="1">
      <alignment horizontal="left" vertical="top" wrapText="1"/>
    </xf>
    <xf numFmtId="0" fontId="12" fillId="0" borderId="8" xfId="5" applyFont="1" applyBorder="1" applyAlignment="1">
      <alignment horizontal="left" vertical="top" wrapText="1"/>
    </xf>
    <xf numFmtId="0" fontId="93" fillId="0" borderId="0" xfId="5" applyFont="1" applyAlignment="1" applyProtection="1">
      <alignment horizontal="left"/>
      <protection locked="0"/>
    </xf>
    <xf numFmtId="0" fontId="94" fillId="0" borderId="0" xfId="5" applyFont="1" applyAlignment="1" applyProtection="1">
      <alignment horizontal="left" vertical="center" wrapText="1"/>
      <protection locked="0"/>
    </xf>
    <xf numFmtId="0" fontId="12" fillId="0" borderId="0" xfId="5" applyFont="1" applyAlignment="1" applyProtection="1">
      <alignment horizontal="left" vertical="top" wrapText="1"/>
      <protection locked="0"/>
    </xf>
    <xf numFmtId="0" fontId="12" fillId="0" borderId="0" xfId="5" applyFont="1" applyAlignment="1" applyProtection="1">
      <alignment horizontal="justify" vertical="top" wrapText="1"/>
      <protection locked="0"/>
    </xf>
    <xf numFmtId="181" fontId="93" fillId="0" borderId="0" xfId="5" quotePrefix="1" applyNumberFormat="1" applyFont="1" applyAlignment="1" applyProtection="1">
      <alignment horizontal="left" vertical="center"/>
      <protection locked="0"/>
    </xf>
    <xf numFmtId="181" fontId="93" fillId="0" borderId="0" xfId="5" applyNumberFormat="1" applyFont="1" applyAlignment="1" applyProtection="1">
      <alignment horizontal="left" vertical="center"/>
      <protection locked="0"/>
    </xf>
    <xf numFmtId="0" fontId="86" fillId="0" borderId="0" xfId="5" applyFont="1" applyAlignment="1">
      <alignment horizontal="center"/>
    </xf>
    <xf numFmtId="0" fontId="93" fillId="0" borderId="0" xfId="5" quotePrefix="1" applyFont="1" applyAlignment="1" applyProtection="1">
      <alignment horizontal="left"/>
      <protection locked="0"/>
    </xf>
    <xf numFmtId="0" fontId="94" fillId="0" borderId="0" xfId="5" quotePrefix="1" applyFont="1" applyAlignment="1" applyProtection="1">
      <alignment horizontal="left" vertical="center" wrapText="1"/>
      <protection locked="0"/>
    </xf>
    <xf numFmtId="11" fontId="93" fillId="0" borderId="0" xfId="5" quotePrefix="1" applyNumberFormat="1" applyFont="1" applyAlignment="1" applyProtection="1">
      <alignment horizontal="left"/>
      <protection locked="0"/>
    </xf>
    <xf numFmtId="0" fontId="12" fillId="0" borderId="0" xfId="5" applyFont="1" applyAlignment="1" applyProtection="1">
      <alignment horizontal="left" vertical="center" wrapText="1"/>
      <protection locked="0"/>
    </xf>
    <xf numFmtId="0" fontId="91" fillId="0" borderId="0" xfId="5" applyFont="1" applyAlignment="1" applyProtection="1">
      <alignment horizontal="center" vertical="center"/>
      <protection locked="0"/>
    </xf>
    <xf numFmtId="177" fontId="93" fillId="0" borderId="0" xfId="5" quotePrefix="1" applyNumberFormat="1" applyFont="1" applyAlignment="1" applyProtection="1">
      <alignment horizontal="center" vertical="center"/>
      <protection locked="0"/>
    </xf>
    <xf numFmtId="177" fontId="93" fillId="0" borderId="0" xfId="5" applyNumberFormat="1" applyFont="1" applyAlignment="1" applyProtection="1">
      <alignment horizontal="center" vertical="center"/>
      <protection locked="0"/>
    </xf>
    <xf numFmtId="0" fontId="12" fillId="0" borderId="0" xfId="5" applyFont="1" applyAlignment="1">
      <alignment horizontal="center"/>
    </xf>
    <xf numFmtId="0" fontId="62" fillId="0" borderId="0" xfId="5" applyFont="1" applyAlignment="1">
      <alignment horizontal="right" vertical="center"/>
    </xf>
    <xf numFmtId="0" fontId="87" fillId="0" borderId="0" xfId="5" applyFont="1" applyAlignment="1">
      <alignment horizontal="center"/>
    </xf>
    <xf numFmtId="2" fontId="10" fillId="2" borderId="18" xfId="3" applyNumberFormat="1" applyFont="1" applyFill="1" applyBorder="1" applyAlignment="1">
      <alignment horizontal="center" vertical="center"/>
    </xf>
    <xf numFmtId="2" fontId="10" fillId="2" borderId="13" xfId="3" applyNumberFormat="1" applyFont="1" applyFill="1" applyBorder="1" applyAlignment="1">
      <alignment horizontal="center" vertical="center"/>
    </xf>
    <xf numFmtId="2" fontId="10" fillId="2" borderId="15" xfId="3" applyNumberFormat="1" applyFont="1" applyFill="1" applyBorder="1" applyAlignment="1">
      <alignment horizontal="center" vertical="center"/>
    </xf>
    <xf numFmtId="2" fontId="11" fillId="8" borderId="1" xfId="3" applyNumberFormat="1" applyFont="1" applyFill="1" applyBorder="1" applyAlignment="1">
      <alignment horizontal="center" vertical="center"/>
    </xf>
    <xf numFmtId="2" fontId="11" fillId="8" borderId="3" xfId="3" applyNumberFormat="1" applyFont="1" applyFill="1" applyBorder="1" applyAlignment="1">
      <alignment horizontal="center" vertical="center"/>
    </xf>
    <xf numFmtId="2" fontId="11" fillId="2" borderId="18" xfId="3" applyNumberFormat="1" applyFont="1" applyFill="1" applyBorder="1" applyAlignment="1">
      <alignment horizontal="center" vertical="center"/>
    </xf>
    <xf numFmtId="2" fontId="11" fillId="2" borderId="22" xfId="3" applyNumberFormat="1" applyFont="1" applyFill="1" applyBorder="1" applyAlignment="1">
      <alignment horizontal="center" vertical="center"/>
    </xf>
    <xf numFmtId="2" fontId="11" fillId="2" borderId="19" xfId="3" applyNumberFormat="1" applyFont="1" applyFill="1" applyBorder="1" applyAlignment="1">
      <alignment horizontal="center" vertical="center"/>
    </xf>
    <xf numFmtId="1" fontId="11" fillId="5" borderId="1" xfId="3" applyNumberFormat="1" applyFont="1" applyFill="1" applyBorder="1" applyAlignment="1">
      <alignment horizontal="center" vertical="center"/>
    </xf>
    <xf numFmtId="2" fontId="10" fillId="5" borderId="22" xfId="3" applyNumberFormat="1" applyFont="1" applyFill="1" applyBorder="1" applyAlignment="1">
      <alignment horizontal="center" vertical="center"/>
    </xf>
    <xf numFmtId="2" fontId="10" fillId="5" borderId="1" xfId="3" applyNumberFormat="1" applyFont="1" applyFill="1" applyBorder="1" applyAlignment="1">
      <alignment horizontal="center" vertical="center"/>
    </xf>
    <xf numFmtId="2" fontId="10" fillId="5" borderId="16" xfId="3" applyNumberFormat="1" applyFont="1" applyFill="1" applyBorder="1" applyAlignment="1">
      <alignment horizontal="center" vertical="center"/>
    </xf>
    <xf numFmtId="2" fontId="10" fillId="5" borderId="62" xfId="3" applyNumberFormat="1" applyFont="1" applyFill="1" applyBorder="1" applyAlignment="1">
      <alignment horizontal="center" vertical="center"/>
    </xf>
    <xf numFmtId="2" fontId="10" fillId="5" borderId="4" xfId="3" applyNumberFormat="1" applyFont="1" applyFill="1" applyBorder="1" applyAlignment="1">
      <alignment horizontal="center" vertical="center"/>
    </xf>
    <xf numFmtId="2" fontId="10" fillId="5" borderId="46" xfId="3" applyNumberFormat="1" applyFont="1" applyFill="1" applyBorder="1" applyAlignment="1">
      <alignment horizontal="center" vertical="center"/>
    </xf>
    <xf numFmtId="2" fontId="30" fillId="2" borderId="1" xfId="3" applyNumberFormat="1" applyFont="1" applyFill="1" applyBorder="1" applyAlignment="1">
      <alignment horizontal="center" vertical="center" wrapText="1"/>
    </xf>
    <xf numFmtId="2" fontId="30" fillId="2" borderId="22" xfId="3" applyNumberFormat="1" applyFont="1" applyFill="1" applyBorder="1" applyAlignment="1">
      <alignment horizontal="left" vertical="center" wrapText="1"/>
    </xf>
    <xf numFmtId="2" fontId="30" fillId="2" borderId="19" xfId="3" applyNumberFormat="1" applyFont="1" applyFill="1" applyBorder="1" applyAlignment="1">
      <alignment horizontal="left" vertical="center" wrapText="1"/>
    </xf>
    <xf numFmtId="2" fontId="50" fillId="2" borderId="1" xfId="3" applyNumberFormat="1" applyFont="1" applyFill="1" applyBorder="1" applyAlignment="1">
      <alignment horizontal="center" vertical="center"/>
    </xf>
    <xf numFmtId="2" fontId="11" fillId="2" borderId="14" xfId="3" applyNumberFormat="1" applyFont="1" applyFill="1" applyBorder="1" applyAlignment="1">
      <alignment horizontal="center" vertical="center" wrapText="1"/>
    </xf>
    <xf numFmtId="2" fontId="30" fillId="2" borderId="13" xfId="3" applyNumberFormat="1" applyFont="1" applyFill="1" applyBorder="1" applyAlignment="1">
      <alignment horizontal="center" vertical="center" wrapText="1"/>
    </xf>
    <xf numFmtId="2" fontId="30" fillId="4" borderId="18" xfId="3" applyNumberFormat="1" applyFont="1" applyFill="1" applyBorder="1" applyAlignment="1">
      <alignment horizontal="center" vertical="center"/>
    </xf>
    <xf numFmtId="2" fontId="30" fillId="4" borderId="19" xfId="3" applyNumberFormat="1" applyFont="1" applyFill="1" applyBorder="1" applyAlignment="1">
      <alignment horizontal="center" vertical="center"/>
    </xf>
    <xf numFmtId="2" fontId="11" fillId="4" borderId="13" xfId="3" applyNumberFormat="1" applyFont="1" applyFill="1" applyBorder="1" applyAlignment="1">
      <alignment horizontal="center" vertical="center"/>
    </xf>
    <xf numFmtId="2" fontId="11" fillId="4" borderId="14" xfId="3" applyNumberFormat="1" applyFont="1" applyFill="1" applyBorder="1" applyAlignment="1">
      <alignment horizontal="center" vertical="center"/>
    </xf>
    <xf numFmtId="2" fontId="50" fillId="5" borderId="1" xfId="3" applyNumberFormat="1" applyFont="1" applyFill="1" applyBorder="1" applyAlignment="1">
      <alignment horizontal="center" vertical="center"/>
    </xf>
    <xf numFmtId="2" fontId="50" fillId="5" borderId="34" xfId="3" applyNumberFormat="1" applyFont="1" applyFill="1" applyBorder="1" applyAlignment="1">
      <alignment horizontal="center" vertical="center"/>
    </xf>
    <xf numFmtId="2" fontId="50" fillId="5" borderId="6" xfId="3" applyNumberFormat="1" applyFont="1" applyFill="1" applyBorder="1" applyAlignment="1">
      <alignment horizontal="center" vertical="center"/>
    </xf>
    <xf numFmtId="2" fontId="50" fillId="5" borderId="57" xfId="3" applyNumberFormat="1" applyFont="1" applyFill="1" applyBorder="1" applyAlignment="1">
      <alignment horizontal="center" vertical="center"/>
    </xf>
    <xf numFmtId="2" fontId="50" fillId="5" borderId="14" xfId="3" applyNumberFormat="1" applyFont="1" applyFill="1" applyBorder="1" applyAlignment="1">
      <alignment horizontal="center" vertical="center"/>
    </xf>
    <xf numFmtId="2" fontId="10" fillId="5" borderId="3" xfId="3" applyNumberFormat="1" applyFont="1" applyFill="1" applyBorder="1" applyAlignment="1">
      <alignment horizontal="center" vertical="center"/>
    </xf>
    <xf numFmtId="2" fontId="11" fillId="5" borderId="1" xfId="3" applyNumberFormat="1" applyFont="1" applyFill="1" applyBorder="1" applyAlignment="1">
      <alignment horizontal="center" vertical="center" wrapText="1"/>
    </xf>
    <xf numFmtId="2" fontId="30" fillId="5" borderId="1" xfId="3" applyNumberFormat="1" applyFont="1" applyFill="1" applyBorder="1" applyAlignment="1">
      <alignment horizontal="center" vertical="center"/>
    </xf>
    <xf numFmtId="2" fontId="11" fillId="5" borderId="22" xfId="3" applyNumberFormat="1" applyFont="1" applyFill="1" applyBorder="1" applyAlignment="1">
      <alignment horizontal="center" vertical="center"/>
    </xf>
    <xf numFmtId="2" fontId="11" fillId="5" borderId="1" xfId="3" applyNumberFormat="1" applyFont="1" applyFill="1" applyBorder="1" applyAlignment="1">
      <alignment horizontal="center" vertical="center"/>
    </xf>
    <xf numFmtId="2" fontId="11" fillId="5" borderId="22" xfId="3" applyNumberFormat="1" applyFont="1" applyFill="1" applyBorder="1" applyAlignment="1">
      <alignment horizontal="center" vertical="center" wrapText="1"/>
    </xf>
    <xf numFmtId="2" fontId="30" fillId="5" borderId="22" xfId="3" applyNumberFormat="1" applyFont="1" applyFill="1" applyBorder="1" applyAlignment="1">
      <alignment horizontal="center" vertical="center"/>
    </xf>
    <xf numFmtId="2" fontId="30" fillId="5" borderId="19" xfId="3" applyNumberFormat="1" applyFont="1" applyFill="1" applyBorder="1" applyAlignment="1">
      <alignment horizontal="center" vertical="center"/>
    </xf>
    <xf numFmtId="2" fontId="46" fillId="5" borderId="18" xfId="3" applyNumberFormat="1" applyFont="1" applyFill="1" applyBorder="1" applyAlignment="1">
      <alignment horizontal="center" vertical="center"/>
    </xf>
    <xf numFmtId="2" fontId="46" fillId="5" borderId="19" xfId="3" applyNumberFormat="1" applyFont="1" applyFill="1" applyBorder="1" applyAlignment="1">
      <alignment horizontal="center" vertical="center"/>
    </xf>
    <xf numFmtId="2" fontId="47" fillId="5" borderId="1" xfId="3" applyNumberFormat="1" applyFont="1" applyFill="1" applyBorder="1" applyAlignment="1">
      <alignment horizontal="center" vertical="center"/>
    </xf>
    <xf numFmtId="2" fontId="49" fillId="5" borderId="1" xfId="3" applyNumberFormat="1" applyFont="1" applyFill="1" applyBorder="1" applyAlignment="1">
      <alignment horizontal="center" vertical="center"/>
    </xf>
    <xf numFmtId="2" fontId="9" fillId="5" borderId="1" xfId="3" applyNumberFormat="1" applyFont="1" applyFill="1" applyBorder="1" applyAlignment="1">
      <alignment horizontal="center" vertical="center"/>
    </xf>
    <xf numFmtId="1" fontId="30" fillId="5" borderId="1" xfId="3" applyNumberFormat="1" applyFont="1" applyFill="1" applyBorder="1" applyAlignment="1">
      <alignment horizontal="center" vertical="center"/>
    </xf>
    <xf numFmtId="2" fontId="47" fillId="5" borderId="2" xfId="3" applyNumberFormat="1" applyFont="1" applyFill="1" applyBorder="1" applyAlignment="1">
      <alignment horizontal="center" vertical="center"/>
    </xf>
    <xf numFmtId="2" fontId="47" fillId="5" borderId="8" xfId="3" applyNumberFormat="1" applyFont="1" applyFill="1" applyBorder="1" applyAlignment="1">
      <alignment horizontal="center" vertical="center"/>
    </xf>
    <xf numFmtId="2" fontId="47" fillId="5" borderId="7" xfId="3" applyNumberFormat="1" applyFont="1" applyFill="1" applyBorder="1" applyAlignment="1">
      <alignment horizontal="center" vertical="center"/>
    </xf>
    <xf numFmtId="1" fontId="2" fillId="0" borderId="1" xfId="3" applyNumberFormat="1" applyBorder="1" applyAlignment="1">
      <alignment horizontal="center" vertical="center"/>
    </xf>
    <xf numFmtId="1" fontId="48" fillId="0" borderId="1" xfId="3" applyNumberFormat="1" applyFont="1" applyBorder="1" applyAlignment="1">
      <alignment horizontal="center" vertical="center"/>
    </xf>
    <xf numFmtId="2" fontId="10" fillId="7" borderId="0" xfId="3" applyNumberFormat="1" applyFont="1" applyFill="1" applyAlignment="1">
      <alignment horizontal="center"/>
    </xf>
    <xf numFmtId="1" fontId="2" fillId="0" borderId="3" xfId="3" applyNumberFormat="1" applyBorder="1" applyAlignment="1">
      <alignment horizontal="center" vertical="center"/>
    </xf>
    <xf numFmtId="1" fontId="2" fillId="0" borderId="4" xfId="3" applyNumberFormat="1" applyBorder="1" applyAlignment="1">
      <alignment horizontal="center" vertical="center"/>
    </xf>
    <xf numFmtId="1" fontId="2" fillId="0" borderId="5" xfId="3" applyNumberFormat="1" applyBorder="1" applyAlignment="1">
      <alignment horizontal="center" vertical="center"/>
    </xf>
    <xf numFmtId="2" fontId="45" fillId="7" borderId="44" xfId="3" applyNumberFormat="1" applyFont="1" applyFill="1" applyBorder="1" applyAlignment="1">
      <alignment horizontal="center" vertical="center"/>
    </xf>
    <xf numFmtId="2" fontId="45" fillId="7" borderId="0" xfId="3" applyNumberFormat="1" applyFont="1" applyFill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47" fillId="5" borderId="1" xfId="0" applyFont="1" applyFill="1" applyBorder="1" applyAlignment="1" applyProtection="1">
      <alignment horizontal="center" vertical="center"/>
      <protection locked="0"/>
    </xf>
    <xf numFmtId="0" fontId="30" fillId="5" borderId="1" xfId="3" applyFont="1" applyFill="1" applyBorder="1" applyAlignment="1" applyProtection="1">
      <alignment horizontal="center" vertical="center"/>
      <protection locked="0"/>
    </xf>
    <xf numFmtId="2" fontId="30" fillId="5" borderId="1" xfId="3" applyNumberFormat="1" applyFont="1" applyFill="1" applyBorder="1" applyAlignment="1" applyProtection="1">
      <alignment horizontal="center" vertical="center"/>
      <protection locked="0"/>
    </xf>
    <xf numFmtId="1" fontId="47" fillId="5" borderId="3" xfId="0" applyNumberFormat="1" applyFont="1" applyFill="1" applyBorder="1" applyAlignment="1" applyProtection="1">
      <alignment horizontal="center" vertical="center"/>
      <protection locked="0"/>
    </xf>
    <xf numFmtId="1" fontId="47" fillId="5" borderId="5" xfId="0" applyNumberFormat="1" applyFont="1" applyFill="1" applyBorder="1" applyAlignment="1" applyProtection="1">
      <alignment horizontal="center" vertical="center"/>
      <protection locked="0"/>
    </xf>
    <xf numFmtId="0" fontId="30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wrapText="1"/>
    </xf>
    <xf numFmtId="0" fontId="19" fillId="5" borderId="2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 vertical="center"/>
    </xf>
    <xf numFmtId="0" fontId="11" fillId="17" borderId="22" xfId="0" applyFont="1" applyFill="1" applyBorder="1" applyAlignment="1">
      <alignment horizontal="center" vertical="center"/>
    </xf>
    <xf numFmtId="0" fontId="11" fillId="17" borderId="19" xfId="0" applyFont="1" applyFill="1" applyBorder="1" applyAlignment="1">
      <alignment horizontal="center" vertical="center"/>
    </xf>
    <xf numFmtId="0" fontId="11" fillId="18" borderId="18" xfId="0" applyFont="1" applyFill="1" applyBorder="1" applyAlignment="1">
      <alignment horizontal="center" vertical="center"/>
    </xf>
    <xf numFmtId="0" fontId="11" fillId="18" borderId="22" xfId="0" applyFont="1" applyFill="1" applyBorder="1" applyAlignment="1">
      <alignment horizontal="center" vertical="center"/>
    </xf>
    <xf numFmtId="0" fontId="11" fillId="18" borderId="19" xfId="0" applyFont="1" applyFill="1" applyBorder="1" applyAlignment="1">
      <alignment horizontal="center" vertical="center"/>
    </xf>
    <xf numFmtId="0" fontId="30" fillId="5" borderId="2" xfId="3" applyFont="1" applyFill="1" applyBorder="1" applyAlignment="1" applyProtection="1">
      <alignment horizontal="center" vertical="center"/>
      <protection locked="0"/>
    </xf>
    <xf numFmtId="0" fontId="30" fillId="5" borderId="8" xfId="3" applyFont="1" applyFill="1" applyBorder="1" applyAlignment="1" applyProtection="1">
      <alignment horizontal="center" vertical="center"/>
      <protection locked="0"/>
    </xf>
    <xf numFmtId="0" fontId="30" fillId="5" borderId="7" xfId="3" applyFont="1" applyFill="1" applyBorder="1" applyAlignment="1" applyProtection="1">
      <alignment horizontal="center" vertical="center"/>
      <protection locked="0"/>
    </xf>
    <xf numFmtId="0" fontId="50" fillId="5" borderId="34" xfId="0" applyFont="1" applyFill="1" applyBorder="1" applyAlignment="1">
      <alignment horizontal="center" vertical="center"/>
    </xf>
    <xf numFmtId="0" fontId="50" fillId="5" borderId="6" xfId="0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  <xf numFmtId="0" fontId="50" fillId="5" borderId="1" xfId="0" applyFont="1" applyFill="1" applyBorder="1" applyAlignment="1">
      <alignment horizontal="center" vertical="center"/>
    </xf>
    <xf numFmtId="0" fontId="30" fillId="5" borderId="1" xfId="3" applyFont="1" applyFill="1" applyBorder="1" applyAlignment="1">
      <alignment horizontal="center" vertical="center"/>
    </xf>
    <xf numFmtId="0" fontId="50" fillId="4" borderId="34" xfId="0" applyFont="1" applyFill="1" applyBorder="1" applyAlignment="1">
      <alignment horizontal="center" vertical="center"/>
    </xf>
    <xf numFmtId="0" fontId="50" fillId="4" borderId="6" xfId="0" applyFont="1" applyFill="1" applyBorder="1" applyAlignment="1">
      <alignment horizontal="center" vertical="center"/>
    </xf>
    <xf numFmtId="0" fontId="50" fillId="4" borderId="57" xfId="0" applyFont="1" applyFill="1" applyBorder="1" applyAlignment="1">
      <alignment horizontal="center" vertical="center"/>
    </xf>
    <xf numFmtId="0" fontId="50" fillId="4" borderId="1" xfId="0" applyFont="1" applyFill="1" applyBorder="1" applyAlignment="1">
      <alignment horizontal="center" vertical="center"/>
    </xf>
    <xf numFmtId="0" fontId="36" fillId="0" borderId="20" xfId="0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36" fillId="0" borderId="23" xfId="0" applyFont="1" applyBorder="1" applyAlignment="1">
      <alignment horizontal="center"/>
    </xf>
    <xf numFmtId="0" fontId="36" fillId="0" borderId="24" xfId="0" applyFont="1" applyBorder="1" applyAlignment="1">
      <alignment horizontal="center"/>
    </xf>
    <xf numFmtId="0" fontId="36" fillId="0" borderId="31" xfId="0" applyFont="1" applyBorder="1" applyAlignment="1">
      <alignment horizontal="center"/>
    </xf>
    <xf numFmtId="0" fontId="36" fillId="0" borderId="26" xfId="0" applyFont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6" fillId="0" borderId="28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30" fillId="2" borderId="1" xfId="3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3" borderId="26" xfId="0" quotePrefix="1" applyFont="1" applyFill="1" applyBorder="1" applyAlignment="1">
      <alignment horizontal="center" vertical="center"/>
    </xf>
    <xf numFmtId="0" fontId="19" fillId="3" borderId="27" xfId="0" quotePrefix="1" applyFont="1" applyFill="1" applyBorder="1" applyAlignment="1">
      <alignment horizontal="center" vertical="center"/>
    </xf>
    <xf numFmtId="0" fontId="19" fillId="3" borderId="28" xfId="0" quotePrefix="1" applyFont="1" applyFill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19" fillId="14" borderId="1" xfId="0" applyFont="1" applyFill="1" applyBorder="1" applyAlignment="1">
      <alignment horizontal="center" vertical="center"/>
    </xf>
    <xf numFmtId="0" fontId="30" fillId="2" borderId="1" xfId="3" applyFont="1" applyFill="1" applyBorder="1" applyAlignment="1">
      <alignment horizontal="center" vertical="center" wrapText="1"/>
    </xf>
    <xf numFmtId="0" fontId="19" fillId="15" borderId="2" xfId="0" applyFont="1" applyFill="1" applyBorder="1" applyAlignment="1">
      <alignment horizontal="center" vertical="center"/>
    </xf>
    <xf numFmtId="0" fontId="19" fillId="15" borderId="8" xfId="0" applyFont="1" applyFill="1" applyBorder="1" applyAlignment="1">
      <alignment horizontal="center" vertical="center"/>
    </xf>
    <xf numFmtId="0" fontId="19" fillId="15" borderId="7" xfId="0" applyFont="1" applyFill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60" xfId="0" applyFont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 wrapText="1"/>
    </xf>
    <xf numFmtId="0" fontId="67" fillId="9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 applyProtection="1">
      <alignment horizontal="center" vertical="center"/>
      <protection locked="0"/>
    </xf>
    <xf numFmtId="0" fontId="23" fillId="0" borderId="19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9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 wrapText="1"/>
    </xf>
    <xf numFmtId="0" fontId="19" fillId="12" borderId="1" xfId="0" applyFont="1" applyFill="1" applyBorder="1" applyAlignment="1">
      <alignment horizontal="center" vertical="center" wrapText="1"/>
    </xf>
    <xf numFmtId="0" fontId="23" fillId="10" borderId="1" xfId="0" applyFont="1" applyFill="1" applyBorder="1" applyAlignment="1">
      <alignment horizontal="center" vertical="center"/>
    </xf>
    <xf numFmtId="0" fontId="76" fillId="14" borderId="1" xfId="0" applyFont="1" applyFill="1" applyBorder="1" applyAlignment="1">
      <alignment horizontal="center" vertical="center" wrapText="1"/>
    </xf>
    <xf numFmtId="0" fontId="19" fillId="14" borderId="1" xfId="0" applyFont="1" applyFill="1" applyBorder="1" applyAlignment="1">
      <alignment horizontal="center" vertical="center" wrapText="1"/>
    </xf>
    <xf numFmtId="0" fontId="82" fillId="0" borderId="0" xfId="0" applyFont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30" fillId="4" borderId="1" xfId="3" applyFont="1" applyFill="1" applyBorder="1" applyAlignment="1">
      <alignment horizontal="center" vertical="center"/>
    </xf>
    <xf numFmtId="0" fontId="50" fillId="2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11" fillId="16" borderId="18" xfId="0" applyFont="1" applyFill="1" applyBorder="1" applyAlignment="1">
      <alignment horizontal="center" vertical="center"/>
    </xf>
    <xf numFmtId="0" fontId="11" fillId="16" borderId="22" xfId="0" applyFont="1" applyFill="1" applyBorder="1" applyAlignment="1">
      <alignment horizontal="center" vertical="center"/>
    </xf>
    <xf numFmtId="0" fontId="11" fillId="16" borderId="19" xfId="0" applyFont="1" applyFill="1" applyBorder="1" applyAlignment="1">
      <alignment horizontal="center" vertical="center"/>
    </xf>
    <xf numFmtId="0" fontId="30" fillId="5" borderId="2" xfId="3" applyFont="1" applyFill="1" applyBorder="1" applyAlignment="1">
      <alignment horizontal="center" vertical="center"/>
    </xf>
    <xf numFmtId="0" fontId="50" fillId="5" borderId="2" xfId="0" applyFont="1" applyFill="1" applyBorder="1" applyAlignment="1">
      <alignment horizontal="center" vertical="center"/>
    </xf>
  </cellXfs>
  <cellStyles count="6">
    <cellStyle name="Normal" xfId="0" builtinId="0"/>
    <cellStyle name="Normal 2" xfId="3" xr:uid="{00000000-0005-0000-0000-000001000000}"/>
    <cellStyle name="Normal 2 3" xfId="5" xr:uid="{69C66AF3-7149-4822-BD59-5D54449071F2}"/>
    <cellStyle name="Normal 3" xfId="1" xr:uid="{00000000-0005-0000-0000-000002000000}"/>
    <cellStyle name="Normal_Daftar kelistrikan (ecg)" xfId="4" xr:uid="{CA04A205-1740-4C60-ACF3-9392A5574B09}"/>
    <cellStyle name="Percent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70556</xdr:colOff>
      <xdr:row>108</xdr:row>
      <xdr:rowOff>56445</xdr:rowOff>
    </xdr:from>
    <xdr:to>
      <xdr:col>5</xdr:col>
      <xdr:colOff>1107722</xdr:colOff>
      <xdr:row>111</xdr:row>
      <xdr:rowOff>176389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CC8FC138-6139-54B4-47FF-3117C152BFC5}"/>
            </a:ext>
          </a:extLst>
        </xdr:cNvPr>
        <xdr:cNvSpPr/>
      </xdr:nvSpPr>
      <xdr:spPr>
        <a:xfrm>
          <a:off x="5108223" y="14739056"/>
          <a:ext cx="1037166" cy="698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ownloads/ECG_Record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rat Keterangan"/>
      <sheetName val="Riwayat Revisi"/>
      <sheetName val="LK"/>
      <sheetName val="bank kata"/>
      <sheetName val="ID"/>
      <sheetName val="ESA"/>
      <sheetName val="PENYELIA"/>
      <sheetName val="LH"/>
      <sheetName val="SERTIFIKAT"/>
      <sheetName val="DB Thermohygro"/>
      <sheetName val="DB ECG"/>
      <sheetName val="UB"/>
      <sheetName val="DB CALIPER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>
        <row r="79">
          <cell r="J79">
            <v>80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mbar Kerja"/>
      <sheetName val="Riwayat Revisi"/>
      <sheetName val="ID"/>
      <sheetName val="UB"/>
      <sheetName val="Penyelia"/>
      <sheetName val="LH"/>
      <sheetName val="SERTIFIKAT"/>
      <sheetName val="FORECAST"/>
      <sheetName val="DATA SERTIFIKAT PS320"/>
      <sheetName val="DB Suhu"/>
      <sheetName val="DB ESA"/>
      <sheetName val="Cetik cetik"/>
      <sheetName val="kesimpul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8">
          <cell r="E8">
            <v>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9"/>
  <sheetViews>
    <sheetView showGridLines="0" view="pageBreakPreview" topLeftCell="B1" zoomScaleNormal="100" zoomScaleSheetLayoutView="100" workbookViewId="0">
      <selection activeCell="C26" sqref="C26:C27"/>
    </sheetView>
  </sheetViews>
  <sheetFormatPr defaultColWidth="9.109375" defaultRowHeight="15" x14ac:dyDescent="0.25"/>
  <cols>
    <col min="1" max="1" width="4.6640625" style="66" customWidth="1"/>
    <col min="2" max="2" width="5" style="66" customWidth="1"/>
    <col min="3" max="3" width="12.5546875" style="66" customWidth="1"/>
    <col min="4" max="4" width="13.44140625" style="66" customWidth="1"/>
    <col min="5" max="6" width="10.5546875" style="66" customWidth="1"/>
    <col min="7" max="7" width="14.44140625" style="66" customWidth="1"/>
    <col min="8" max="8" width="2.109375" style="66" customWidth="1"/>
    <col min="9" max="9" width="5.5546875" style="66" customWidth="1"/>
    <col min="10" max="10" width="12.88671875" style="66" customWidth="1"/>
    <col min="11" max="11" width="13" style="66" customWidth="1"/>
    <col min="12" max="13" width="10.5546875" style="66" customWidth="1"/>
    <col min="14" max="14" width="14.109375" style="66" customWidth="1"/>
    <col min="15" max="16384" width="9.109375" style="66"/>
  </cols>
  <sheetData>
    <row r="1" spans="1:14" ht="17.399999999999999" x14ac:dyDescent="0.25">
      <c r="A1" s="661" t="s">
        <v>0</v>
      </c>
      <c r="B1" s="661"/>
      <c r="C1" s="661"/>
      <c r="D1" s="661"/>
      <c r="E1" s="661"/>
      <c r="F1" s="661"/>
      <c r="G1" s="661"/>
      <c r="H1" s="661"/>
      <c r="I1" s="661"/>
      <c r="J1" s="661"/>
      <c r="K1" s="661"/>
      <c r="L1" s="661"/>
      <c r="M1" s="661"/>
      <c r="N1" s="661"/>
    </row>
    <row r="2" spans="1:14" ht="16.8" x14ac:dyDescent="0.25">
      <c r="A2" s="668" t="s">
        <v>1</v>
      </c>
      <c r="B2" s="668"/>
      <c r="C2" s="668"/>
      <c r="D2" s="668"/>
      <c r="E2" s="668"/>
      <c r="F2" s="668"/>
      <c r="G2" s="668"/>
      <c r="H2" s="668"/>
      <c r="I2" s="668"/>
      <c r="J2" s="668"/>
      <c r="K2" s="668"/>
      <c r="L2" s="668"/>
      <c r="M2" s="668"/>
      <c r="N2" s="668"/>
    </row>
    <row r="3" spans="1:14" ht="15.6" x14ac:dyDescent="0.3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</row>
    <row r="4" spans="1:14" x14ac:dyDescent="0.25">
      <c r="A4" s="68"/>
      <c r="B4" s="68"/>
      <c r="C4" s="68"/>
      <c r="D4" s="68"/>
      <c r="E4" s="68"/>
      <c r="F4" s="68"/>
      <c r="G4" s="68"/>
      <c r="H4" s="68"/>
      <c r="I4" s="68"/>
      <c r="J4" s="69"/>
      <c r="K4" s="70"/>
    </row>
    <row r="5" spans="1:14" x14ac:dyDescent="0.25">
      <c r="A5" s="68" t="s">
        <v>2</v>
      </c>
      <c r="B5" s="68"/>
      <c r="C5" s="68"/>
      <c r="D5" s="71" t="s">
        <v>3</v>
      </c>
      <c r="E5" s="72"/>
      <c r="F5" s="72"/>
      <c r="G5" s="73"/>
      <c r="H5" s="73"/>
      <c r="I5" s="68"/>
      <c r="J5" s="69"/>
      <c r="K5" s="70"/>
    </row>
    <row r="6" spans="1:14" x14ac:dyDescent="0.25">
      <c r="A6" s="68" t="s">
        <v>4</v>
      </c>
      <c r="B6" s="68"/>
      <c r="C6" s="68"/>
      <c r="D6" s="71" t="s">
        <v>3</v>
      </c>
      <c r="E6" s="74"/>
      <c r="F6" s="75"/>
      <c r="G6" s="76"/>
      <c r="H6" s="76"/>
      <c r="I6" s="68"/>
      <c r="J6" s="69"/>
      <c r="K6" s="70"/>
    </row>
    <row r="7" spans="1:14" x14ac:dyDescent="0.25">
      <c r="A7" s="68" t="s">
        <v>5</v>
      </c>
      <c r="B7" s="68"/>
      <c r="C7" s="68"/>
      <c r="D7" s="71" t="s">
        <v>3</v>
      </c>
      <c r="E7" s="74"/>
      <c r="F7" s="77"/>
      <c r="G7" s="76"/>
      <c r="H7" s="76"/>
      <c r="I7" s="68"/>
      <c r="J7" s="69"/>
      <c r="K7" s="70"/>
    </row>
    <row r="8" spans="1:14" x14ac:dyDescent="0.25">
      <c r="A8" s="68" t="s">
        <v>6</v>
      </c>
      <c r="B8" s="68"/>
      <c r="C8" s="68"/>
      <c r="D8" s="71" t="s">
        <v>3</v>
      </c>
      <c r="E8" s="74"/>
      <c r="F8" s="486" t="s">
        <v>7</v>
      </c>
      <c r="G8" s="78"/>
      <c r="H8" s="78"/>
      <c r="I8" s="68"/>
      <c r="J8" s="69"/>
      <c r="K8" s="70"/>
    </row>
    <row r="9" spans="1:14" x14ac:dyDescent="0.25">
      <c r="A9" s="68" t="s">
        <v>8</v>
      </c>
      <c r="B9" s="68"/>
      <c r="C9" s="68"/>
      <c r="D9" s="71" t="s">
        <v>3</v>
      </c>
      <c r="E9" s="75"/>
      <c r="F9" s="72"/>
      <c r="G9" s="73"/>
      <c r="H9" s="73"/>
      <c r="I9" s="68"/>
      <c r="J9" s="69"/>
      <c r="K9" s="70"/>
    </row>
    <row r="10" spans="1:14" x14ac:dyDescent="0.25">
      <c r="A10" s="68" t="s">
        <v>9</v>
      </c>
      <c r="B10" s="68"/>
      <c r="C10" s="68"/>
      <c r="D10" s="71" t="s">
        <v>3</v>
      </c>
      <c r="E10" s="75"/>
      <c r="F10" s="72"/>
      <c r="G10" s="73"/>
      <c r="H10" s="73"/>
      <c r="I10" s="68"/>
      <c r="J10" s="69"/>
      <c r="K10" s="70"/>
    </row>
    <row r="11" spans="1:14" x14ac:dyDescent="0.25">
      <c r="A11" s="68" t="s">
        <v>10</v>
      </c>
      <c r="B11" s="68"/>
      <c r="C11" s="68"/>
      <c r="D11" s="71" t="s">
        <v>3</v>
      </c>
      <c r="E11" s="75"/>
      <c r="F11" s="75"/>
      <c r="G11" s="76"/>
      <c r="H11" s="76"/>
      <c r="I11" s="68"/>
      <c r="J11" s="69"/>
      <c r="K11" s="70"/>
    </row>
    <row r="12" spans="1:14" x14ac:dyDescent="0.25">
      <c r="A12" s="68" t="s">
        <v>11</v>
      </c>
      <c r="B12" s="68"/>
      <c r="C12" s="68"/>
      <c r="D12" s="71" t="s">
        <v>3</v>
      </c>
      <c r="E12" s="75"/>
      <c r="F12" s="75"/>
      <c r="G12" s="76"/>
      <c r="H12" s="76"/>
      <c r="I12" s="68"/>
      <c r="J12" s="69"/>
      <c r="K12" s="70"/>
    </row>
    <row r="14" spans="1:14" ht="15.6" x14ac:dyDescent="0.3">
      <c r="A14" s="79" t="s">
        <v>12</v>
      </c>
      <c r="B14" s="80" t="s">
        <v>13</v>
      </c>
      <c r="C14" s="80"/>
    </row>
    <row r="15" spans="1:14" x14ac:dyDescent="0.25">
      <c r="E15" s="81" t="s">
        <v>14</v>
      </c>
      <c r="F15" s="81" t="s">
        <v>15</v>
      </c>
    </row>
    <row r="16" spans="1:14" x14ac:dyDescent="0.25">
      <c r="B16" s="66" t="s">
        <v>16</v>
      </c>
      <c r="D16" s="82" t="s">
        <v>3</v>
      </c>
      <c r="E16" s="83"/>
      <c r="F16" s="84"/>
      <c r="G16" s="66" t="s">
        <v>17</v>
      </c>
    </row>
    <row r="17" spans="1:14" x14ac:dyDescent="0.25">
      <c r="B17" s="66" t="s">
        <v>18</v>
      </c>
      <c r="D17" s="82" t="s">
        <v>3</v>
      </c>
      <c r="E17" s="83"/>
      <c r="F17" s="84"/>
      <c r="G17" s="66" t="s">
        <v>19</v>
      </c>
    </row>
    <row r="18" spans="1:14" x14ac:dyDescent="0.25">
      <c r="B18" s="66" t="s">
        <v>20</v>
      </c>
      <c r="D18" s="82" t="s">
        <v>3</v>
      </c>
      <c r="E18" s="83"/>
      <c r="F18" s="84"/>
      <c r="G18" s="66" t="s">
        <v>21</v>
      </c>
    </row>
    <row r="19" spans="1:14" ht="15" customHeight="1" x14ac:dyDescent="0.4">
      <c r="B19" s="66" t="s">
        <v>22</v>
      </c>
      <c r="D19" s="82" t="s">
        <v>3</v>
      </c>
      <c r="E19" s="84"/>
      <c r="F19" s="84"/>
      <c r="G19" s="66" t="s">
        <v>17</v>
      </c>
    </row>
    <row r="21" spans="1:14" ht="15.6" x14ac:dyDescent="0.25">
      <c r="A21" s="100" t="s">
        <v>23</v>
      </c>
      <c r="B21" s="100" t="s">
        <v>24</v>
      </c>
    </row>
    <row r="22" spans="1:14" x14ac:dyDescent="0.25">
      <c r="B22" s="101" t="s">
        <v>25</v>
      </c>
      <c r="C22" s="101"/>
      <c r="D22" s="82" t="s">
        <v>3</v>
      </c>
      <c r="E22" s="101" t="s">
        <v>26</v>
      </c>
    </row>
    <row r="23" spans="1:14" x14ac:dyDescent="0.25">
      <c r="B23" s="101" t="s">
        <v>27</v>
      </c>
      <c r="C23" s="101"/>
      <c r="D23" s="82" t="s">
        <v>3</v>
      </c>
      <c r="E23" s="101" t="s">
        <v>26</v>
      </c>
    </row>
    <row r="25" spans="1:14" ht="15.6" x14ac:dyDescent="0.3">
      <c r="A25" s="80" t="s">
        <v>28</v>
      </c>
      <c r="B25" s="80" t="s">
        <v>29</v>
      </c>
      <c r="C25" s="80"/>
    </row>
    <row r="26" spans="1:14" ht="21.9" customHeight="1" x14ac:dyDescent="0.25">
      <c r="B26" s="666" t="s">
        <v>30</v>
      </c>
      <c r="C26" s="667" t="s">
        <v>31</v>
      </c>
      <c r="D26" s="676" t="s">
        <v>32</v>
      </c>
      <c r="E26" s="669" t="s">
        <v>33</v>
      </c>
      <c r="F26" s="670"/>
      <c r="G26" s="667" t="s">
        <v>34</v>
      </c>
      <c r="H26" s="86"/>
      <c r="I26" s="666" t="s">
        <v>30</v>
      </c>
      <c r="J26" s="667" t="s">
        <v>31</v>
      </c>
      <c r="K26" s="676" t="s">
        <v>32</v>
      </c>
      <c r="L26" s="669" t="s">
        <v>33</v>
      </c>
      <c r="M26" s="670"/>
      <c r="N26" s="667" t="s">
        <v>34</v>
      </c>
    </row>
    <row r="27" spans="1:14" ht="21.9" customHeight="1" x14ac:dyDescent="0.25">
      <c r="B27" s="666"/>
      <c r="C27" s="667"/>
      <c r="D27" s="677"/>
      <c r="E27" s="671"/>
      <c r="F27" s="672"/>
      <c r="G27" s="667"/>
      <c r="H27" s="85"/>
      <c r="I27" s="666"/>
      <c r="J27" s="667"/>
      <c r="K27" s="677"/>
      <c r="L27" s="671"/>
      <c r="M27" s="672"/>
      <c r="N27" s="667"/>
    </row>
    <row r="28" spans="1:14" ht="20.100000000000001" customHeight="1" x14ac:dyDescent="0.25">
      <c r="B28" s="87">
        <v>1</v>
      </c>
      <c r="C28" s="662" t="s">
        <v>35</v>
      </c>
      <c r="D28" s="673"/>
      <c r="E28" s="88"/>
      <c r="F28" s="88"/>
      <c r="G28" s="592"/>
      <c r="H28" s="89"/>
      <c r="I28" s="87">
        <v>1</v>
      </c>
      <c r="J28" s="662" t="s">
        <v>36</v>
      </c>
      <c r="K28" s="673"/>
      <c r="L28" s="88"/>
      <c r="M28" s="88"/>
      <c r="N28" s="592"/>
    </row>
    <row r="29" spans="1:14" ht="20.100000000000001" customHeight="1" x14ac:dyDescent="0.25">
      <c r="B29" s="90">
        <v>2</v>
      </c>
      <c r="C29" s="663"/>
      <c r="D29" s="674"/>
      <c r="E29" s="91"/>
      <c r="F29" s="91"/>
      <c r="G29" s="593"/>
      <c r="H29" s="89"/>
      <c r="I29" s="90">
        <v>2</v>
      </c>
      <c r="J29" s="663"/>
      <c r="K29" s="674"/>
      <c r="L29" s="91"/>
      <c r="M29" s="91"/>
      <c r="N29" s="593"/>
    </row>
    <row r="30" spans="1:14" ht="20.100000000000001" customHeight="1" x14ac:dyDescent="0.25">
      <c r="B30" s="90">
        <v>3</v>
      </c>
      <c r="C30" s="663"/>
      <c r="D30" s="674"/>
      <c r="E30" s="91"/>
      <c r="F30" s="91"/>
      <c r="G30" s="593"/>
      <c r="H30" s="89"/>
      <c r="I30" s="90">
        <v>3</v>
      </c>
      <c r="J30" s="663"/>
      <c r="K30" s="674"/>
      <c r="L30" s="91"/>
      <c r="M30" s="91"/>
      <c r="N30" s="593"/>
    </row>
    <row r="31" spans="1:14" ht="20.100000000000001" customHeight="1" x14ac:dyDescent="0.25">
      <c r="B31" s="90">
        <v>4</v>
      </c>
      <c r="C31" s="663"/>
      <c r="D31" s="674"/>
      <c r="E31" s="91"/>
      <c r="F31" s="91"/>
      <c r="G31" s="593"/>
      <c r="H31" s="89"/>
      <c r="I31" s="90">
        <v>4</v>
      </c>
      <c r="J31" s="663"/>
      <c r="K31" s="674"/>
      <c r="L31" s="91"/>
      <c r="M31" s="91"/>
      <c r="N31" s="593"/>
    </row>
    <row r="32" spans="1:14" ht="20.100000000000001" customHeight="1" x14ac:dyDescent="0.25">
      <c r="B32" s="90">
        <v>5</v>
      </c>
      <c r="C32" s="663"/>
      <c r="D32" s="674"/>
      <c r="E32" s="91"/>
      <c r="F32" s="91"/>
      <c r="G32" s="593"/>
      <c r="H32" s="89"/>
      <c r="I32" s="90">
        <v>5</v>
      </c>
      <c r="J32" s="663"/>
      <c r="K32" s="674"/>
      <c r="L32" s="91"/>
      <c r="M32" s="91"/>
      <c r="N32" s="593"/>
    </row>
    <row r="33" spans="2:14" ht="20.100000000000001" customHeight="1" x14ac:dyDescent="0.25">
      <c r="B33" s="90">
        <v>6</v>
      </c>
      <c r="C33" s="663"/>
      <c r="D33" s="674"/>
      <c r="E33" s="91"/>
      <c r="F33" s="91"/>
      <c r="G33" s="593"/>
      <c r="H33" s="89"/>
      <c r="I33" s="90">
        <v>6</v>
      </c>
      <c r="J33" s="663"/>
      <c r="K33" s="674"/>
      <c r="L33" s="91"/>
      <c r="M33" s="91"/>
      <c r="N33" s="593"/>
    </row>
    <row r="34" spans="2:14" ht="20.100000000000001" customHeight="1" x14ac:dyDescent="0.25">
      <c r="B34" s="90">
        <v>7</v>
      </c>
      <c r="C34" s="663"/>
      <c r="D34" s="674"/>
      <c r="E34" s="91"/>
      <c r="F34" s="91"/>
      <c r="G34" s="593"/>
      <c r="H34" s="89"/>
      <c r="I34" s="90">
        <v>7</v>
      </c>
      <c r="J34" s="663"/>
      <c r="K34" s="674"/>
      <c r="L34" s="91"/>
      <c r="M34" s="91"/>
      <c r="N34" s="593"/>
    </row>
    <row r="35" spans="2:14" ht="20.100000000000001" customHeight="1" x14ac:dyDescent="0.25">
      <c r="B35" s="90">
        <v>8</v>
      </c>
      <c r="C35" s="663"/>
      <c r="D35" s="674"/>
      <c r="E35" s="91"/>
      <c r="F35" s="91"/>
      <c r="G35" s="593"/>
      <c r="H35" s="89"/>
      <c r="I35" s="90">
        <v>8</v>
      </c>
      <c r="J35" s="663"/>
      <c r="K35" s="674"/>
      <c r="L35" s="91"/>
      <c r="M35" s="91"/>
      <c r="N35" s="593"/>
    </row>
    <row r="36" spans="2:14" ht="20.100000000000001" customHeight="1" x14ac:dyDescent="0.25">
      <c r="B36" s="90">
        <v>9</v>
      </c>
      <c r="C36" s="663"/>
      <c r="D36" s="674"/>
      <c r="E36" s="91"/>
      <c r="F36" s="91"/>
      <c r="G36" s="593"/>
      <c r="H36" s="89"/>
      <c r="I36" s="90">
        <v>9</v>
      </c>
      <c r="J36" s="663"/>
      <c r="K36" s="674"/>
      <c r="L36" s="91"/>
      <c r="M36" s="91"/>
      <c r="N36" s="593"/>
    </row>
    <row r="37" spans="2:14" ht="20.100000000000001" customHeight="1" x14ac:dyDescent="0.25">
      <c r="B37" s="471">
        <v>10</v>
      </c>
      <c r="C37" s="663"/>
      <c r="D37" s="675"/>
      <c r="E37" s="92"/>
      <c r="F37" s="92"/>
      <c r="G37" s="594"/>
      <c r="H37" s="89"/>
      <c r="I37" s="471">
        <v>10</v>
      </c>
      <c r="J37" s="663"/>
      <c r="K37" s="675"/>
      <c r="L37" s="92"/>
      <c r="M37" s="92"/>
      <c r="N37" s="594"/>
    </row>
    <row r="38" spans="2:14" ht="50.4" customHeight="1" x14ac:dyDescent="0.25">
      <c r="B38" s="81">
        <v>11</v>
      </c>
      <c r="C38" s="487" t="s">
        <v>37</v>
      </c>
      <c r="D38" s="472" t="s">
        <v>38</v>
      </c>
      <c r="E38" s="664"/>
      <c r="F38" s="665"/>
      <c r="G38" s="595" t="s">
        <v>34</v>
      </c>
      <c r="H38" s="89"/>
      <c r="I38" s="81">
        <v>11</v>
      </c>
      <c r="J38" s="487" t="s">
        <v>37</v>
      </c>
      <c r="K38" s="472" t="s">
        <v>38</v>
      </c>
      <c r="L38" s="664"/>
      <c r="M38" s="665"/>
      <c r="N38" s="595" t="s">
        <v>34</v>
      </c>
    </row>
    <row r="39" spans="2:14" ht="36" customHeight="1" x14ac:dyDescent="0.25">
      <c r="B39" s="81">
        <v>12</v>
      </c>
      <c r="C39" s="678" t="s">
        <v>39</v>
      </c>
      <c r="D39" s="679"/>
      <c r="E39" s="93"/>
      <c r="F39" s="94"/>
      <c r="G39" s="597"/>
      <c r="H39" s="95"/>
      <c r="I39" s="81">
        <v>12</v>
      </c>
      <c r="J39" s="678" t="s">
        <v>39</v>
      </c>
      <c r="K39" s="679"/>
      <c r="L39" s="93"/>
      <c r="M39" s="94"/>
      <c r="N39" s="597"/>
    </row>
    <row r="40" spans="2:14" ht="15.6" x14ac:dyDescent="0.25">
      <c r="B40" s="98"/>
      <c r="C40" s="114"/>
      <c r="D40" s="114"/>
      <c r="E40" s="114"/>
      <c r="F40" s="114"/>
    </row>
    <row r="41" spans="2:14" ht="21.9" customHeight="1" x14ac:dyDescent="0.25">
      <c r="B41" s="666" t="s">
        <v>30</v>
      </c>
      <c r="C41" s="667" t="s">
        <v>31</v>
      </c>
      <c r="D41" s="676" t="s">
        <v>32</v>
      </c>
      <c r="E41" s="669" t="s">
        <v>33</v>
      </c>
      <c r="F41" s="670"/>
      <c r="G41" s="667" t="s">
        <v>40</v>
      </c>
    </row>
    <row r="42" spans="2:14" ht="21.9" customHeight="1" x14ac:dyDescent="0.25">
      <c r="B42" s="666"/>
      <c r="C42" s="667"/>
      <c r="D42" s="677"/>
      <c r="E42" s="671"/>
      <c r="F42" s="672"/>
      <c r="G42" s="667"/>
    </row>
    <row r="43" spans="2:14" ht="20.100000000000001" customHeight="1" x14ac:dyDescent="0.25">
      <c r="B43" s="87">
        <v>1</v>
      </c>
      <c r="C43" s="662" t="s">
        <v>41</v>
      </c>
      <c r="D43" s="673"/>
      <c r="E43" s="88"/>
      <c r="F43" s="88"/>
      <c r="G43" s="592"/>
    </row>
    <row r="44" spans="2:14" ht="20.100000000000001" customHeight="1" x14ac:dyDescent="0.25">
      <c r="B44" s="90">
        <v>2</v>
      </c>
      <c r="C44" s="663"/>
      <c r="D44" s="674"/>
      <c r="E44" s="91"/>
      <c r="F44" s="91"/>
      <c r="G44" s="593"/>
    </row>
    <row r="45" spans="2:14" ht="20.100000000000001" customHeight="1" x14ac:dyDescent="0.25">
      <c r="B45" s="90">
        <v>3</v>
      </c>
      <c r="C45" s="663"/>
      <c r="D45" s="674"/>
      <c r="E45" s="91"/>
      <c r="F45" s="91"/>
      <c r="G45" s="593"/>
    </row>
    <row r="46" spans="2:14" ht="20.100000000000001" customHeight="1" x14ac:dyDescent="0.25">
      <c r="B46" s="90">
        <v>4</v>
      </c>
      <c r="C46" s="663"/>
      <c r="D46" s="674"/>
      <c r="E46" s="91"/>
      <c r="F46" s="91"/>
      <c r="G46" s="593"/>
    </row>
    <row r="47" spans="2:14" ht="20.100000000000001" customHeight="1" x14ac:dyDescent="0.25">
      <c r="B47" s="90">
        <v>5</v>
      </c>
      <c r="C47" s="663"/>
      <c r="D47" s="674"/>
      <c r="E47" s="91"/>
      <c r="F47" s="91"/>
      <c r="G47" s="593"/>
    </row>
    <row r="48" spans="2:14" ht="20.100000000000001" customHeight="1" x14ac:dyDescent="0.25">
      <c r="B48" s="90">
        <v>6</v>
      </c>
      <c r="C48" s="663"/>
      <c r="D48" s="674"/>
      <c r="E48" s="91"/>
      <c r="F48" s="91"/>
      <c r="G48" s="593"/>
    </row>
    <row r="49" spans="1:11" ht="20.100000000000001" customHeight="1" x14ac:dyDescent="0.25">
      <c r="B49" s="90">
        <v>7</v>
      </c>
      <c r="C49" s="663"/>
      <c r="D49" s="674"/>
      <c r="E49" s="91"/>
      <c r="F49" s="91"/>
      <c r="G49" s="593"/>
    </row>
    <row r="50" spans="1:11" ht="20.100000000000001" customHeight="1" x14ac:dyDescent="0.25">
      <c r="B50" s="90">
        <v>8</v>
      </c>
      <c r="C50" s="663"/>
      <c r="D50" s="674"/>
      <c r="E50" s="91"/>
      <c r="F50" s="91"/>
      <c r="G50" s="593"/>
    </row>
    <row r="51" spans="1:11" ht="20.100000000000001" customHeight="1" x14ac:dyDescent="0.25">
      <c r="B51" s="90">
        <v>9</v>
      </c>
      <c r="C51" s="663"/>
      <c r="D51" s="674"/>
      <c r="E51" s="91"/>
      <c r="F51" s="91"/>
      <c r="G51" s="593"/>
    </row>
    <row r="52" spans="1:11" ht="20.100000000000001" customHeight="1" x14ac:dyDescent="0.25">
      <c r="B52" s="471">
        <v>10</v>
      </c>
      <c r="C52" s="663"/>
      <c r="D52" s="675"/>
      <c r="E52" s="92"/>
      <c r="F52" s="92"/>
      <c r="G52" s="594"/>
    </row>
    <row r="53" spans="1:11" ht="41.4" x14ac:dyDescent="0.25">
      <c r="B53" s="81">
        <v>11</v>
      </c>
      <c r="C53" s="487" t="s">
        <v>37</v>
      </c>
      <c r="D53" s="472" t="s">
        <v>38</v>
      </c>
      <c r="E53" s="664"/>
      <c r="F53" s="665"/>
      <c r="G53" s="595" t="s">
        <v>34</v>
      </c>
    </row>
    <row r="54" spans="1:11" ht="36" customHeight="1" x14ac:dyDescent="0.25">
      <c r="B54" s="81">
        <v>12</v>
      </c>
      <c r="C54" s="678" t="s">
        <v>39</v>
      </c>
      <c r="D54" s="679"/>
      <c r="E54" s="93"/>
      <c r="F54" s="596"/>
      <c r="G54" s="597"/>
    </row>
    <row r="55" spans="1:11" ht="15.6" x14ac:dyDescent="0.25">
      <c r="B55" s="98"/>
      <c r="C55" s="114"/>
      <c r="D55" s="114"/>
      <c r="E55" s="114"/>
      <c r="F55" s="114"/>
    </row>
    <row r="56" spans="1:11" ht="15.6" x14ac:dyDescent="0.3">
      <c r="A56" s="80" t="s">
        <v>42</v>
      </c>
      <c r="B56" s="96" t="s">
        <v>43</v>
      </c>
    </row>
    <row r="57" spans="1:11" x14ac:dyDescent="0.25">
      <c r="B57" s="68" t="s">
        <v>44</v>
      </c>
    </row>
    <row r="58" spans="1:11" x14ac:dyDescent="0.25">
      <c r="B58" s="85"/>
    </row>
    <row r="59" spans="1:11" ht="15.6" x14ac:dyDescent="0.3">
      <c r="A59" s="80" t="s">
        <v>45</v>
      </c>
      <c r="B59" s="96" t="s">
        <v>46</v>
      </c>
    </row>
    <row r="60" spans="1:11" x14ac:dyDescent="0.25">
      <c r="B60" s="235"/>
      <c r="C60" s="386" t="s">
        <v>47</v>
      </c>
    </row>
    <row r="61" spans="1:11" x14ac:dyDescent="0.25">
      <c r="B61" s="235"/>
      <c r="C61" s="386" t="s">
        <v>48</v>
      </c>
    </row>
    <row r="62" spans="1:11" x14ac:dyDescent="0.25">
      <c r="B62" s="235"/>
      <c r="C62" s="488" t="s">
        <v>49</v>
      </c>
    </row>
    <row r="63" spans="1:11" x14ac:dyDescent="0.25">
      <c r="B63" s="381"/>
      <c r="C63" s="382" t="s">
        <v>50</v>
      </c>
    </row>
    <row r="64" spans="1:11" x14ac:dyDescent="0.25">
      <c r="B64" s="383"/>
      <c r="C64" s="384" t="s">
        <v>51</v>
      </c>
      <c r="D64" s="195"/>
      <c r="E64" s="195"/>
      <c r="F64" s="195"/>
      <c r="G64" s="195"/>
      <c r="H64" s="195"/>
      <c r="I64" s="195"/>
      <c r="J64" s="196"/>
      <c r="K64" s="197"/>
    </row>
    <row r="65" spans="1:11" x14ac:dyDescent="0.25">
      <c r="B65" s="385"/>
      <c r="C65" s="384" t="s">
        <v>52</v>
      </c>
      <c r="D65" s="198"/>
      <c r="E65" s="199"/>
      <c r="F65" s="199"/>
      <c r="G65" s="199"/>
      <c r="H65" s="199"/>
      <c r="I65" s="199"/>
      <c r="J65" s="198"/>
      <c r="K65" s="196"/>
    </row>
    <row r="66" spans="1:11" x14ac:dyDescent="0.25">
      <c r="B66" s="385"/>
      <c r="C66" s="384" t="s">
        <v>53</v>
      </c>
      <c r="D66" s="198"/>
      <c r="E66" s="199"/>
      <c r="F66" s="199"/>
      <c r="G66" s="199"/>
      <c r="H66" s="199"/>
      <c r="I66" s="199"/>
      <c r="J66" s="198"/>
      <c r="K66" s="196"/>
    </row>
    <row r="67" spans="1:11" x14ac:dyDescent="0.25">
      <c r="B67" s="235"/>
      <c r="C67" s="386" t="s">
        <v>54</v>
      </c>
    </row>
    <row r="68" spans="1:11" x14ac:dyDescent="0.25">
      <c r="B68" s="235"/>
      <c r="C68" s="386" t="s">
        <v>55</v>
      </c>
    </row>
    <row r="70" spans="1:11" ht="15.6" x14ac:dyDescent="0.25">
      <c r="A70" s="98" t="s">
        <v>56</v>
      </c>
      <c r="B70" s="98" t="s">
        <v>57</v>
      </c>
    </row>
    <row r="71" spans="1:11" x14ac:dyDescent="0.25">
      <c r="B71" s="99"/>
      <c r="C71" s="99"/>
      <c r="D71" s="99"/>
    </row>
    <row r="93" spans="3:3" x14ac:dyDescent="0.25">
      <c r="C93" s="66" t="s">
        <v>58</v>
      </c>
    </row>
    <row r="94" spans="3:3" x14ac:dyDescent="0.25">
      <c r="C94" s="66" t="s">
        <v>59</v>
      </c>
    </row>
    <row r="97" spans="3:3" x14ac:dyDescent="0.25">
      <c r="C97" s="66" t="s">
        <v>60</v>
      </c>
    </row>
    <row r="98" spans="3:3" x14ac:dyDescent="0.25">
      <c r="C98" s="66" t="s">
        <v>61</v>
      </c>
    </row>
    <row r="99" spans="3:3" x14ac:dyDescent="0.25">
      <c r="C99" s="66" t="s">
        <v>62</v>
      </c>
    </row>
  </sheetData>
  <mergeCells count="29">
    <mergeCell ref="K26:K27"/>
    <mergeCell ref="C54:D54"/>
    <mergeCell ref="L38:M38"/>
    <mergeCell ref="J39:K39"/>
    <mergeCell ref="C39:D39"/>
    <mergeCell ref="C43:C52"/>
    <mergeCell ref="D43:D52"/>
    <mergeCell ref="E53:F53"/>
    <mergeCell ref="B41:B42"/>
    <mergeCell ref="C41:C42"/>
    <mergeCell ref="D41:D42"/>
    <mergeCell ref="E41:F42"/>
    <mergeCell ref="G41:G42"/>
    <mergeCell ref="A1:N1"/>
    <mergeCell ref="C28:C37"/>
    <mergeCell ref="E38:F38"/>
    <mergeCell ref="I26:I27"/>
    <mergeCell ref="J26:J27"/>
    <mergeCell ref="A2:N2"/>
    <mergeCell ref="L26:M27"/>
    <mergeCell ref="N26:N27"/>
    <mergeCell ref="J28:J37"/>
    <mergeCell ref="K28:K37"/>
    <mergeCell ref="D28:D37"/>
    <mergeCell ref="G26:G27"/>
    <mergeCell ref="B26:B27"/>
    <mergeCell ref="C26:C27"/>
    <mergeCell ref="D26:D27"/>
    <mergeCell ref="E26:F27"/>
  </mergeCells>
  <phoneticPr fontId="44" type="noConversion"/>
  <dataValidations disablePrompts="1" count="1">
    <dataValidation type="list" allowBlank="1" showInputMessage="1" showErrorMessage="1" sqref="B71" xr:uid="{00000000-0002-0000-0000-000000000000}">
      <formula1>$C$97:$C$104</formula1>
    </dataValidation>
  </dataValidations>
  <printOptions horizontalCentered="1"/>
  <pageMargins left="0.25" right="0.25" top="0.25" bottom="0.25" header="0.25" footer="0.25"/>
  <pageSetup paperSize="9" scale="60" orientation="portrait" horizontalDpi="4294967294" r:id="rId1"/>
  <headerFooter>
    <oddHeader>&amp;R&amp;8FV.LK 115-19 / REV : 0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AC180"/>
  <sheetViews>
    <sheetView showGridLines="0" view="pageBreakPreview" topLeftCell="A122" zoomScale="90" zoomScaleNormal="80" zoomScaleSheetLayoutView="90" workbookViewId="0">
      <selection activeCell="A134" sqref="A134"/>
    </sheetView>
  </sheetViews>
  <sheetFormatPr defaultRowHeight="14.4" x14ac:dyDescent="0.3"/>
  <cols>
    <col min="1" max="1" width="34.44140625" customWidth="1"/>
    <col min="2" max="2" width="16.6640625" customWidth="1"/>
    <col min="3" max="3" width="14.44140625" customWidth="1"/>
    <col min="4" max="4" width="12.88671875" customWidth="1"/>
    <col min="5" max="5" width="12.5546875" customWidth="1"/>
    <col min="6" max="6" width="16.5546875" customWidth="1"/>
    <col min="7" max="7" width="15.33203125" customWidth="1"/>
    <col min="8" max="8" width="13.88671875" customWidth="1"/>
    <col min="9" max="9" width="11.44140625" customWidth="1"/>
    <col min="10" max="10" width="13.109375" customWidth="1"/>
    <col min="11" max="11" width="11.6640625" customWidth="1"/>
    <col min="12" max="12" width="7.6640625" customWidth="1"/>
    <col min="13" max="13" width="10.6640625" customWidth="1"/>
    <col min="14" max="14" width="12.44140625" customWidth="1"/>
    <col min="15" max="15" width="10.5546875" customWidth="1"/>
    <col min="16" max="16" width="10.44140625" customWidth="1"/>
    <col min="17" max="17" width="10.88671875" customWidth="1"/>
    <col min="25" max="25" width="10.44140625" bestFit="1" customWidth="1"/>
    <col min="26" max="26" width="8.88671875" bestFit="1" customWidth="1"/>
    <col min="27" max="27" width="9.109375" bestFit="1" customWidth="1"/>
    <col min="28" max="29" width="8.88671875" bestFit="1" customWidth="1"/>
  </cols>
  <sheetData>
    <row r="1" spans="1:17" x14ac:dyDescent="0.3">
      <c r="A1" s="839" t="s">
        <v>214</v>
      </c>
      <c r="B1" s="839"/>
      <c r="C1" s="839"/>
      <c r="D1" s="839"/>
      <c r="E1" s="839"/>
      <c r="F1" s="130"/>
      <c r="G1" s="839" t="s">
        <v>215</v>
      </c>
      <c r="H1" s="839"/>
      <c r="I1" s="839"/>
      <c r="J1" s="839"/>
      <c r="K1" s="839"/>
      <c r="M1" s="839" t="s">
        <v>216</v>
      </c>
      <c r="N1" s="839"/>
      <c r="O1" s="839"/>
      <c r="P1" s="839"/>
      <c r="Q1" s="839"/>
    </row>
    <row r="2" spans="1:17" x14ac:dyDescent="0.3">
      <c r="A2" s="151"/>
      <c r="B2" s="838" t="s">
        <v>197</v>
      </c>
      <c r="C2" s="838"/>
      <c r="D2" s="838"/>
      <c r="E2" s="838" t="s">
        <v>155</v>
      </c>
      <c r="F2" s="129"/>
      <c r="G2" s="151"/>
      <c r="H2" s="838" t="s">
        <v>197</v>
      </c>
      <c r="I2" s="838"/>
      <c r="J2" s="838"/>
      <c r="K2" s="838" t="s">
        <v>155</v>
      </c>
      <c r="M2" s="151"/>
      <c r="N2" s="838" t="s">
        <v>197</v>
      </c>
      <c r="O2" s="838"/>
      <c r="P2" s="838"/>
      <c r="Q2" s="838" t="s">
        <v>155</v>
      </c>
    </row>
    <row r="3" spans="1:17" x14ac:dyDescent="0.3">
      <c r="A3" s="151"/>
      <c r="B3" s="102">
        <v>2023</v>
      </c>
      <c r="C3" s="102">
        <v>2022</v>
      </c>
      <c r="D3" s="102">
        <v>2021</v>
      </c>
      <c r="E3" s="838"/>
      <c r="F3" s="129"/>
      <c r="G3" s="151"/>
      <c r="H3" s="102">
        <f>B3</f>
        <v>2023</v>
      </c>
      <c r="I3" s="102">
        <f t="shared" ref="I3:J3" si="0">C3</f>
        <v>2022</v>
      </c>
      <c r="J3" s="102">
        <f t="shared" si="0"/>
        <v>2021</v>
      </c>
      <c r="K3" s="838"/>
      <c r="M3" s="151"/>
      <c r="N3" s="102">
        <f>B12</f>
        <v>2023</v>
      </c>
      <c r="O3" s="102">
        <f t="shared" ref="O3:P3" si="1">C12</f>
        <v>2022</v>
      </c>
      <c r="P3" s="102">
        <f t="shared" si="1"/>
        <v>2021</v>
      </c>
      <c r="Q3" s="838"/>
    </row>
    <row r="4" spans="1:17" x14ac:dyDescent="0.3">
      <c r="A4" s="152" t="s">
        <v>217</v>
      </c>
      <c r="B4" s="154">
        <v>1.2999999999999999E-5</v>
      </c>
      <c r="C4" s="154">
        <v>1.2E-5</v>
      </c>
      <c r="D4" s="154">
        <v>1.2999999999999999E-5</v>
      </c>
      <c r="E4" s="392">
        <f>0.5*(MAX(B4:D4)-MIN(B4:D4))</f>
        <v>4.9999999999999945E-7</v>
      </c>
      <c r="F4" s="131"/>
      <c r="G4" s="523">
        <v>0</v>
      </c>
      <c r="H4" s="523">
        <v>0</v>
      </c>
      <c r="I4" s="523">
        <v>0</v>
      </c>
      <c r="J4" s="523">
        <v>0</v>
      </c>
      <c r="K4" s="527">
        <f>0.5*(MAX(H4:J4)-MIN(H4:J4))</f>
        <v>0</v>
      </c>
      <c r="M4" s="153">
        <v>0</v>
      </c>
      <c r="N4" s="153">
        <v>0</v>
      </c>
      <c r="O4" s="153">
        <v>0</v>
      </c>
      <c r="P4" s="153">
        <v>0</v>
      </c>
      <c r="Q4" s="155">
        <f>0.5*(MAX(N4:P4)-MIN(N4:P4))</f>
        <v>0</v>
      </c>
    </row>
    <row r="5" spans="1:17" x14ac:dyDescent="0.3">
      <c r="A5" s="152" t="s">
        <v>333</v>
      </c>
      <c r="B5" s="154">
        <v>9.9999999999999995E-7</v>
      </c>
      <c r="C5" s="154">
        <v>1.9999999999999999E-6</v>
      </c>
      <c r="D5" s="154">
        <v>1.9999999999999999E-6</v>
      </c>
      <c r="E5" s="392">
        <f t="shared" ref="E5:E8" si="2">0.5*(MAX(B5:D5)-MIN(B5:D5))</f>
        <v>4.9999999999999998E-7</v>
      </c>
      <c r="F5" s="131"/>
      <c r="G5" s="523">
        <v>1.99997</v>
      </c>
      <c r="H5" s="523">
        <v>4.3000000000000002E-5</v>
      </c>
      <c r="I5" s="523">
        <v>1.1E-5</v>
      </c>
      <c r="J5" s="523">
        <v>0</v>
      </c>
      <c r="K5" s="527">
        <f t="shared" ref="K5:K14" si="3">0.5*(MAX(H5:J5)-MIN(H5:J5))</f>
        <v>2.1500000000000001E-5</v>
      </c>
      <c r="M5" s="153">
        <v>2</v>
      </c>
      <c r="N5" s="153">
        <v>1.0000000000000001E-5</v>
      </c>
      <c r="O5" s="153">
        <v>2.0000000000000002E-5</v>
      </c>
      <c r="P5" s="153">
        <v>2.0000000000000002E-5</v>
      </c>
      <c r="Q5" s="155">
        <f t="shared" ref="Q5:Q14" si="4">0.5*(MAX(N5:P5)-MIN(N5:P5))</f>
        <v>5.0000000000000004E-6</v>
      </c>
    </row>
    <row r="6" spans="1:17" x14ac:dyDescent="0.3">
      <c r="A6" s="152" t="s">
        <v>334</v>
      </c>
      <c r="B6" s="154">
        <v>3.9999999999999998E-6</v>
      </c>
      <c r="C6" s="154">
        <v>5.0000000000000004E-6</v>
      </c>
      <c r="D6" s="154">
        <v>6.0000000000000002E-6</v>
      </c>
      <c r="E6" s="392">
        <f t="shared" si="2"/>
        <v>1.0000000000000002E-6</v>
      </c>
      <c r="F6" s="131"/>
      <c r="G6" s="523">
        <v>3.9999880000000001</v>
      </c>
      <c r="H6" s="523">
        <v>2.5000000000000001E-5</v>
      </c>
      <c r="I6" s="523">
        <v>1.0000000000000001E-5</v>
      </c>
      <c r="J6" s="523">
        <v>0</v>
      </c>
      <c r="K6" s="527">
        <f t="shared" si="3"/>
        <v>1.2500000000000001E-5</v>
      </c>
      <c r="M6" s="153">
        <v>4</v>
      </c>
      <c r="N6" s="153">
        <v>2.0000000000000002E-5</v>
      </c>
      <c r="O6" s="153">
        <v>1.0000000000000001E-5</v>
      </c>
      <c r="P6" s="153">
        <v>0</v>
      </c>
      <c r="Q6" s="155">
        <f t="shared" si="4"/>
        <v>1.0000000000000001E-5</v>
      </c>
    </row>
    <row r="7" spans="1:17" x14ac:dyDescent="0.3">
      <c r="A7" s="152" t="s">
        <v>335</v>
      </c>
      <c r="B7" s="154">
        <v>9.9999999999999995E-7</v>
      </c>
      <c r="C7" s="154">
        <v>5.3000000000000001E-5</v>
      </c>
      <c r="D7" s="154">
        <v>1.5E-5</v>
      </c>
      <c r="E7" s="392">
        <f t="shared" si="2"/>
        <v>2.6000000000000002E-5</v>
      </c>
      <c r="F7" s="131"/>
      <c r="G7" s="523">
        <v>6.000013</v>
      </c>
      <c r="H7" s="523">
        <v>1.9999999999999999E-6</v>
      </c>
      <c r="I7" s="523">
        <v>6.0000000000000002E-6</v>
      </c>
      <c r="J7" s="523">
        <v>0</v>
      </c>
      <c r="K7" s="527">
        <f t="shared" si="3"/>
        <v>3.0000000000000001E-6</v>
      </c>
      <c r="M7" s="153">
        <v>6</v>
      </c>
      <c r="N7" s="153">
        <v>2.0000000000000002E-5</v>
      </c>
      <c r="O7" s="153">
        <v>-1.0000000000000001E-5</v>
      </c>
      <c r="P7" s="153">
        <v>-2.0000000000000002E-5</v>
      </c>
      <c r="Q7" s="155">
        <f t="shared" si="4"/>
        <v>2.0000000000000002E-5</v>
      </c>
    </row>
    <row r="8" spans="1:17" x14ac:dyDescent="0.3">
      <c r="A8" s="152" t="s">
        <v>218</v>
      </c>
      <c r="B8" s="154">
        <v>5.7000000000000003E-5</v>
      </c>
      <c r="C8" s="154">
        <v>3.3000000000000003E-5</v>
      </c>
      <c r="D8" s="154">
        <v>3.8999999999999999E-5</v>
      </c>
      <c r="E8" s="392">
        <f t="shared" si="2"/>
        <v>1.2E-5</v>
      </c>
      <c r="F8" s="131"/>
      <c r="G8" s="523">
        <v>8.0000040000000006</v>
      </c>
      <c r="H8" s="523">
        <v>2.3E-5</v>
      </c>
      <c r="I8" s="523">
        <v>7.9999999999999996E-6</v>
      </c>
      <c r="J8" s="523">
        <v>0</v>
      </c>
      <c r="K8" s="527">
        <f t="shared" si="3"/>
        <v>1.15E-5</v>
      </c>
      <c r="M8" s="153">
        <v>8</v>
      </c>
      <c r="N8" s="153">
        <v>1.0000000000000001E-5</v>
      </c>
      <c r="O8" s="153">
        <v>2.0000000000000002E-5</v>
      </c>
      <c r="P8" s="153">
        <v>-1.0000000000000001E-5</v>
      </c>
      <c r="Q8" s="155">
        <f t="shared" si="4"/>
        <v>1.5000000000000002E-5</v>
      </c>
    </row>
    <row r="9" spans="1:17" x14ac:dyDescent="0.3">
      <c r="G9" s="523">
        <v>9.9999749999999992</v>
      </c>
      <c r="H9" s="528">
        <v>2.3E-5</v>
      </c>
      <c r="I9" s="523">
        <v>5.0000000000000004E-6</v>
      </c>
      <c r="J9" s="526">
        <v>0</v>
      </c>
      <c r="K9" s="527">
        <f t="shared" si="3"/>
        <v>1.15E-5</v>
      </c>
      <c r="M9" s="531">
        <v>10</v>
      </c>
      <c r="N9" s="531">
        <v>-1.0000000000000001E-5</v>
      </c>
      <c r="O9" s="531">
        <v>0</v>
      </c>
      <c r="P9" s="153">
        <v>-3.0000000000000001E-5</v>
      </c>
      <c r="Q9" s="155">
        <f t="shared" si="4"/>
        <v>1.5E-5</v>
      </c>
    </row>
    <row r="10" spans="1:17" x14ac:dyDescent="0.3">
      <c r="A10" s="839" t="s">
        <v>219</v>
      </c>
      <c r="B10" s="839"/>
      <c r="C10" s="839"/>
      <c r="D10" s="839"/>
      <c r="E10" s="839"/>
      <c r="F10" s="130"/>
      <c r="G10" s="523">
        <v>11.999972</v>
      </c>
      <c r="H10" s="529">
        <v>3.8000000000000002E-5</v>
      </c>
      <c r="I10" s="523">
        <v>9.0000000000000002E-6</v>
      </c>
      <c r="J10" s="526">
        <v>0</v>
      </c>
      <c r="K10" s="527">
        <f t="shared" si="3"/>
        <v>1.9000000000000001E-5</v>
      </c>
      <c r="M10" s="531">
        <v>12.00001</v>
      </c>
      <c r="N10" s="531">
        <v>1.0000000000000001E-5</v>
      </c>
      <c r="O10" s="531">
        <v>-1.0000000000000001E-5</v>
      </c>
      <c r="P10" s="153">
        <v>-4.0000000000000003E-5</v>
      </c>
      <c r="Q10" s="155">
        <f t="shared" si="4"/>
        <v>2.5000000000000001E-5</v>
      </c>
    </row>
    <row r="11" spans="1:17" x14ac:dyDescent="0.3">
      <c r="A11" s="151"/>
      <c r="B11" s="838" t="s">
        <v>197</v>
      </c>
      <c r="C11" s="838"/>
      <c r="D11" s="838"/>
      <c r="E11" s="838" t="s">
        <v>155</v>
      </c>
      <c r="F11" s="129"/>
      <c r="G11" s="524">
        <v>13.999966000000001</v>
      </c>
      <c r="H11" s="530">
        <v>4.3999999999999999E-5</v>
      </c>
      <c r="I11" s="524">
        <v>1.2E-5</v>
      </c>
      <c r="J11" s="526">
        <v>0</v>
      </c>
      <c r="K11" s="527">
        <f t="shared" si="3"/>
        <v>2.1999999999999999E-5</v>
      </c>
      <c r="M11" s="531">
        <v>14.00001</v>
      </c>
      <c r="N11" s="531">
        <v>1.0000000000000001E-5</v>
      </c>
      <c r="O11" s="531">
        <v>-1.0000000000000001E-5</v>
      </c>
      <c r="P11" s="153">
        <v>-2.0000000000000002E-5</v>
      </c>
      <c r="Q11" s="155">
        <f t="shared" si="4"/>
        <v>1.5000000000000002E-5</v>
      </c>
    </row>
    <row r="12" spans="1:17" x14ac:dyDescent="0.3">
      <c r="A12" s="151"/>
      <c r="B12" s="102">
        <v>2023</v>
      </c>
      <c r="C12" s="102">
        <v>2022</v>
      </c>
      <c r="D12" s="102">
        <v>2021</v>
      </c>
      <c r="E12" s="838"/>
      <c r="F12" s="129"/>
      <c r="G12" s="525">
        <v>15.999979</v>
      </c>
      <c r="H12" s="530">
        <v>3.3000000000000003E-5</v>
      </c>
      <c r="I12" s="525">
        <v>1.5E-5</v>
      </c>
      <c r="J12" s="526">
        <v>0</v>
      </c>
      <c r="K12" s="527">
        <f t="shared" si="3"/>
        <v>1.6500000000000001E-5</v>
      </c>
      <c r="M12" s="531">
        <v>16.000019999999999</v>
      </c>
      <c r="N12" s="531">
        <v>-1.0000000000000001E-5</v>
      </c>
      <c r="O12" s="531">
        <v>-1.0000000000000001E-5</v>
      </c>
      <c r="P12" s="153">
        <v>-3.0000000000000001E-5</v>
      </c>
      <c r="Q12" s="155">
        <f t="shared" si="4"/>
        <v>9.9999999999999991E-6</v>
      </c>
    </row>
    <row r="13" spans="1:17" x14ac:dyDescent="0.3">
      <c r="A13" s="152" t="s">
        <v>217</v>
      </c>
      <c r="B13" s="153">
        <v>2.0000000000000002E-5</v>
      </c>
      <c r="C13" s="153">
        <v>2.0000000000000002E-5</v>
      </c>
      <c r="D13" s="153">
        <v>3.0000000000000001E-5</v>
      </c>
      <c r="E13" s="155">
        <f>0.5*(MAX(B13:D13)-MIN(B13:D13))</f>
        <v>4.9999999999999996E-6</v>
      </c>
      <c r="F13" s="131"/>
      <c r="G13" s="525">
        <v>17.999979</v>
      </c>
      <c r="H13" s="391">
        <v>4.5000000000000003E-5</v>
      </c>
      <c r="I13" s="525">
        <v>1.5E-5</v>
      </c>
      <c r="J13" s="526">
        <v>0</v>
      </c>
      <c r="K13" s="527">
        <f t="shared" si="3"/>
        <v>2.2500000000000001E-5</v>
      </c>
      <c r="M13" s="531">
        <v>18.000019999999999</v>
      </c>
      <c r="N13" s="531">
        <v>0</v>
      </c>
      <c r="O13" s="531">
        <v>0</v>
      </c>
      <c r="P13" s="153">
        <v>-2.0000000000000002E-5</v>
      </c>
      <c r="Q13" s="155">
        <f t="shared" si="4"/>
        <v>1.0000000000000001E-5</v>
      </c>
    </row>
    <row r="14" spans="1:17" x14ac:dyDescent="0.3">
      <c r="A14" s="152" t="s">
        <v>333</v>
      </c>
      <c r="B14" s="153">
        <v>9.0000000000000002E-6</v>
      </c>
      <c r="C14" s="153">
        <v>9.0000000000000002E-6</v>
      </c>
      <c r="D14" s="153">
        <v>1.0000000000000001E-5</v>
      </c>
      <c r="E14" s="155">
        <f t="shared" ref="E14:E17" si="5">0.5*(MAX(B14:D14)-MIN(B14:D14))</f>
        <v>5.000000000000003E-7</v>
      </c>
      <c r="F14" s="131"/>
      <c r="G14" s="523">
        <v>19.999981999999999</v>
      </c>
      <c r="H14" s="391">
        <v>2.6999999999999999E-5</v>
      </c>
      <c r="I14" s="525">
        <v>6.9999999999999999E-6</v>
      </c>
      <c r="J14" s="526">
        <v>0</v>
      </c>
      <c r="K14" s="527">
        <f t="shared" si="3"/>
        <v>1.3499999999999999E-5</v>
      </c>
      <c r="M14" s="531">
        <v>20.000029999999999</v>
      </c>
      <c r="N14" s="531">
        <v>-4.0000000000000003E-5</v>
      </c>
      <c r="O14" s="531">
        <v>-2.0000000000000002E-5</v>
      </c>
      <c r="P14" s="153">
        <v>-4.0000000000000003E-5</v>
      </c>
      <c r="Q14" s="155">
        <f t="shared" si="4"/>
        <v>1.0000000000000001E-5</v>
      </c>
    </row>
    <row r="15" spans="1:17" x14ac:dyDescent="0.3">
      <c r="A15" s="152" t="s">
        <v>334</v>
      </c>
      <c r="B15" s="153">
        <v>2.0000000000000002E-5</v>
      </c>
      <c r="C15" s="153">
        <v>1.0000000000000001E-5</v>
      </c>
      <c r="D15" s="153">
        <v>1.0000000000000001E-5</v>
      </c>
      <c r="E15" s="155">
        <f t="shared" si="5"/>
        <v>5.0000000000000004E-6</v>
      </c>
      <c r="F15" s="131"/>
      <c r="G15" s="1"/>
      <c r="H15" s="1"/>
      <c r="I15" s="132"/>
    </row>
    <row r="16" spans="1:17" x14ac:dyDescent="0.3">
      <c r="A16" s="152" t="s">
        <v>335</v>
      </c>
      <c r="B16" s="153">
        <v>1.0000000000000001E-5</v>
      </c>
      <c r="C16" s="153">
        <v>2.0000000000000002E-5</v>
      </c>
      <c r="D16" s="153">
        <v>-4.0000000000000003E-5</v>
      </c>
      <c r="E16" s="155">
        <f t="shared" si="5"/>
        <v>3.0000000000000004E-5</v>
      </c>
      <c r="F16" s="131"/>
      <c r="G16" s="853" t="s">
        <v>220</v>
      </c>
      <c r="H16" s="854"/>
      <c r="I16" s="854"/>
      <c r="J16" s="854"/>
      <c r="K16" s="855"/>
      <c r="M16" s="839" t="s">
        <v>221</v>
      </c>
      <c r="N16" s="839"/>
      <c r="O16" s="839"/>
      <c r="P16" s="839"/>
      <c r="Q16" s="839"/>
    </row>
    <row r="17" spans="1:17" x14ac:dyDescent="0.3">
      <c r="A17" s="152" t="s">
        <v>218</v>
      </c>
      <c r="B17" s="153">
        <v>4.0000000000000003E-5</v>
      </c>
      <c r="C17" s="153">
        <v>4.0000000000000003E-5</v>
      </c>
      <c r="D17" s="153">
        <v>6.9999999999999994E-5</v>
      </c>
      <c r="E17" s="155">
        <f t="shared" si="5"/>
        <v>1.4999999999999995E-5</v>
      </c>
      <c r="F17" s="131"/>
      <c r="G17" s="151"/>
      <c r="H17" s="838" t="s">
        <v>197</v>
      </c>
      <c r="I17" s="838"/>
      <c r="J17" s="838"/>
      <c r="K17" s="838" t="s">
        <v>155</v>
      </c>
      <c r="M17" s="151"/>
      <c r="N17" s="838" t="s">
        <v>197</v>
      </c>
      <c r="O17" s="838"/>
      <c r="P17" s="838"/>
      <c r="Q17" s="838" t="s">
        <v>155</v>
      </c>
    </row>
    <row r="18" spans="1:17" x14ac:dyDescent="0.3">
      <c r="G18" s="151"/>
      <c r="H18" s="102">
        <f>B21</f>
        <v>2023</v>
      </c>
      <c r="I18" s="102">
        <f t="shared" ref="I18:J18" si="6">C21</f>
        <v>2021</v>
      </c>
      <c r="J18" s="102">
        <f t="shared" si="6"/>
        <v>2020</v>
      </c>
      <c r="K18" s="838"/>
      <c r="M18" s="151"/>
      <c r="N18" s="102">
        <f>B30</f>
        <v>2020</v>
      </c>
      <c r="O18" s="102">
        <f t="shared" ref="O18:P18" si="7">C30</f>
        <v>2020</v>
      </c>
      <c r="P18" s="102">
        <f t="shared" si="7"/>
        <v>2010</v>
      </c>
      <c r="Q18" s="838"/>
    </row>
    <row r="19" spans="1:17" x14ac:dyDescent="0.3">
      <c r="A19" s="853" t="s">
        <v>222</v>
      </c>
      <c r="B19" s="854"/>
      <c r="C19" s="854"/>
      <c r="D19" s="854"/>
      <c r="E19" s="855"/>
      <c r="G19" s="13">
        <v>0</v>
      </c>
      <c r="H19" s="13">
        <v>0</v>
      </c>
      <c r="I19" s="13">
        <v>0</v>
      </c>
      <c r="J19" s="13">
        <v>0</v>
      </c>
      <c r="K19" s="393">
        <f>0.5*(MAX(H19:J19)-MIN(H19:J19))</f>
        <v>0</v>
      </c>
      <c r="M19" s="13">
        <v>0</v>
      </c>
      <c r="N19" s="13">
        <v>0</v>
      </c>
      <c r="O19" s="13">
        <v>0</v>
      </c>
      <c r="P19" s="13">
        <v>0</v>
      </c>
      <c r="Q19" s="155">
        <f>0.5*(MAX(N19:P19)-MIN(N19:P19))</f>
        <v>0</v>
      </c>
    </row>
    <row r="20" spans="1:17" x14ac:dyDescent="0.3">
      <c r="A20" s="151"/>
      <c r="B20" s="838" t="s">
        <v>197</v>
      </c>
      <c r="C20" s="838"/>
      <c r="D20" s="838"/>
      <c r="E20" s="838" t="s">
        <v>155</v>
      </c>
      <c r="G20" s="13">
        <v>9.9997000000000007</v>
      </c>
      <c r="H20" s="13">
        <v>2.9999999999999997E-4</v>
      </c>
      <c r="I20" s="13">
        <v>0</v>
      </c>
      <c r="J20" s="13">
        <v>0</v>
      </c>
      <c r="K20" s="393">
        <f t="shared" ref="K20:K29" si="8">0.5*(MAX(H20:J20)-MIN(H20:J20))</f>
        <v>1.4999999999999999E-4</v>
      </c>
      <c r="M20" s="13">
        <v>0</v>
      </c>
      <c r="N20" s="13">
        <v>0</v>
      </c>
      <c r="O20" s="13">
        <v>0</v>
      </c>
      <c r="P20" s="13">
        <v>0</v>
      </c>
      <c r="Q20" s="155">
        <f t="shared" ref="Q20:Q29" si="9">0.5*(MAX(N20:P20)-MIN(N20:P20))</f>
        <v>0</v>
      </c>
    </row>
    <row r="21" spans="1:17" x14ac:dyDescent="0.3">
      <c r="A21" s="151"/>
      <c r="B21" s="102">
        <v>2023</v>
      </c>
      <c r="C21" s="102">
        <v>2021</v>
      </c>
      <c r="D21" s="390">
        <v>2020</v>
      </c>
      <c r="E21" s="838"/>
      <c r="G21" s="13">
        <v>20</v>
      </c>
      <c r="H21" s="13">
        <v>1E-4</v>
      </c>
      <c r="I21" s="13">
        <v>0</v>
      </c>
      <c r="J21" s="13">
        <v>0</v>
      </c>
      <c r="K21" s="393">
        <f t="shared" si="8"/>
        <v>5.0000000000000002E-5</v>
      </c>
      <c r="M21" s="13">
        <v>0</v>
      </c>
      <c r="N21" s="13">
        <v>0</v>
      </c>
      <c r="O21" s="13">
        <v>0</v>
      </c>
      <c r="P21" s="13">
        <v>0</v>
      </c>
      <c r="Q21" s="155">
        <f t="shared" si="9"/>
        <v>0</v>
      </c>
    </row>
    <row r="22" spans="1:17" x14ac:dyDescent="0.3">
      <c r="A22" s="152" t="s">
        <v>217</v>
      </c>
      <c r="B22" s="13">
        <v>2.0000000000000001E-4</v>
      </c>
      <c r="C22" s="13">
        <v>2.9999999999999997E-4</v>
      </c>
      <c r="D22" s="13">
        <v>0</v>
      </c>
      <c r="E22" s="393">
        <f>0.5*(MAX(B22:D22)-MIN(B22:D22))</f>
        <v>1.4999999999999999E-4</v>
      </c>
      <c r="G22" s="13">
        <v>40.000100000000003</v>
      </c>
      <c r="H22" s="13">
        <v>0</v>
      </c>
      <c r="I22" s="13">
        <v>-2.0000000000000001E-4</v>
      </c>
      <c r="J22" s="13">
        <v>0</v>
      </c>
      <c r="K22" s="393">
        <f t="shared" si="8"/>
        <v>1E-4</v>
      </c>
      <c r="M22" s="13">
        <v>0</v>
      </c>
      <c r="N22" s="13">
        <v>0</v>
      </c>
      <c r="O22" s="13">
        <v>0</v>
      </c>
      <c r="P22" s="13">
        <v>0</v>
      </c>
      <c r="Q22" s="155">
        <f t="shared" si="9"/>
        <v>0</v>
      </c>
    </row>
    <row r="23" spans="1:17" x14ac:dyDescent="0.3">
      <c r="A23" s="152" t="s">
        <v>333</v>
      </c>
      <c r="B23" s="13">
        <v>1E-4</v>
      </c>
      <c r="C23" s="13">
        <v>0</v>
      </c>
      <c r="D23" s="13">
        <v>0</v>
      </c>
      <c r="E23" s="393">
        <f t="shared" ref="E23:E26" si="10">0.5*(MAX(B23:D23)-MIN(B23:D23))</f>
        <v>5.0000000000000002E-5</v>
      </c>
      <c r="G23" s="13">
        <v>60.0002</v>
      </c>
      <c r="H23" s="13">
        <v>-2.0000000000000001E-4</v>
      </c>
      <c r="I23" s="13">
        <v>0</v>
      </c>
      <c r="J23" s="13">
        <v>0</v>
      </c>
      <c r="K23" s="393">
        <f t="shared" si="8"/>
        <v>1E-4</v>
      </c>
      <c r="M23" s="13">
        <v>0</v>
      </c>
      <c r="N23" s="13">
        <v>0</v>
      </c>
      <c r="O23" s="13">
        <v>0</v>
      </c>
      <c r="P23" s="13">
        <v>0</v>
      </c>
      <c r="Q23" s="155">
        <f t="shared" si="9"/>
        <v>0</v>
      </c>
    </row>
    <row r="24" spans="1:17" x14ac:dyDescent="0.3">
      <c r="A24" s="152" t="s">
        <v>334</v>
      </c>
      <c r="B24" s="13">
        <v>1E-4</v>
      </c>
      <c r="C24" s="13">
        <v>1E-4</v>
      </c>
      <c r="D24" s="13">
        <v>0</v>
      </c>
      <c r="E24" s="393">
        <f t="shared" si="10"/>
        <v>5.0000000000000002E-5</v>
      </c>
      <c r="G24" s="13">
        <v>80</v>
      </c>
      <c r="H24" s="532">
        <v>1E-4</v>
      </c>
      <c r="I24" s="532">
        <v>0</v>
      </c>
      <c r="J24" s="13">
        <v>0</v>
      </c>
      <c r="K24" s="393">
        <f t="shared" si="8"/>
        <v>5.0000000000000002E-5</v>
      </c>
      <c r="M24" s="13">
        <v>0</v>
      </c>
      <c r="N24" s="13">
        <v>0</v>
      </c>
      <c r="O24" s="13">
        <v>0</v>
      </c>
      <c r="P24" s="13">
        <v>0</v>
      </c>
      <c r="Q24" s="155">
        <f t="shared" si="9"/>
        <v>0</v>
      </c>
    </row>
    <row r="25" spans="1:17" x14ac:dyDescent="0.3">
      <c r="A25" s="152" t="s">
        <v>335</v>
      </c>
      <c r="B25" s="13">
        <v>2.9999999999999997E-4</v>
      </c>
      <c r="C25" s="13">
        <v>2.0000000000000001E-4</v>
      </c>
      <c r="D25" s="13">
        <v>0</v>
      </c>
      <c r="E25" s="393">
        <f t="shared" si="10"/>
        <v>1.4999999999999999E-4</v>
      </c>
      <c r="G25" s="13">
        <v>100.0001</v>
      </c>
      <c r="H25" s="532">
        <v>0</v>
      </c>
      <c r="I25" s="532">
        <v>1E-4</v>
      </c>
      <c r="J25" s="13">
        <v>0</v>
      </c>
      <c r="K25" s="393">
        <f t="shared" si="8"/>
        <v>5.0000000000000002E-5</v>
      </c>
      <c r="M25" s="13">
        <v>0</v>
      </c>
      <c r="N25" s="13">
        <v>0</v>
      </c>
      <c r="O25" s="13">
        <v>0</v>
      </c>
      <c r="P25" s="13">
        <v>0</v>
      </c>
      <c r="Q25" s="155">
        <f t="shared" si="9"/>
        <v>0</v>
      </c>
    </row>
    <row r="26" spans="1:17" x14ac:dyDescent="0.3">
      <c r="A26" s="152" t="s">
        <v>218</v>
      </c>
      <c r="B26" s="13">
        <v>5.0000000000000001E-4</v>
      </c>
      <c r="C26" s="13">
        <v>4.0000000000000002E-4</v>
      </c>
      <c r="D26" s="13">
        <v>0</v>
      </c>
      <c r="E26" s="393">
        <f t="shared" si="10"/>
        <v>2.5000000000000001E-4</v>
      </c>
      <c r="G26" s="13">
        <v>120.0003</v>
      </c>
      <c r="H26" s="532">
        <v>-1E-4</v>
      </c>
      <c r="I26" s="532">
        <v>1E-4</v>
      </c>
      <c r="J26" s="13">
        <v>0</v>
      </c>
      <c r="K26" s="393">
        <f t="shared" si="8"/>
        <v>1E-4</v>
      </c>
      <c r="M26" s="13">
        <v>0</v>
      </c>
      <c r="N26" s="13">
        <v>0</v>
      </c>
      <c r="O26" s="13">
        <v>0</v>
      </c>
      <c r="P26" s="13">
        <v>0</v>
      </c>
      <c r="Q26" s="155">
        <f t="shared" si="9"/>
        <v>0</v>
      </c>
    </row>
    <row r="27" spans="1:17" x14ac:dyDescent="0.3">
      <c r="G27" s="13">
        <v>140.0001</v>
      </c>
      <c r="H27" s="532">
        <v>1E-4</v>
      </c>
      <c r="I27" s="532">
        <v>1E-4</v>
      </c>
      <c r="J27" s="13">
        <v>0</v>
      </c>
      <c r="K27" s="393">
        <f t="shared" si="8"/>
        <v>5.0000000000000002E-5</v>
      </c>
      <c r="M27" s="13">
        <v>0</v>
      </c>
      <c r="N27" s="13">
        <v>0</v>
      </c>
      <c r="O27" s="13">
        <v>0</v>
      </c>
      <c r="P27" s="13">
        <v>0</v>
      </c>
      <c r="Q27" s="155">
        <f t="shared" si="9"/>
        <v>0</v>
      </c>
    </row>
    <row r="28" spans="1:17" x14ac:dyDescent="0.3">
      <c r="A28" s="839" t="s">
        <v>223</v>
      </c>
      <c r="B28" s="839"/>
      <c r="C28" s="839"/>
      <c r="D28" s="839"/>
      <c r="E28" s="839"/>
      <c r="G28" s="13">
        <v>160.0001</v>
      </c>
      <c r="H28" s="532">
        <v>1E-4</v>
      </c>
      <c r="I28" s="532">
        <v>1E-4</v>
      </c>
      <c r="J28" s="13">
        <v>0</v>
      </c>
      <c r="K28" s="393">
        <f t="shared" si="8"/>
        <v>5.0000000000000002E-5</v>
      </c>
      <c r="M28" s="13">
        <v>0</v>
      </c>
      <c r="N28" s="13">
        <v>0</v>
      </c>
      <c r="O28" s="13">
        <v>0</v>
      </c>
      <c r="P28" s="13">
        <v>0</v>
      </c>
      <c r="Q28" s="155">
        <f t="shared" si="9"/>
        <v>0</v>
      </c>
    </row>
    <row r="29" spans="1:17" x14ac:dyDescent="0.3">
      <c r="A29" s="151"/>
      <c r="B29" s="838" t="s">
        <v>197</v>
      </c>
      <c r="C29" s="838"/>
      <c r="D29" s="838"/>
      <c r="E29" s="838" t="s">
        <v>155</v>
      </c>
      <c r="G29" s="13">
        <v>180.00020000000001</v>
      </c>
      <c r="H29" s="532">
        <v>1E-4</v>
      </c>
      <c r="I29" s="532">
        <v>2.0000000000000001E-4</v>
      </c>
      <c r="J29" s="13">
        <v>0</v>
      </c>
      <c r="K29" s="536">
        <f t="shared" si="8"/>
        <v>1E-4</v>
      </c>
      <c r="M29" s="535">
        <v>0</v>
      </c>
      <c r="N29" s="535">
        <v>0</v>
      </c>
      <c r="O29" s="535">
        <v>0</v>
      </c>
      <c r="P29" s="535">
        <v>0</v>
      </c>
      <c r="Q29" s="541">
        <f t="shared" si="9"/>
        <v>0</v>
      </c>
    </row>
    <row r="30" spans="1:17" x14ac:dyDescent="0.3">
      <c r="A30" s="151"/>
      <c r="B30" s="102">
        <v>2020</v>
      </c>
      <c r="C30" s="102">
        <v>2020</v>
      </c>
      <c r="D30" s="390">
        <v>2010</v>
      </c>
      <c r="E30" s="838"/>
      <c r="G30" s="538"/>
      <c r="H30" s="539"/>
      <c r="I30" s="538"/>
      <c r="J30" s="538"/>
      <c r="K30" s="540"/>
      <c r="M30" s="538"/>
      <c r="N30" s="538"/>
      <c r="O30" s="538"/>
      <c r="P30" s="538"/>
      <c r="Q30" s="542"/>
    </row>
    <row r="31" spans="1:17" x14ac:dyDescent="0.3">
      <c r="A31" s="152" t="s">
        <v>217</v>
      </c>
      <c r="B31" s="153">
        <v>0</v>
      </c>
      <c r="C31" s="153">
        <v>0</v>
      </c>
      <c r="D31" s="13">
        <v>0</v>
      </c>
      <c r="E31" s="155">
        <f>0.5*(MAX(B31:D31)-MIN(B31:D31))</f>
        <v>0</v>
      </c>
    </row>
    <row r="32" spans="1:17" x14ac:dyDescent="0.3">
      <c r="A32" s="152" t="s">
        <v>333</v>
      </c>
      <c r="B32" s="153">
        <v>0</v>
      </c>
      <c r="C32" s="153">
        <v>0</v>
      </c>
      <c r="D32" s="13">
        <v>0</v>
      </c>
      <c r="E32" s="155">
        <f t="shared" ref="E32:E35" si="11">0.5*(MAX(B32:D32)-MIN(B32:D32))</f>
        <v>0</v>
      </c>
    </row>
    <row r="33" spans="1:29" x14ac:dyDescent="0.3">
      <c r="A33" s="152" t="s">
        <v>334</v>
      </c>
      <c r="B33" s="153">
        <v>0</v>
      </c>
      <c r="C33" s="153">
        <v>0</v>
      </c>
      <c r="D33" s="13">
        <v>0</v>
      </c>
      <c r="E33" s="155">
        <f t="shared" si="11"/>
        <v>0</v>
      </c>
    </row>
    <row r="34" spans="1:29" x14ac:dyDescent="0.3">
      <c r="A34" s="152" t="s">
        <v>335</v>
      </c>
      <c r="B34" s="153">
        <v>0</v>
      </c>
      <c r="C34" s="153">
        <v>0</v>
      </c>
      <c r="D34" s="13">
        <v>0</v>
      </c>
      <c r="E34" s="155">
        <f t="shared" si="11"/>
        <v>0</v>
      </c>
    </row>
    <row r="35" spans="1:29" x14ac:dyDescent="0.3">
      <c r="A35" s="152" t="s">
        <v>218</v>
      </c>
      <c r="B35" s="153">
        <v>0</v>
      </c>
      <c r="C35" s="153">
        <v>0</v>
      </c>
      <c r="D35" s="13">
        <v>0</v>
      </c>
      <c r="E35" s="155">
        <f t="shared" si="11"/>
        <v>0</v>
      </c>
    </row>
    <row r="37" spans="1:29" x14ac:dyDescent="0.3">
      <c r="A37" s="912" t="s">
        <v>30</v>
      </c>
      <c r="B37" s="886" t="s">
        <v>176</v>
      </c>
      <c r="C37" s="860" t="s">
        <v>224</v>
      </c>
      <c r="D37" s="860"/>
      <c r="E37" s="860"/>
      <c r="F37" s="860"/>
      <c r="G37" s="860"/>
      <c r="H37" s="913" t="s">
        <v>30</v>
      </c>
      <c r="I37" s="908" t="s">
        <v>176</v>
      </c>
      <c r="J37" s="909" t="s">
        <v>224</v>
      </c>
      <c r="K37" s="909"/>
      <c r="L37" s="909"/>
      <c r="M37" s="909"/>
      <c r="N37" s="909"/>
      <c r="P37" s="912" t="s">
        <v>30</v>
      </c>
      <c r="Q37" s="886" t="s">
        <v>176</v>
      </c>
      <c r="R37" s="860" t="s">
        <v>225</v>
      </c>
      <c r="S37" s="860"/>
      <c r="T37" s="860"/>
      <c r="U37" s="860"/>
      <c r="V37" s="860"/>
      <c r="W37" s="913" t="s">
        <v>30</v>
      </c>
      <c r="X37" s="908" t="s">
        <v>176</v>
      </c>
      <c r="Y37" s="909" t="s">
        <v>225</v>
      </c>
      <c r="Z37" s="909"/>
      <c r="AA37" s="909"/>
      <c r="AB37" s="909"/>
      <c r="AC37" s="909"/>
    </row>
    <row r="38" spans="1:29" x14ac:dyDescent="0.3">
      <c r="A38" s="912"/>
      <c r="B38" s="886"/>
      <c r="C38" s="859"/>
      <c r="D38" s="856" t="s">
        <v>154</v>
      </c>
      <c r="E38" s="857"/>
      <c r="F38" s="858"/>
      <c r="G38" s="859" t="s">
        <v>155</v>
      </c>
      <c r="H38" s="913"/>
      <c r="I38" s="908"/>
      <c r="J38" s="864"/>
      <c r="K38" s="864" t="s">
        <v>154</v>
      </c>
      <c r="L38" s="864"/>
      <c r="M38" s="864"/>
      <c r="N38" s="864" t="s">
        <v>155</v>
      </c>
      <c r="P38" s="912"/>
      <c r="Q38" s="886"/>
      <c r="R38" s="859"/>
      <c r="S38" s="856" t="s">
        <v>154</v>
      </c>
      <c r="T38" s="857"/>
      <c r="U38" s="858"/>
      <c r="V38" s="859" t="s">
        <v>155</v>
      </c>
      <c r="W38" s="913"/>
      <c r="X38" s="908"/>
      <c r="Y38" s="864"/>
      <c r="Z38" s="864" t="s">
        <v>154</v>
      </c>
      <c r="AA38" s="864"/>
      <c r="AB38" s="864"/>
      <c r="AC38" s="864" t="s">
        <v>155</v>
      </c>
    </row>
    <row r="39" spans="1:29" x14ac:dyDescent="0.3">
      <c r="A39" s="912"/>
      <c r="B39" s="886"/>
      <c r="C39" s="859"/>
      <c r="D39" s="122"/>
      <c r="E39" s="122"/>
      <c r="F39" s="394"/>
      <c r="G39" s="859"/>
      <c r="H39" s="913"/>
      <c r="I39" s="908"/>
      <c r="J39" s="864"/>
      <c r="K39" s="398"/>
      <c r="L39" s="398"/>
      <c r="M39" s="399"/>
      <c r="N39" s="864"/>
      <c r="P39" s="912"/>
      <c r="Q39" s="886"/>
      <c r="R39" s="859"/>
      <c r="S39" s="122"/>
      <c r="T39" s="122"/>
      <c r="U39" s="394"/>
      <c r="V39" s="859"/>
      <c r="W39" s="913"/>
      <c r="X39" s="908"/>
      <c r="Y39" s="864"/>
      <c r="Z39" s="398"/>
      <c r="AA39" s="398"/>
      <c r="AB39" s="399"/>
      <c r="AC39" s="864"/>
    </row>
    <row r="40" spans="1:29" x14ac:dyDescent="0.3">
      <c r="A40" s="874">
        <v>1</v>
      </c>
      <c r="B40" s="121">
        <v>1</v>
      </c>
      <c r="C40" s="104" t="str">
        <f>A4</f>
        <v>Uncertainty</v>
      </c>
      <c r="D40" s="157">
        <f t="shared" ref="D40:E40" si="12">B4</f>
        <v>1.2999999999999999E-5</v>
      </c>
      <c r="E40" s="157">
        <f t="shared" si="12"/>
        <v>1.2E-5</v>
      </c>
      <c r="F40" s="395">
        <f>D4</f>
        <v>1.2999999999999999E-5</v>
      </c>
      <c r="G40" s="157">
        <f>E4</f>
        <v>4.9999999999999945E-7</v>
      </c>
      <c r="H40" s="907">
        <v>4</v>
      </c>
      <c r="I40" s="400">
        <v>1</v>
      </c>
      <c r="J40" s="401" t="str">
        <f>A7</f>
        <v>Linearity(Pembebanan tidak di pusat Pan)</v>
      </c>
      <c r="K40" s="402">
        <f>B7</f>
        <v>9.9999999999999995E-7</v>
      </c>
      <c r="L40" s="402">
        <f>C7</f>
        <v>5.3000000000000001E-5</v>
      </c>
      <c r="M40" s="403">
        <f>D7</f>
        <v>1.5E-5</v>
      </c>
      <c r="N40" s="402">
        <f>E7</f>
        <v>2.6000000000000002E-5</v>
      </c>
      <c r="P40" s="874">
        <v>1</v>
      </c>
      <c r="Q40" s="121">
        <v>1</v>
      </c>
      <c r="R40" s="159">
        <f>G4</f>
        <v>0</v>
      </c>
      <c r="S40" s="159">
        <f t="shared" ref="S40:V40" si="13">H4</f>
        <v>0</v>
      </c>
      <c r="T40" s="159">
        <f t="shared" si="13"/>
        <v>0</v>
      </c>
      <c r="U40" s="159">
        <f t="shared" si="13"/>
        <v>0</v>
      </c>
      <c r="V40" s="159">
        <f t="shared" si="13"/>
        <v>0</v>
      </c>
      <c r="W40" s="907">
        <v>7</v>
      </c>
      <c r="X40" s="400">
        <v>1</v>
      </c>
      <c r="Y40" s="533">
        <f>G10</f>
        <v>11.999972</v>
      </c>
      <c r="Z40" s="533">
        <f t="shared" ref="Z40:AC40" si="14">H10</f>
        <v>3.8000000000000002E-5</v>
      </c>
      <c r="AA40" s="533">
        <f t="shared" si="14"/>
        <v>9.0000000000000002E-6</v>
      </c>
      <c r="AB40" s="533">
        <f t="shared" si="14"/>
        <v>0</v>
      </c>
      <c r="AC40" s="533">
        <f t="shared" si="14"/>
        <v>1.9000000000000001E-5</v>
      </c>
    </row>
    <row r="41" spans="1:29" x14ac:dyDescent="0.3">
      <c r="A41" s="874"/>
      <c r="B41" s="121">
        <v>2</v>
      </c>
      <c r="C41" s="104" t="str">
        <f>A13</f>
        <v>Uncertainty</v>
      </c>
      <c r="D41" s="157">
        <f t="shared" ref="D41:E41" si="15">B13</f>
        <v>2.0000000000000002E-5</v>
      </c>
      <c r="E41" s="157">
        <f t="shared" si="15"/>
        <v>2.0000000000000002E-5</v>
      </c>
      <c r="F41" s="396">
        <f>D13</f>
        <v>3.0000000000000001E-5</v>
      </c>
      <c r="G41" s="157">
        <f>E13</f>
        <v>4.9999999999999996E-6</v>
      </c>
      <c r="H41" s="907"/>
      <c r="I41" s="400">
        <v>2</v>
      </c>
      <c r="J41" s="401" t="str">
        <f>A16</f>
        <v>Linearity(Pembebanan tidak di pusat Pan)</v>
      </c>
      <c r="K41" s="402">
        <f>B16</f>
        <v>1.0000000000000001E-5</v>
      </c>
      <c r="L41" s="402">
        <f>C16</f>
        <v>2.0000000000000002E-5</v>
      </c>
      <c r="M41" s="404">
        <f>D16</f>
        <v>-4.0000000000000003E-5</v>
      </c>
      <c r="N41" s="402">
        <f>E16</f>
        <v>3.0000000000000004E-5</v>
      </c>
      <c r="P41" s="874"/>
      <c r="Q41" s="121">
        <v>2</v>
      </c>
      <c r="R41" s="159">
        <f>M4</f>
        <v>0</v>
      </c>
      <c r="S41" s="159">
        <f t="shared" ref="S41:V41" si="16">N4</f>
        <v>0</v>
      </c>
      <c r="T41" s="159">
        <f t="shared" si="16"/>
        <v>0</v>
      </c>
      <c r="U41" s="159">
        <f t="shared" si="16"/>
        <v>0</v>
      </c>
      <c r="V41" s="159">
        <f t="shared" si="16"/>
        <v>0</v>
      </c>
      <c r="W41" s="907"/>
      <c r="X41" s="400">
        <v>2</v>
      </c>
      <c r="Y41" s="533">
        <f>M10</f>
        <v>12.00001</v>
      </c>
      <c r="Z41" s="533">
        <f t="shared" ref="Z41:AC41" si="17">N10</f>
        <v>1.0000000000000001E-5</v>
      </c>
      <c r="AA41" s="533">
        <f t="shared" si="17"/>
        <v>-1.0000000000000001E-5</v>
      </c>
      <c r="AB41" s="533">
        <f t="shared" si="17"/>
        <v>-4.0000000000000003E-5</v>
      </c>
      <c r="AC41" s="533">
        <f t="shared" si="17"/>
        <v>2.5000000000000001E-5</v>
      </c>
    </row>
    <row r="42" spans="1:29" x14ac:dyDescent="0.3">
      <c r="A42" s="874"/>
      <c r="B42" s="121">
        <v>3</v>
      </c>
      <c r="C42" s="104" t="str">
        <f>A22</f>
        <v>Uncertainty</v>
      </c>
      <c r="D42" s="157">
        <f t="shared" ref="D42:E42" si="18">B22</f>
        <v>2.0000000000000001E-4</v>
      </c>
      <c r="E42" s="157">
        <f t="shared" si="18"/>
        <v>2.9999999999999997E-4</v>
      </c>
      <c r="F42" s="397">
        <f>D22</f>
        <v>0</v>
      </c>
      <c r="G42" s="157">
        <f>E22</f>
        <v>1.4999999999999999E-4</v>
      </c>
      <c r="H42" s="907"/>
      <c r="I42" s="400">
        <v>3</v>
      </c>
      <c r="J42" s="401" t="str">
        <f>A25</f>
        <v>Linearity(Pembebanan tidak di pusat Pan)</v>
      </c>
      <c r="K42" s="402">
        <f>B25</f>
        <v>2.9999999999999997E-4</v>
      </c>
      <c r="L42" s="402">
        <f>C25</f>
        <v>2.0000000000000001E-4</v>
      </c>
      <c r="M42" s="405">
        <f>D25</f>
        <v>0</v>
      </c>
      <c r="N42" s="402">
        <f>E25</f>
        <v>1.4999999999999999E-4</v>
      </c>
      <c r="P42" s="874"/>
      <c r="Q42" s="121">
        <v>3</v>
      </c>
      <c r="R42" s="159">
        <f>G19</f>
        <v>0</v>
      </c>
      <c r="S42" s="159">
        <f t="shared" ref="S42:V42" si="19">H19</f>
        <v>0</v>
      </c>
      <c r="T42" s="159">
        <f t="shared" si="19"/>
        <v>0</v>
      </c>
      <c r="U42" s="159">
        <f t="shared" si="19"/>
        <v>0</v>
      </c>
      <c r="V42" s="159">
        <f t="shared" si="19"/>
        <v>0</v>
      </c>
      <c r="W42" s="907"/>
      <c r="X42" s="400">
        <v>3</v>
      </c>
      <c r="Y42" s="533">
        <f>G25</f>
        <v>100.0001</v>
      </c>
      <c r="Z42" s="533">
        <f t="shared" ref="Z42:AC42" si="20">H25</f>
        <v>0</v>
      </c>
      <c r="AA42" s="533">
        <f t="shared" si="20"/>
        <v>1E-4</v>
      </c>
      <c r="AB42" s="533">
        <f t="shared" si="20"/>
        <v>0</v>
      </c>
      <c r="AC42" s="533">
        <f t="shared" si="20"/>
        <v>5.0000000000000002E-5</v>
      </c>
    </row>
    <row r="43" spans="1:29" x14ac:dyDescent="0.3">
      <c r="A43" s="874"/>
      <c r="B43" s="121">
        <v>4</v>
      </c>
      <c r="C43" s="105" t="str">
        <f>A31</f>
        <v>Uncertainty</v>
      </c>
      <c r="D43" s="158">
        <f t="shared" ref="D43:E43" si="21">B31</f>
        <v>0</v>
      </c>
      <c r="E43" s="158">
        <f t="shared" si="21"/>
        <v>0</v>
      </c>
      <c r="F43" s="397">
        <f>D31</f>
        <v>0</v>
      </c>
      <c r="G43" s="158">
        <f>E31</f>
        <v>0</v>
      </c>
      <c r="H43" s="907"/>
      <c r="I43" s="400">
        <v>4</v>
      </c>
      <c r="J43" s="406" t="str">
        <f>A34</f>
        <v>Linearity(Pembebanan tidak di pusat Pan)</v>
      </c>
      <c r="K43" s="407">
        <f>B34</f>
        <v>0</v>
      </c>
      <c r="L43" s="407">
        <f>C34</f>
        <v>0</v>
      </c>
      <c r="M43" s="405">
        <f>D34</f>
        <v>0</v>
      </c>
      <c r="N43" s="407">
        <f>E34</f>
        <v>0</v>
      </c>
      <c r="P43" s="874"/>
      <c r="Q43" s="121">
        <v>4</v>
      </c>
      <c r="R43" s="160">
        <f>M19</f>
        <v>0</v>
      </c>
      <c r="S43" s="160">
        <f t="shared" ref="S43:V43" si="22">N19</f>
        <v>0</v>
      </c>
      <c r="T43" s="160">
        <f t="shared" si="22"/>
        <v>0</v>
      </c>
      <c r="U43" s="160">
        <f t="shared" si="22"/>
        <v>0</v>
      </c>
      <c r="V43" s="160">
        <f t="shared" si="22"/>
        <v>0</v>
      </c>
      <c r="W43" s="907"/>
      <c r="X43" s="400">
        <v>4</v>
      </c>
      <c r="Y43" s="534">
        <f>M25</f>
        <v>0</v>
      </c>
      <c r="Z43" s="534">
        <f t="shared" ref="Z43:AC43" si="23">N25</f>
        <v>0</v>
      </c>
      <c r="AA43" s="534">
        <f t="shared" si="23"/>
        <v>0</v>
      </c>
      <c r="AB43" s="534">
        <f t="shared" si="23"/>
        <v>0</v>
      </c>
      <c r="AC43" s="534">
        <f t="shared" si="23"/>
        <v>0</v>
      </c>
    </row>
    <row r="45" spans="1:29" x14ac:dyDescent="0.3">
      <c r="A45" s="912" t="s">
        <v>30</v>
      </c>
      <c r="B45" s="886" t="s">
        <v>176</v>
      </c>
      <c r="C45" s="860" t="s">
        <v>224</v>
      </c>
      <c r="D45" s="860"/>
      <c r="E45" s="860"/>
      <c r="F45" s="860"/>
      <c r="G45" s="860"/>
      <c r="H45" s="913" t="s">
        <v>30</v>
      </c>
      <c r="I45" s="908" t="s">
        <v>176</v>
      </c>
      <c r="J45" s="909" t="s">
        <v>224</v>
      </c>
      <c r="K45" s="909"/>
      <c r="L45" s="909"/>
      <c r="M45" s="909"/>
      <c r="N45" s="909"/>
      <c r="P45" s="912" t="s">
        <v>30</v>
      </c>
      <c r="Q45" s="886" t="s">
        <v>176</v>
      </c>
      <c r="R45" s="860" t="s">
        <v>225</v>
      </c>
      <c r="S45" s="860"/>
      <c r="T45" s="860"/>
      <c r="U45" s="860"/>
      <c r="V45" s="860"/>
      <c r="W45" s="913" t="s">
        <v>30</v>
      </c>
      <c r="X45" s="908" t="s">
        <v>176</v>
      </c>
      <c r="Y45" s="909" t="s">
        <v>225</v>
      </c>
      <c r="Z45" s="909"/>
      <c r="AA45" s="909"/>
      <c r="AB45" s="909"/>
      <c r="AC45" s="909"/>
    </row>
    <row r="46" spans="1:29" x14ac:dyDescent="0.3">
      <c r="A46" s="912"/>
      <c r="B46" s="886"/>
      <c r="C46" s="859"/>
      <c r="D46" s="859" t="s">
        <v>154</v>
      </c>
      <c r="E46" s="859"/>
      <c r="F46" s="859"/>
      <c r="G46" s="859" t="s">
        <v>155</v>
      </c>
      <c r="H46" s="913"/>
      <c r="I46" s="908"/>
      <c r="J46" s="864"/>
      <c r="K46" s="861" t="s">
        <v>154</v>
      </c>
      <c r="L46" s="862"/>
      <c r="M46" s="863"/>
      <c r="N46" s="864" t="s">
        <v>155</v>
      </c>
      <c r="P46" s="912"/>
      <c r="Q46" s="886"/>
      <c r="R46" s="859"/>
      <c r="S46" s="859" t="s">
        <v>154</v>
      </c>
      <c r="T46" s="859"/>
      <c r="U46" s="859"/>
      <c r="V46" s="859" t="s">
        <v>155</v>
      </c>
      <c r="W46" s="913"/>
      <c r="X46" s="908"/>
      <c r="Y46" s="864"/>
      <c r="Z46" s="861" t="s">
        <v>154</v>
      </c>
      <c r="AA46" s="862"/>
      <c r="AB46" s="863"/>
      <c r="AC46" s="864" t="s">
        <v>155</v>
      </c>
    </row>
    <row r="47" spans="1:29" x14ac:dyDescent="0.3">
      <c r="A47" s="912"/>
      <c r="B47" s="886"/>
      <c r="C47" s="859"/>
      <c r="D47" s="122"/>
      <c r="E47" s="122"/>
      <c r="F47" s="394"/>
      <c r="G47" s="859"/>
      <c r="H47" s="913"/>
      <c r="I47" s="908"/>
      <c r="J47" s="864"/>
      <c r="K47" s="398"/>
      <c r="L47" s="398"/>
      <c r="M47" s="170"/>
      <c r="N47" s="864"/>
      <c r="P47" s="912"/>
      <c r="Q47" s="886"/>
      <c r="R47" s="859"/>
      <c r="S47" s="122"/>
      <c r="T47" s="122"/>
      <c r="U47" s="394"/>
      <c r="V47" s="859"/>
      <c r="W47" s="913"/>
      <c r="X47" s="908"/>
      <c r="Y47" s="864"/>
      <c r="Z47" s="398"/>
      <c r="AA47" s="398"/>
      <c r="AB47" s="170"/>
      <c r="AC47" s="864"/>
    </row>
    <row r="48" spans="1:29" x14ac:dyDescent="0.3">
      <c r="A48" s="874">
        <v>2</v>
      </c>
      <c r="B48" s="121">
        <v>1</v>
      </c>
      <c r="C48" s="104" t="str">
        <f>A5</f>
        <v>Readability(Ketelitian/akurasi timbangan)</v>
      </c>
      <c r="D48" s="159">
        <f t="shared" ref="D48:E48" si="24">B5</f>
        <v>9.9999999999999995E-7</v>
      </c>
      <c r="E48" s="159">
        <f t="shared" si="24"/>
        <v>1.9999999999999999E-6</v>
      </c>
      <c r="F48" s="395">
        <f>D5</f>
        <v>1.9999999999999999E-6</v>
      </c>
      <c r="G48" s="159">
        <f>E5</f>
        <v>4.9999999999999998E-7</v>
      </c>
      <c r="H48" s="907">
        <v>5</v>
      </c>
      <c r="I48" s="400">
        <v>1</v>
      </c>
      <c r="J48" s="401" t="str">
        <f>A8</f>
        <v>LOP</v>
      </c>
      <c r="K48" s="402">
        <f t="shared" ref="K48:L48" si="25">B8</f>
        <v>5.7000000000000003E-5</v>
      </c>
      <c r="L48" s="402">
        <f t="shared" si="25"/>
        <v>3.3000000000000003E-5</v>
      </c>
      <c r="M48" s="403">
        <f>D8</f>
        <v>3.8999999999999999E-5</v>
      </c>
      <c r="N48" s="402">
        <f>E8</f>
        <v>1.2E-5</v>
      </c>
      <c r="P48" s="874">
        <v>2</v>
      </c>
      <c r="Q48" s="121">
        <v>1</v>
      </c>
      <c r="R48" s="159">
        <f>G5</f>
        <v>1.99997</v>
      </c>
      <c r="S48" s="159">
        <f t="shared" ref="S48:V48" si="26">H5</f>
        <v>4.3000000000000002E-5</v>
      </c>
      <c r="T48" s="159">
        <f t="shared" si="26"/>
        <v>1.1E-5</v>
      </c>
      <c r="U48" s="159">
        <f t="shared" si="26"/>
        <v>0</v>
      </c>
      <c r="V48" s="159">
        <f t="shared" si="26"/>
        <v>2.1500000000000001E-5</v>
      </c>
      <c r="W48" s="907">
        <v>8</v>
      </c>
      <c r="X48" s="400">
        <v>1</v>
      </c>
      <c r="Y48" s="533">
        <f>G11</f>
        <v>13.999966000000001</v>
      </c>
      <c r="Z48" s="533">
        <f t="shared" ref="Z48:AC48" si="27">H11</f>
        <v>4.3999999999999999E-5</v>
      </c>
      <c r="AA48" s="533">
        <f t="shared" si="27"/>
        <v>1.2E-5</v>
      </c>
      <c r="AB48" s="533">
        <f t="shared" si="27"/>
        <v>0</v>
      </c>
      <c r="AC48" s="533">
        <f t="shared" si="27"/>
        <v>2.1999999999999999E-5</v>
      </c>
    </row>
    <row r="49" spans="1:29" x14ac:dyDescent="0.3">
      <c r="A49" s="874"/>
      <c r="B49" s="121">
        <v>2</v>
      </c>
      <c r="C49" s="104" t="str">
        <f>A14</f>
        <v>Readability(Ketelitian/akurasi timbangan)</v>
      </c>
      <c r="D49" s="159">
        <f t="shared" ref="D49:E49" si="28">B14</f>
        <v>9.0000000000000002E-6</v>
      </c>
      <c r="E49" s="159">
        <f t="shared" si="28"/>
        <v>9.0000000000000002E-6</v>
      </c>
      <c r="F49" s="396">
        <f>D14</f>
        <v>1.0000000000000001E-5</v>
      </c>
      <c r="G49" s="159">
        <f>E14</f>
        <v>5.000000000000003E-7</v>
      </c>
      <c r="H49" s="907"/>
      <c r="I49" s="400">
        <v>2</v>
      </c>
      <c r="J49" s="401" t="str">
        <f>A17</f>
        <v>LOP</v>
      </c>
      <c r="K49" s="402">
        <f t="shared" ref="K49:L49" si="29">B17</f>
        <v>4.0000000000000003E-5</v>
      </c>
      <c r="L49" s="402">
        <f t="shared" si="29"/>
        <v>4.0000000000000003E-5</v>
      </c>
      <c r="M49" s="404">
        <f>D17</f>
        <v>6.9999999999999994E-5</v>
      </c>
      <c r="N49" s="402">
        <f>E17</f>
        <v>1.4999999999999995E-5</v>
      </c>
      <c r="P49" s="874"/>
      <c r="Q49" s="121">
        <v>2</v>
      </c>
      <c r="R49" s="159">
        <f>M5</f>
        <v>2</v>
      </c>
      <c r="S49" s="159">
        <f t="shared" ref="S49:V49" si="30">N5</f>
        <v>1.0000000000000001E-5</v>
      </c>
      <c r="T49" s="159">
        <f t="shared" si="30"/>
        <v>2.0000000000000002E-5</v>
      </c>
      <c r="U49" s="159">
        <f t="shared" si="30"/>
        <v>2.0000000000000002E-5</v>
      </c>
      <c r="V49" s="159">
        <f t="shared" si="30"/>
        <v>5.0000000000000004E-6</v>
      </c>
      <c r="W49" s="907"/>
      <c r="X49" s="400">
        <v>2</v>
      </c>
      <c r="Y49" s="533">
        <f>M11</f>
        <v>14.00001</v>
      </c>
      <c r="Z49" s="533">
        <f t="shared" ref="Z49:AC49" si="31">N11</f>
        <v>1.0000000000000001E-5</v>
      </c>
      <c r="AA49" s="533">
        <f t="shared" si="31"/>
        <v>-1.0000000000000001E-5</v>
      </c>
      <c r="AB49" s="533">
        <f t="shared" si="31"/>
        <v>-2.0000000000000002E-5</v>
      </c>
      <c r="AC49" s="533">
        <f t="shared" si="31"/>
        <v>1.5000000000000002E-5</v>
      </c>
    </row>
    <row r="50" spans="1:29" x14ac:dyDescent="0.3">
      <c r="A50" s="874"/>
      <c r="B50" s="121">
        <v>3</v>
      </c>
      <c r="C50" s="104" t="str">
        <f>A23</f>
        <v>Readability(Ketelitian/akurasi timbangan)</v>
      </c>
      <c r="D50" s="159">
        <f t="shared" ref="D50:E50" si="32">B23</f>
        <v>1E-4</v>
      </c>
      <c r="E50" s="159">
        <f t="shared" si="32"/>
        <v>0</v>
      </c>
      <c r="F50" s="397">
        <f>D23</f>
        <v>0</v>
      </c>
      <c r="G50" s="159">
        <f>E23</f>
        <v>5.0000000000000002E-5</v>
      </c>
      <c r="H50" s="907"/>
      <c r="I50" s="400">
        <v>3</v>
      </c>
      <c r="J50" s="401" t="str">
        <f>A26</f>
        <v>LOP</v>
      </c>
      <c r="K50" s="402">
        <f t="shared" ref="K50:L50" si="33">B26</f>
        <v>5.0000000000000001E-4</v>
      </c>
      <c r="L50" s="402">
        <f t="shared" si="33"/>
        <v>4.0000000000000002E-4</v>
      </c>
      <c r="M50" s="405">
        <f>D26</f>
        <v>0</v>
      </c>
      <c r="N50" s="402">
        <f>E26</f>
        <v>2.5000000000000001E-4</v>
      </c>
      <c r="P50" s="874"/>
      <c r="Q50" s="121">
        <v>3</v>
      </c>
      <c r="R50" s="159">
        <f>G20</f>
        <v>9.9997000000000007</v>
      </c>
      <c r="S50" s="159">
        <f t="shared" ref="S50:V50" si="34">H20</f>
        <v>2.9999999999999997E-4</v>
      </c>
      <c r="T50" s="159">
        <f t="shared" si="34"/>
        <v>0</v>
      </c>
      <c r="U50" s="159">
        <f t="shared" si="34"/>
        <v>0</v>
      </c>
      <c r="V50" s="159">
        <f t="shared" si="34"/>
        <v>1.4999999999999999E-4</v>
      </c>
      <c r="W50" s="907"/>
      <c r="X50" s="400">
        <v>3</v>
      </c>
      <c r="Y50" s="533">
        <f>G26</f>
        <v>120.0003</v>
      </c>
      <c r="Z50" s="533">
        <f t="shared" ref="Z50:AC50" si="35">H26</f>
        <v>-1E-4</v>
      </c>
      <c r="AA50" s="533">
        <f t="shared" si="35"/>
        <v>1E-4</v>
      </c>
      <c r="AB50" s="533">
        <f t="shared" si="35"/>
        <v>0</v>
      </c>
      <c r="AC50" s="533">
        <f t="shared" si="35"/>
        <v>1E-4</v>
      </c>
    </row>
    <row r="51" spans="1:29" x14ac:dyDescent="0.3">
      <c r="A51" s="874"/>
      <c r="B51" s="121">
        <v>4</v>
      </c>
      <c r="C51" s="105" t="str">
        <f>A32</f>
        <v>Readability(Ketelitian/akurasi timbangan)</v>
      </c>
      <c r="D51" s="160">
        <f t="shared" ref="D51:E51" si="36">B32</f>
        <v>0</v>
      </c>
      <c r="E51" s="160">
        <f t="shared" si="36"/>
        <v>0</v>
      </c>
      <c r="F51" s="397">
        <f>D32</f>
        <v>0</v>
      </c>
      <c r="G51" s="160">
        <f>E32</f>
        <v>0</v>
      </c>
      <c r="H51" s="907"/>
      <c r="I51" s="400">
        <v>4</v>
      </c>
      <c r="J51" s="406" t="str">
        <f>A35</f>
        <v>LOP</v>
      </c>
      <c r="K51" s="407">
        <f t="shared" ref="K51:L51" si="37">B35</f>
        <v>0</v>
      </c>
      <c r="L51" s="407">
        <f t="shared" si="37"/>
        <v>0</v>
      </c>
      <c r="M51" s="405">
        <f>D35</f>
        <v>0</v>
      </c>
      <c r="N51" s="407">
        <f>E35</f>
        <v>0</v>
      </c>
      <c r="P51" s="874"/>
      <c r="Q51" s="121">
        <v>4</v>
      </c>
      <c r="R51" s="160">
        <f>M20</f>
        <v>0</v>
      </c>
      <c r="S51" s="160">
        <f t="shared" ref="S51:V51" si="38">N20</f>
        <v>0</v>
      </c>
      <c r="T51" s="160">
        <f t="shared" si="38"/>
        <v>0</v>
      </c>
      <c r="U51" s="160">
        <f t="shared" si="38"/>
        <v>0</v>
      </c>
      <c r="V51" s="160">
        <f t="shared" si="38"/>
        <v>0</v>
      </c>
      <c r="W51" s="907"/>
      <c r="X51" s="400">
        <v>4</v>
      </c>
      <c r="Y51" s="534">
        <f>M26</f>
        <v>0</v>
      </c>
      <c r="Z51" s="534">
        <f t="shared" ref="Z51:AC51" si="39">N26</f>
        <v>0</v>
      </c>
      <c r="AA51" s="534">
        <f t="shared" si="39"/>
        <v>0</v>
      </c>
      <c r="AB51" s="534">
        <f t="shared" si="39"/>
        <v>0</v>
      </c>
      <c r="AC51" s="534">
        <f t="shared" si="39"/>
        <v>0</v>
      </c>
    </row>
    <row r="53" spans="1:29" x14ac:dyDescent="0.3">
      <c r="A53" s="912" t="s">
        <v>30</v>
      </c>
      <c r="B53" s="886" t="s">
        <v>176</v>
      </c>
      <c r="C53" s="860" t="s">
        <v>224</v>
      </c>
      <c r="D53" s="860"/>
      <c r="E53" s="860"/>
      <c r="F53" s="860"/>
      <c r="G53" s="860"/>
      <c r="P53" s="912" t="s">
        <v>30</v>
      </c>
      <c r="Q53" s="886" t="s">
        <v>176</v>
      </c>
      <c r="R53" s="860" t="s">
        <v>225</v>
      </c>
      <c r="S53" s="860"/>
      <c r="T53" s="860"/>
      <c r="U53" s="860"/>
      <c r="V53" s="860"/>
      <c r="W53" s="913" t="s">
        <v>30</v>
      </c>
      <c r="X53" s="908" t="s">
        <v>176</v>
      </c>
      <c r="Y53" s="909" t="s">
        <v>225</v>
      </c>
      <c r="Z53" s="909"/>
      <c r="AA53" s="909"/>
      <c r="AB53" s="909"/>
      <c r="AC53" s="909"/>
    </row>
    <row r="54" spans="1:29" x14ac:dyDescent="0.3">
      <c r="A54" s="912"/>
      <c r="B54" s="886"/>
      <c r="C54" s="859"/>
      <c r="D54" s="856" t="s">
        <v>154</v>
      </c>
      <c r="E54" s="857"/>
      <c r="F54" s="858"/>
      <c r="G54" s="859" t="s">
        <v>155</v>
      </c>
      <c r="P54" s="912"/>
      <c r="Q54" s="886"/>
      <c r="R54" s="859"/>
      <c r="S54" s="856" t="s">
        <v>154</v>
      </c>
      <c r="T54" s="857"/>
      <c r="U54" s="858"/>
      <c r="V54" s="859" t="s">
        <v>155</v>
      </c>
      <c r="W54" s="913"/>
      <c r="X54" s="908"/>
      <c r="Y54" s="864"/>
      <c r="Z54" s="864" t="s">
        <v>154</v>
      </c>
      <c r="AA54" s="864"/>
      <c r="AB54" s="864"/>
      <c r="AC54" s="864" t="s">
        <v>155</v>
      </c>
    </row>
    <row r="55" spans="1:29" x14ac:dyDescent="0.3">
      <c r="A55" s="912"/>
      <c r="B55" s="886"/>
      <c r="C55" s="859"/>
      <c r="D55" s="122"/>
      <c r="E55" s="122"/>
      <c r="F55" s="394"/>
      <c r="G55" s="859"/>
      <c r="P55" s="912"/>
      <c r="Q55" s="886"/>
      <c r="R55" s="859"/>
      <c r="S55" s="122"/>
      <c r="T55" s="122"/>
      <c r="U55" s="394"/>
      <c r="V55" s="859"/>
      <c r="W55" s="913"/>
      <c r="X55" s="908"/>
      <c r="Y55" s="864"/>
      <c r="Z55" s="398"/>
      <c r="AA55" s="398"/>
      <c r="AB55" s="399"/>
      <c r="AC55" s="864"/>
    </row>
    <row r="56" spans="1:29" x14ac:dyDescent="0.3">
      <c r="A56" s="874">
        <v>3</v>
      </c>
      <c r="B56" s="121">
        <v>1</v>
      </c>
      <c r="C56" s="104" t="str">
        <f>A6</f>
        <v>Reproducibility (Repeatability)</v>
      </c>
      <c r="D56" s="159">
        <f>B6</f>
        <v>3.9999999999999998E-6</v>
      </c>
      <c r="E56" s="159">
        <f>C6</f>
        <v>5.0000000000000004E-6</v>
      </c>
      <c r="F56" s="395">
        <f>D6</f>
        <v>6.0000000000000002E-6</v>
      </c>
      <c r="G56" s="159">
        <f>E6</f>
        <v>1.0000000000000002E-6</v>
      </c>
      <c r="P56" s="874">
        <v>3</v>
      </c>
      <c r="Q56" s="121">
        <v>1</v>
      </c>
      <c r="R56" s="159">
        <f>G6</f>
        <v>3.9999880000000001</v>
      </c>
      <c r="S56" s="159">
        <f t="shared" ref="S56:V56" si="40">H6</f>
        <v>2.5000000000000001E-5</v>
      </c>
      <c r="T56" s="159">
        <f t="shared" si="40"/>
        <v>1.0000000000000001E-5</v>
      </c>
      <c r="U56" s="159">
        <f t="shared" si="40"/>
        <v>0</v>
      </c>
      <c r="V56" s="159">
        <f t="shared" si="40"/>
        <v>1.2500000000000001E-5</v>
      </c>
      <c r="W56" s="907">
        <v>9</v>
      </c>
      <c r="X56" s="400">
        <v>1</v>
      </c>
      <c r="Y56" s="533">
        <f>G12</f>
        <v>15.999979</v>
      </c>
      <c r="Z56" s="533">
        <f t="shared" ref="Z56:AC56" si="41">H12</f>
        <v>3.3000000000000003E-5</v>
      </c>
      <c r="AA56" s="533">
        <f t="shared" si="41"/>
        <v>1.5E-5</v>
      </c>
      <c r="AB56" s="533">
        <f t="shared" si="41"/>
        <v>0</v>
      </c>
      <c r="AC56" s="533">
        <f t="shared" si="41"/>
        <v>1.6500000000000001E-5</v>
      </c>
    </row>
    <row r="57" spans="1:29" x14ac:dyDescent="0.3">
      <c r="A57" s="874"/>
      <c r="B57" s="121">
        <v>2</v>
      </c>
      <c r="C57" s="104" t="str">
        <f>A15</f>
        <v>Reproducibility (Repeatability)</v>
      </c>
      <c r="D57" s="159">
        <f>B15</f>
        <v>2.0000000000000002E-5</v>
      </c>
      <c r="E57" s="159">
        <f>C15</f>
        <v>1.0000000000000001E-5</v>
      </c>
      <c r="F57" s="396">
        <f>D15</f>
        <v>1.0000000000000001E-5</v>
      </c>
      <c r="G57" s="159">
        <f>E15</f>
        <v>5.0000000000000004E-6</v>
      </c>
      <c r="P57" s="874"/>
      <c r="Q57" s="121">
        <v>2</v>
      </c>
      <c r="R57" s="159">
        <f>M6</f>
        <v>4</v>
      </c>
      <c r="S57" s="159">
        <f t="shared" ref="S57:V57" si="42">N6</f>
        <v>2.0000000000000002E-5</v>
      </c>
      <c r="T57" s="159">
        <f t="shared" si="42"/>
        <v>1.0000000000000001E-5</v>
      </c>
      <c r="U57" s="159">
        <f t="shared" si="42"/>
        <v>0</v>
      </c>
      <c r="V57" s="159">
        <f t="shared" si="42"/>
        <v>1.0000000000000001E-5</v>
      </c>
      <c r="W57" s="907"/>
      <c r="X57" s="400">
        <v>2</v>
      </c>
      <c r="Y57" s="533">
        <f>M12</f>
        <v>16.000019999999999</v>
      </c>
      <c r="Z57" s="533">
        <f t="shared" ref="Z57:AC57" si="43">N12</f>
        <v>-1.0000000000000001E-5</v>
      </c>
      <c r="AA57" s="533">
        <f t="shared" si="43"/>
        <v>-1.0000000000000001E-5</v>
      </c>
      <c r="AB57" s="533">
        <f t="shared" si="43"/>
        <v>-3.0000000000000001E-5</v>
      </c>
      <c r="AC57" s="533">
        <f t="shared" si="43"/>
        <v>9.9999999999999991E-6</v>
      </c>
    </row>
    <row r="58" spans="1:29" x14ac:dyDescent="0.3">
      <c r="A58" s="874"/>
      <c r="B58" s="121">
        <v>3</v>
      </c>
      <c r="C58" s="104" t="str">
        <f>A24</f>
        <v>Reproducibility (Repeatability)</v>
      </c>
      <c r="D58" s="159">
        <f>B24</f>
        <v>1E-4</v>
      </c>
      <c r="E58" s="159">
        <f>C24</f>
        <v>1E-4</v>
      </c>
      <c r="F58" s="397">
        <f>D24</f>
        <v>0</v>
      </c>
      <c r="G58" s="159">
        <f>E24</f>
        <v>5.0000000000000002E-5</v>
      </c>
      <c r="P58" s="874"/>
      <c r="Q58" s="121">
        <v>3</v>
      </c>
      <c r="R58" s="159">
        <f>G21</f>
        <v>20</v>
      </c>
      <c r="S58" s="159">
        <f t="shared" ref="S58:V58" si="44">H21</f>
        <v>1E-4</v>
      </c>
      <c r="T58" s="159">
        <f t="shared" si="44"/>
        <v>0</v>
      </c>
      <c r="U58" s="159">
        <f t="shared" si="44"/>
        <v>0</v>
      </c>
      <c r="V58" s="159">
        <f t="shared" si="44"/>
        <v>5.0000000000000002E-5</v>
      </c>
      <c r="W58" s="907"/>
      <c r="X58" s="400">
        <v>3</v>
      </c>
      <c r="Y58" s="533">
        <f>G27</f>
        <v>140.0001</v>
      </c>
      <c r="Z58" s="533">
        <f t="shared" ref="Z58:AC58" si="45">H27</f>
        <v>1E-4</v>
      </c>
      <c r="AA58" s="533">
        <f t="shared" si="45"/>
        <v>1E-4</v>
      </c>
      <c r="AB58" s="533">
        <f t="shared" si="45"/>
        <v>0</v>
      </c>
      <c r="AC58" s="533">
        <f t="shared" si="45"/>
        <v>5.0000000000000002E-5</v>
      </c>
    </row>
    <row r="59" spans="1:29" x14ac:dyDescent="0.3">
      <c r="A59" s="874"/>
      <c r="B59" s="121">
        <v>4</v>
      </c>
      <c r="C59" s="105" t="str">
        <f>A33</f>
        <v>Reproducibility (Repeatability)</v>
      </c>
      <c r="D59" s="160">
        <f>B33</f>
        <v>0</v>
      </c>
      <c r="E59" s="160">
        <f>C33</f>
        <v>0</v>
      </c>
      <c r="F59" s="397">
        <f>D33</f>
        <v>0</v>
      </c>
      <c r="G59" s="160">
        <f>E33</f>
        <v>0</v>
      </c>
      <c r="P59" s="874"/>
      <c r="Q59" s="121">
        <v>4</v>
      </c>
      <c r="R59" s="160">
        <f>M21</f>
        <v>0</v>
      </c>
      <c r="S59" s="160">
        <f t="shared" ref="S59:V59" si="46">N21</f>
        <v>0</v>
      </c>
      <c r="T59" s="160">
        <f t="shared" si="46"/>
        <v>0</v>
      </c>
      <c r="U59" s="160">
        <f t="shared" si="46"/>
        <v>0</v>
      </c>
      <c r="V59" s="160">
        <f t="shared" si="46"/>
        <v>0</v>
      </c>
      <c r="W59" s="907"/>
      <c r="X59" s="400">
        <v>4</v>
      </c>
      <c r="Y59" s="534">
        <f>M27</f>
        <v>0</v>
      </c>
      <c r="Z59" s="534">
        <f t="shared" ref="Z59:AC59" si="47">N27</f>
        <v>0</v>
      </c>
      <c r="AA59" s="534">
        <f t="shared" si="47"/>
        <v>0</v>
      </c>
      <c r="AB59" s="534">
        <f t="shared" si="47"/>
        <v>0</v>
      </c>
      <c r="AC59" s="534">
        <f t="shared" si="47"/>
        <v>0</v>
      </c>
    </row>
    <row r="61" spans="1:29" ht="15" thickBot="1" x14ac:dyDescent="0.35">
      <c r="A61" s="34"/>
      <c r="D61" s="14"/>
      <c r="E61" s="14"/>
      <c r="F61" s="14"/>
      <c r="G61" s="14"/>
      <c r="H61" s="14"/>
      <c r="P61" s="912" t="s">
        <v>30</v>
      </c>
      <c r="Q61" s="886" t="s">
        <v>176</v>
      </c>
      <c r="R61" s="860" t="s">
        <v>225</v>
      </c>
      <c r="S61" s="860"/>
      <c r="T61" s="860"/>
      <c r="U61" s="860"/>
      <c r="V61" s="860"/>
      <c r="W61" s="913" t="s">
        <v>30</v>
      </c>
      <c r="X61" s="908" t="s">
        <v>176</v>
      </c>
      <c r="Y61" s="909" t="s">
        <v>225</v>
      </c>
      <c r="Z61" s="909"/>
      <c r="AA61" s="909"/>
      <c r="AB61" s="909"/>
      <c r="AC61" s="909"/>
    </row>
    <row r="62" spans="1:29" ht="22.5" customHeight="1" thickBot="1" x14ac:dyDescent="0.35">
      <c r="A62" s="875">
        <f>A135</f>
        <v>2</v>
      </c>
      <c r="B62" s="888" t="str">
        <f>A130</f>
        <v>Pippette Callibration Balance, Merek : Sartorius, Tipe : MSA 225S-100-DU, SN : 36301077</v>
      </c>
      <c r="C62" s="888"/>
      <c r="D62" s="888"/>
      <c r="E62" s="888"/>
      <c r="G62" s="911" t="s">
        <v>226</v>
      </c>
      <c r="H62" s="911"/>
      <c r="J62" s="914" t="s">
        <v>227</v>
      </c>
      <c r="K62" s="915"/>
      <c r="P62" s="912"/>
      <c r="Q62" s="886"/>
      <c r="R62" s="859"/>
      <c r="S62" s="856" t="s">
        <v>154</v>
      </c>
      <c r="T62" s="857"/>
      <c r="U62" s="858"/>
      <c r="V62" s="859" t="s">
        <v>155</v>
      </c>
      <c r="W62" s="913"/>
      <c r="X62" s="908"/>
      <c r="Y62" s="864"/>
      <c r="Z62" s="861" t="s">
        <v>154</v>
      </c>
      <c r="AA62" s="862"/>
      <c r="AB62" s="863"/>
      <c r="AC62" s="864" t="s">
        <v>155</v>
      </c>
    </row>
    <row r="63" spans="1:29" ht="15.75" customHeight="1" x14ac:dyDescent="0.3">
      <c r="A63" s="875"/>
      <c r="B63" s="910" t="s">
        <v>154</v>
      </c>
      <c r="C63" s="910"/>
      <c r="D63" s="910"/>
      <c r="E63" s="123" t="s">
        <v>155</v>
      </c>
      <c r="G63" s="409" t="s">
        <v>228</v>
      </c>
      <c r="H63" s="410">
        <v>999.85307999999998</v>
      </c>
      <c r="J63" s="37" t="s">
        <v>229</v>
      </c>
      <c r="K63" s="38">
        <v>0.34844000000000003</v>
      </c>
      <c r="P63" s="912"/>
      <c r="Q63" s="886"/>
      <c r="R63" s="859"/>
      <c r="S63" s="122"/>
      <c r="T63" s="122"/>
      <c r="U63" s="394"/>
      <c r="V63" s="859"/>
      <c r="W63" s="913"/>
      <c r="X63" s="908"/>
      <c r="Y63" s="864"/>
      <c r="Z63" s="398"/>
      <c r="AA63" s="398"/>
      <c r="AB63" s="170"/>
      <c r="AC63" s="864"/>
    </row>
    <row r="64" spans="1:29" ht="15.6" x14ac:dyDescent="0.3">
      <c r="A64" s="875"/>
      <c r="B64" s="141">
        <f>VLOOKUP(B62,A131:K134,8,FALSE)</f>
        <v>2023</v>
      </c>
      <c r="C64" s="123">
        <f>VLOOKUP(B62,A131:K134,9,FALSE)</f>
        <v>2022</v>
      </c>
      <c r="D64" s="123">
        <f>VLOOKUP(B62,A131:K134,10,FALSE)</f>
        <v>2021</v>
      </c>
      <c r="E64" s="123"/>
      <c r="G64" s="409" t="s">
        <v>230</v>
      </c>
      <c r="H64" s="411">
        <f>0.0632693</f>
        <v>6.3269300000000001E-2</v>
      </c>
      <c r="J64" s="2" t="s">
        <v>231</v>
      </c>
      <c r="K64" s="4">
        <v>-2.5200000000000001E-3</v>
      </c>
      <c r="P64" s="874">
        <v>4</v>
      </c>
      <c r="Q64" s="121">
        <v>1</v>
      </c>
      <c r="R64" s="159">
        <f>G7</f>
        <v>6.000013</v>
      </c>
      <c r="S64" s="159">
        <f t="shared" ref="S64:V64" si="48">H7</f>
        <v>1.9999999999999999E-6</v>
      </c>
      <c r="T64" s="159">
        <f t="shared" si="48"/>
        <v>6.0000000000000002E-6</v>
      </c>
      <c r="U64" s="159">
        <f t="shared" si="48"/>
        <v>0</v>
      </c>
      <c r="V64" s="159">
        <f t="shared" si="48"/>
        <v>3.0000000000000001E-6</v>
      </c>
      <c r="W64" s="907">
        <v>10</v>
      </c>
      <c r="X64" s="400">
        <v>1</v>
      </c>
      <c r="Y64" s="533">
        <f>G13</f>
        <v>17.999979</v>
      </c>
      <c r="Z64" s="533">
        <f t="shared" ref="Z64:AC64" si="49">H13</f>
        <v>4.5000000000000003E-5</v>
      </c>
      <c r="AA64" s="533">
        <f t="shared" si="49"/>
        <v>1.5E-5</v>
      </c>
      <c r="AB64" s="533">
        <f t="shared" si="49"/>
        <v>0</v>
      </c>
      <c r="AC64" s="533">
        <f t="shared" si="49"/>
        <v>2.2500000000000001E-5</v>
      </c>
    </row>
    <row r="65" spans="1:29" ht="22.5" customHeight="1" thickBot="1" x14ac:dyDescent="0.35">
      <c r="A65" s="408" t="str">
        <f>VLOOKUP($A$62,$B$37:$F$43,2,FALSE)</f>
        <v>Uncertainty</v>
      </c>
      <c r="B65" s="161">
        <f>VLOOKUP($A$62,$B$40:$G$43,3,FALSE)</f>
        <v>2.0000000000000002E-5</v>
      </c>
      <c r="C65" s="162">
        <f>VLOOKUP($A$62,$B$40:$G$43,4,FALSE)</f>
        <v>2.0000000000000002E-5</v>
      </c>
      <c r="D65" s="162">
        <f>VLOOKUP($A$62,$B$40:$G$43,5,FALSE)</f>
        <v>3.0000000000000001E-5</v>
      </c>
      <c r="E65" s="416">
        <f>VLOOKUP($A$62,$B$37:$G$43,6,FALSE)</f>
        <v>4.9999999999999996E-6</v>
      </c>
      <c r="G65" s="409" t="s">
        <v>232</v>
      </c>
      <c r="H65" s="411">
        <f>-0.00853282993</f>
        <v>-8.5328299299999993E-3</v>
      </c>
      <c r="J65" s="3" t="s">
        <v>233</v>
      </c>
      <c r="K65" s="5">
        <v>2.0582E-2</v>
      </c>
      <c r="P65" s="874"/>
      <c r="Q65" s="121">
        <v>2</v>
      </c>
      <c r="R65" s="159">
        <f>M7</f>
        <v>6</v>
      </c>
      <c r="S65" s="159">
        <f t="shared" ref="S65:V65" si="50">N8</f>
        <v>1.0000000000000001E-5</v>
      </c>
      <c r="T65" s="159">
        <f t="shared" si="50"/>
        <v>2.0000000000000002E-5</v>
      </c>
      <c r="U65" s="159">
        <f t="shared" si="50"/>
        <v>-1.0000000000000001E-5</v>
      </c>
      <c r="V65" s="159">
        <f t="shared" si="50"/>
        <v>1.5000000000000002E-5</v>
      </c>
      <c r="W65" s="907"/>
      <c r="X65" s="400">
        <v>2</v>
      </c>
      <c r="Y65" s="533">
        <f>M13</f>
        <v>18.000019999999999</v>
      </c>
      <c r="Z65" s="533">
        <f t="shared" ref="Z65:AC65" si="51">N13</f>
        <v>0</v>
      </c>
      <c r="AA65" s="533">
        <f t="shared" si="51"/>
        <v>0</v>
      </c>
      <c r="AB65" s="533">
        <f t="shared" si="51"/>
        <v>-2.0000000000000002E-5</v>
      </c>
      <c r="AC65" s="533">
        <f t="shared" si="51"/>
        <v>1.0000000000000001E-5</v>
      </c>
    </row>
    <row r="66" spans="1:29" ht="15.75" customHeight="1" x14ac:dyDescent="0.3">
      <c r="A66" s="408" t="str">
        <f>VLOOKUP($A$62,$B$45:$F$51,2,FALSE)</f>
        <v>Readability(Ketelitian/akurasi timbangan)</v>
      </c>
      <c r="B66" s="161">
        <f>VLOOKUP($A$62,$B$48:$G$51,3,FALSE)</f>
        <v>9.0000000000000002E-6</v>
      </c>
      <c r="C66" s="162">
        <f>VLOOKUP($A$62,$B$48:$G$51,4,FALSE)</f>
        <v>9.0000000000000002E-6</v>
      </c>
      <c r="D66" s="162">
        <f>VLOOKUP($A$62,$B$48:$G$51,5,FALSE)</f>
        <v>1.0000000000000001E-5</v>
      </c>
      <c r="E66" s="416">
        <f>VLOOKUP($A$62,$B$48:$G$51,6,FALSE)</f>
        <v>5.000000000000003E-7</v>
      </c>
      <c r="G66" s="409" t="s">
        <v>234</v>
      </c>
      <c r="H66" s="411">
        <f>0.00006943248</f>
        <v>6.9432480000000002E-5</v>
      </c>
      <c r="P66" s="874"/>
      <c r="Q66" s="121">
        <v>3</v>
      </c>
      <c r="R66" s="159">
        <f>G22</f>
        <v>40.000100000000003</v>
      </c>
      <c r="S66" s="159">
        <f t="shared" ref="S66:V66" si="52">H22</f>
        <v>0</v>
      </c>
      <c r="T66" s="159">
        <f t="shared" si="52"/>
        <v>-2.0000000000000001E-4</v>
      </c>
      <c r="U66" s="159">
        <f t="shared" si="52"/>
        <v>0</v>
      </c>
      <c r="V66" s="159">
        <f t="shared" si="52"/>
        <v>1E-4</v>
      </c>
      <c r="W66" s="907"/>
      <c r="X66" s="400">
        <v>3</v>
      </c>
      <c r="Y66" s="533">
        <f>G28</f>
        <v>160.0001</v>
      </c>
      <c r="Z66" s="533">
        <f t="shared" ref="Z66:AC66" si="53">H28</f>
        <v>1E-4</v>
      </c>
      <c r="AA66" s="533">
        <f t="shared" si="53"/>
        <v>1E-4</v>
      </c>
      <c r="AB66" s="533">
        <f t="shared" si="53"/>
        <v>0</v>
      </c>
      <c r="AC66" s="533">
        <f t="shared" si="53"/>
        <v>5.0000000000000002E-5</v>
      </c>
    </row>
    <row r="67" spans="1:29" x14ac:dyDescent="0.3">
      <c r="A67" s="408" t="str">
        <f>VLOOKUP($A$62,$B$53:$F$59,2,FALSE)</f>
        <v>Reproducibility (Repeatability)</v>
      </c>
      <c r="B67" s="161">
        <f>VLOOKUP($A$62,$B$56:$G$59,3,FALSE)</f>
        <v>2.0000000000000002E-5</v>
      </c>
      <c r="C67" s="162">
        <f>VLOOKUP($A$62,$B$56:$G$59,4,FALSE)</f>
        <v>1.0000000000000001E-5</v>
      </c>
      <c r="D67" s="162">
        <f>VLOOKUP($A$62,$B$56:$G$59,5,FALSE)</f>
        <v>1.0000000000000001E-5</v>
      </c>
      <c r="E67" s="416">
        <f>VLOOKUP($A$62,$B$56:$G$59,6,FALSE)</f>
        <v>5.0000000000000004E-6</v>
      </c>
      <c r="G67" s="409" t="s">
        <v>235</v>
      </c>
      <c r="H67" s="411">
        <f>0.0000003821216</f>
        <v>3.8212160000000002E-7</v>
      </c>
      <c r="J67" s="477"/>
      <c r="K67" s="906"/>
      <c r="L67" s="906"/>
      <c r="M67" s="906"/>
      <c r="P67" s="874"/>
      <c r="Q67" s="121">
        <v>4</v>
      </c>
      <c r="R67" s="160">
        <f>M22</f>
        <v>0</v>
      </c>
      <c r="S67" s="160">
        <f t="shared" ref="S67:V67" si="54">N22</f>
        <v>0</v>
      </c>
      <c r="T67" s="160">
        <f t="shared" si="54"/>
        <v>0</v>
      </c>
      <c r="U67" s="160">
        <f t="shared" si="54"/>
        <v>0</v>
      </c>
      <c r="V67" s="160">
        <f t="shared" si="54"/>
        <v>0</v>
      </c>
      <c r="W67" s="907"/>
      <c r="X67" s="400">
        <v>4</v>
      </c>
      <c r="Y67" s="534">
        <f>M28</f>
        <v>0</v>
      </c>
      <c r="Z67" s="534">
        <f t="shared" ref="Z67:AC67" si="55">N28</f>
        <v>0</v>
      </c>
      <c r="AA67" s="534">
        <f t="shared" si="55"/>
        <v>0</v>
      </c>
      <c r="AB67" s="534">
        <f t="shared" si="55"/>
        <v>0</v>
      </c>
      <c r="AC67" s="534">
        <f t="shared" si="55"/>
        <v>0</v>
      </c>
    </row>
    <row r="68" spans="1:29" x14ac:dyDescent="0.3">
      <c r="A68" s="408" t="str">
        <f>VLOOKUP($A$62,$I$37:$M$43,2,FALSE)</f>
        <v>Linearity(Pembebanan tidak di pusat Pan)</v>
      </c>
      <c r="B68" s="161">
        <f>VLOOKUP($A$62,$I$40:$N$43,3,FALSE)</f>
        <v>1.0000000000000001E-5</v>
      </c>
      <c r="C68" s="162">
        <f>VLOOKUP($A$62,$I$40:$N$43,4,FALSE)</f>
        <v>2.0000000000000002E-5</v>
      </c>
      <c r="D68" s="162">
        <f>VLOOKUP($A$62,$I$40:$N$43,5,FALSE)</f>
        <v>-4.0000000000000003E-5</v>
      </c>
      <c r="E68" s="416">
        <f>VLOOKUP($A$62,$I$40:$N$43,6,FALSE)</f>
        <v>3.0000000000000004E-5</v>
      </c>
      <c r="F68" s="1"/>
      <c r="G68" s="1"/>
      <c r="H68" s="1"/>
      <c r="J68" s="483" t="s">
        <v>39</v>
      </c>
      <c r="K68" s="484">
        <f>ID!E40</f>
        <v>13.22367</v>
      </c>
      <c r="L68" s="484" t="s">
        <v>236</v>
      </c>
    </row>
    <row r="69" spans="1:29" x14ac:dyDescent="0.3">
      <c r="A69" s="408" t="str">
        <f>VLOOKUP($A$62,$I$45:$M$51,2,FALSE)</f>
        <v>LOP</v>
      </c>
      <c r="B69" s="161">
        <f>VLOOKUP($A$62,$I$48:$N$51,3,FALSE)</f>
        <v>4.0000000000000003E-5</v>
      </c>
      <c r="C69" s="162">
        <f>VLOOKUP($A$62,$I$48:$N$51,4,FALSE)</f>
        <v>4.0000000000000003E-5</v>
      </c>
      <c r="D69" s="162">
        <f>VLOOKUP($A$62,$I$48:$N$51,5,FALSE)</f>
        <v>6.9999999999999994E-5</v>
      </c>
      <c r="E69" s="416">
        <f>VLOOKUP($A$62,$I$48:$N$51,6,FALSE)</f>
        <v>1.4999999999999995E-5</v>
      </c>
      <c r="J69" s="480"/>
      <c r="K69" s="478"/>
      <c r="L69" s="479"/>
      <c r="M69" s="479"/>
      <c r="P69" s="912" t="s">
        <v>30</v>
      </c>
      <c r="Q69" s="886" t="s">
        <v>176</v>
      </c>
      <c r="R69" s="860" t="s">
        <v>225</v>
      </c>
      <c r="S69" s="860"/>
      <c r="T69" s="860"/>
      <c r="U69" s="860"/>
      <c r="V69" s="860"/>
      <c r="W69" s="913" t="s">
        <v>30</v>
      </c>
      <c r="X69" s="908" t="s">
        <v>176</v>
      </c>
      <c r="Y69" s="909" t="s">
        <v>225</v>
      </c>
      <c r="Z69" s="909"/>
      <c r="AA69" s="909"/>
      <c r="AB69" s="909"/>
      <c r="AC69" s="909"/>
    </row>
    <row r="70" spans="1:29" ht="15" customHeight="1" thickBot="1" x14ac:dyDescent="0.35">
      <c r="E70" s="16"/>
      <c r="G70" s="876" t="s">
        <v>106</v>
      </c>
      <c r="H70" s="876"/>
      <c r="I70" s="876"/>
      <c r="J70" s="481"/>
      <c r="K70" s="482"/>
      <c r="L70" s="482"/>
      <c r="M70" s="479"/>
      <c r="P70" s="912"/>
      <c r="Q70" s="886"/>
      <c r="R70" s="859"/>
      <c r="S70" s="859" t="s">
        <v>154</v>
      </c>
      <c r="T70" s="859"/>
      <c r="U70" s="859"/>
      <c r="V70" s="859" t="s">
        <v>155</v>
      </c>
      <c r="W70" s="913"/>
      <c r="X70" s="908"/>
      <c r="Y70" s="864"/>
      <c r="Z70" s="864" t="s">
        <v>154</v>
      </c>
      <c r="AA70" s="864"/>
      <c r="AB70" s="864"/>
      <c r="AC70" s="864" t="s">
        <v>155</v>
      </c>
    </row>
    <row r="71" spans="1:29" ht="15" thickBot="1" x14ac:dyDescent="0.35">
      <c r="A71" s="877" t="s">
        <v>237</v>
      </c>
      <c r="B71" s="878"/>
      <c r="C71" s="878"/>
      <c r="D71" s="879"/>
      <c r="E71" s="16"/>
      <c r="G71" s="412" t="s">
        <v>238</v>
      </c>
      <c r="H71" s="8">
        <v>1000</v>
      </c>
      <c r="I71" s="413" t="s">
        <v>7</v>
      </c>
      <c r="P71" s="912"/>
      <c r="Q71" s="886"/>
      <c r="R71" s="859"/>
      <c r="S71" s="122"/>
      <c r="T71" s="122"/>
      <c r="U71" s="394"/>
      <c r="V71" s="859"/>
      <c r="W71" s="913"/>
      <c r="X71" s="908"/>
      <c r="Y71" s="864"/>
      <c r="Z71" s="398"/>
      <c r="AA71" s="398"/>
      <c r="AB71" s="399"/>
      <c r="AC71" s="864"/>
    </row>
    <row r="72" spans="1:29" x14ac:dyDescent="0.3">
      <c r="A72" s="17"/>
      <c r="B72" s="18" t="s">
        <v>239</v>
      </c>
      <c r="C72" s="19">
        <f>'DB Thermohygro'!U377</f>
        <v>21.03271432436182</v>
      </c>
      <c r="D72" s="20" t="s">
        <v>17</v>
      </c>
      <c r="E72" s="16"/>
      <c r="G72" s="412" t="s">
        <v>240</v>
      </c>
      <c r="H72" s="8">
        <v>1E-3</v>
      </c>
      <c r="I72" s="414" t="s">
        <v>241</v>
      </c>
      <c r="P72" s="874">
        <v>5</v>
      </c>
      <c r="Q72" s="121">
        <v>1</v>
      </c>
      <c r="R72" s="159">
        <f>G8</f>
        <v>8.0000040000000006</v>
      </c>
      <c r="S72" s="159">
        <f t="shared" ref="S72:V72" si="56">H8</f>
        <v>2.3E-5</v>
      </c>
      <c r="T72" s="159">
        <f t="shared" si="56"/>
        <v>7.9999999999999996E-6</v>
      </c>
      <c r="U72" s="159">
        <f t="shared" si="56"/>
        <v>0</v>
      </c>
      <c r="V72" s="159">
        <f t="shared" si="56"/>
        <v>1.15E-5</v>
      </c>
      <c r="W72" s="907">
        <v>11</v>
      </c>
      <c r="X72" s="400">
        <v>1</v>
      </c>
      <c r="Y72" s="533">
        <f>G14</f>
        <v>19.999981999999999</v>
      </c>
      <c r="Z72" s="533">
        <f t="shared" ref="Z72:AC72" si="57">H14</f>
        <v>2.6999999999999999E-5</v>
      </c>
      <c r="AA72" s="533">
        <f t="shared" si="57"/>
        <v>6.9999999999999999E-6</v>
      </c>
      <c r="AB72" s="533">
        <f t="shared" si="57"/>
        <v>0</v>
      </c>
      <c r="AC72" s="533">
        <f t="shared" si="57"/>
        <v>1.3499999999999999E-5</v>
      </c>
    </row>
    <row r="73" spans="1:29" ht="24" customHeight="1" x14ac:dyDescent="0.3">
      <c r="A73" s="21"/>
      <c r="B73" s="22" t="s">
        <v>242</v>
      </c>
      <c r="C73" s="23">
        <f>'DB Thermohygro'!U378</f>
        <v>63.009696428571424</v>
      </c>
      <c r="D73" s="24" t="s">
        <v>19</v>
      </c>
      <c r="E73" s="16"/>
      <c r="G73" s="412" t="s">
        <v>243</v>
      </c>
      <c r="H73" s="8">
        <v>1E-3</v>
      </c>
      <c r="I73" s="414" t="s">
        <v>244</v>
      </c>
      <c r="P73" s="874"/>
      <c r="Q73" s="121">
        <v>2</v>
      </c>
      <c r="R73" s="159">
        <f>M8</f>
        <v>8</v>
      </c>
      <c r="S73" s="159">
        <f t="shared" ref="S73:V73" si="58">N8</f>
        <v>1.0000000000000001E-5</v>
      </c>
      <c r="T73" s="159">
        <f t="shared" si="58"/>
        <v>2.0000000000000002E-5</v>
      </c>
      <c r="U73" s="159">
        <f t="shared" si="58"/>
        <v>-1.0000000000000001E-5</v>
      </c>
      <c r="V73" s="159">
        <f t="shared" si="58"/>
        <v>1.5000000000000002E-5</v>
      </c>
      <c r="W73" s="907"/>
      <c r="X73" s="400">
        <v>2</v>
      </c>
      <c r="Y73" s="533">
        <f>M14</f>
        <v>20.000029999999999</v>
      </c>
      <c r="Z73" s="533">
        <f t="shared" ref="Z73:AC73" si="59">N14</f>
        <v>-4.0000000000000003E-5</v>
      </c>
      <c r="AA73" s="533">
        <f t="shared" si="59"/>
        <v>-2.0000000000000002E-5</v>
      </c>
      <c r="AB73" s="533">
        <f t="shared" si="59"/>
        <v>-4.0000000000000003E-5</v>
      </c>
      <c r="AC73" s="533">
        <f t="shared" si="59"/>
        <v>1.0000000000000001E-5</v>
      </c>
    </row>
    <row r="74" spans="1:29" x14ac:dyDescent="0.3">
      <c r="A74" s="21"/>
      <c r="B74" s="22" t="s">
        <v>245</v>
      </c>
      <c r="C74" s="23">
        <f>'DB Thermohygro'!U379</f>
        <v>1000.1466767776988</v>
      </c>
      <c r="D74" s="24" t="s">
        <v>21</v>
      </c>
      <c r="E74" s="16"/>
      <c r="G74" s="412" t="s">
        <v>246</v>
      </c>
      <c r="H74" s="8">
        <v>1E-3</v>
      </c>
      <c r="I74" s="414" t="s">
        <v>247</v>
      </c>
      <c r="P74" s="874"/>
      <c r="Q74" s="121">
        <v>3</v>
      </c>
      <c r="R74" s="159">
        <f>G23</f>
        <v>60.0002</v>
      </c>
      <c r="S74" s="159">
        <f t="shared" ref="S74:V74" si="60">H23</f>
        <v>-2.0000000000000001E-4</v>
      </c>
      <c r="T74" s="159">
        <f t="shared" si="60"/>
        <v>0</v>
      </c>
      <c r="U74" s="159">
        <f t="shared" si="60"/>
        <v>0</v>
      </c>
      <c r="V74" s="159">
        <f t="shared" si="60"/>
        <v>1E-4</v>
      </c>
      <c r="W74" s="907"/>
      <c r="X74" s="400">
        <v>3</v>
      </c>
      <c r="Y74" s="533">
        <f>G29</f>
        <v>180.00020000000001</v>
      </c>
      <c r="Z74" s="533">
        <f t="shared" ref="Z74:AC74" si="61">H29</f>
        <v>1E-4</v>
      </c>
      <c r="AA74" s="533">
        <f t="shared" si="61"/>
        <v>2.0000000000000001E-4</v>
      </c>
      <c r="AB74" s="533">
        <f t="shared" si="61"/>
        <v>0</v>
      </c>
      <c r="AC74" s="533">
        <f t="shared" si="61"/>
        <v>1E-4</v>
      </c>
    </row>
    <row r="75" spans="1:29" x14ac:dyDescent="0.3">
      <c r="A75" s="21"/>
      <c r="B75" s="22" t="s">
        <v>248</v>
      </c>
      <c r="C75" s="25">
        <v>273.14999999999998</v>
      </c>
      <c r="D75" s="26" t="s">
        <v>17</v>
      </c>
      <c r="E75" s="16"/>
      <c r="G75" s="412" t="s">
        <v>249</v>
      </c>
      <c r="H75" s="8">
        <v>1E-3</v>
      </c>
      <c r="I75" s="414" t="s">
        <v>236</v>
      </c>
      <c r="P75" s="874"/>
      <c r="Q75" s="121">
        <v>4</v>
      </c>
      <c r="R75" s="160">
        <f>M23</f>
        <v>0</v>
      </c>
      <c r="S75" s="160">
        <f t="shared" ref="S75:V75" si="62">N23</f>
        <v>0</v>
      </c>
      <c r="T75" s="160">
        <f t="shared" si="62"/>
        <v>0</v>
      </c>
      <c r="U75" s="160">
        <f t="shared" si="62"/>
        <v>0</v>
      </c>
      <c r="V75" s="160">
        <f t="shared" si="62"/>
        <v>0</v>
      </c>
      <c r="W75" s="907"/>
      <c r="X75" s="400">
        <v>4</v>
      </c>
      <c r="Y75" s="534">
        <f>M29</f>
        <v>0</v>
      </c>
      <c r="Z75" s="534">
        <f t="shared" ref="Z75:AC75" si="63">N29</f>
        <v>0</v>
      </c>
      <c r="AA75" s="534">
        <f t="shared" si="63"/>
        <v>0</v>
      </c>
      <c r="AB75" s="534">
        <f t="shared" si="63"/>
        <v>0</v>
      </c>
      <c r="AC75" s="534">
        <f t="shared" si="63"/>
        <v>0</v>
      </c>
    </row>
    <row r="76" spans="1:29" x14ac:dyDescent="0.3">
      <c r="A76" s="27"/>
      <c r="B76" s="28" t="s">
        <v>250</v>
      </c>
      <c r="C76" s="25">
        <v>8000</v>
      </c>
      <c r="D76" s="24" t="s">
        <v>251</v>
      </c>
      <c r="E76" s="16"/>
      <c r="G76" s="412" t="s">
        <v>249</v>
      </c>
      <c r="H76" s="8">
        <v>1000</v>
      </c>
      <c r="I76" s="413" t="s">
        <v>117</v>
      </c>
    </row>
    <row r="77" spans="1:29" ht="15" thickBot="1" x14ac:dyDescent="0.35">
      <c r="A77" s="29"/>
      <c r="B77" s="30" t="s">
        <v>252</v>
      </c>
      <c r="C77" s="31">
        <v>20</v>
      </c>
      <c r="D77" s="32" t="s">
        <v>17</v>
      </c>
      <c r="E77" s="16"/>
      <c r="G77" s="412" t="s">
        <v>246</v>
      </c>
      <c r="H77" s="8">
        <v>1000</v>
      </c>
      <c r="I77" s="414" t="s">
        <v>116</v>
      </c>
      <c r="P77" s="912" t="s">
        <v>30</v>
      </c>
      <c r="Q77" s="886" t="s">
        <v>176</v>
      </c>
      <c r="R77" s="860" t="s">
        <v>225</v>
      </c>
      <c r="S77" s="860"/>
      <c r="T77" s="860"/>
      <c r="U77" s="860"/>
      <c r="V77" s="919"/>
      <c r="W77" s="555"/>
      <c r="X77" s="545"/>
      <c r="Y77" s="546"/>
      <c r="Z77" s="546"/>
      <c r="AA77" s="546"/>
      <c r="AB77" s="546"/>
      <c r="AC77" s="546"/>
    </row>
    <row r="78" spans="1:29" x14ac:dyDescent="0.3">
      <c r="A78" s="127"/>
      <c r="B78" s="128"/>
      <c r="C78" s="128"/>
      <c r="D78" s="128"/>
      <c r="G78" s="412" t="s">
        <v>253</v>
      </c>
      <c r="H78" s="8">
        <v>1E-3</v>
      </c>
      <c r="I78" s="413" t="s">
        <v>7</v>
      </c>
      <c r="P78" s="912"/>
      <c r="Q78" s="886"/>
      <c r="R78" s="859"/>
      <c r="S78" s="856" t="s">
        <v>154</v>
      </c>
      <c r="T78" s="857"/>
      <c r="U78" s="858"/>
      <c r="V78" s="920" t="s">
        <v>155</v>
      </c>
      <c r="W78" s="555"/>
      <c r="X78" s="545"/>
      <c r="Y78" s="547"/>
      <c r="Z78" s="547"/>
      <c r="AA78" s="547"/>
      <c r="AB78" s="547"/>
      <c r="AC78" s="547"/>
    </row>
    <row r="79" spans="1:29" x14ac:dyDescent="0.3">
      <c r="A79" s="126"/>
      <c r="B79" s="126"/>
      <c r="C79" s="126"/>
      <c r="D79" s="126"/>
      <c r="G79" s="415" t="s">
        <v>254</v>
      </c>
      <c r="H79" s="8">
        <v>1E-3</v>
      </c>
      <c r="I79" s="413" t="s">
        <v>122</v>
      </c>
      <c r="P79" s="912"/>
      <c r="Q79" s="886"/>
      <c r="R79" s="859"/>
      <c r="S79" s="122"/>
      <c r="T79" s="122"/>
      <c r="U79" s="394"/>
      <c r="V79" s="920"/>
      <c r="W79" s="555"/>
      <c r="X79" s="545"/>
      <c r="Y79" s="547"/>
      <c r="Z79" s="548"/>
      <c r="AA79" s="548"/>
      <c r="AC79" s="547"/>
    </row>
    <row r="80" spans="1:29" x14ac:dyDescent="0.3">
      <c r="A80" s="127"/>
      <c r="B80" s="128"/>
      <c r="C80" s="128"/>
      <c r="D80" s="128"/>
      <c r="G80" s="412" t="s">
        <v>246</v>
      </c>
      <c r="H80" s="8">
        <v>1000000</v>
      </c>
      <c r="I80" s="413" t="s">
        <v>117</v>
      </c>
      <c r="P80" s="874">
        <v>6</v>
      </c>
      <c r="Q80" s="121">
        <v>1</v>
      </c>
      <c r="R80" s="159">
        <f>G9</f>
        <v>9.9999749999999992</v>
      </c>
      <c r="S80" s="159">
        <f t="shared" ref="S80:V80" si="64">H9</f>
        <v>2.3E-5</v>
      </c>
      <c r="T80" s="159">
        <f t="shared" si="64"/>
        <v>5.0000000000000004E-6</v>
      </c>
      <c r="U80" s="159">
        <f t="shared" si="64"/>
        <v>0</v>
      </c>
      <c r="V80" s="543">
        <f t="shared" si="64"/>
        <v>1.15E-5</v>
      </c>
      <c r="W80" s="556"/>
      <c r="X80" s="458"/>
      <c r="Y80" s="549"/>
      <c r="Z80" s="550"/>
      <c r="AA80" s="550"/>
      <c r="AB80" s="551"/>
      <c r="AC80" s="550"/>
    </row>
    <row r="81" spans="1:29" ht="49.8" x14ac:dyDescent="0.3">
      <c r="A81" s="485" t="s">
        <v>30</v>
      </c>
      <c r="B81" s="485" t="s">
        <v>255</v>
      </c>
      <c r="C81" s="485" t="s">
        <v>256</v>
      </c>
      <c r="D81" s="485" t="s">
        <v>257</v>
      </c>
      <c r="E81" s="485" t="s">
        <v>258</v>
      </c>
      <c r="F81" s="115"/>
      <c r="G81" s="412" t="s">
        <v>259</v>
      </c>
      <c r="H81" s="8">
        <v>1000</v>
      </c>
      <c r="I81" s="413" t="s">
        <v>121</v>
      </c>
      <c r="J81" s="417"/>
      <c r="P81" s="874"/>
      <c r="Q81" s="121">
        <v>2</v>
      </c>
      <c r="R81" s="159">
        <f>M9</f>
        <v>10</v>
      </c>
      <c r="S81" s="159">
        <f t="shared" ref="S81:V81" si="65">N9</f>
        <v>-1.0000000000000001E-5</v>
      </c>
      <c r="T81" s="159">
        <f t="shared" si="65"/>
        <v>0</v>
      </c>
      <c r="U81" s="159">
        <f t="shared" si="65"/>
        <v>-3.0000000000000001E-5</v>
      </c>
      <c r="V81" s="543">
        <f t="shared" si="65"/>
        <v>1.5E-5</v>
      </c>
      <c r="W81" s="556"/>
      <c r="X81" s="458"/>
      <c r="Y81" s="549"/>
      <c r="Z81" s="550"/>
      <c r="AA81" s="550"/>
      <c r="AB81" s="552"/>
      <c r="AC81" s="550"/>
    </row>
    <row r="82" spans="1:29" ht="15.6" x14ac:dyDescent="0.3">
      <c r="A82" s="490">
        <v>1</v>
      </c>
      <c r="B82" s="491">
        <f>(('DB Balance'!K63*'DB Balance'!C74)+'DB Balance'!C73*(('DB Balance'!K64*'DB Balance'!C72)+'DB Balance'!K65))/('DB Balance'!C72+'DB Balance'!C75)</f>
        <v>1.1776637072762031</v>
      </c>
      <c r="C82" s="490">
        <f>C76</f>
        <v>8000</v>
      </c>
      <c r="D82" s="490">
        <v>2.9999999999999997E-4</v>
      </c>
      <c r="E82" s="492">
        <f>STDEV(ID!E29:F38)</f>
        <v>1.8285590982170319E-18</v>
      </c>
      <c r="F82" s="115"/>
      <c r="G82" s="115"/>
      <c r="H82" s="115"/>
      <c r="I82" s="115"/>
      <c r="J82" s="418"/>
      <c r="P82" s="874"/>
      <c r="Q82" s="121">
        <v>3</v>
      </c>
      <c r="R82" s="159">
        <f>G24</f>
        <v>80</v>
      </c>
      <c r="S82" s="159">
        <f t="shared" ref="S82:V82" si="66">H24</f>
        <v>1E-4</v>
      </c>
      <c r="T82" s="159">
        <f t="shared" si="66"/>
        <v>0</v>
      </c>
      <c r="U82" s="159">
        <f t="shared" si="66"/>
        <v>0</v>
      </c>
      <c r="V82" s="543">
        <f t="shared" si="66"/>
        <v>5.0000000000000002E-5</v>
      </c>
      <c r="W82" s="556"/>
      <c r="X82" s="458"/>
      <c r="Y82" s="549"/>
      <c r="Z82" s="550"/>
      <c r="AA82" s="550"/>
      <c r="AB82" s="537"/>
      <c r="AC82" s="550"/>
    </row>
    <row r="83" spans="1:29" ht="15.6" x14ac:dyDescent="0.3">
      <c r="A83" s="490">
        <v>2</v>
      </c>
      <c r="B83" s="491"/>
      <c r="C83" s="490"/>
      <c r="D83" s="490"/>
      <c r="E83" s="492">
        <f>STDEV(ID!K29:L38)</f>
        <v>7.3142363928681276E-18</v>
      </c>
      <c r="F83" s="115"/>
      <c r="G83" s="115"/>
      <c r="H83" s="115"/>
      <c r="I83" s="115"/>
      <c r="J83" s="418"/>
      <c r="P83" s="874"/>
      <c r="Q83" s="121">
        <v>4</v>
      </c>
      <c r="R83" s="160">
        <f>M24</f>
        <v>0</v>
      </c>
      <c r="S83" s="160">
        <f t="shared" ref="S83:V83" si="67">N24</f>
        <v>0</v>
      </c>
      <c r="T83" s="160">
        <f t="shared" si="67"/>
        <v>0</v>
      </c>
      <c r="U83" s="160">
        <f t="shared" si="67"/>
        <v>0</v>
      </c>
      <c r="V83" s="544">
        <f t="shared" si="67"/>
        <v>0</v>
      </c>
      <c r="W83" s="556"/>
      <c r="X83" s="458"/>
      <c r="Y83" s="553"/>
      <c r="Z83" s="554"/>
      <c r="AA83" s="554"/>
      <c r="AB83" s="537"/>
      <c r="AC83" s="554"/>
    </row>
    <row r="84" spans="1:29" ht="15.6" x14ac:dyDescent="0.3">
      <c r="A84" s="490">
        <v>3</v>
      </c>
      <c r="B84" s="491"/>
      <c r="C84" s="490"/>
      <c r="D84" s="490"/>
      <c r="E84" s="492">
        <f>STDEV(ID!E44:F53)</f>
        <v>0</v>
      </c>
      <c r="F84" s="115"/>
      <c r="G84" s="115"/>
      <c r="H84" s="115"/>
      <c r="I84" s="115"/>
      <c r="J84" s="418"/>
      <c r="K84" s="118"/>
      <c r="L84" s="12"/>
    </row>
    <row r="85" spans="1:29" ht="16.2" thickBot="1" x14ac:dyDescent="0.35">
      <c r="A85" s="116"/>
      <c r="B85" s="117"/>
      <c r="C85" s="117"/>
      <c r="D85" s="118"/>
      <c r="E85" s="118"/>
      <c r="F85" s="115"/>
      <c r="G85" s="115"/>
      <c r="H85" s="115"/>
      <c r="I85" s="419"/>
      <c r="J85" s="420"/>
      <c r="K85" s="421"/>
      <c r="L85" s="33"/>
    </row>
    <row r="86" spans="1:29" x14ac:dyDescent="0.3">
      <c r="A86" s="884" t="s">
        <v>30</v>
      </c>
      <c r="B86" s="882" t="s">
        <v>260</v>
      </c>
      <c r="C86" s="882" t="s">
        <v>261</v>
      </c>
      <c r="D86" s="882" t="s">
        <v>262</v>
      </c>
      <c r="E86" s="882" t="s">
        <v>263</v>
      </c>
      <c r="F86" s="882" t="s">
        <v>264</v>
      </c>
      <c r="G86" s="882" t="s">
        <v>265</v>
      </c>
      <c r="H86" s="882" t="s">
        <v>266</v>
      </c>
      <c r="I86" s="880" t="s">
        <v>267</v>
      </c>
      <c r="J86" s="882" t="s">
        <v>268</v>
      </c>
      <c r="K86" s="898" t="s">
        <v>269</v>
      </c>
      <c r="O86" s="839" t="str">
        <f>A130</f>
        <v>Pippette Callibration Balance, Merek : Sartorius, Tipe : MSA 225S-100-DU, SN : 36301077</v>
      </c>
      <c r="P86" s="839"/>
      <c r="Q86" s="839"/>
      <c r="R86" s="839"/>
      <c r="S86" s="839"/>
      <c r="T86" s="839"/>
      <c r="V86" s="916" t="s">
        <v>270</v>
      </c>
      <c r="W86" s="917"/>
      <c r="X86" s="917"/>
      <c r="Y86" s="918"/>
    </row>
    <row r="87" spans="1:29" x14ac:dyDescent="0.3">
      <c r="A87" s="885"/>
      <c r="B87" s="883"/>
      <c r="C87" s="883"/>
      <c r="D87" s="883"/>
      <c r="E87" s="883"/>
      <c r="F87" s="883"/>
      <c r="G87" s="883"/>
      <c r="H87" s="883"/>
      <c r="I87" s="881"/>
      <c r="J87" s="883"/>
      <c r="K87" s="899"/>
      <c r="O87" s="838" t="s">
        <v>197</v>
      </c>
      <c r="P87" s="838"/>
      <c r="Q87" s="838"/>
      <c r="R87" s="838"/>
      <c r="S87" s="838"/>
      <c r="T87" s="838" t="s">
        <v>155</v>
      </c>
      <c r="V87" s="559"/>
      <c r="W87" s="560">
        <f>IF($V$88&lt;=$P$90,$P$89,IF($V$88&lt;=$P$91,$P$90,IF($V$88&lt;=$P$92,$P$91,IF($V$88&lt;=$P$93,$P$92,IF($V$88&lt;=$P$94,$P$93,IF($V$88&lt;=$P$95,$P$94,IF($V$88&lt;=$P$96,$P$95,IF($V$88&lt;=$P$97,$P$96,IF($V$88&lt;=$P$98,$P$97,IF($V$88&lt;=$P$99,$P$98))))))))))</f>
        <v>0</v>
      </c>
      <c r="X87" s="560"/>
      <c r="Y87" s="561">
        <f>IF($V$88&lt;=$P$90,$Q$89,IF($V$88&lt;=$P$91,$Q$90,IF($V$88&lt;=$P$92,$Q$91,IF($V$88&lt;=$P$93,$Q$92,IF($V$88&lt;=$P$94,$Q$93,IF($V$88&lt;=$P$95,$Q$94,IF($V$88&lt;=$P$96,$Q$95,IF($V$88&lt;=$P$97,$Q$96,IF($V$88&lt;=$P$98,$Q$97,IF($V$88&lt;=$P$99,$Q$98))))))))))</f>
        <v>0</v>
      </c>
    </row>
    <row r="88" spans="1:29" ht="58.2" thickBot="1" x14ac:dyDescent="0.35">
      <c r="A88" s="119">
        <v>1</v>
      </c>
      <c r="B88" s="124">
        <f>ID!D29</f>
        <v>10</v>
      </c>
      <c r="C88" s="558">
        <f>V88+X88</f>
        <v>9.9300496499999981E-3</v>
      </c>
      <c r="D88" s="125">
        <f>'DB Thermo Air'!B61</f>
        <v>21.835164835164836</v>
      </c>
      <c r="E88" s="120">
        <f>(('DB Balance'!H63*D88^0)+('DB Balance'!H64*D88^1)+('DB Balance'!H65*D88^2)+('DB Balance'!H66*D88^3)+('DB Balance'!H67*D88^4))</f>
        <v>997.97602528834307</v>
      </c>
      <c r="F88" s="120">
        <f>C88+J126</f>
        <v>9.9900496499999974E-3</v>
      </c>
      <c r="G88" s="120">
        <f>ABS((1/((E88-B82)/1000))*(1-B82/C82))</f>
        <v>1.0030642410473858</v>
      </c>
      <c r="H88" s="120">
        <f>(1-D82*(D88-C77))</f>
        <v>0.99944945054945056</v>
      </c>
      <c r="I88" s="120">
        <f>(F88*G88*H88)</f>
        <v>1.0015144700481333E-2</v>
      </c>
      <c r="J88" s="436">
        <f>I88*'DB Balance'!H71</f>
        <v>10.015144700481333</v>
      </c>
      <c r="K88" s="444">
        <f>(J88)-(B88)</f>
        <v>1.5144700481332762E-2</v>
      </c>
      <c r="L88" s="440" t="s">
        <v>271</v>
      </c>
      <c r="O88" s="15" t="s">
        <v>30</v>
      </c>
      <c r="P88" s="557">
        <f>VLOOKUP($O$86,$A$131:$K$134,11,FALSE)</f>
        <v>2</v>
      </c>
      <c r="Q88" s="102">
        <f>VLOOKUP($O$86,$A$131:$K$134,8,FALSE)</f>
        <v>2023</v>
      </c>
      <c r="R88" s="102">
        <f>VLOOKUP($O$86,$A$131:$K$134,9,FALSE)</f>
        <v>2022</v>
      </c>
      <c r="S88" s="102">
        <f>VLOOKUP($O$86,$A$131:$K$134,10,FALSE)</f>
        <v>2021</v>
      </c>
      <c r="T88" s="838"/>
      <c r="V88" s="562">
        <f>AVERAGE(ID!E29:F38)</f>
        <v>9.9299999999999979E-3</v>
      </c>
      <c r="W88" s="563"/>
      <c r="X88" s="560">
        <f>((V88-W87)/(W89-W87)*(Y89-Y87)+Y87)</f>
        <v>4.9649999999999991E-8</v>
      </c>
      <c r="Y88" s="564"/>
    </row>
    <row r="89" spans="1:29" ht="43.8" thickBot="1" x14ac:dyDescent="0.35">
      <c r="J89" s="65"/>
      <c r="K89" s="444">
        <f>E82</f>
        <v>1.8285590982170319E-18</v>
      </c>
      <c r="L89" s="440" t="s">
        <v>272</v>
      </c>
      <c r="O89" s="15">
        <v>1</v>
      </c>
      <c r="P89" s="153">
        <f>VLOOKUP($P$88,$Q$40:$V$43,2,FALSE)</f>
        <v>0</v>
      </c>
      <c r="Q89" s="153">
        <f>VLOOKUP($P$88,$Q$40:$V$43,3,FALSE)</f>
        <v>0</v>
      </c>
      <c r="R89" s="153">
        <f>VLOOKUP($P$88,$Q$40:$V$43,4,FALSE)</f>
        <v>0</v>
      </c>
      <c r="S89" s="153">
        <f>VLOOKUP($P$88,$Q$40:$V$43,5,FALSE)</f>
        <v>0</v>
      </c>
      <c r="T89" s="153">
        <f>VLOOKUP($P$88,$Q$40:$V$43,6,FALSE)</f>
        <v>0</v>
      </c>
      <c r="V89" s="565"/>
      <c r="W89" s="566">
        <f>IF($V$88&lt;=$P$90,$P$90,IF($V$88&lt;=$P$91,$P$91,IF($V$88&lt;=$P$92,$P$92,IF($V$88&lt;=$P$93,$P$93,IF($V$88&lt;=$P$94,$P$94,IF($V$88&lt;=$P$95,$P$95,IF($V$88&lt;=$P$96,$P$96,IF($V$88&lt;=$P$97,$P$97,IF($V$88&lt;=$P$98,$P$98,IF($V$88&lt;=$P$99,$P$99))))))))))</f>
        <v>2</v>
      </c>
      <c r="X89" s="566"/>
      <c r="Y89" s="567">
        <f>IF($V$88&lt;=$P$90,$Q$90,IF($V$88&lt;=$P$91,$Q$91,IF($V$88&lt;=$P$92,$Q$92,IF($V$88&lt;=$P$93,$Q$93,IF($V$88&lt;=$P$94,$Q$94,IF($V$88&lt;=$P$95,$Q$95,IF($V$88&lt;=$P$96,$Q$96,IF($V$88&lt;=$P$97,$Q$97,IF($V$88&lt;=$P$98,$Q$98,IF($V$88&lt;=$P$99,$Q$99))))))))))</f>
        <v>1.0000000000000001E-5</v>
      </c>
    </row>
    <row r="90" spans="1:29" x14ac:dyDescent="0.3">
      <c r="A90" s="884" t="s">
        <v>30</v>
      </c>
      <c r="B90" s="882" t="s">
        <v>260</v>
      </c>
      <c r="C90" s="882" t="s">
        <v>261</v>
      </c>
      <c r="D90" s="882" t="s">
        <v>262</v>
      </c>
      <c r="E90" s="882" t="s">
        <v>263</v>
      </c>
      <c r="F90" s="882" t="s">
        <v>264</v>
      </c>
      <c r="G90" s="882" t="s">
        <v>265</v>
      </c>
      <c r="H90" s="882" t="s">
        <v>266</v>
      </c>
      <c r="I90" s="880" t="s">
        <v>267</v>
      </c>
      <c r="J90" s="882" t="s">
        <v>268</v>
      </c>
      <c r="K90" s="898" t="s">
        <v>269</v>
      </c>
      <c r="O90" s="15">
        <v>2</v>
      </c>
      <c r="P90" s="153">
        <f>VLOOKUP($P$88,$Q$48:$V$51,2,FALSE)</f>
        <v>2</v>
      </c>
      <c r="Q90" s="153">
        <f>VLOOKUP($P$88,$Q$48:$V$51,3,FALSE)</f>
        <v>1.0000000000000001E-5</v>
      </c>
      <c r="R90" s="153">
        <f>VLOOKUP($P$88,$Q$48:$V$51,4,FALSE)</f>
        <v>2.0000000000000002E-5</v>
      </c>
      <c r="S90" s="153">
        <f>VLOOKUP($P$88,$Q$48:$V$51,5,FALSE)</f>
        <v>2.0000000000000002E-5</v>
      </c>
      <c r="T90" s="153">
        <f>VLOOKUP($P$88,$Q$48:$V$51,6,FALSE)</f>
        <v>5.0000000000000004E-6</v>
      </c>
      <c r="V90" s="847" t="s">
        <v>270</v>
      </c>
      <c r="W90" s="848"/>
      <c r="X90" s="848"/>
      <c r="Y90" s="849"/>
    </row>
    <row r="91" spans="1:29" x14ac:dyDescent="0.3">
      <c r="A91" s="885"/>
      <c r="B91" s="883"/>
      <c r="C91" s="883"/>
      <c r="D91" s="883"/>
      <c r="E91" s="883"/>
      <c r="F91" s="883"/>
      <c r="G91" s="883"/>
      <c r="H91" s="883"/>
      <c r="I91" s="881"/>
      <c r="J91" s="883"/>
      <c r="K91" s="899"/>
      <c r="O91" s="15">
        <v>3</v>
      </c>
      <c r="P91" s="153">
        <f>VLOOKUP($P$88,$Q$56:$V$59,2,)</f>
        <v>4</v>
      </c>
      <c r="Q91" s="153">
        <f>VLOOKUP($P$88,$Q$56:$V$59,3,)</f>
        <v>2.0000000000000002E-5</v>
      </c>
      <c r="R91" s="153">
        <f>VLOOKUP($P$88,$Q$56:$V$59,4,FALSE)</f>
        <v>1.0000000000000001E-5</v>
      </c>
      <c r="S91" s="153">
        <f>VLOOKUP($P$88,$Q$56:$V$59,5,FALSE)</f>
        <v>0</v>
      </c>
      <c r="T91" s="153">
        <f>VLOOKUP($P$88,$Q$56:$V$59,6,FALSE)</f>
        <v>1.0000000000000001E-5</v>
      </c>
      <c r="V91" s="568"/>
      <c r="W91" s="569">
        <f>IF($V$92&lt;=$P$90,$P$89,IF($V$92&lt;=$P$91,$P$90,IF($V$92&lt;=$P$92,$P$91,IF($V$92&lt;=$P$93,$P$92,IF($V$92&lt;=$P$94,$P$93,IF($V$92&lt;=$P$95,$P$94,IF($V$92&lt;=$P$96,$P$95,IF($V$92&lt;=$P$97,$P$96,IF($V$92&lt;=$P$98,$P$97,IF($V$92&lt;=$P$99,$P$98))))))))))</f>
        <v>0</v>
      </c>
      <c r="X91" s="569"/>
      <c r="Y91" s="570">
        <f>IF($V$92&lt;=$P$90,$Q$89,IF($V$92&lt;=$P$91,$Q$90,IF($V$92&lt;=$P$92,$Q$91,IF($V$92&lt;=$P$93,$Q$92,IF($V$92&lt;=$P$94,$Q$93,IF($V$92&lt;=$P$95,$Q$94,IF($V$92&lt;=$P$96,$Q$95,IF($V$92&lt;=$P$97,$Q$96,IF($V$92&lt;=$P$98,$Q$97,IF($V$92&lt;=$P$99,$Q$98))))))))))</f>
        <v>0</v>
      </c>
    </row>
    <row r="92" spans="1:29" ht="58.2" thickBot="1" x14ac:dyDescent="0.35">
      <c r="A92" s="119">
        <v>2</v>
      </c>
      <c r="B92" s="124">
        <f>ID!J29</f>
        <v>50</v>
      </c>
      <c r="C92" s="558">
        <f>V92+X92</f>
        <v>4.9880249399999993E-2</v>
      </c>
      <c r="D92" s="125">
        <f>'DB Thermo Air'!B61</f>
        <v>21.835164835164836</v>
      </c>
      <c r="E92" s="120">
        <f>(('DB Balance'!H63*D92^0)+('DB Balance'!H64*D92^1)+('DB Balance'!H65*D92^2)+('DB Balance'!H66*D92^3)+('DB Balance'!H67*D92^4))</f>
        <v>997.97602528834307</v>
      </c>
      <c r="F92" s="120">
        <f>C92+J127</f>
        <v>4.9880249399999993E-2</v>
      </c>
      <c r="G92" s="120">
        <f>ABS((1/((E92-B82)/1000))*(1-B82/C82))</f>
        <v>1.0030642410473858</v>
      </c>
      <c r="H92" s="120">
        <f>(1-D82*(D92-C77))</f>
        <v>0.99944945054945056</v>
      </c>
      <c r="I92" s="120">
        <f>(F92*G92*H92)</f>
        <v>5.0005548814974828E-2</v>
      </c>
      <c r="J92" s="436">
        <f>I92*'DB Balance'!H71</f>
        <v>50.00554881497483</v>
      </c>
      <c r="K92" s="444">
        <f>(J92)-(B92)</f>
        <v>5.548814974829952E-3</v>
      </c>
      <c r="L92" s="440" t="s">
        <v>271</v>
      </c>
      <c r="O92" s="15">
        <v>4</v>
      </c>
      <c r="P92" s="153">
        <f>VLOOKUP($P$88,$Q$64:$V$67,2)</f>
        <v>6</v>
      </c>
      <c r="Q92" s="153">
        <f>VLOOKUP($P$88,$Q$64:$V$67,3,FALSE)</f>
        <v>1.0000000000000001E-5</v>
      </c>
      <c r="R92" s="153">
        <f>VLOOKUP($P$88,$Q$64:$V$67,4,FALSE)</f>
        <v>2.0000000000000002E-5</v>
      </c>
      <c r="S92" s="153">
        <f>VLOOKUP($P$88,$Q$64:$V$67,5,FALSE)</f>
        <v>-1.0000000000000001E-5</v>
      </c>
      <c r="T92" s="153">
        <f>VLOOKUP($P$88,$Q$64:$V$67,6,FALSE)</f>
        <v>1.5000000000000002E-5</v>
      </c>
      <c r="V92" s="571">
        <f>AVERAGE(ID!K29:L38)</f>
        <v>4.9879999999999994E-2</v>
      </c>
      <c r="W92" s="572"/>
      <c r="X92" s="569">
        <f>((V92-W91)/(W93-W91)*(Y93-Y91)+Y91)</f>
        <v>2.494E-7</v>
      </c>
      <c r="Y92" s="573"/>
    </row>
    <row r="93" spans="1:29" ht="43.8" thickBot="1" x14ac:dyDescent="0.35">
      <c r="J93" s="65"/>
      <c r="K93" s="444">
        <f>E83</f>
        <v>7.3142363928681276E-18</v>
      </c>
      <c r="L93" s="440" t="s">
        <v>272</v>
      </c>
      <c r="O93" s="15">
        <v>5</v>
      </c>
      <c r="P93" s="153">
        <f>VLOOKUP($P$88,$Q$72:$V$75,2)</f>
        <v>8</v>
      </c>
      <c r="Q93" s="153">
        <f>VLOOKUP($P$88,$Q$72:$V$75,3,FALSE)</f>
        <v>1.0000000000000001E-5</v>
      </c>
      <c r="R93" s="153">
        <f>VLOOKUP($P$88,$Q$72:$V$75,4,FALSE)</f>
        <v>2.0000000000000002E-5</v>
      </c>
      <c r="S93" s="153">
        <f>VLOOKUP($P$88,$Q$72:$V$75,5,FALSE)</f>
        <v>-1.0000000000000001E-5</v>
      </c>
      <c r="T93" s="153">
        <f>VLOOKUP($P$88,$Q$72:$V$75,6,FALSE)</f>
        <v>1.5000000000000002E-5</v>
      </c>
      <c r="V93" s="574"/>
      <c r="W93" s="575">
        <f>IF($V$92&lt;=$P$90,$P$90,IF($V$92&lt;=$P$91,$P$91,IF($V$92&lt;=$P$92,$P$92,IF($V$92&lt;=$P$93,$P$93,IF($V$92&lt;=$P$94,$P$94,IF($V$92&lt;=$P$95,$P$95,IF($V$92&lt;=$P$96,$P$96,IF($V$92&lt;=$P$97,$P$97,IF($V$92&lt;=$P$98,$P$98,IF($V$92&lt;=$P$99,$P$99))))))))))</f>
        <v>2</v>
      </c>
      <c r="X93" s="575"/>
      <c r="Y93" s="576">
        <f>IF($V$92&lt;=$P$90,$Q$90,IF($V$92&lt;=$P$91,$Q$91,IF($V$92&lt;=$P$92,$Q$92,IF($V$92&lt;=$P$93,$Q$93,IF($V$92&lt;=$P$94,$Q$94,IF($V$92&lt;=$P$95,$Q$95,IF($V$92&lt;=$P$96,$Q$96,IF($V$92&lt;=$P$97,$Q$97,IF($V$92&lt;=$P$98,$Q$98,IF($V$92&lt;=$P$99,$Q$99))))))))))</f>
        <v>1.0000000000000001E-5</v>
      </c>
    </row>
    <row r="94" spans="1:29" x14ac:dyDescent="0.3">
      <c r="A94" s="884" t="s">
        <v>30</v>
      </c>
      <c r="B94" s="882" t="s">
        <v>260</v>
      </c>
      <c r="C94" s="882" t="s">
        <v>261</v>
      </c>
      <c r="D94" s="882" t="s">
        <v>262</v>
      </c>
      <c r="E94" s="882" t="s">
        <v>263</v>
      </c>
      <c r="F94" s="882" t="s">
        <v>264</v>
      </c>
      <c r="G94" s="882" t="s">
        <v>265</v>
      </c>
      <c r="H94" s="882" t="s">
        <v>266</v>
      </c>
      <c r="I94" s="880" t="s">
        <v>267</v>
      </c>
      <c r="J94" s="882" t="s">
        <v>268</v>
      </c>
      <c r="K94" s="898" t="s">
        <v>269</v>
      </c>
      <c r="O94" s="15">
        <v>6</v>
      </c>
      <c r="P94" s="153">
        <f>VLOOKUP($P$88,$Q$80:$V$83,2)</f>
        <v>10</v>
      </c>
      <c r="Q94" s="153">
        <f>VLOOKUP($P$88,$Q$80:$V$83,3,FALSE)</f>
        <v>-1.0000000000000001E-5</v>
      </c>
      <c r="R94" s="153">
        <f>VLOOKUP($P$88,$Q$80:$V$83,4,FALSE)</f>
        <v>0</v>
      </c>
      <c r="S94" s="153">
        <f>VLOOKUP($P$88,$Q$80:$V$83,5,FALSE)</f>
        <v>-3.0000000000000001E-5</v>
      </c>
      <c r="T94" s="153">
        <f>VLOOKUP($P$88,$Q$80:$V$83,6,FALSE)</f>
        <v>1.5E-5</v>
      </c>
      <c r="V94" s="850" t="s">
        <v>270</v>
      </c>
      <c r="W94" s="851"/>
      <c r="X94" s="851"/>
      <c r="Y94" s="852"/>
    </row>
    <row r="95" spans="1:29" x14ac:dyDescent="0.3">
      <c r="A95" s="885"/>
      <c r="B95" s="883"/>
      <c r="C95" s="883"/>
      <c r="D95" s="883"/>
      <c r="E95" s="883"/>
      <c r="F95" s="883"/>
      <c r="G95" s="883"/>
      <c r="H95" s="883"/>
      <c r="I95" s="881"/>
      <c r="J95" s="883"/>
      <c r="K95" s="899"/>
      <c r="O95" s="15">
        <v>7</v>
      </c>
      <c r="P95" s="153">
        <f>VLOOKUP($P$88,$X$40:$AC$43,2)</f>
        <v>12.00001</v>
      </c>
      <c r="Q95" s="153">
        <f>VLOOKUP($P$88,$X$40:$AC$43,3,FALSE)</f>
        <v>1.0000000000000001E-5</v>
      </c>
      <c r="R95" s="153">
        <f>VLOOKUP($P$88,$X$40:$AC$43,4,FALSE)</f>
        <v>-1.0000000000000001E-5</v>
      </c>
      <c r="S95" s="153">
        <f>VLOOKUP($P$88,$X$40:$AC$43,5,FALSE)</f>
        <v>-4.0000000000000003E-5</v>
      </c>
      <c r="T95" s="153">
        <f>VLOOKUP($P$88,$X$40:$AC$43,6,FALSE)</f>
        <v>2.5000000000000001E-5</v>
      </c>
      <c r="V95" s="577"/>
      <c r="W95" s="578">
        <f>IF($V$96&lt;=$P$90,$P$89,IF($V$96&lt;=$P$91,$P$90,IF($V$96&lt;=$P$92,$P$91,IF($V$96&lt;=$P$93,$P$92,IF($V$96&lt;=$P$94,$P$93,IF($V$96&lt;=$P$95,$P$94,IF($V$96&lt;=$P$96,$P$95,IF($V$96&lt;=$P$97,$P$96,IF($V$96&lt;=$P$98,$P$97,IF($V$96&lt;=$P$99,$P$98))))))))))</f>
        <v>0</v>
      </c>
      <c r="X95" s="578"/>
      <c r="Y95" s="579">
        <f>IF($V$96&lt;=$P$90,$Q$89,IF($V$96&lt;=$P$91,$Q$90,IF($V$96&lt;=$P$92,$Q$91,IF($V$96&lt;=$P$93,$Q$92,IF($V$96&lt;=$P$94,$Q$93,IF($V$96&lt;=$P$95,$Q$94,IF($V$96&lt;=$P$96,$Q$95,IF($V$96&lt;=$P$97,$Q$96,IF($V$96&lt;=$P$98,$Q$97,IF($V$96&lt;=$P$99,$Q$98))))))))))</f>
        <v>0</v>
      </c>
    </row>
    <row r="96" spans="1:29" ht="58.2" thickBot="1" x14ac:dyDescent="0.35">
      <c r="A96" s="119">
        <v>3</v>
      </c>
      <c r="B96" s="124">
        <f>ID!D44</f>
        <v>100</v>
      </c>
      <c r="C96" s="558">
        <f>V96+X96</f>
        <v>9.975049875E-2</v>
      </c>
      <c r="D96" s="125">
        <f>'DB Thermo Air'!B61</f>
        <v>21.835164835164836</v>
      </c>
      <c r="E96" s="120">
        <f>(('DB Balance'!H63*D96^0)+('DB Balance'!H64*D96^1)+('DB Balance'!H65*D96^2)+('DB Balance'!H66*D96^3)+('DB Balance'!H67*D96^4))</f>
        <v>997.97602528834307</v>
      </c>
      <c r="F96" s="120">
        <f>C96+J128</f>
        <v>9.975049875E-2</v>
      </c>
      <c r="G96" s="120">
        <f>ABS((1/((E96-B82)/1000))*(1-B82/C82))</f>
        <v>1.0030642410473858</v>
      </c>
      <c r="H96" s="120">
        <f>(1-D82*(D96-C77))</f>
        <v>0.99944945054945056</v>
      </c>
      <c r="I96" s="120">
        <f>(F96*G96*H96)</f>
        <v>0.10000107245977827</v>
      </c>
      <c r="J96" s="436">
        <f>I96*'DB Balance'!H71</f>
        <v>100.00107245977827</v>
      </c>
      <c r="K96" s="444">
        <f>(J96)-(B96)</f>
        <v>1.0724597782711953E-3</v>
      </c>
      <c r="L96" s="440" t="s">
        <v>271</v>
      </c>
      <c r="O96" s="15">
        <v>8</v>
      </c>
      <c r="P96" s="153">
        <f>VLOOKUP($P$88,$X$48:$AC$51,2)</f>
        <v>14.00001</v>
      </c>
      <c r="Q96" s="153">
        <f>VLOOKUP($P$88,$X$48:$AC$51,3,FALSE)</f>
        <v>1.0000000000000001E-5</v>
      </c>
      <c r="R96" s="153">
        <f>VLOOKUP($P$88,$X$48:$AC$51,4,FALSE)</f>
        <v>-1.0000000000000001E-5</v>
      </c>
      <c r="S96" s="153">
        <f>VLOOKUP($P$88,$X$48:$AC$51,5,FALSE)</f>
        <v>-2.0000000000000002E-5</v>
      </c>
      <c r="T96" s="153">
        <f>VLOOKUP($P$88,$X$48:$AC$51,6,FALSE)</f>
        <v>1.5000000000000002E-5</v>
      </c>
      <c r="V96" s="580">
        <f>AVERAGE(ID!E44:F53)</f>
        <v>9.9750000000000005E-2</v>
      </c>
      <c r="W96" s="581"/>
      <c r="X96" s="578">
        <f>((V96-W95)/(W97-W95)*(Y97-Y95)+Y95)</f>
        <v>4.987500000000001E-7</v>
      </c>
      <c r="Y96" s="582"/>
    </row>
    <row r="97" spans="1:25" ht="43.8" thickBot="1" x14ac:dyDescent="0.35">
      <c r="J97" s="65"/>
      <c r="K97" s="444">
        <f>E84</f>
        <v>0</v>
      </c>
      <c r="L97" s="440" t="s">
        <v>272</v>
      </c>
      <c r="O97" s="15">
        <v>9</v>
      </c>
      <c r="P97" s="153">
        <f>VLOOKUP($P$88,$X$56:$AC$59,2)</f>
        <v>16.000019999999999</v>
      </c>
      <c r="Q97" s="153">
        <f>VLOOKUP($P$88,$X$56:$AC$59,3,FALSE)</f>
        <v>-1.0000000000000001E-5</v>
      </c>
      <c r="R97" s="153">
        <f>VLOOKUP($P$88,$X$56:$AC$59,4,FALSE)</f>
        <v>-1.0000000000000001E-5</v>
      </c>
      <c r="S97" s="153">
        <f>VLOOKUP($P$88,$X$56:$AC$59,5,FALSE)</f>
        <v>-3.0000000000000001E-5</v>
      </c>
      <c r="T97" s="153">
        <f>VLOOKUP($P$88,$X$56:$AC$59,6,FALSE)</f>
        <v>9.9999999999999991E-6</v>
      </c>
      <c r="V97" s="583"/>
      <c r="W97" s="584">
        <f>IF($V$96&lt;=$P$90,$P$90,IF($V$96&lt;=$P$91,$P$91,IF($V$96&lt;=$P$92,$P$92,IF($V$96&lt;=$P$93,$P$93,IF($V$96&lt;=$P$94,$P$94,IF($V$96&lt;=$P$95,$P$95,IF($V$96&lt;=$P$96,$P$96,IF($V$96&lt;=$P$97,$P$97,IF($V$96&lt;=$P$98,$P$98,IF($V$96&lt;=$P$99,$P$99))))))))))</f>
        <v>2</v>
      </c>
      <c r="X97" s="584"/>
      <c r="Y97" s="585">
        <f>IF($V$96&lt;=$P$90,$Q$90,IF($V$96&lt;=$P$91,$Q$91,IF($V$96&lt;=$P$92,$Q$92,IF($V$96&lt;=$P$93,$Q$93,IF($V$96&lt;=$P$94,$Q$94,IF($V$96&lt;=$P$95,$Q$95,IF($V$96&lt;=$P$96,$Q$96,IF($V$96&lt;=$P$97,$Q$97,IF($V$96&lt;=$P$98,$Q$98,IF($V$96&lt;=$P$99,$Q$99))))))))))</f>
        <v>1.0000000000000001E-5</v>
      </c>
    </row>
    <row r="98" spans="1:25" x14ac:dyDescent="0.3">
      <c r="A98" s="165" t="s">
        <v>273</v>
      </c>
      <c r="B98" s="166"/>
      <c r="C98" s="167"/>
      <c r="D98" s="154">
        <f>(STDEV(ID!E29:F38)/10^0.5)+$B$69</f>
        <v>4.0000000000000579E-5</v>
      </c>
      <c r="E98" s="106" t="s">
        <v>274</v>
      </c>
      <c r="J98" s="65"/>
      <c r="K98" s="65"/>
      <c r="O98" s="15">
        <v>10</v>
      </c>
      <c r="P98" s="153">
        <f>VLOOKUP($P$88,$X$64:$AC$67,2)</f>
        <v>18.000019999999999</v>
      </c>
      <c r="Q98" s="153">
        <f>VLOOKUP($P$88,$X$64:$AC$67,3,FALSE)</f>
        <v>0</v>
      </c>
      <c r="R98" s="153">
        <f>VLOOKUP($P$88,$X$64:$AC$67,4,FALSE)</f>
        <v>0</v>
      </c>
      <c r="S98" s="153">
        <f>VLOOKUP($P$88,$X$64:$AC$67,5,FALSE)</f>
        <v>-2.0000000000000002E-5</v>
      </c>
      <c r="T98" s="153">
        <f>VLOOKUP($P$88,$X$64:$AC$67,6,FALSE)</f>
        <v>1.0000000000000001E-5</v>
      </c>
    </row>
    <row r="99" spans="1:25" x14ac:dyDescent="0.3">
      <c r="A99" s="165" t="s">
        <v>275</v>
      </c>
      <c r="D99" s="154">
        <f>(STDEV(ID!K29:L38)/10^0.5)+$B$69</f>
        <v>4.0000000000002314E-5</v>
      </c>
      <c r="E99" s="106" t="s">
        <v>274</v>
      </c>
      <c r="J99" s="65"/>
      <c r="K99" s="65"/>
      <c r="O99" s="15">
        <v>11</v>
      </c>
      <c r="P99" s="153">
        <f>VLOOKUP($P$88,$X$72:$AC$75,2)</f>
        <v>20.000029999999999</v>
      </c>
      <c r="Q99" s="153">
        <f>VLOOKUP($P$88,$X$72:$AC$75,3,FALSE)</f>
        <v>-4.0000000000000003E-5</v>
      </c>
      <c r="R99" s="153">
        <f>VLOOKUP($P$88,$X$72:$AC$75,4,FALSE)</f>
        <v>-2.0000000000000002E-5</v>
      </c>
      <c r="S99" s="153">
        <f>VLOOKUP($P$88,$X$72:$AC$75,5,FALSE)</f>
        <v>-4.0000000000000003E-5</v>
      </c>
      <c r="T99" s="153">
        <f>VLOOKUP($P$88,$X$72:$AC$75,6,FALSE)</f>
        <v>1.0000000000000001E-5</v>
      </c>
    </row>
    <row r="100" spans="1:25" x14ac:dyDescent="0.3">
      <c r="A100" s="165" t="s">
        <v>276</v>
      </c>
      <c r="B100" s="166"/>
      <c r="C100" s="167"/>
      <c r="D100" s="154">
        <f>(STDEV(ID!E44:F53)/10^0.5)+$B$69</f>
        <v>4.0000000000000003E-5</v>
      </c>
      <c r="E100" s="106" t="s">
        <v>274</v>
      </c>
      <c r="J100" s="65"/>
      <c r="K100" s="65"/>
      <c r="O100" s="1"/>
      <c r="P100" s="552"/>
      <c r="Q100" s="552"/>
      <c r="R100" s="552"/>
      <c r="S100" s="552"/>
      <c r="T100" s="552"/>
    </row>
    <row r="101" spans="1:25" x14ac:dyDescent="0.3">
      <c r="A101" s="165" t="s">
        <v>277</v>
      </c>
      <c r="B101" s="166"/>
      <c r="C101" s="167"/>
      <c r="D101" s="154">
        <f>B69</f>
        <v>4.0000000000000003E-5</v>
      </c>
      <c r="E101" s="106" t="s">
        <v>274</v>
      </c>
      <c r="J101" s="65"/>
      <c r="K101" s="65"/>
      <c r="O101" s="1"/>
      <c r="P101" s="552"/>
      <c r="Q101" s="552"/>
      <c r="R101" s="552"/>
      <c r="S101" s="552"/>
      <c r="T101" s="552"/>
    </row>
    <row r="102" spans="1:25" x14ac:dyDescent="0.3">
      <c r="A102" s="165" t="s">
        <v>278</v>
      </c>
      <c r="B102" s="166"/>
      <c r="C102" s="167"/>
      <c r="D102" s="154">
        <f>'DB Thermo Air'!B55</f>
        <v>0.2</v>
      </c>
      <c r="E102" s="106" t="s">
        <v>279</v>
      </c>
      <c r="J102" s="65"/>
      <c r="K102" s="65"/>
    </row>
    <row r="103" spans="1:25" x14ac:dyDescent="0.3">
      <c r="A103" s="165" t="s">
        <v>280</v>
      </c>
      <c r="B103" s="166"/>
      <c r="C103" s="167"/>
      <c r="D103" s="164">
        <f>C82</f>
        <v>8000</v>
      </c>
      <c r="E103" s="106" t="s">
        <v>281</v>
      </c>
      <c r="F103" s="171">
        <f>D103*H73</f>
        <v>8</v>
      </c>
      <c r="G103" s="170" t="s">
        <v>244</v>
      </c>
    </row>
    <row r="104" spans="1:25" x14ac:dyDescent="0.3">
      <c r="A104" s="165" t="s">
        <v>282</v>
      </c>
      <c r="B104" s="166"/>
      <c r="C104" s="167"/>
      <c r="D104" s="156">
        <f>D88</f>
        <v>21.835164835164836</v>
      </c>
      <c r="E104" s="106" t="s">
        <v>279</v>
      </c>
    </row>
    <row r="105" spans="1:25" x14ac:dyDescent="0.3">
      <c r="A105" s="165" t="s">
        <v>283</v>
      </c>
      <c r="B105" s="166"/>
      <c r="C105" s="167"/>
      <c r="D105" s="15">
        <f>D82</f>
        <v>2.9999999999999997E-4</v>
      </c>
      <c r="E105" s="106" t="s">
        <v>279</v>
      </c>
      <c r="G105" s="453" t="s">
        <v>152</v>
      </c>
      <c r="H105" s="452" t="s">
        <v>284</v>
      </c>
      <c r="I105" s="494" t="s">
        <v>285</v>
      </c>
    </row>
    <row r="106" spans="1:25" x14ac:dyDescent="0.3">
      <c r="A106" s="165" t="s">
        <v>286</v>
      </c>
      <c r="B106" s="166"/>
      <c r="C106" s="167"/>
      <c r="D106" s="154">
        <f>E69</f>
        <v>1.4999999999999995E-5</v>
      </c>
      <c r="E106" s="106" t="s">
        <v>274</v>
      </c>
      <c r="G106" s="451">
        <f>UB!P18</f>
        <v>0.184254947433908</v>
      </c>
      <c r="H106" s="450" t="str">
        <f>IF(G106&gt;=10,"0",IF(G106&lt;1,"0.00","0.0"))</f>
        <v>0.00</v>
      </c>
      <c r="I106" s="495" t="str">
        <f>TEXT(G106,$H$106)</f>
        <v>0.18</v>
      </c>
      <c r="J106" s="468"/>
    </row>
    <row r="107" spans="1:25" x14ac:dyDescent="0.3">
      <c r="A107" s="165" t="s">
        <v>129</v>
      </c>
      <c r="B107" s="166"/>
      <c r="C107" s="167"/>
      <c r="D107" s="15">
        <v>150</v>
      </c>
      <c r="E107" s="106" t="s">
        <v>130</v>
      </c>
      <c r="G107" s="451">
        <f>UB!P36</f>
        <v>0.18058245725672567</v>
      </c>
      <c r="H107" s="496"/>
      <c r="I107" s="495" t="str">
        <f>TEXT(G107,$H$106)</f>
        <v>0.18</v>
      </c>
      <c r="J107" s="469"/>
    </row>
    <row r="108" spans="1:25" x14ac:dyDescent="0.3">
      <c r="G108" s="451">
        <f>UB!P54</f>
        <v>0.18058245725672548</v>
      </c>
      <c r="H108" s="496"/>
      <c r="I108" s="495" t="str">
        <f>TEXT(G108,$H$106)</f>
        <v>0.18</v>
      </c>
    </row>
    <row r="109" spans="1:25" ht="15.6" x14ac:dyDescent="0.3">
      <c r="A109" s="900" t="s">
        <v>287</v>
      </c>
      <c r="B109" s="900"/>
      <c r="C109" s="900"/>
      <c r="D109" s="900"/>
      <c r="E109" s="900"/>
    </row>
    <row r="110" spans="1:25" ht="14.4" customHeight="1" x14ac:dyDescent="0.3">
      <c r="A110" s="200" t="s">
        <v>288</v>
      </c>
      <c r="B110" s="895" t="s">
        <v>289</v>
      </c>
      <c r="C110" s="895"/>
      <c r="D110" s="896" t="s">
        <v>290</v>
      </c>
      <c r="E110" s="896"/>
      <c r="G110" s="887" t="s">
        <v>30</v>
      </c>
      <c r="H110" s="887" t="s">
        <v>287</v>
      </c>
      <c r="I110" s="887"/>
      <c r="J110" s="887"/>
      <c r="K110" s="887"/>
    </row>
    <row r="111" spans="1:25" ht="15.6" x14ac:dyDescent="0.3">
      <c r="A111" s="181">
        <v>0.5</v>
      </c>
      <c r="B111" s="181">
        <v>0.05</v>
      </c>
      <c r="C111" s="201">
        <v>5</v>
      </c>
      <c r="D111" s="181">
        <v>0.05</v>
      </c>
      <c r="E111" s="201">
        <v>5</v>
      </c>
      <c r="G111" s="887"/>
      <c r="H111" s="904" t="s">
        <v>291</v>
      </c>
      <c r="I111" s="904"/>
      <c r="J111" s="905" t="s">
        <v>292</v>
      </c>
      <c r="K111" s="905"/>
    </row>
    <row r="112" spans="1:25" ht="15.6" x14ac:dyDescent="0.3">
      <c r="A112" s="181">
        <v>1</v>
      </c>
      <c r="B112" s="181">
        <v>0.05</v>
      </c>
      <c r="C112" s="201">
        <v>5</v>
      </c>
      <c r="D112" s="181">
        <v>0.05</v>
      </c>
      <c r="E112" s="201">
        <v>5</v>
      </c>
      <c r="G112" s="887"/>
      <c r="H112" s="904"/>
      <c r="I112" s="904"/>
      <c r="J112" s="455" t="s">
        <v>293</v>
      </c>
      <c r="K112" s="470" t="s">
        <v>294</v>
      </c>
    </row>
    <row r="113" spans="1:11" ht="15.6" x14ac:dyDescent="0.3">
      <c r="A113" s="181">
        <v>2</v>
      </c>
      <c r="B113" s="181">
        <v>0.08</v>
      </c>
      <c r="C113" s="201">
        <v>4</v>
      </c>
      <c r="D113" s="181">
        <v>0.04</v>
      </c>
      <c r="E113" s="201">
        <v>2</v>
      </c>
      <c r="G113" s="498">
        <f>B88</f>
        <v>10</v>
      </c>
      <c r="H113" s="456">
        <f>VLOOKUP(ID!$D$29,'DB Balance'!$A$111:$E$128,2,FALSE)</f>
        <v>0.12</v>
      </c>
      <c r="I113" s="497">
        <f>VLOOKUP(ID!$D$29,'DB Balance'!$A$111:$E$128,3,FALSE)</f>
        <v>1.2</v>
      </c>
      <c r="J113" s="456">
        <f>VLOOKUP(ID!$D$29,'DB Balance'!$A$111:$E$128,4,FALSE)</f>
        <v>0.08</v>
      </c>
      <c r="K113" s="497">
        <f>VLOOKUP(ID!$D$29,'DB Balance'!$A$111:$E$128,5,FALSE)</f>
        <v>0.8</v>
      </c>
    </row>
    <row r="114" spans="1:11" ht="15.6" x14ac:dyDescent="0.3">
      <c r="A114" s="601">
        <v>2.5</v>
      </c>
      <c r="B114" s="601">
        <v>0.08</v>
      </c>
      <c r="C114" s="602">
        <v>4</v>
      </c>
      <c r="D114" s="601">
        <v>0.04</v>
      </c>
      <c r="E114" s="602">
        <v>2</v>
      </c>
      <c r="G114" s="498">
        <f>B92</f>
        <v>50</v>
      </c>
      <c r="H114" s="456">
        <f>VLOOKUP(ID!$J$29,'DB Balance'!$A$111:$E$128,2,FALSE)</f>
        <v>0.5</v>
      </c>
      <c r="I114" s="497">
        <f>VLOOKUP(ID!$J$29,'DB Balance'!$A$111:$E$128,3,FALSE)</f>
        <v>1</v>
      </c>
      <c r="J114" s="456">
        <f>VLOOKUP(ID!$J$29,'DB Balance'!$A$111:$E$128,4,FALSE)</f>
        <v>0.2</v>
      </c>
      <c r="K114" s="497">
        <f>VLOOKUP(ID!$J$29,'DB Balance'!$A$111:$E$128,5,FALSE)</f>
        <v>0.4</v>
      </c>
    </row>
    <row r="115" spans="1:11" ht="15.6" x14ac:dyDescent="0.3">
      <c r="A115" s="181">
        <v>5</v>
      </c>
      <c r="B115" s="181">
        <v>0.125</v>
      </c>
      <c r="C115" s="201">
        <v>2.5</v>
      </c>
      <c r="D115" s="181">
        <v>7.4999999999999997E-2</v>
      </c>
      <c r="E115" s="201">
        <v>1.5</v>
      </c>
      <c r="G115" s="498">
        <f>B96</f>
        <v>100</v>
      </c>
      <c r="H115" s="456">
        <f>VLOOKUP(ID!$D$44,'DB Balance'!$A$111:$E$128,2,FALSE)</f>
        <v>0.8</v>
      </c>
      <c r="I115" s="497">
        <f>VLOOKUP(ID!$D$44,'DB Balance'!$A$111:$E$128,3,FALSE)</f>
        <v>0.8</v>
      </c>
      <c r="J115" s="456">
        <f>VLOOKUP(ID!$D$44,'DB Balance'!$A$111:$E$128,4,FALSE)</f>
        <v>0.3</v>
      </c>
      <c r="K115" s="497">
        <f>VLOOKUP(ID!$D$44,'DB Balance'!$A$111:$E$128,5,FALSE)</f>
        <v>0.3</v>
      </c>
    </row>
    <row r="116" spans="1:11" ht="15.6" x14ac:dyDescent="0.3">
      <c r="A116" s="181">
        <v>10</v>
      </c>
      <c r="B116" s="181">
        <v>0.12</v>
      </c>
      <c r="C116" s="201">
        <v>1.2</v>
      </c>
      <c r="D116" s="181">
        <v>0.08</v>
      </c>
      <c r="E116" s="201">
        <v>0.8</v>
      </c>
    </row>
    <row r="117" spans="1:11" ht="15.6" x14ac:dyDescent="0.3">
      <c r="A117" s="181">
        <v>20</v>
      </c>
      <c r="B117" s="181">
        <v>0.2</v>
      </c>
      <c r="C117" s="201">
        <v>1</v>
      </c>
      <c r="D117" s="181">
        <v>0.1</v>
      </c>
      <c r="E117" s="201">
        <v>0.5</v>
      </c>
      <c r="G117" s="887" t="s">
        <v>30</v>
      </c>
      <c r="H117" s="903" t="s">
        <v>295</v>
      </c>
      <c r="I117" s="903"/>
      <c r="J117" s="903"/>
      <c r="K117" s="903"/>
    </row>
    <row r="118" spans="1:11" ht="15.6" x14ac:dyDescent="0.3">
      <c r="A118" s="181">
        <v>25</v>
      </c>
      <c r="B118" s="181">
        <v>0.5</v>
      </c>
      <c r="C118" s="201">
        <v>1</v>
      </c>
      <c r="D118" s="181">
        <v>0.2</v>
      </c>
      <c r="E118" s="201">
        <v>0.4</v>
      </c>
      <c r="G118" s="887"/>
      <c r="H118" s="901" t="s">
        <v>296</v>
      </c>
      <c r="I118" s="901"/>
      <c r="J118" s="902" t="s">
        <v>292</v>
      </c>
      <c r="K118" s="902"/>
    </row>
    <row r="119" spans="1:11" ht="15.6" x14ac:dyDescent="0.3">
      <c r="A119" s="181">
        <v>50</v>
      </c>
      <c r="B119" s="181">
        <v>0.5</v>
      </c>
      <c r="C119" s="201">
        <v>1</v>
      </c>
      <c r="D119" s="181">
        <v>0.2</v>
      </c>
      <c r="E119" s="201">
        <v>0.4</v>
      </c>
      <c r="G119" s="493"/>
      <c r="H119" s="437"/>
      <c r="I119" s="437"/>
      <c r="J119" s="441" t="s">
        <v>293</v>
      </c>
      <c r="K119" s="441" t="s">
        <v>294</v>
      </c>
    </row>
    <row r="120" spans="1:11" ht="15.6" x14ac:dyDescent="0.3">
      <c r="A120" s="181">
        <v>100</v>
      </c>
      <c r="B120" s="181">
        <v>0.8</v>
      </c>
      <c r="C120" s="201">
        <v>0.8</v>
      </c>
      <c r="D120" s="202">
        <v>0.3</v>
      </c>
      <c r="E120" s="201">
        <v>0.3</v>
      </c>
      <c r="G120" s="498">
        <f>G113</f>
        <v>10</v>
      </c>
      <c r="H120" s="587">
        <f>K88</f>
        <v>1.5144700481332762E-2</v>
      </c>
      <c r="I120" s="438">
        <f>100*(B88-J88)/J88</f>
        <v>-0.1512179896971923</v>
      </c>
      <c r="J120" s="589">
        <f>K89</f>
        <v>1.8285590982170319E-18</v>
      </c>
      <c r="K120" s="439">
        <f>100*(K89/J88)</f>
        <v>1.8257939879082828E-17</v>
      </c>
    </row>
    <row r="121" spans="1:11" ht="15.6" x14ac:dyDescent="0.3">
      <c r="A121" s="181">
        <v>200</v>
      </c>
      <c r="B121" s="181">
        <v>1.6</v>
      </c>
      <c r="C121" s="201">
        <v>0.8</v>
      </c>
      <c r="D121" s="202">
        <v>0.6</v>
      </c>
      <c r="E121" s="201">
        <v>0.3</v>
      </c>
      <c r="G121" s="498">
        <f t="shared" ref="G121:G122" si="68">G114</f>
        <v>50</v>
      </c>
      <c r="H121" s="588">
        <f>K92</f>
        <v>5.548814974829952E-3</v>
      </c>
      <c r="I121" s="438">
        <f>100*(B92-J92)/J92</f>
        <v>-1.1096398512415256E-2</v>
      </c>
      <c r="J121" s="590">
        <f>K93</f>
        <v>7.3142363928681276E-18</v>
      </c>
      <c r="K121" s="439">
        <f>100*(K93/J92)</f>
        <v>1.4626849552099668E-17</v>
      </c>
    </row>
    <row r="122" spans="1:11" ht="15.6" x14ac:dyDescent="0.3">
      <c r="A122" s="181">
        <v>250</v>
      </c>
      <c r="B122" s="181">
        <v>4</v>
      </c>
      <c r="C122" s="201">
        <v>0.8</v>
      </c>
      <c r="D122" s="181">
        <v>0.6</v>
      </c>
      <c r="E122" s="201">
        <v>0.3</v>
      </c>
      <c r="G122" s="498">
        <f t="shared" si="68"/>
        <v>100</v>
      </c>
      <c r="H122" s="588">
        <f>K96</f>
        <v>1.0724597782711953E-3</v>
      </c>
      <c r="I122" s="438">
        <f>100*(B96-J96)/J96</f>
        <v>-1.0724482766947851E-3</v>
      </c>
      <c r="J122" s="590">
        <f>K97</f>
        <v>0</v>
      </c>
      <c r="K122" s="439">
        <f>100*(K97/J96)</f>
        <v>0</v>
      </c>
    </row>
    <row r="123" spans="1:11" ht="15.6" x14ac:dyDescent="0.3">
      <c r="A123" s="181">
        <v>300</v>
      </c>
      <c r="B123" s="181">
        <v>4</v>
      </c>
      <c r="C123" s="201">
        <v>0.8</v>
      </c>
      <c r="D123" s="181">
        <v>0.6</v>
      </c>
      <c r="E123" s="201">
        <v>0.3</v>
      </c>
      <c r="K123" s="65"/>
    </row>
    <row r="124" spans="1:11" ht="15.6" x14ac:dyDescent="0.3">
      <c r="A124" s="181">
        <v>500</v>
      </c>
      <c r="B124" s="181">
        <v>4</v>
      </c>
      <c r="C124" s="201">
        <v>0.8</v>
      </c>
      <c r="D124" s="181">
        <v>1.5</v>
      </c>
      <c r="E124" s="201">
        <v>0.3</v>
      </c>
      <c r="G124" s="889" t="s">
        <v>297</v>
      </c>
      <c r="H124" s="890"/>
      <c r="I124" s="890"/>
      <c r="J124" s="891"/>
      <c r="K124" s="65"/>
    </row>
    <row r="125" spans="1:11" ht="15.6" x14ac:dyDescent="0.3">
      <c r="A125" s="181">
        <v>1000</v>
      </c>
      <c r="B125" s="181">
        <v>8</v>
      </c>
      <c r="C125" s="201">
        <v>0.8</v>
      </c>
      <c r="D125" s="181">
        <v>3</v>
      </c>
      <c r="E125" s="201">
        <v>0.3</v>
      </c>
      <c r="G125" s="475" t="s">
        <v>30</v>
      </c>
      <c r="H125" s="475" t="s">
        <v>298</v>
      </c>
      <c r="I125" s="475" t="s">
        <v>299</v>
      </c>
      <c r="J125" s="474" t="s">
        <v>300</v>
      </c>
      <c r="K125" s="65"/>
    </row>
    <row r="126" spans="1:11" ht="15.6" x14ac:dyDescent="0.3">
      <c r="A126" s="181">
        <v>2000</v>
      </c>
      <c r="B126" s="181">
        <v>16</v>
      </c>
      <c r="C126" s="201">
        <v>0.8</v>
      </c>
      <c r="D126" s="181">
        <v>5</v>
      </c>
      <c r="E126" s="201">
        <v>0.3</v>
      </c>
      <c r="G126" s="499">
        <f>G113</f>
        <v>10</v>
      </c>
      <c r="H126" s="489">
        <f>ID!E38</f>
        <v>9.9299999999999996E-3</v>
      </c>
      <c r="I126" s="489">
        <f>IF(ID!E39="-",ID!E38,ID!E39)</f>
        <v>9.8700000000000003E-3</v>
      </c>
      <c r="J126" s="476">
        <f>H126-I126</f>
        <v>5.999999999999929E-5</v>
      </c>
      <c r="K126" s="65"/>
    </row>
    <row r="127" spans="1:11" ht="15.6" x14ac:dyDescent="0.3">
      <c r="A127" s="181">
        <v>5000</v>
      </c>
      <c r="B127" s="181">
        <v>40</v>
      </c>
      <c r="C127" s="201">
        <v>0.8</v>
      </c>
      <c r="D127" s="181">
        <v>15</v>
      </c>
      <c r="E127" s="201">
        <v>0.3</v>
      </c>
      <c r="G127" s="499">
        <f>G114</f>
        <v>50</v>
      </c>
      <c r="H127" s="489">
        <f>ID!K38</f>
        <v>4.9880000000000001E-2</v>
      </c>
      <c r="I127" s="489">
        <f>IF(ID!K39="-",ID!K38,ID!K39)</f>
        <v>4.9880000000000001E-2</v>
      </c>
      <c r="J127" s="476">
        <f t="shared" ref="J127:J128" si="69">H127-I127</f>
        <v>0</v>
      </c>
      <c r="K127" s="65"/>
    </row>
    <row r="128" spans="1:11" ht="15.6" x14ac:dyDescent="0.3">
      <c r="A128" s="181"/>
      <c r="B128" s="181"/>
      <c r="C128" s="106"/>
      <c r="D128" s="181"/>
      <c r="E128" s="106"/>
      <c r="G128" s="499">
        <f>G115</f>
        <v>100</v>
      </c>
      <c r="H128" s="489">
        <f>ID!E53</f>
        <v>9.9750000000000005E-2</v>
      </c>
      <c r="I128" s="489">
        <f>IF(ID!E54="-",ID!E53,ID!E54)</f>
        <v>9.9750000000000005E-2</v>
      </c>
      <c r="J128" s="476">
        <f t="shared" si="69"/>
        <v>0</v>
      </c>
      <c r="K128" s="65"/>
    </row>
    <row r="129" spans="1:11" x14ac:dyDescent="0.3">
      <c r="J129" s="65"/>
      <c r="K129" s="65"/>
    </row>
    <row r="130" spans="1:11" x14ac:dyDescent="0.3">
      <c r="A130" s="137" t="str">
        <f>ID!B62</f>
        <v>Pippette Callibration Balance, Merek : Sartorius, Tipe : MSA 225S-100-DU, SN : 36301077</v>
      </c>
      <c r="B130" s="138"/>
      <c r="C130" s="138"/>
      <c r="D130" s="138"/>
      <c r="E130" s="138"/>
      <c r="F130" s="138"/>
      <c r="G130" s="138"/>
      <c r="H130" s="139"/>
      <c r="I130" s="133"/>
      <c r="J130" s="133"/>
      <c r="K130" s="133"/>
    </row>
    <row r="131" spans="1:11" ht="15" x14ac:dyDescent="0.3">
      <c r="A131" s="140" t="s">
        <v>374</v>
      </c>
      <c r="B131" s="134"/>
      <c r="C131" s="134"/>
      <c r="D131" s="135"/>
      <c r="E131" s="135"/>
      <c r="F131" s="135"/>
      <c r="G131" s="135"/>
      <c r="H131" s="136">
        <f>B3</f>
        <v>2023</v>
      </c>
      <c r="I131" s="136">
        <f>C3</f>
        <v>2022</v>
      </c>
      <c r="J131" s="391">
        <f>D3</f>
        <v>2021</v>
      </c>
      <c r="K131" s="136">
        <v>1</v>
      </c>
    </row>
    <row r="132" spans="1:11" ht="15" x14ac:dyDescent="0.3">
      <c r="A132" s="140" t="s">
        <v>375</v>
      </c>
      <c r="B132" s="134"/>
      <c r="C132" s="134"/>
      <c r="D132" s="135"/>
      <c r="E132" s="135"/>
      <c r="F132" s="135"/>
      <c r="G132" s="135"/>
      <c r="H132" s="136">
        <f>B12</f>
        <v>2023</v>
      </c>
      <c r="I132" s="136">
        <f>C12</f>
        <v>2022</v>
      </c>
      <c r="J132" s="391">
        <f>D12</f>
        <v>2021</v>
      </c>
      <c r="K132" s="136">
        <v>2</v>
      </c>
    </row>
    <row r="133" spans="1:11" ht="15" x14ac:dyDescent="0.3">
      <c r="A133" s="140" t="s">
        <v>376</v>
      </c>
      <c r="B133" s="134"/>
      <c r="C133" s="134"/>
      <c r="D133" s="135"/>
      <c r="E133" s="135"/>
      <c r="F133" s="135"/>
      <c r="G133" s="135"/>
      <c r="H133" s="136">
        <f>B21</f>
        <v>2023</v>
      </c>
      <c r="I133" s="136">
        <f>C21</f>
        <v>2021</v>
      </c>
      <c r="J133" s="391">
        <f>D21</f>
        <v>2020</v>
      </c>
      <c r="K133" s="136">
        <v>3</v>
      </c>
    </row>
    <row r="134" spans="1:11" ht="15" x14ac:dyDescent="0.3">
      <c r="A134" s="140" t="s">
        <v>301</v>
      </c>
      <c r="B134" s="134"/>
      <c r="C134" s="134"/>
      <c r="D134" s="135"/>
      <c r="E134" s="135"/>
      <c r="F134" s="135"/>
      <c r="G134" s="135"/>
      <c r="H134" s="136">
        <f>B30</f>
        <v>2020</v>
      </c>
      <c r="I134" s="136">
        <f>C30</f>
        <v>2020</v>
      </c>
      <c r="J134" s="391">
        <f>D30</f>
        <v>2010</v>
      </c>
      <c r="K134" s="136">
        <v>4</v>
      </c>
    </row>
    <row r="135" spans="1:11" x14ac:dyDescent="0.3">
      <c r="A135" s="897">
        <f>VLOOKUP(A130,A131:K134,11,(FALSE))</f>
        <v>2</v>
      </c>
      <c r="B135" s="897"/>
      <c r="C135" s="897"/>
      <c r="D135" s="897"/>
      <c r="E135" s="897"/>
      <c r="F135" s="897"/>
      <c r="G135" s="897"/>
      <c r="H135" s="897"/>
      <c r="I135" s="897"/>
      <c r="J135" s="897"/>
      <c r="K135" s="897"/>
    </row>
    <row r="136" spans="1:11" ht="15" thickBot="1" x14ac:dyDescent="0.35">
      <c r="J136" s="65"/>
      <c r="K136" s="65"/>
    </row>
    <row r="137" spans="1:11" x14ac:dyDescent="0.3">
      <c r="A137" s="892">
        <f>A135</f>
        <v>2</v>
      </c>
      <c r="B137" s="893"/>
      <c r="C137" s="893"/>
      <c r="D137" s="893"/>
      <c r="E137" s="893"/>
      <c r="F137" s="893"/>
      <c r="G137" s="894"/>
      <c r="H137" s="149"/>
      <c r="I137" s="148"/>
      <c r="J137" s="148"/>
      <c r="K137" s="148"/>
    </row>
    <row r="138" spans="1:11" x14ac:dyDescent="0.3">
      <c r="A138" s="142">
        <v>1</v>
      </c>
      <c r="B138" s="143" t="s">
        <v>302</v>
      </c>
      <c r="C138" s="144"/>
      <c r="D138" s="144"/>
      <c r="E138" s="144"/>
      <c r="F138" s="144"/>
      <c r="G138" s="144"/>
      <c r="H138" s="150"/>
      <c r="I138" s="55"/>
      <c r="J138" s="55"/>
      <c r="K138" s="55"/>
    </row>
    <row r="139" spans="1:11" x14ac:dyDescent="0.3">
      <c r="A139" s="142">
        <v>2</v>
      </c>
      <c r="B139" s="143" t="s">
        <v>302</v>
      </c>
      <c r="C139" s="144"/>
      <c r="D139" s="144"/>
      <c r="E139" s="144"/>
      <c r="F139" s="144"/>
      <c r="G139" s="144"/>
      <c r="H139" s="150"/>
      <c r="I139" s="55"/>
      <c r="J139" s="55"/>
      <c r="K139" s="55"/>
    </row>
    <row r="140" spans="1:11" x14ac:dyDescent="0.3">
      <c r="A140" s="142">
        <v>3</v>
      </c>
      <c r="B140" s="143" t="s">
        <v>302</v>
      </c>
      <c r="C140" s="144"/>
      <c r="D140" s="144"/>
      <c r="E140" s="144"/>
      <c r="F140" s="144"/>
      <c r="G140" s="144"/>
      <c r="H140" s="150"/>
      <c r="I140" s="55"/>
      <c r="J140" s="55"/>
      <c r="K140" s="55"/>
    </row>
    <row r="141" spans="1:11" x14ac:dyDescent="0.3">
      <c r="A141" s="142">
        <v>4</v>
      </c>
      <c r="B141" s="143" t="s">
        <v>302</v>
      </c>
      <c r="C141" s="144"/>
      <c r="D141" s="144"/>
      <c r="E141" s="144"/>
      <c r="F141" s="144"/>
      <c r="G141" s="144"/>
      <c r="H141" s="150"/>
      <c r="I141" s="55"/>
      <c r="J141" s="55"/>
      <c r="K141" s="55"/>
    </row>
    <row r="142" spans="1:11" ht="15" thickBot="1" x14ac:dyDescent="0.35">
      <c r="A142" s="145" t="str">
        <f>VLOOKUP(A137,A138:K141,2,FALSE)</f>
        <v>Hasil kalibrasi pippette calibration balance tertelusur ke Satuan Internasional ( SI ) melalui SNSU-BSN</v>
      </c>
      <c r="B142" s="146"/>
      <c r="C142" s="147"/>
      <c r="D142" s="147"/>
      <c r="E142" s="147"/>
      <c r="F142" s="147"/>
      <c r="G142" s="147"/>
      <c r="H142" s="150"/>
      <c r="I142" s="55"/>
      <c r="J142" s="55"/>
      <c r="K142" s="55"/>
    </row>
    <row r="143" spans="1:11" x14ac:dyDescent="0.3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</row>
    <row r="145" spans="1:6" x14ac:dyDescent="0.3">
      <c r="A145" s="442" t="s">
        <v>62</v>
      </c>
      <c r="B145" s="106"/>
    </row>
    <row r="146" spans="1:6" x14ac:dyDescent="0.3">
      <c r="A146" s="442" t="s">
        <v>60</v>
      </c>
      <c r="B146" s="106"/>
      <c r="D146" s="106" t="s">
        <v>97</v>
      </c>
      <c r="F146" s="457" t="s">
        <v>82</v>
      </c>
    </row>
    <row r="147" spans="1:6" x14ac:dyDescent="0.3">
      <c r="A147" s="442" t="s">
        <v>303</v>
      </c>
      <c r="B147" s="106"/>
      <c r="D147" s="106" t="s">
        <v>304</v>
      </c>
    </row>
    <row r="148" spans="1:6" x14ac:dyDescent="0.3">
      <c r="A148" s="442" t="s">
        <v>305</v>
      </c>
      <c r="B148" s="106"/>
      <c r="D148" s="106"/>
    </row>
    <row r="149" spans="1:6" x14ac:dyDescent="0.3">
      <c r="A149" s="442" t="s">
        <v>306</v>
      </c>
      <c r="B149" s="106"/>
      <c r="D149" s="106" t="s">
        <v>307</v>
      </c>
    </row>
    <row r="150" spans="1:6" x14ac:dyDescent="0.3">
      <c r="A150" s="442" t="s">
        <v>308</v>
      </c>
      <c r="B150" s="106"/>
    </row>
    <row r="151" spans="1:6" x14ac:dyDescent="0.3">
      <c r="A151" s="442" t="s">
        <v>309</v>
      </c>
      <c r="B151" s="106"/>
      <c r="D151" s="500" t="s">
        <v>310</v>
      </c>
    </row>
    <row r="152" spans="1:6" x14ac:dyDescent="0.3">
      <c r="A152" s="442" t="s">
        <v>311</v>
      </c>
      <c r="B152" s="106"/>
      <c r="D152" s="500" t="s">
        <v>312</v>
      </c>
    </row>
    <row r="153" spans="1:6" x14ac:dyDescent="0.3">
      <c r="A153" s="442" t="s">
        <v>313</v>
      </c>
      <c r="B153" s="106"/>
      <c r="D153" s="500" t="s">
        <v>314</v>
      </c>
    </row>
    <row r="154" spans="1:6" x14ac:dyDescent="0.3">
      <c r="A154" s="442" t="s">
        <v>315</v>
      </c>
      <c r="B154" s="106"/>
      <c r="D154" s="500" t="s">
        <v>92</v>
      </c>
    </row>
    <row r="155" spans="1:6" x14ac:dyDescent="0.3">
      <c r="A155" s="442" t="s">
        <v>316</v>
      </c>
      <c r="B155" s="106"/>
      <c r="D155" s="500" t="s">
        <v>317</v>
      </c>
    </row>
    <row r="156" spans="1:6" x14ac:dyDescent="0.3">
      <c r="A156" s="442" t="s">
        <v>318</v>
      </c>
      <c r="B156" s="106"/>
      <c r="D156" s="500" t="s">
        <v>319</v>
      </c>
    </row>
    <row r="157" spans="1:6" x14ac:dyDescent="0.3">
      <c r="A157" s="442" t="s">
        <v>320</v>
      </c>
      <c r="B157" s="106"/>
      <c r="D157" s="500" t="s">
        <v>321</v>
      </c>
    </row>
    <row r="158" spans="1:6" x14ac:dyDescent="0.3">
      <c r="A158" s="442" t="s">
        <v>322</v>
      </c>
      <c r="B158" s="106"/>
      <c r="D158" s="500" t="s">
        <v>323</v>
      </c>
    </row>
    <row r="159" spans="1:6" x14ac:dyDescent="0.3">
      <c r="A159" s="442" t="s">
        <v>324</v>
      </c>
      <c r="B159" s="106"/>
      <c r="D159" s="500" t="s">
        <v>325</v>
      </c>
    </row>
    <row r="160" spans="1:6" x14ac:dyDescent="0.3">
      <c r="A160" s="442" t="s">
        <v>326</v>
      </c>
      <c r="B160" s="106"/>
      <c r="D160" s="500" t="s">
        <v>327</v>
      </c>
    </row>
    <row r="161" spans="1:9" x14ac:dyDescent="0.3">
      <c r="A161" s="442" t="s">
        <v>328</v>
      </c>
      <c r="B161" s="106"/>
      <c r="D161" s="500" t="s">
        <v>329</v>
      </c>
    </row>
    <row r="162" spans="1:9" x14ac:dyDescent="0.3">
      <c r="A162" s="442" t="s">
        <v>330</v>
      </c>
      <c r="B162" s="106"/>
      <c r="D162" s="106"/>
    </row>
    <row r="163" spans="1:9" x14ac:dyDescent="0.3">
      <c r="A163" s="442"/>
      <c r="B163" s="106"/>
      <c r="D163" s="106"/>
    </row>
    <row r="164" spans="1:9" x14ac:dyDescent="0.3">
      <c r="A164" s="442"/>
      <c r="B164" s="106"/>
      <c r="D164" s="106"/>
    </row>
    <row r="165" spans="1:9" x14ac:dyDescent="0.3">
      <c r="A165" s="106"/>
      <c r="B165" s="106"/>
      <c r="D165" s="106"/>
    </row>
    <row r="166" spans="1:9" x14ac:dyDescent="0.3">
      <c r="A166" s="442"/>
      <c r="B166" s="106"/>
      <c r="D166" s="106"/>
    </row>
    <row r="168" spans="1:9" ht="15" thickBot="1" x14ac:dyDescent="0.35"/>
    <row r="169" spans="1:9" x14ac:dyDescent="0.3">
      <c r="A169" s="184">
        <f>Penyelia!S27</f>
        <v>1</v>
      </c>
      <c r="B169" s="185"/>
      <c r="C169" s="185"/>
      <c r="D169" s="185"/>
      <c r="E169" s="186"/>
      <c r="F169" s="458"/>
      <c r="G169" s="458"/>
      <c r="H169" s="458"/>
      <c r="I169" s="458"/>
    </row>
    <row r="170" spans="1:9" x14ac:dyDescent="0.3">
      <c r="A170" s="64"/>
      <c r="B170" s="103"/>
      <c r="C170" s="103"/>
      <c r="D170" s="103"/>
      <c r="E170" s="187"/>
      <c r="F170" s="103"/>
      <c r="G170" s="103"/>
      <c r="H170" s="103"/>
      <c r="I170" s="103"/>
    </row>
    <row r="171" spans="1:9" x14ac:dyDescent="0.3">
      <c r="A171" s="865">
        <f>A169</f>
        <v>1</v>
      </c>
      <c r="B171" s="866"/>
      <c r="C171" s="866"/>
      <c r="D171" s="866"/>
      <c r="E171" s="867"/>
      <c r="F171" s="55"/>
      <c r="G171" s="55"/>
      <c r="H171" s="55"/>
      <c r="I171" s="55"/>
    </row>
    <row r="172" spans="1:9" x14ac:dyDescent="0.3">
      <c r="A172" s="142">
        <v>1</v>
      </c>
      <c r="B172" s="143" t="s">
        <v>340</v>
      </c>
      <c r="C172" s="188"/>
      <c r="D172" s="189"/>
      <c r="E172" s="190">
        <v>1</v>
      </c>
      <c r="F172" s="55"/>
      <c r="G172" s="55"/>
      <c r="H172" s="55"/>
      <c r="I172" s="55"/>
    </row>
    <row r="173" spans="1:9" x14ac:dyDescent="0.3">
      <c r="A173" s="142">
        <v>2</v>
      </c>
      <c r="B173" s="143" t="s">
        <v>341</v>
      </c>
      <c r="C173" s="188"/>
      <c r="D173" s="189"/>
      <c r="E173" s="190">
        <v>2</v>
      </c>
      <c r="F173" s="55"/>
      <c r="G173" s="55"/>
      <c r="H173" s="55"/>
      <c r="I173" s="55"/>
    </row>
    <row r="174" spans="1:9" ht="15" thickBot="1" x14ac:dyDescent="0.35">
      <c r="A174" s="868" t="str">
        <f>VLOOKUP(A171,A172:E173,2,FALSE)</f>
        <v xml:space="preserve">Nomor Sertifikat : 36 / </v>
      </c>
      <c r="B174" s="869"/>
      <c r="C174" s="869"/>
      <c r="D174" s="869"/>
      <c r="E174" s="870"/>
      <c r="F174" s="191"/>
      <c r="G174" s="191"/>
      <c r="H174" s="191"/>
      <c r="I174" s="191"/>
    </row>
    <row r="175" spans="1:9" ht="15" thickBot="1" x14ac:dyDescent="0.35">
      <c r="A175" s="868">
        <f>VLOOKUP(A171,A172:E173,5,FALSE)</f>
        <v>1</v>
      </c>
      <c r="B175" s="869"/>
      <c r="C175" s="869"/>
      <c r="D175" s="869"/>
      <c r="E175" s="870"/>
      <c r="F175" s="191"/>
      <c r="G175" s="191"/>
      <c r="H175" s="191"/>
      <c r="I175" s="191"/>
    </row>
    <row r="176" spans="1:9" ht="15" thickBot="1" x14ac:dyDescent="0.35">
      <c r="A176" s="55"/>
      <c r="B176" s="56"/>
      <c r="C176" s="56"/>
      <c r="D176" s="55"/>
      <c r="E176" s="55"/>
      <c r="F176" s="55"/>
      <c r="G176" s="55"/>
      <c r="H176" s="55"/>
      <c r="I176" s="55"/>
    </row>
    <row r="177" spans="1:9" ht="15" thickBot="1" x14ac:dyDescent="0.35">
      <c r="A177" s="871">
        <f>A175</f>
        <v>1</v>
      </c>
      <c r="B177" s="872"/>
      <c r="C177" s="872"/>
      <c r="D177" s="872"/>
      <c r="E177" s="872"/>
      <c r="F177" s="872"/>
      <c r="G177" s="872"/>
      <c r="H177" s="872"/>
      <c r="I177" s="873"/>
    </row>
    <row r="178" spans="1:9" x14ac:dyDescent="0.3">
      <c r="A178" s="57">
        <v>1</v>
      </c>
      <c r="B178" s="58" t="s">
        <v>331</v>
      </c>
      <c r="C178" s="52"/>
      <c r="D178" s="51"/>
      <c r="E178" s="51"/>
      <c r="F178" s="51"/>
      <c r="G178" s="51"/>
      <c r="H178" s="51"/>
      <c r="I178" s="59"/>
    </row>
    <row r="179" spans="1:9" ht="15" thickBot="1" x14ac:dyDescent="0.35">
      <c r="A179" s="60">
        <v>2</v>
      </c>
      <c r="B179" s="454" t="s">
        <v>332</v>
      </c>
      <c r="C179" s="54"/>
      <c r="D179" s="53"/>
      <c r="E179" s="53"/>
      <c r="F179" s="53"/>
      <c r="G179" s="53"/>
      <c r="H179" s="53"/>
      <c r="I179" s="61"/>
    </row>
    <row r="180" spans="1:9" ht="15" thickBot="1" x14ac:dyDescent="0.35">
      <c r="A180" s="50" t="str">
        <f>VLOOKUP(A177,A178:G179,2,FALSE)</f>
        <v/>
      </c>
      <c r="B180" s="177"/>
      <c r="C180" s="177"/>
      <c r="D180" s="62"/>
      <c r="E180" s="62"/>
      <c r="F180" s="62"/>
      <c r="G180" s="62"/>
      <c r="H180" s="62"/>
      <c r="I180" s="63"/>
    </row>
  </sheetData>
  <mergeCells count="201">
    <mergeCell ref="P69:P71"/>
    <mergeCell ref="Q69:Q71"/>
    <mergeCell ref="R69:V69"/>
    <mergeCell ref="R70:R71"/>
    <mergeCell ref="S70:U70"/>
    <mergeCell ref="V70:V71"/>
    <mergeCell ref="V86:Y86"/>
    <mergeCell ref="Y69:AC69"/>
    <mergeCell ref="Y70:Y71"/>
    <mergeCell ref="Z70:AB70"/>
    <mergeCell ref="AC70:AC71"/>
    <mergeCell ref="P80:P83"/>
    <mergeCell ref="W69:W71"/>
    <mergeCell ref="P72:P75"/>
    <mergeCell ref="P77:P79"/>
    <mergeCell ref="Q77:Q79"/>
    <mergeCell ref="R77:V77"/>
    <mergeCell ref="R78:R79"/>
    <mergeCell ref="S78:U78"/>
    <mergeCell ref="V78:V79"/>
    <mergeCell ref="W72:W75"/>
    <mergeCell ref="X69:X71"/>
    <mergeCell ref="Y53:AC53"/>
    <mergeCell ref="Y54:Y55"/>
    <mergeCell ref="Z54:AB54"/>
    <mergeCell ref="AC54:AC55"/>
    <mergeCell ref="W56:W59"/>
    <mergeCell ref="W61:W63"/>
    <mergeCell ref="X61:X63"/>
    <mergeCell ref="Y61:AC61"/>
    <mergeCell ref="Y62:Y63"/>
    <mergeCell ref="Z62:AB62"/>
    <mergeCell ref="AC62:AC63"/>
    <mergeCell ref="W48:W51"/>
    <mergeCell ref="P53:P55"/>
    <mergeCell ref="Q53:Q55"/>
    <mergeCell ref="R53:V53"/>
    <mergeCell ref="R54:R55"/>
    <mergeCell ref="S54:U54"/>
    <mergeCell ref="V54:V55"/>
    <mergeCell ref="X45:X47"/>
    <mergeCell ref="W64:W67"/>
    <mergeCell ref="W53:W55"/>
    <mergeCell ref="X53:X55"/>
    <mergeCell ref="P64:P67"/>
    <mergeCell ref="P56:P59"/>
    <mergeCell ref="P61:P63"/>
    <mergeCell ref="Q61:Q63"/>
    <mergeCell ref="R61:V61"/>
    <mergeCell ref="R62:R63"/>
    <mergeCell ref="S62:U62"/>
    <mergeCell ref="V62:V63"/>
    <mergeCell ref="Y45:AC45"/>
    <mergeCell ref="R46:R47"/>
    <mergeCell ref="S46:U46"/>
    <mergeCell ref="V46:V47"/>
    <mergeCell ref="Y46:Y47"/>
    <mergeCell ref="Z46:AB46"/>
    <mergeCell ref="AC46:AC47"/>
    <mergeCell ref="P40:P43"/>
    <mergeCell ref="W40:W43"/>
    <mergeCell ref="P45:P47"/>
    <mergeCell ref="Q45:Q47"/>
    <mergeCell ref="R45:V45"/>
    <mergeCell ref="W45:W47"/>
    <mergeCell ref="W37:W39"/>
    <mergeCell ref="X37:X39"/>
    <mergeCell ref="Y37:AC37"/>
    <mergeCell ref="R38:R39"/>
    <mergeCell ref="S38:U38"/>
    <mergeCell ref="V38:V39"/>
    <mergeCell ref="Y38:Y39"/>
    <mergeCell ref="Z38:AB38"/>
    <mergeCell ref="AC38:AC39"/>
    <mergeCell ref="A90:A91"/>
    <mergeCell ref="P37:P39"/>
    <mergeCell ref="Q37:Q39"/>
    <mergeCell ref="R37:V37"/>
    <mergeCell ref="M1:Q1"/>
    <mergeCell ref="N2:P2"/>
    <mergeCell ref="Q2:Q3"/>
    <mergeCell ref="G16:K16"/>
    <mergeCell ref="H17:J17"/>
    <mergeCell ref="K17:K18"/>
    <mergeCell ref="M16:Q16"/>
    <mergeCell ref="N17:P17"/>
    <mergeCell ref="Q17:Q18"/>
    <mergeCell ref="G1:K1"/>
    <mergeCell ref="H2:J2"/>
    <mergeCell ref="K2:K3"/>
    <mergeCell ref="P48:P51"/>
    <mergeCell ref="T87:T88"/>
    <mergeCell ref="O86:T86"/>
    <mergeCell ref="O87:S87"/>
    <mergeCell ref="A37:A39"/>
    <mergeCell ref="B37:B39"/>
    <mergeCell ref="H48:H51"/>
    <mergeCell ref="J62:K62"/>
    <mergeCell ref="G94:G95"/>
    <mergeCell ref="H94:H95"/>
    <mergeCell ref="I94:I95"/>
    <mergeCell ref="J94:J95"/>
    <mergeCell ref="K94:K95"/>
    <mergeCell ref="F90:F91"/>
    <mergeCell ref="G90:G91"/>
    <mergeCell ref="H90:H91"/>
    <mergeCell ref="I90:I91"/>
    <mergeCell ref="J90:J91"/>
    <mergeCell ref="K67:M67"/>
    <mergeCell ref="A56:A59"/>
    <mergeCell ref="N38:N39"/>
    <mergeCell ref="H40:H43"/>
    <mergeCell ref="G46:G47"/>
    <mergeCell ref="I37:I39"/>
    <mergeCell ref="J38:J39"/>
    <mergeCell ref="J37:N37"/>
    <mergeCell ref="K38:M38"/>
    <mergeCell ref="J45:N45"/>
    <mergeCell ref="B63:D63"/>
    <mergeCell ref="G62:H62"/>
    <mergeCell ref="A53:A55"/>
    <mergeCell ref="H45:H47"/>
    <mergeCell ref="I45:I47"/>
    <mergeCell ref="J46:J47"/>
    <mergeCell ref="H37:H39"/>
    <mergeCell ref="A40:A43"/>
    <mergeCell ref="A45:A47"/>
    <mergeCell ref="B45:B47"/>
    <mergeCell ref="C46:C47"/>
    <mergeCell ref="A137:G137"/>
    <mergeCell ref="B110:C110"/>
    <mergeCell ref="D110:E110"/>
    <mergeCell ref="C86:C87"/>
    <mergeCell ref="D86:D87"/>
    <mergeCell ref="A135:K135"/>
    <mergeCell ref="J86:J87"/>
    <mergeCell ref="G86:G87"/>
    <mergeCell ref="H86:H87"/>
    <mergeCell ref="K86:K87"/>
    <mergeCell ref="A109:E109"/>
    <mergeCell ref="H118:I118"/>
    <mergeCell ref="J118:K118"/>
    <mergeCell ref="H117:K117"/>
    <mergeCell ref="H111:I112"/>
    <mergeCell ref="J111:K111"/>
    <mergeCell ref="G117:G118"/>
    <mergeCell ref="K90:K91"/>
    <mergeCell ref="A94:A95"/>
    <mergeCell ref="B94:B95"/>
    <mergeCell ref="C94:C95"/>
    <mergeCell ref="D94:D95"/>
    <mergeCell ref="E94:E95"/>
    <mergeCell ref="F94:F95"/>
    <mergeCell ref="A171:E171"/>
    <mergeCell ref="A174:E174"/>
    <mergeCell ref="A175:E175"/>
    <mergeCell ref="A177:I177"/>
    <mergeCell ref="A48:A51"/>
    <mergeCell ref="G54:G55"/>
    <mergeCell ref="A62:A64"/>
    <mergeCell ref="G70:I70"/>
    <mergeCell ref="A71:D71"/>
    <mergeCell ref="I86:I87"/>
    <mergeCell ref="B86:B87"/>
    <mergeCell ref="A86:A87"/>
    <mergeCell ref="E86:E87"/>
    <mergeCell ref="B53:B55"/>
    <mergeCell ref="C54:C55"/>
    <mergeCell ref="F86:F87"/>
    <mergeCell ref="H110:K110"/>
    <mergeCell ref="B62:E62"/>
    <mergeCell ref="B90:B91"/>
    <mergeCell ref="C90:C91"/>
    <mergeCell ref="D90:D91"/>
    <mergeCell ref="E90:E91"/>
    <mergeCell ref="G124:J124"/>
    <mergeCell ref="G110:G112"/>
    <mergeCell ref="V90:Y90"/>
    <mergeCell ref="V94:Y94"/>
    <mergeCell ref="A1:E1"/>
    <mergeCell ref="B2:D2"/>
    <mergeCell ref="A10:E10"/>
    <mergeCell ref="B11:D11"/>
    <mergeCell ref="A19:E19"/>
    <mergeCell ref="E2:E3"/>
    <mergeCell ref="D38:F38"/>
    <mergeCell ref="D46:F46"/>
    <mergeCell ref="D54:F54"/>
    <mergeCell ref="C37:G37"/>
    <mergeCell ref="C45:G45"/>
    <mergeCell ref="C53:G53"/>
    <mergeCell ref="G38:G39"/>
    <mergeCell ref="C38:C39"/>
    <mergeCell ref="A28:E28"/>
    <mergeCell ref="B29:D29"/>
    <mergeCell ref="E20:E21"/>
    <mergeCell ref="E11:E12"/>
    <mergeCell ref="B20:D20"/>
    <mergeCell ref="E29:E30"/>
    <mergeCell ref="K46:M46"/>
    <mergeCell ref="N46:N47"/>
  </mergeCells>
  <phoneticPr fontId="44" type="noConversion"/>
  <printOptions horizontalCentered="1"/>
  <pageMargins left="0.2" right="0.2" top="0.25" bottom="0.25" header="0.3" footer="0.3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4EBB4-1A32-4A49-A1C4-4C9E5A23F98B}">
  <dimension ref="A2:E100"/>
  <sheetViews>
    <sheetView workbookViewId="0">
      <selection activeCell="B19" sqref="B19"/>
    </sheetView>
  </sheetViews>
  <sheetFormatPr defaultRowHeight="14.4" x14ac:dyDescent="0.3"/>
  <cols>
    <col min="2" max="2" width="35.33203125" customWidth="1"/>
    <col min="3" max="3" width="43.5546875" customWidth="1"/>
    <col min="4" max="4" width="54.88671875" customWidth="1"/>
  </cols>
  <sheetData>
    <row r="2" spans="1:5" x14ac:dyDescent="0.3">
      <c r="A2" s="680" t="s">
        <v>63</v>
      </c>
      <c r="B2" s="680" t="s">
        <v>64</v>
      </c>
      <c r="C2" s="680" t="s">
        <v>65</v>
      </c>
      <c r="D2" s="680"/>
      <c r="E2" s="680" t="s">
        <v>66</v>
      </c>
    </row>
    <row r="3" spans="1:5" x14ac:dyDescent="0.3">
      <c r="A3" s="680"/>
      <c r="B3" s="680"/>
      <c r="C3" s="233" t="s">
        <v>14</v>
      </c>
      <c r="D3" s="233" t="s">
        <v>15</v>
      </c>
      <c r="E3" s="680"/>
    </row>
    <row r="4" spans="1:5" x14ac:dyDescent="0.3">
      <c r="A4" s="234">
        <v>1</v>
      </c>
      <c r="B4" s="203">
        <v>44223</v>
      </c>
      <c r="C4" s="237" t="s">
        <v>67</v>
      </c>
      <c r="D4" s="238" t="s">
        <v>68</v>
      </c>
      <c r="E4" s="235" t="s">
        <v>69</v>
      </c>
    </row>
    <row r="5" spans="1:5" x14ac:dyDescent="0.3">
      <c r="A5" s="234"/>
      <c r="B5" s="203">
        <v>44223</v>
      </c>
      <c r="C5" s="204" t="s">
        <v>70</v>
      </c>
      <c r="D5" s="205" t="s">
        <v>71</v>
      </c>
      <c r="E5" s="235" t="s">
        <v>69</v>
      </c>
    </row>
    <row r="6" spans="1:5" x14ac:dyDescent="0.3">
      <c r="A6" s="234"/>
      <c r="B6" s="203">
        <v>44223</v>
      </c>
      <c r="C6" s="234" t="s">
        <v>72</v>
      </c>
      <c r="D6" s="234" t="s">
        <v>73</v>
      </c>
      <c r="E6" s="235" t="s">
        <v>69</v>
      </c>
    </row>
    <row r="7" spans="1:5" x14ac:dyDescent="0.3">
      <c r="A7" s="234">
        <v>2</v>
      </c>
      <c r="B7" s="236">
        <v>44298</v>
      </c>
      <c r="C7" s="234" t="s">
        <v>74</v>
      </c>
      <c r="D7" s="234" t="s">
        <v>75</v>
      </c>
      <c r="E7" s="235" t="s">
        <v>76</v>
      </c>
    </row>
    <row r="8" spans="1:5" x14ac:dyDescent="0.3">
      <c r="A8" s="234">
        <v>3</v>
      </c>
      <c r="B8" s="236" t="s">
        <v>77</v>
      </c>
      <c r="C8" s="234" t="s">
        <v>78</v>
      </c>
      <c r="D8" s="234" t="s">
        <v>79</v>
      </c>
      <c r="E8" s="234" t="s">
        <v>80</v>
      </c>
    </row>
    <row r="9" spans="1:5" x14ac:dyDescent="0.3">
      <c r="A9" s="234">
        <v>4</v>
      </c>
      <c r="B9" s="236" t="s">
        <v>81</v>
      </c>
      <c r="C9" s="240" t="s">
        <v>82</v>
      </c>
      <c r="D9" s="234" t="s">
        <v>83</v>
      </c>
      <c r="E9" s="235" t="s">
        <v>84</v>
      </c>
    </row>
    <row r="10" spans="1:5" ht="27.6" x14ac:dyDescent="0.3">
      <c r="A10" s="234">
        <v>5</v>
      </c>
      <c r="B10" s="598" t="s">
        <v>85</v>
      </c>
      <c r="C10" s="599" t="s">
        <v>86</v>
      </c>
      <c r="D10" s="234" t="s">
        <v>87</v>
      </c>
      <c r="E10" s="235" t="s">
        <v>76</v>
      </c>
    </row>
    <row r="11" spans="1:5" ht="41.4" x14ac:dyDescent="0.3">
      <c r="A11" s="234">
        <v>6</v>
      </c>
      <c r="B11" s="236" t="s">
        <v>336</v>
      </c>
      <c r="C11" s="240" t="s">
        <v>82</v>
      </c>
      <c r="D11" s="599" t="s">
        <v>337</v>
      </c>
      <c r="E11" s="235" t="s">
        <v>76</v>
      </c>
    </row>
    <row r="12" spans="1:5" x14ac:dyDescent="0.3">
      <c r="A12" s="234"/>
      <c r="B12" s="236"/>
      <c r="C12" s="234"/>
      <c r="D12" s="234"/>
      <c r="E12" s="235"/>
    </row>
    <row r="13" spans="1:5" x14ac:dyDescent="0.3">
      <c r="A13" s="234"/>
      <c r="B13" s="236"/>
      <c r="C13" s="234"/>
      <c r="D13" s="234"/>
      <c r="E13" s="235"/>
    </row>
    <row r="14" spans="1:5" x14ac:dyDescent="0.3">
      <c r="A14" s="234"/>
      <c r="B14" s="236"/>
      <c r="C14" s="234"/>
      <c r="D14" s="234"/>
      <c r="E14" s="235"/>
    </row>
    <row r="15" spans="1:5" x14ac:dyDescent="0.3">
      <c r="A15" s="234"/>
      <c r="B15" s="236"/>
      <c r="C15" s="234"/>
      <c r="D15" s="234"/>
      <c r="E15" s="235"/>
    </row>
    <row r="16" spans="1:5" x14ac:dyDescent="0.3">
      <c r="A16" s="234"/>
      <c r="B16" s="236"/>
      <c r="C16" s="234"/>
      <c r="D16" s="234"/>
      <c r="E16" s="235"/>
    </row>
    <row r="17" spans="1:5" x14ac:dyDescent="0.3">
      <c r="A17" s="234"/>
      <c r="B17" s="236"/>
      <c r="C17" s="234"/>
      <c r="D17" s="234"/>
      <c r="E17" s="235"/>
    </row>
    <row r="18" spans="1:5" x14ac:dyDescent="0.3">
      <c r="A18" s="234"/>
      <c r="B18" s="236"/>
      <c r="C18" s="234"/>
      <c r="D18" s="234"/>
      <c r="E18" s="235"/>
    </row>
    <row r="19" spans="1:5" x14ac:dyDescent="0.3">
      <c r="A19" s="234"/>
      <c r="B19" s="236"/>
      <c r="C19" s="234"/>
      <c r="D19" s="234"/>
      <c r="E19" s="235"/>
    </row>
    <row r="20" spans="1:5" x14ac:dyDescent="0.3">
      <c r="A20" s="234"/>
      <c r="B20" s="236"/>
      <c r="C20" s="234"/>
      <c r="D20" s="234"/>
      <c r="E20" s="235"/>
    </row>
    <row r="21" spans="1:5" x14ac:dyDescent="0.3">
      <c r="A21" s="234"/>
      <c r="B21" s="236"/>
      <c r="C21" s="234"/>
      <c r="D21" s="234"/>
      <c r="E21" s="235"/>
    </row>
    <row r="22" spans="1:5" x14ac:dyDescent="0.3">
      <c r="A22" s="234"/>
      <c r="B22" s="236"/>
      <c r="C22" s="234"/>
      <c r="D22" s="234"/>
      <c r="E22" s="235"/>
    </row>
    <row r="23" spans="1:5" x14ac:dyDescent="0.3">
      <c r="A23" s="234"/>
      <c r="B23" s="236"/>
      <c r="C23" s="234"/>
      <c r="D23" s="234"/>
      <c r="E23" s="235"/>
    </row>
    <row r="24" spans="1:5" x14ac:dyDescent="0.3">
      <c r="A24" s="234"/>
      <c r="B24" s="236"/>
      <c r="C24" s="234"/>
      <c r="D24" s="234"/>
      <c r="E24" s="235"/>
    </row>
    <row r="25" spans="1:5" x14ac:dyDescent="0.3">
      <c r="A25" s="234"/>
      <c r="B25" s="236"/>
      <c r="C25" s="234"/>
      <c r="D25" s="234"/>
      <c r="E25" s="235"/>
    </row>
    <row r="26" spans="1:5" x14ac:dyDescent="0.3">
      <c r="A26" s="234"/>
      <c r="B26" s="236"/>
      <c r="C26" s="234"/>
      <c r="D26" s="234"/>
      <c r="E26" s="235"/>
    </row>
    <row r="27" spans="1:5" x14ac:dyDescent="0.3">
      <c r="A27" s="234"/>
      <c r="B27" s="236"/>
      <c r="C27" s="234"/>
      <c r="D27" s="234"/>
      <c r="E27" s="235"/>
    </row>
    <row r="28" spans="1:5" x14ac:dyDescent="0.3">
      <c r="A28" s="234"/>
      <c r="B28" s="236"/>
      <c r="C28" s="234"/>
      <c r="D28" s="234"/>
      <c r="E28" s="235"/>
    </row>
    <row r="29" spans="1:5" x14ac:dyDescent="0.3">
      <c r="A29" s="234"/>
      <c r="B29" s="236"/>
      <c r="C29" s="234"/>
      <c r="D29" s="234"/>
      <c r="E29" s="235"/>
    </row>
    <row r="30" spans="1:5" x14ac:dyDescent="0.3">
      <c r="A30" s="234"/>
      <c r="B30" s="236"/>
      <c r="C30" s="234"/>
      <c r="D30" s="234"/>
      <c r="E30" s="235"/>
    </row>
    <row r="31" spans="1:5" x14ac:dyDescent="0.3">
      <c r="A31" s="234"/>
      <c r="B31" s="236"/>
      <c r="C31" s="234"/>
      <c r="D31" s="234"/>
      <c r="E31" s="235"/>
    </row>
    <row r="100" spans="1:1" x14ac:dyDescent="0.3">
      <c r="A100" s="239" t="s">
        <v>338</v>
      </c>
    </row>
  </sheetData>
  <sheetProtection algorithmName="SHA-512" hashValue="Lz8haJchzWnMHCou08D6WW828pjSK7dke/iSmaMH8kAONyapp7+b0uVgOMKQ1aGYe6gbR7TpAjJQkP7MaRgUNg==" saltValue="xMyVWDQWTtmDiZSqFHMjCQ==" spinCount="100000" sheet="1" objects="1" scenarios="1"/>
  <mergeCells count="4">
    <mergeCell ref="A2:A3"/>
    <mergeCell ref="B2:B3"/>
    <mergeCell ref="C2:D2"/>
    <mergeCell ref="E2:E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10"/>
  <sheetViews>
    <sheetView showGridLines="0" view="pageBreakPreview" topLeftCell="A52" zoomScaleNormal="100" zoomScaleSheetLayoutView="100" workbookViewId="0">
      <selection activeCell="B62" sqref="B62:K62"/>
    </sheetView>
  </sheetViews>
  <sheetFormatPr defaultColWidth="9.109375" defaultRowHeight="15" x14ac:dyDescent="0.3"/>
  <cols>
    <col min="1" max="1" width="5.44140625" style="86" customWidth="1"/>
    <col min="2" max="2" width="5.88671875" style="86" customWidth="1"/>
    <col min="3" max="3" width="12.33203125" style="86" customWidth="1"/>
    <col min="4" max="4" width="12.88671875" style="86" customWidth="1"/>
    <col min="5" max="6" width="8.5546875" style="86" customWidth="1"/>
    <col min="7" max="7" width="5.109375" style="86" customWidth="1"/>
    <col min="8" max="8" width="5.88671875" style="86" customWidth="1"/>
    <col min="9" max="9" width="12.109375" style="86" customWidth="1"/>
    <col min="10" max="10" width="11.88671875" style="86" customWidth="1"/>
    <col min="11" max="12" width="8.5546875" style="86" customWidth="1"/>
    <col min="13" max="16384" width="9.109375" style="86"/>
  </cols>
  <sheetData>
    <row r="1" spans="1:12" ht="17.399999999999999" x14ac:dyDescent="0.3">
      <c r="A1" s="695" t="s">
        <v>88</v>
      </c>
      <c r="B1" s="695"/>
      <c r="C1" s="695"/>
      <c r="D1" s="695"/>
      <c r="E1" s="695"/>
      <c r="F1" s="695"/>
      <c r="G1" s="695"/>
      <c r="H1" s="695"/>
      <c r="I1" s="695"/>
      <c r="J1" s="695"/>
      <c r="K1" s="695"/>
      <c r="L1" s="695"/>
    </row>
    <row r="2" spans="1:12" ht="16.8" x14ac:dyDescent="0.3">
      <c r="A2" s="241"/>
      <c r="B2" s="241"/>
      <c r="C2" s="242"/>
      <c r="D2" s="242"/>
      <c r="E2" s="242"/>
      <c r="H2" s="243" t="str">
        <f>'DB Balance'!A174</f>
        <v xml:space="preserve">Nomor Sertifikat : 36 / </v>
      </c>
      <c r="I2" s="603" t="s">
        <v>342</v>
      </c>
      <c r="J2" s="242"/>
      <c r="K2" s="242"/>
      <c r="L2" s="242"/>
    </row>
    <row r="3" spans="1:12" ht="15.6" x14ac:dyDescent="0.3">
      <c r="A3" s="245"/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6"/>
    </row>
    <row r="4" spans="1:12" x14ac:dyDescent="0.3">
      <c r="A4" s="241"/>
      <c r="B4" s="241"/>
      <c r="C4" s="241"/>
      <c r="D4" s="241"/>
      <c r="E4" s="241"/>
      <c r="F4" s="241"/>
      <c r="G4" s="241"/>
      <c r="H4" s="241"/>
      <c r="I4" s="241"/>
      <c r="J4" s="247"/>
      <c r="K4" s="248"/>
      <c r="L4" s="246"/>
    </row>
    <row r="5" spans="1:12" x14ac:dyDescent="0.3">
      <c r="A5" s="241" t="s">
        <v>2</v>
      </c>
      <c r="B5" s="241"/>
      <c r="C5" s="241"/>
      <c r="D5" s="249" t="s">
        <v>3</v>
      </c>
      <c r="E5" s="703" t="s">
        <v>89</v>
      </c>
      <c r="F5" s="703"/>
      <c r="G5" s="703"/>
      <c r="H5" s="605"/>
      <c r="I5" s="241"/>
      <c r="J5" s="247"/>
      <c r="K5" s="248"/>
      <c r="L5" s="246"/>
    </row>
    <row r="6" spans="1:12" x14ac:dyDescent="0.3">
      <c r="A6" s="241" t="s">
        <v>4</v>
      </c>
      <c r="B6" s="241"/>
      <c r="C6" s="241"/>
      <c r="D6" s="249" t="s">
        <v>3</v>
      </c>
      <c r="E6" s="681" t="s">
        <v>90</v>
      </c>
      <c r="F6" s="681"/>
      <c r="G6" s="681"/>
      <c r="H6" s="605"/>
      <c r="I6" s="241"/>
      <c r="J6" s="247"/>
      <c r="K6" s="248"/>
      <c r="L6" s="246"/>
    </row>
    <row r="7" spans="1:12" x14ac:dyDescent="0.3">
      <c r="A7" s="241" t="s">
        <v>5</v>
      </c>
      <c r="B7" s="241"/>
      <c r="C7" s="241"/>
      <c r="D7" s="249" t="s">
        <v>3</v>
      </c>
      <c r="E7" s="681" t="s">
        <v>91</v>
      </c>
      <c r="F7" s="681"/>
      <c r="G7" s="681"/>
      <c r="H7" s="681"/>
      <c r="I7" s="246"/>
      <c r="J7" s="247"/>
      <c r="K7" s="248"/>
      <c r="L7" s="246"/>
    </row>
    <row r="8" spans="1:12" x14ac:dyDescent="0.3">
      <c r="A8" s="241" t="s">
        <v>6</v>
      </c>
      <c r="B8" s="241"/>
      <c r="C8" s="241"/>
      <c r="D8" s="249" t="s">
        <v>3</v>
      </c>
      <c r="E8" s="713" t="s">
        <v>319</v>
      </c>
      <c r="F8" s="713"/>
      <c r="G8" s="606"/>
      <c r="H8" s="604"/>
      <c r="I8" s="246"/>
      <c r="J8" s="247"/>
      <c r="K8" s="248"/>
      <c r="L8" s="246"/>
    </row>
    <row r="9" spans="1:12" x14ac:dyDescent="0.3">
      <c r="A9" s="241" t="s">
        <v>83</v>
      </c>
      <c r="B9" s="241"/>
      <c r="C9" s="241"/>
      <c r="D9" s="249" t="s">
        <v>3</v>
      </c>
      <c r="E9" s="684" t="s">
        <v>93</v>
      </c>
      <c r="F9" s="684"/>
      <c r="G9" s="684"/>
      <c r="H9" s="604"/>
      <c r="I9" s="246"/>
      <c r="J9" s="247"/>
      <c r="K9" s="248"/>
      <c r="L9" s="246"/>
    </row>
    <row r="10" spans="1:12" x14ac:dyDescent="0.3">
      <c r="A10" s="241" t="s">
        <v>9</v>
      </c>
      <c r="B10" s="241"/>
      <c r="C10" s="241"/>
      <c r="D10" s="249" t="s">
        <v>3</v>
      </c>
      <c r="E10" s="684" t="str">
        <f>E9</f>
        <v>10 November 2016</v>
      </c>
      <c r="F10" s="684"/>
      <c r="G10" s="684"/>
      <c r="H10" s="605"/>
      <c r="I10" s="241"/>
      <c r="J10" s="247"/>
      <c r="K10" s="248"/>
      <c r="L10" s="246"/>
    </row>
    <row r="11" spans="1:12" x14ac:dyDescent="0.3">
      <c r="A11" s="241" t="s">
        <v>10</v>
      </c>
      <c r="B11" s="241"/>
      <c r="C11" s="241"/>
      <c r="D11" s="249" t="s">
        <v>3</v>
      </c>
      <c r="E11" s="605" t="s">
        <v>94</v>
      </c>
      <c r="F11" s="605"/>
      <c r="G11" s="605"/>
      <c r="H11" s="605"/>
      <c r="I11" s="241"/>
      <c r="J11" s="247"/>
      <c r="K11" s="248"/>
      <c r="L11" s="246"/>
    </row>
    <row r="12" spans="1:12" x14ac:dyDescent="0.3">
      <c r="A12" s="241" t="s">
        <v>11</v>
      </c>
      <c r="B12" s="241"/>
      <c r="C12" s="241"/>
      <c r="D12" s="249" t="s">
        <v>3</v>
      </c>
      <c r="E12" s="604" t="s">
        <v>339</v>
      </c>
      <c r="F12" s="604"/>
      <c r="G12" s="604"/>
      <c r="H12" s="604"/>
      <c r="I12" s="241"/>
      <c r="J12" s="247"/>
      <c r="K12" s="248"/>
      <c r="L12" s="246"/>
    </row>
    <row r="13" spans="1:12" x14ac:dyDescent="0.25">
      <c r="A13" s="213" t="s">
        <v>95</v>
      </c>
      <c r="B13" s="213"/>
      <c r="C13" s="213"/>
      <c r="D13" s="250" t="s">
        <v>3</v>
      </c>
      <c r="E13" s="685" t="s">
        <v>372</v>
      </c>
      <c r="F13" s="685"/>
      <c r="G13" s="251"/>
      <c r="H13" s="251"/>
      <c r="I13" s="252"/>
      <c r="J13" s="247"/>
      <c r="K13" s="248"/>
      <c r="L13" s="246"/>
    </row>
    <row r="14" spans="1:12" x14ac:dyDescent="0.3">
      <c r="A14" s="246"/>
      <c r="B14" s="246"/>
      <c r="C14" s="246"/>
      <c r="D14" s="246"/>
      <c r="E14" s="246"/>
      <c r="F14" s="246"/>
      <c r="G14" s="246"/>
      <c r="H14" s="246"/>
      <c r="I14" s="246"/>
      <c r="J14" s="246"/>
      <c r="K14" s="246"/>
      <c r="L14" s="246"/>
    </row>
    <row r="15" spans="1:12" ht="15.6" x14ac:dyDescent="0.3">
      <c r="A15" s="253" t="s">
        <v>12</v>
      </c>
      <c r="B15" s="254" t="s">
        <v>13</v>
      </c>
      <c r="C15" s="254"/>
      <c r="D15" s="246"/>
      <c r="E15" s="246"/>
      <c r="F15" s="246"/>
      <c r="G15" s="246"/>
      <c r="H15" s="246"/>
      <c r="I15" s="246"/>
      <c r="J15" s="246"/>
      <c r="K15" s="246"/>
      <c r="L15" s="246"/>
    </row>
    <row r="16" spans="1:12" x14ac:dyDescent="0.3">
      <c r="A16" s="246"/>
      <c r="B16" s="246"/>
      <c r="C16" s="246"/>
      <c r="D16" s="246"/>
      <c r="E16" s="255" t="s">
        <v>14</v>
      </c>
      <c r="F16" s="255" t="s">
        <v>15</v>
      </c>
      <c r="G16" s="246"/>
      <c r="H16" s="246"/>
      <c r="I16" s="246"/>
      <c r="J16" s="246"/>
      <c r="K16" s="246"/>
      <c r="L16" s="246"/>
    </row>
    <row r="17" spans="1:12" x14ac:dyDescent="0.3">
      <c r="A17" s="246"/>
      <c r="B17" s="246" t="s">
        <v>16</v>
      </c>
      <c r="C17" s="246"/>
      <c r="D17" s="250" t="s">
        <v>3</v>
      </c>
      <c r="E17" s="607">
        <v>21</v>
      </c>
      <c r="F17" s="607">
        <v>21</v>
      </c>
      <c r="G17" s="246" t="s">
        <v>17</v>
      </c>
      <c r="H17" s="246"/>
      <c r="I17" s="246"/>
      <c r="J17" s="246"/>
      <c r="K17" s="246"/>
      <c r="L17" s="246"/>
    </row>
    <row r="18" spans="1:12" x14ac:dyDescent="0.3">
      <c r="A18" s="246"/>
      <c r="B18" s="246" t="s">
        <v>18</v>
      </c>
      <c r="C18" s="246"/>
      <c r="D18" s="250" t="s">
        <v>3</v>
      </c>
      <c r="E18" s="607">
        <v>65.3</v>
      </c>
      <c r="F18" s="607">
        <v>65.400000000000006</v>
      </c>
      <c r="G18" s="246" t="s">
        <v>19</v>
      </c>
      <c r="H18" s="246"/>
      <c r="I18" s="246"/>
      <c r="J18" s="246"/>
      <c r="K18" s="246"/>
      <c r="L18" s="246"/>
    </row>
    <row r="19" spans="1:12" x14ac:dyDescent="0.3">
      <c r="A19" s="246"/>
      <c r="B19" s="246" t="s">
        <v>20</v>
      </c>
      <c r="C19" s="246"/>
      <c r="D19" s="250" t="s">
        <v>3</v>
      </c>
      <c r="E19" s="607">
        <v>1003.5</v>
      </c>
      <c r="F19" s="607">
        <v>1003.5</v>
      </c>
      <c r="G19" s="246" t="s">
        <v>21</v>
      </c>
      <c r="H19" s="246"/>
      <c r="I19" s="246"/>
      <c r="J19" s="246"/>
      <c r="K19" s="246"/>
      <c r="L19" s="246"/>
    </row>
    <row r="20" spans="1:12" ht="18.600000000000001" x14ac:dyDescent="0.3">
      <c r="A20" s="246"/>
      <c r="B20" s="246" t="s">
        <v>22</v>
      </c>
      <c r="C20" s="246"/>
      <c r="D20" s="250" t="s">
        <v>3</v>
      </c>
      <c r="E20" s="607">
        <v>22</v>
      </c>
      <c r="F20" s="607">
        <v>22</v>
      </c>
      <c r="G20" s="246" t="s">
        <v>17</v>
      </c>
      <c r="H20" s="246"/>
      <c r="I20" s="246"/>
      <c r="J20" s="246"/>
      <c r="K20" s="246"/>
      <c r="L20" s="246"/>
    </row>
    <row r="21" spans="1:12" x14ac:dyDescent="0.3">
      <c r="A21" s="246"/>
      <c r="B21" s="246"/>
      <c r="C21" s="246"/>
      <c r="D21" s="250"/>
      <c r="E21" s="256"/>
      <c r="F21" s="257"/>
      <c r="G21" s="246"/>
      <c r="H21" s="246"/>
      <c r="I21" s="246"/>
      <c r="J21" s="246"/>
      <c r="K21" s="246"/>
      <c r="L21" s="246"/>
    </row>
    <row r="22" spans="1:12" ht="15.6" x14ac:dyDescent="0.3">
      <c r="A22" s="254" t="s">
        <v>96</v>
      </c>
      <c r="B22" s="220" t="s">
        <v>24</v>
      </c>
      <c r="C22" s="246"/>
      <c r="D22" s="250"/>
      <c r="E22" s="256"/>
      <c r="F22" s="257"/>
      <c r="G22" s="246"/>
      <c r="H22" s="246"/>
      <c r="I22" s="246"/>
      <c r="J22" s="246"/>
      <c r="K22" s="246"/>
      <c r="L22" s="246"/>
    </row>
    <row r="23" spans="1:12" x14ac:dyDescent="0.3">
      <c r="A23" s="246"/>
      <c r="B23" s="215" t="s">
        <v>25</v>
      </c>
      <c r="C23" s="258"/>
      <c r="D23" s="250" t="s">
        <v>3</v>
      </c>
      <c r="E23" s="702" t="s">
        <v>97</v>
      </c>
      <c r="F23" s="702"/>
      <c r="G23" s="246"/>
      <c r="H23" s="246"/>
      <c r="J23" s="246"/>
      <c r="K23" s="246"/>
      <c r="L23" s="246"/>
    </row>
    <row r="24" spans="1:12" x14ac:dyDescent="0.3">
      <c r="A24" s="246"/>
      <c r="B24" s="215" t="s">
        <v>27</v>
      </c>
      <c r="C24" s="258"/>
      <c r="D24" s="250" t="s">
        <v>3</v>
      </c>
      <c r="E24" s="702" t="s">
        <v>97</v>
      </c>
      <c r="F24" s="702"/>
      <c r="G24" s="246"/>
      <c r="H24" s="246"/>
      <c r="I24" s="246"/>
      <c r="J24" s="246"/>
      <c r="K24" s="246"/>
      <c r="L24" s="246"/>
    </row>
    <row r="25" spans="1:12" x14ac:dyDescent="0.3">
      <c r="A25" s="246"/>
      <c r="B25" s="246"/>
      <c r="C25" s="246"/>
      <c r="D25" s="246"/>
      <c r="E25" s="246"/>
      <c r="F25" s="246"/>
      <c r="G25" s="246"/>
      <c r="H25" s="246"/>
      <c r="I25" s="246"/>
      <c r="J25" s="246"/>
      <c r="K25" s="246"/>
      <c r="L25" s="246"/>
    </row>
    <row r="26" spans="1:12" ht="15.6" x14ac:dyDescent="0.3">
      <c r="A26" s="254" t="s">
        <v>28</v>
      </c>
      <c r="B26" s="254" t="s">
        <v>98</v>
      </c>
      <c r="C26" s="254"/>
      <c r="D26" s="246"/>
      <c r="E26" s="246"/>
      <c r="F26" s="246"/>
      <c r="G26" s="246"/>
      <c r="H26" s="246"/>
      <c r="I26" s="246"/>
      <c r="J26" s="259"/>
      <c r="K26" s="246"/>
      <c r="L26" s="246"/>
    </row>
    <row r="27" spans="1:12" ht="24" customHeight="1" x14ac:dyDescent="0.3">
      <c r="A27" s="246"/>
      <c r="B27" s="687" t="s">
        <v>30</v>
      </c>
      <c r="C27" s="686" t="s">
        <v>31</v>
      </c>
      <c r="D27" s="689" t="s">
        <v>32</v>
      </c>
      <c r="E27" s="686" t="s">
        <v>33</v>
      </c>
      <c r="F27" s="686"/>
      <c r="G27" s="246"/>
      <c r="H27" s="687" t="s">
        <v>30</v>
      </c>
      <c r="I27" s="686" t="s">
        <v>31</v>
      </c>
      <c r="J27" s="689" t="s">
        <v>32</v>
      </c>
      <c r="K27" s="686" t="s">
        <v>33</v>
      </c>
      <c r="L27" s="686"/>
    </row>
    <row r="28" spans="1:12" ht="24" customHeight="1" x14ac:dyDescent="0.3">
      <c r="A28" s="246"/>
      <c r="B28" s="687"/>
      <c r="C28" s="686"/>
      <c r="D28" s="690"/>
      <c r="E28" s="686"/>
      <c r="F28" s="686"/>
      <c r="G28" s="246"/>
      <c r="H28" s="687"/>
      <c r="I28" s="686"/>
      <c r="J28" s="690"/>
      <c r="K28" s="686"/>
      <c r="L28" s="686"/>
    </row>
    <row r="29" spans="1:12" ht="15.75" customHeight="1" x14ac:dyDescent="0.3">
      <c r="A29" s="246"/>
      <c r="B29" s="260">
        <v>1</v>
      </c>
      <c r="C29" s="696" t="s">
        <v>35</v>
      </c>
      <c r="D29" s="699">
        <v>10</v>
      </c>
      <c r="E29" s="691">
        <v>9.9299999999999996E-3</v>
      </c>
      <c r="F29" s="691"/>
      <c r="G29" s="246"/>
      <c r="H29" s="260">
        <v>1</v>
      </c>
      <c r="I29" s="696" t="s">
        <v>36</v>
      </c>
      <c r="J29" s="707">
        <v>50</v>
      </c>
      <c r="K29" s="691">
        <v>4.9880000000000001E-2</v>
      </c>
      <c r="L29" s="691"/>
    </row>
    <row r="30" spans="1:12" ht="15.75" customHeight="1" x14ac:dyDescent="0.3">
      <c r="A30" s="246"/>
      <c r="B30" s="261">
        <v>2</v>
      </c>
      <c r="C30" s="697"/>
      <c r="D30" s="700"/>
      <c r="E30" s="682">
        <v>9.9299999999999996E-3</v>
      </c>
      <c r="F30" s="683"/>
      <c r="G30" s="246"/>
      <c r="H30" s="261">
        <v>2</v>
      </c>
      <c r="I30" s="697"/>
      <c r="J30" s="708"/>
      <c r="K30" s="691">
        <v>4.9880000000000001E-2</v>
      </c>
      <c r="L30" s="691"/>
    </row>
    <row r="31" spans="1:12" ht="15.75" customHeight="1" x14ac:dyDescent="0.3">
      <c r="A31" s="246"/>
      <c r="B31" s="261">
        <v>3</v>
      </c>
      <c r="C31" s="697"/>
      <c r="D31" s="700"/>
      <c r="E31" s="682">
        <v>9.9299999999999996E-3</v>
      </c>
      <c r="F31" s="683"/>
      <c r="G31" s="246"/>
      <c r="H31" s="261">
        <v>3</v>
      </c>
      <c r="I31" s="697"/>
      <c r="J31" s="708"/>
      <c r="K31" s="691">
        <v>4.9880000000000001E-2</v>
      </c>
      <c r="L31" s="691"/>
    </row>
    <row r="32" spans="1:12" ht="15.75" customHeight="1" x14ac:dyDescent="0.3">
      <c r="A32" s="246"/>
      <c r="B32" s="261">
        <v>4</v>
      </c>
      <c r="C32" s="697"/>
      <c r="D32" s="700"/>
      <c r="E32" s="682">
        <v>9.9299999999999996E-3</v>
      </c>
      <c r="F32" s="683"/>
      <c r="G32" s="246"/>
      <c r="H32" s="261">
        <v>4</v>
      </c>
      <c r="I32" s="697"/>
      <c r="J32" s="708"/>
      <c r="K32" s="691">
        <v>4.9880000000000001E-2</v>
      </c>
      <c r="L32" s="691"/>
    </row>
    <row r="33" spans="1:12" ht="15.75" customHeight="1" x14ac:dyDescent="0.3">
      <c r="A33" s="246"/>
      <c r="B33" s="261">
        <v>5</v>
      </c>
      <c r="C33" s="697"/>
      <c r="D33" s="700"/>
      <c r="E33" s="682">
        <v>9.9299999999999996E-3</v>
      </c>
      <c r="F33" s="683"/>
      <c r="G33" s="246"/>
      <c r="H33" s="261">
        <v>5</v>
      </c>
      <c r="I33" s="697"/>
      <c r="J33" s="708"/>
      <c r="K33" s="691">
        <v>4.9880000000000001E-2</v>
      </c>
      <c r="L33" s="691"/>
    </row>
    <row r="34" spans="1:12" ht="15.75" customHeight="1" x14ac:dyDescent="0.3">
      <c r="A34" s="246"/>
      <c r="B34" s="261">
        <v>6</v>
      </c>
      <c r="C34" s="697"/>
      <c r="D34" s="700"/>
      <c r="E34" s="682">
        <v>9.9299999999999996E-3</v>
      </c>
      <c r="F34" s="683"/>
      <c r="G34" s="246"/>
      <c r="H34" s="261">
        <v>6</v>
      </c>
      <c r="I34" s="697"/>
      <c r="J34" s="708"/>
      <c r="K34" s="691">
        <v>4.9880000000000001E-2</v>
      </c>
      <c r="L34" s="691"/>
    </row>
    <row r="35" spans="1:12" ht="15.75" customHeight="1" x14ac:dyDescent="0.3">
      <c r="A35" s="246"/>
      <c r="B35" s="261">
        <v>7</v>
      </c>
      <c r="C35" s="697"/>
      <c r="D35" s="700"/>
      <c r="E35" s="682">
        <v>9.9299999999999996E-3</v>
      </c>
      <c r="F35" s="683"/>
      <c r="G35" s="246"/>
      <c r="H35" s="261">
        <v>7</v>
      </c>
      <c r="I35" s="697"/>
      <c r="J35" s="708"/>
      <c r="K35" s="691">
        <v>4.9880000000000001E-2</v>
      </c>
      <c r="L35" s="691"/>
    </row>
    <row r="36" spans="1:12" ht="15.75" customHeight="1" x14ac:dyDescent="0.3">
      <c r="A36" s="246"/>
      <c r="B36" s="261">
        <v>8</v>
      </c>
      <c r="C36" s="697"/>
      <c r="D36" s="700"/>
      <c r="E36" s="682">
        <v>9.9299999999999996E-3</v>
      </c>
      <c r="F36" s="683"/>
      <c r="G36" s="246"/>
      <c r="H36" s="261">
        <v>8</v>
      </c>
      <c r="I36" s="697"/>
      <c r="J36" s="708"/>
      <c r="K36" s="691">
        <v>4.9880000000000001E-2</v>
      </c>
      <c r="L36" s="691"/>
    </row>
    <row r="37" spans="1:12" ht="15.75" customHeight="1" x14ac:dyDescent="0.3">
      <c r="A37" s="246"/>
      <c r="B37" s="261">
        <v>9</v>
      </c>
      <c r="C37" s="697"/>
      <c r="D37" s="700"/>
      <c r="E37" s="682">
        <v>9.9299999999999996E-3</v>
      </c>
      <c r="F37" s="683"/>
      <c r="G37" s="246"/>
      <c r="H37" s="261">
        <v>9</v>
      </c>
      <c r="I37" s="697"/>
      <c r="J37" s="708"/>
      <c r="K37" s="691">
        <v>4.9880000000000001E-2</v>
      </c>
      <c r="L37" s="691"/>
    </row>
    <row r="38" spans="1:12" ht="15.75" customHeight="1" x14ac:dyDescent="0.3">
      <c r="A38" s="246"/>
      <c r="B38" s="262">
        <v>10</v>
      </c>
      <c r="C38" s="698"/>
      <c r="D38" s="701"/>
      <c r="E38" s="682">
        <v>9.9299999999999996E-3</v>
      </c>
      <c r="F38" s="683"/>
      <c r="G38" s="246"/>
      <c r="H38" s="262">
        <v>10</v>
      </c>
      <c r="I38" s="698"/>
      <c r="J38" s="709"/>
      <c r="K38" s="691">
        <v>4.9880000000000001E-2</v>
      </c>
      <c r="L38" s="691"/>
    </row>
    <row r="39" spans="1:12" ht="43.5" customHeight="1" x14ac:dyDescent="0.3">
      <c r="A39" s="246"/>
      <c r="B39" s="81">
        <v>11</v>
      </c>
      <c r="C39" s="487" t="s">
        <v>37</v>
      </c>
      <c r="D39" s="473" t="s">
        <v>38</v>
      </c>
      <c r="E39" s="705">
        <v>9.8700000000000003E-3</v>
      </c>
      <c r="F39" s="706"/>
      <c r="G39" s="246"/>
      <c r="H39" s="81">
        <v>11</v>
      </c>
      <c r="I39" s="487" t="s">
        <v>37</v>
      </c>
      <c r="J39" s="473" t="s">
        <v>38</v>
      </c>
      <c r="K39" s="692" t="s">
        <v>82</v>
      </c>
      <c r="L39" s="691"/>
    </row>
    <row r="40" spans="1:12" ht="35.25" customHeight="1" x14ac:dyDescent="0.3">
      <c r="A40" s="246"/>
      <c r="B40" s="255">
        <v>12</v>
      </c>
      <c r="C40" s="693" t="s">
        <v>39</v>
      </c>
      <c r="D40" s="694"/>
      <c r="E40" s="682">
        <v>13.22367</v>
      </c>
      <c r="F40" s="683"/>
      <c r="G40" s="263"/>
      <c r="H40" s="255">
        <v>12</v>
      </c>
      <c r="I40" s="693" t="s">
        <v>39</v>
      </c>
      <c r="J40" s="694"/>
      <c r="K40" s="682">
        <v>13.22367</v>
      </c>
      <c r="L40" s="683"/>
    </row>
    <row r="41" spans="1:12" x14ac:dyDescent="0.3">
      <c r="A41" s="246"/>
      <c r="B41" s="257"/>
      <c r="C41" s="246"/>
      <c r="D41" s="246"/>
      <c r="E41" s="246"/>
      <c r="F41" s="246"/>
      <c r="G41" s="246"/>
      <c r="H41" s="246"/>
      <c r="I41" s="246"/>
      <c r="J41" s="246"/>
      <c r="K41" s="246"/>
      <c r="L41" s="246"/>
    </row>
    <row r="42" spans="1:12" ht="24" customHeight="1" x14ac:dyDescent="0.3">
      <c r="A42" s="246"/>
      <c r="B42" s="687" t="s">
        <v>30</v>
      </c>
      <c r="C42" s="686" t="s">
        <v>31</v>
      </c>
      <c r="D42" s="689" t="s">
        <v>32</v>
      </c>
      <c r="E42" s="686" t="s">
        <v>33</v>
      </c>
      <c r="F42" s="686"/>
      <c r="G42" s="246"/>
      <c r="H42" s="246"/>
      <c r="I42" s="246"/>
      <c r="J42" s="246"/>
      <c r="K42" s="246"/>
      <c r="L42" s="246"/>
    </row>
    <row r="43" spans="1:12" ht="24" customHeight="1" x14ac:dyDescent="0.3">
      <c r="A43" s="246"/>
      <c r="B43" s="687"/>
      <c r="C43" s="686"/>
      <c r="D43" s="690"/>
      <c r="E43" s="686"/>
      <c r="F43" s="686"/>
      <c r="G43" s="246"/>
      <c r="H43" s="246"/>
      <c r="I43" s="246"/>
      <c r="J43" s="246"/>
      <c r="K43" s="246"/>
      <c r="L43" s="246"/>
    </row>
    <row r="44" spans="1:12" x14ac:dyDescent="0.3">
      <c r="A44" s="246"/>
      <c r="B44" s="260">
        <v>1</v>
      </c>
      <c r="C44" s="696" t="s">
        <v>41</v>
      </c>
      <c r="D44" s="707">
        <v>100</v>
      </c>
      <c r="E44" s="691">
        <v>9.9750000000000005E-2</v>
      </c>
      <c r="F44" s="691"/>
      <c r="G44" s="246"/>
      <c r="H44" s="246"/>
      <c r="I44" s="246"/>
      <c r="J44" s="246"/>
      <c r="K44" s="246"/>
      <c r="L44" s="246"/>
    </row>
    <row r="45" spans="1:12" x14ac:dyDescent="0.3">
      <c r="A45" s="246"/>
      <c r="B45" s="261">
        <v>2</v>
      </c>
      <c r="C45" s="697"/>
      <c r="D45" s="708"/>
      <c r="E45" s="691">
        <v>9.9750000000000005E-2</v>
      </c>
      <c r="F45" s="691"/>
      <c r="G45" s="246"/>
      <c r="H45" s="246"/>
      <c r="I45" s="246"/>
      <c r="J45" s="246"/>
      <c r="K45" s="246"/>
      <c r="L45" s="246"/>
    </row>
    <row r="46" spans="1:12" x14ac:dyDescent="0.3">
      <c r="A46" s="246"/>
      <c r="B46" s="261">
        <v>3</v>
      </c>
      <c r="C46" s="697"/>
      <c r="D46" s="708"/>
      <c r="E46" s="691">
        <v>9.9750000000000005E-2</v>
      </c>
      <c r="F46" s="691"/>
      <c r="G46" s="246"/>
      <c r="H46" s="246"/>
      <c r="I46" s="246"/>
      <c r="J46" s="246"/>
      <c r="K46" s="246"/>
      <c r="L46" s="246"/>
    </row>
    <row r="47" spans="1:12" x14ac:dyDescent="0.3">
      <c r="A47" s="246"/>
      <c r="B47" s="261">
        <v>4</v>
      </c>
      <c r="C47" s="697"/>
      <c r="D47" s="708"/>
      <c r="E47" s="691">
        <v>9.9750000000000005E-2</v>
      </c>
      <c r="F47" s="691"/>
      <c r="G47" s="246"/>
      <c r="H47" s="246"/>
      <c r="I47" s="246"/>
      <c r="J47" s="246"/>
      <c r="K47" s="246"/>
      <c r="L47" s="246"/>
    </row>
    <row r="48" spans="1:12" x14ac:dyDescent="0.3">
      <c r="A48" s="246"/>
      <c r="B48" s="261">
        <v>5</v>
      </c>
      <c r="C48" s="697"/>
      <c r="D48" s="708"/>
      <c r="E48" s="691">
        <v>9.9750000000000005E-2</v>
      </c>
      <c r="F48" s="691"/>
      <c r="G48" s="246"/>
      <c r="H48" s="246"/>
      <c r="I48" s="246"/>
      <c r="J48" s="246"/>
      <c r="K48" s="246"/>
      <c r="L48" s="246"/>
    </row>
    <row r="49" spans="1:12" x14ac:dyDescent="0.3">
      <c r="A49" s="246"/>
      <c r="B49" s="261">
        <v>6</v>
      </c>
      <c r="C49" s="697"/>
      <c r="D49" s="708"/>
      <c r="E49" s="691">
        <v>9.9750000000000005E-2</v>
      </c>
      <c r="F49" s="691"/>
      <c r="G49" s="246"/>
      <c r="H49" s="246"/>
      <c r="I49" s="246"/>
      <c r="J49" s="246"/>
      <c r="K49" s="246"/>
      <c r="L49" s="246"/>
    </row>
    <row r="50" spans="1:12" x14ac:dyDescent="0.3">
      <c r="A50" s="246"/>
      <c r="B50" s="261">
        <v>7</v>
      </c>
      <c r="C50" s="697"/>
      <c r="D50" s="708"/>
      <c r="E50" s="691">
        <v>9.9750000000000005E-2</v>
      </c>
      <c r="F50" s="691"/>
      <c r="G50" s="246"/>
      <c r="H50" s="246"/>
      <c r="I50" s="246"/>
      <c r="J50" s="246"/>
      <c r="K50" s="246"/>
      <c r="L50" s="246"/>
    </row>
    <row r="51" spans="1:12" x14ac:dyDescent="0.3">
      <c r="A51" s="246"/>
      <c r="B51" s="261">
        <v>8</v>
      </c>
      <c r="C51" s="697"/>
      <c r="D51" s="708"/>
      <c r="E51" s="691">
        <v>9.9750000000000005E-2</v>
      </c>
      <c r="F51" s="691"/>
      <c r="G51" s="246"/>
      <c r="H51" s="246"/>
      <c r="I51" s="246"/>
      <c r="J51" s="246"/>
      <c r="K51" s="246"/>
      <c r="L51" s="246"/>
    </row>
    <row r="52" spans="1:12" x14ac:dyDescent="0.3">
      <c r="A52" s="246"/>
      <c r="B52" s="261">
        <v>9</v>
      </c>
      <c r="C52" s="697"/>
      <c r="D52" s="708"/>
      <c r="E52" s="691">
        <v>9.9750000000000005E-2</v>
      </c>
      <c r="F52" s="691"/>
      <c r="G52" s="246"/>
      <c r="H52" s="246"/>
      <c r="I52" s="246"/>
      <c r="J52" s="246"/>
      <c r="K52" s="246"/>
      <c r="L52" s="246"/>
    </row>
    <row r="53" spans="1:12" x14ac:dyDescent="0.3">
      <c r="A53" s="246"/>
      <c r="B53" s="262">
        <v>10</v>
      </c>
      <c r="C53" s="698"/>
      <c r="D53" s="709"/>
      <c r="E53" s="691">
        <v>9.9750000000000005E-2</v>
      </c>
      <c r="F53" s="691"/>
      <c r="G53" s="246"/>
      <c r="H53" s="246"/>
      <c r="I53" s="246"/>
      <c r="J53" s="246"/>
      <c r="K53" s="246"/>
      <c r="L53" s="246"/>
    </row>
    <row r="54" spans="1:12" ht="43.5" customHeight="1" x14ac:dyDescent="0.3">
      <c r="A54" s="246"/>
      <c r="B54" s="81">
        <v>11</v>
      </c>
      <c r="C54" s="487" t="s">
        <v>37</v>
      </c>
      <c r="D54" s="473" t="s">
        <v>38</v>
      </c>
      <c r="E54" s="710" t="s">
        <v>82</v>
      </c>
      <c r="F54" s="706"/>
      <c r="G54" s="246"/>
      <c r="H54" s="246"/>
      <c r="I54" s="246"/>
      <c r="J54" s="246"/>
      <c r="K54" s="246"/>
      <c r="L54" s="246"/>
    </row>
    <row r="55" spans="1:12" ht="35.1" customHeight="1" x14ac:dyDescent="0.3">
      <c r="A55" s="246"/>
      <c r="B55" s="255">
        <v>12</v>
      </c>
      <c r="C55" s="693" t="s">
        <v>39</v>
      </c>
      <c r="D55" s="694"/>
      <c r="E55" s="711">
        <v>13.22367</v>
      </c>
      <c r="F55" s="712"/>
      <c r="G55" s="246"/>
      <c r="H55" s="246"/>
      <c r="I55" s="246"/>
      <c r="J55" s="246"/>
      <c r="K55" s="246"/>
      <c r="L55" s="246"/>
    </row>
    <row r="56" spans="1:12" x14ac:dyDescent="0.3">
      <c r="A56" s="246"/>
      <c r="B56" s="257"/>
      <c r="C56" s="246"/>
      <c r="D56" s="246"/>
      <c r="E56" s="246"/>
      <c r="F56" s="246"/>
      <c r="G56" s="246"/>
      <c r="H56" s="246"/>
      <c r="I56" s="246"/>
      <c r="J56" s="246"/>
      <c r="K56" s="246"/>
      <c r="L56" s="246"/>
    </row>
    <row r="57" spans="1:12" ht="15.6" x14ac:dyDescent="0.3">
      <c r="A57" s="254" t="s">
        <v>42</v>
      </c>
      <c r="B57" s="264" t="s">
        <v>43</v>
      </c>
      <c r="C57" s="246"/>
      <c r="D57" s="246"/>
      <c r="E57" s="246"/>
      <c r="F57" s="246"/>
      <c r="G57" s="246"/>
      <c r="H57" s="246"/>
      <c r="I57" s="246"/>
      <c r="J57" s="246"/>
      <c r="K57" s="246"/>
      <c r="L57" s="246"/>
    </row>
    <row r="58" spans="1:12" x14ac:dyDescent="0.3">
      <c r="A58" s="246"/>
      <c r="B58" s="241" t="s">
        <v>44</v>
      </c>
      <c r="C58" s="246"/>
      <c r="D58" s="246"/>
      <c r="E58" s="246"/>
      <c r="F58" s="246"/>
      <c r="G58" s="246"/>
      <c r="H58" s="246"/>
      <c r="I58" s="246"/>
      <c r="J58" s="246"/>
      <c r="K58" s="246"/>
      <c r="L58" s="246"/>
    </row>
    <row r="59" spans="1:12" x14ac:dyDescent="0.3">
      <c r="A59" s="246"/>
      <c r="B59" s="241" t="str">
        <f>'DB Balance'!A142</f>
        <v>Hasil kalibrasi pippette calibration balance tertelusur ke Satuan Internasional ( SI ) melalui SNSU-BSN</v>
      </c>
      <c r="C59" s="246"/>
      <c r="D59" s="246"/>
      <c r="E59" s="246"/>
      <c r="F59" s="246"/>
      <c r="G59" s="246"/>
      <c r="H59" s="246"/>
      <c r="I59" s="246"/>
      <c r="J59" s="246"/>
      <c r="K59" s="246"/>
      <c r="L59" s="246"/>
    </row>
    <row r="60" spans="1:12" x14ac:dyDescent="0.3">
      <c r="A60" s="246"/>
      <c r="B60" s="241"/>
      <c r="C60" s="246"/>
      <c r="D60" s="246"/>
      <c r="E60" s="246"/>
      <c r="F60" s="246"/>
      <c r="G60" s="246"/>
      <c r="H60" s="246"/>
      <c r="I60" s="246"/>
      <c r="J60" s="246"/>
      <c r="K60" s="246"/>
      <c r="L60" s="246"/>
    </row>
    <row r="61" spans="1:12" ht="15.6" x14ac:dyDescent="0.3">
      <c r="A61" s="254" t="s">
        <v>45</v>
      </c>
      <c r="B61" s="264" t="s">
        <v>46</v>
      </c>
      <c r="C61" s="246"/>
      <c r="D61" s="246"/>
      <c r="E61" s="246"/>
      <c r="F61" s="246"/>
      <c r="G61" s="246"/>
      <c r="H61" s="246"/>
      <c r="I61" s="246"/>
      <c r="J61" s="246"/>
      <c r="K61" s="246"/>
      <c r="L61" s="246"/>
    </row>
    <row r="62" spans="1:12" x14ac:dyDescent="0.3">
      <c r="A62" s="246"/>
      <c r="B62" s="704" t="s">
        <v>375</v>
      </c>
      <c r="C62" s="704"/>
      <c r="D62" s="704"/>
      <c r="E62" s="704"/>
      <c r="F62" s="704"/>
      <c r="G62" s="704"/>
      <c r="H62" s="704"/>
      <c r="I62" s="704"/>
      <c r="J62" s="704"/>
      <c r="K62" s="704"/>
      <c r="L62" s="246"/>
    </row>
    <row r="63" spans="1:12" x14ac:dyDescent="0.3">
      <c r="A63" s="246"/>
      <c r="B63" s="704" t="s">
        <v>383</v>
      </c>
      <c r="C63" s="704"/>
      <c r="D63" s="704"/>
      <c r="E63" s="704"/>
      <c r="F63" s="704"/>
      <c r="G63" s="704"/>
      <c r="H63" s="704"/>
      <c r="I63" s="704"/>
      <c r="J63" s="704"/>
      <c r="K63" s="704"/>
      <c r="L63" s="246"/>
    </row>
    <row r="64" spans="1:12" x14ac:dyDescent="0.3">
      <c r="A64" s="246"/>
      <c r="B64" s="704" t="s">
        <v>398</v>
      </c>
      <c r="C64" s="704"/>
      <c r="D64" s="704"/>
      <c r="E64" s="704"/>
      <c r="F64" s="704"/>
      <c r="G64" s="704"/>
      <c r="H64" s="704"/>
      <c r="I64" s="704"/>
      <c r="J64" s="704"/>
      <c r="K64" s="704"/>
      <c r="L64" s="246"/>
    </row>
    <row r="65" spans="1:12" x14ac:dyDescent="0.3">
      <c r="A65" s="246"/>
      <c r="B65" s="246"/>
      <c r="C65" s="246"/>
      <c r="D65" s="246"/>
      <c r="E65" s="246"/>
      <c r="F65" s="246"/>
      <c r="G65" s="246"/>
      <c r="H65" s="246"/>
      <c r="I65" s="246"/>
      <c r="J65" s="246"/>
      <c r="K65" s="246"/>
      <c r="L65" s="246"/>
    </row>
    <row r="66" spans="1:12" ht="15.6" hidden="1" x14ac:dyDescent="0.3">
      <c r="A66" s="254" t="s">
        <v>56</v>
      </c>
      <c r="B66" s="254" t="s">
        <v>99</v>
      </c>
      <c r="C66" s="254"/>
      <c r="D66" s="246"/>
      <c r="E66" s="246"/>
      <c r="F66" s="246"/>
      <c r="G66" s="246"/>
      <c r="H66" s="246"/>
      <c r="I66" s="246"/>
      <c r="J66" s="246"/>
      <c r="K66" s="246"/>
      <c r="L66" s="246"/>
    </row>
    <row r="67" spans="1:12" hidden="1" x14ac:dyDescent="0.3">
      <c r="A67" s="246"/>
      <c r="B67" s="688" t="str">
        <f>'DB Balance'!A180</f>
        <v/>
      </c>
      <c r="C67" s="688"/>
      <c r="D67" s="688"/>
      <c r="E67" s="688"/>
      <c r="F67" s="688"/>
      <c r="G67" s="688"/>
      <c r="H67" s="688"/>
      <c r="I67" s="688"/>
      <c r="J67" s="688"/>
      <c r="K67" s="688"/>
      <c r="L67" s="246"/>
    </row>
    <row r="68" spans="1:12" hidden="1" x14ac:dyDescent="0.3">
      <c r="A68" s="246"/>
      <c r="B68" s="688"/>
      <c r="C68" s="688"/>
      <c r="D68" s="688"/>
      <c r="E68" s="688"/>
      <c r="F68" s="688"/>
      <c r="G68" s="688"/>
      <c r="H68" s="688"/>
      <c r="I68" s="688"/>
      <c r="J68" s="688"/>
      <c r="K68" s="688"/>
      <c r="L68" s="246"/>
    </row>
    <row r="69" spans="1:12" hidden="1" x14ac:dyDescent="0.3">
      <c r="A69" s="246"/>
      <c r="B69" s="246"/>
      <c r="C69" s="246"/>
      <c r="D69" s="246"/>
      <c r="E69" s="246"/>
      <c r="F69" s="246"/>
      <c r="G69" s="246"/>
      <c r="H69" s="246"/>
      <c r="I69" s="246"/>
      <c r="J69" s="246"/>
      <c r="K69" s="246"/>
      <c r="L69" s="246"/>
    </row>
    <row r="70" spans="1:12" ht="15.6" x14ac:dyDescent="0.3">
      <c r="A70" s="254" t="s">
        <v>56</v>
      </c>
      <c r="B70" s="254" t="s">
        <v>57</v>
      </c>
      <c r="C70" s="246"/>
      <c r="D70" s="246"/>
      <c r="E70" s="246"/>
      <c r="F70" s="246"/>
      <c r="G70" s="246"/>
      <c r="H70" s="246"/>
      <c r="I70" s="246"/>
      <c r="J70" s="246"/>
      <c r="K70" s="246"/>
      <c r="L70" s="246"/>
    </row>
    <row r="71" spans="1:12" x14ac:dyDescent="0.3">
      <c r="A71" s="246"/>
      <c r="B71" s="704" t="s">
        <v>60</v>
      </c>
      <c r="C71" s="704"/>
      <c r="D71" s="704"/>
      <c r="E71" s="704"/>
      <c r="F71" s="246"/>
      <c r="G71" s="246"/>
      <c r="H71" s="246"/>
      <c r="I71" s="246"/>
      <c r="J71" s="246"/>
      <c r="K71" s="246"/>
      <c r="L71" s="246"/>
    </row>
    <row r="72" spans="1:12" x14ac:dyDescent="0.3">
      <c r="A72" s="246"/>
      <c r="B72" s="246"/>
      <c r="C72" s="246"/>
      <c r="D72" s="246"/>
      <c r="E72" s="246"/>
      <c r="F72" s="246"/>
      <c r="G72" s="246"/>
      <c r="H72" s="246"/>
      <c r="I72" s="246"/>
      <c r="J72" s="246"/>
      <c r="K72" s="246"/>
      <c r="L72" s="246"/>
    </row>
    <row r="73" spans="1:12" ht="15.6" x14ac:dyDescent="0.3">
      <c r="A73" s="254" t="s">
        <v>100</v>
      </c>
      <c r="B73" s="254" t="s">
        <v>101</v>
      </c>
      <c r="C73" s="246"/>
      <c r="D73" s="246"/>
      <c r="E73" s="246"/>
      <c r="F73" s="246"/>
      <c r="G73" s="246"/>
      <c r="H73" s="246"/>
      <c r="I73" s="246"/>
      <c r="J73" s="246"/>
      <c r="K73" s="246"/>
      <c r="L73" s="246"/>
    </row>
    <row r="74" spans="1:12" x14ac:dyDescent="0.3">
      <c r="A74" s="246"/>
      <c r="B74" s="657" t="str">
        <f>E9</f>
        <v>10 November 2016</v>
      </c>
      <c r="C74" s="244"/>
      <c r="D74" s="244"/>
      <c r="E74" s="246"/>
      <c r="F74" s="246"/>
      <c r="G74" s="246"/>
      <c r="H74" s="246"/>
      <c r="I74" s="246"/>
      <c r="J74" s="246"/>
      <c r="K74" s="246"/>
      <c r="L74" s="246"/>
    </row>
    <row r="75" spans="1:12" x14ac:dyDescent="0.3">
      <c r="A75" s="246"/>
      <c r="B75" s="246"/>
      <c r="C75" s="246"/>
      <c r="D75" s="246"/>
      <c r="E75" s="246"/>
      <c r="F75" s="246"/>
      <c r="G75" s="246"/>
      <c r="H75" s="246"/>
      <c r="I75" s="246"/>
      <c r="J75" s="246"/>
      <c r="K75" s="246"/>
      <c r="L75" s="246"/>
    </row>
    <row r="96" spans="3:4" x14ac:dyDescent="0.3">
      <c r="C96" s="107"/>
      <c r="D96" s="107"/>
    </row>
    <row r="97" spans="3:4" x14ac:dyDescent="0.3">
      <c r="C97" s="85"/>
      <c r="D97" s="85"/>
    </row>
    <row r="98" spans="3:4" x14ac:dyDescent="0.3">
      <c r="C98" s="85"/>
      <c r="D98" s="85"/>
    </row>
    <row r="99" spans="3:4" x14ac:dyDescent="0.3">
      <c r="C99" s="85"/>
      <c r="D99" s="85"/>
    </row>
    <row r="100" spans="3:4" x14ac:dyDescent="0.3">
      <c r="C100" s="85"/>
      <c r="D100" s="85"/>
    </row>
    <row r="101" spans="3:4" x14ac:dyDescent="0.3">
      <c r="C101" s="85"/>
      <c r="D101" s="85"/>
    </row>
    <row r="102" spans="3:4" x14ac:dyDescent="0.3">
      <c r="C102" s="85"/>
      <c r="D102" s="85"/>
    </row>
    <row r="103" spans="3:4" x14ac:dyDescent="0.3">
      <c r="C103" s="85"/>
      <c r="D103" s="85"/>
    </row>
    <row r="104" spans="3:4" x14ac:dyDescent="0.3">
      <c r="C104" s="85"/>
      <c r="D104" s="85"/>
    </row>
    <row r="105" spans="3:4" x14ac:dyDescent="0.3">
      <c r="C105" s="85"/>
      <c r="D105" s="85"/>
    </row>
    <row r="106" spans="3:4" x14ac:dyDescent="0.3">
      <c r="C106" s="85"/>
      <c r="D106" s="85"/>
    </row>
    <row r="107" spans="3:4" x14ac:dyDescent="0.3">
      <c r="C107" s="85"/>
      <c r="D107" s="85"/>
    </row>
    <row r="108" spans="3:4" x14ac:dyDescent="0.3">
      <c r="C108" s="85"/>
      <c r="D108" s="85"/>
    </row>
    <row r="109" spans="3:4" x14ac:dyDescent="0.3">
      <c r="C109" s="85"/>
      <c r="D109" s="85"/>
    </row>
    <row r="110" spans="3:4" x14ac:dyDescent="0.3">
      <c r="C110" s="85"/>
      <c r="D110" s="85"/>
    </row>
  </sheetData>
  <mergeCells count="72">
    <mergeCell ref="B42:B43"/>
    <mergeCell ref="C42:C43"/>
    <mergeCell ref="D42:D43"/>
    <mergeCell ref="E42:F43"/>
    <mergeCell ref="C44:C53"/>
    <mergeCell ref="D44:D53"/>
    <mergeCell ref="E44:F44"/>
    <mergeCell ref="E45:F45"/>
    <mergeCell ref="E46:F46"/>
    <mergeCell ref="E47:F47"/>
    <mergeCell ref="E48:F48"/>
    <mergeCell ref="E49:F49"/>
    <mergeCell ref="K40:L40"/>
    <mergeCell ref="E54:F54"/>
    <mergeCell ref="C55:D55"/>
    <mergeCell ref="E55:F55"/>
    <mergeCell ref="E8:F8"/>
    <mergeCell ref="B71:E71"/>
    <mergeCell ref="B63:K63"/>
    <mergeCell ref="B62:K62"/>
    <mergeCell ref="C40:D40"/>
    <mergeCell ref="E38:F38"/>
    <mergeCell ref="B64:K64"/>
    <mergeCell ref="E40:F40"/>
    <mergeCell ref="E39:F39"/>
    <mergeCell ref="I29:I38"/>
    <mergeCell ref="J29:J38"/>
    <mergeCell ref="K29:L29"/>
    <mergeCell ref="K30:L30"/>
    <mergeCell ref="K31:L31"/>
    <mergeCell ref="K32:L32"/>
    <mergeCell ref="K33:L33"/>
    <mergeCell ref="K34:L34"/>
    <mergeCell ref="A1:L1"/>
    <mergeCell ref="B27:B28"/>
    <mergeCell ref="C27:C28"/>
    <mergeCell ref="C29:C38"/>
    <mergeCell ref="D27:D28"/>
    <mergeCell ref="D29:D38"/>
    <mergeCell ref="E27:F28"/>
    <mergeCell ref="E29:F29"/>
    <mergeCell ref="E30:F30"/>
    <mergeCell ref="E31:F31"/>
    <mergeCell ref="E32:F32"/>
    <mergeCell ref="E23:F23"/>
    <mergeCell ref="E24:F24"/>
    <mergeCell ref="E10:G10"/>
    <mergeCell ref="E33:F33"/>
    <mergeCell ref="E5:G5"/>
    <mergeCell ref="B67:K68"/>
    <mergeCell ref="E35:F35"/>
    <mergeCell ref="E36:F36"/>
    <mergeCell ref="E37:F37"/>
    <mergeCell ref="J27:J28"/>
    <mergeCell ref="K27:L28"/>
    <mergeCell ref="K35:L35"/>
    <mergeCell ref="K36:L36"/>
    <mergeCell ref="E50:F50"/>
    <mergeCell ref="E51:F51"/>
    <mergeCell ref="E52:F52"/>
    <mergeCell ref="E53:F53"/>
    <mergeCell ref="K37:L37"/>
    <mergeCell ref="K38:L38"/>
    <mergeCell ref="K39:L39"/>
    <mergeCell ref="I40:J40"/>
    <mergeCell ref="E6:G6"/>
    <mergeCell ref="E34:F34"/>
    <mergeCell ref="E9:G9"/>
    <mergeCell ref="E13:F13"/>
    <mergeCell ref="I27:I28"/>
    <mergeCell ref="H27:H28"/>
    <mergeCell ref="E7:H7"/>
  </mergeCells>
  <printOptions horizontalCentered="1"/>
  <pageMargins left="0.5" right="0.5" top="0.75" bottom="0.25" header="0.25" footer="0.25"/>
  <pageSetup paperSize="9" scale="62" orientation="portrait" horizontalDpi="4294967294" r:id="rId1"/>
  <headerFooter>
    <oddHeader>&amp;R&amp;8FV.ID 115-19 / REV : 0</oddHeader>
  </headerFooter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1000000}">
          <x14:formula1>
            <xm:f>'DB Balance'!$A$111:$A$128</xm:f>
          </x14:formula1>
          <xm:sqref>D29 D44:D53 J29:J38</xm:sqref>
        </x14:dataValidation>
        <x14:dataValidation type="list" allowBlank="1" showInputMessage="1" showErrorMessage="1" xr:uid="{D2D1BE59-CF61-427E-B1CB-CED91DF99E66}">
          <x14:formula1>
            <xm:f>'DB Balance'!$A$131:$A$134</xm:f>
          </x14:formula1>
          <xm:sqref>B62</xm:sqref>
        </x14:dataValidation>
        <x14:dataValidation type="list" allowBlank="1" showInputMessage="1" showErrorMessage="1" xr:uid="{3B4CA823-34CF-464F-B72E-1F6679CCC3EB}">
          <x14:formula1>
            <xm:f>'DB Thermohygro'!$A$390:$A$409</xm:f>
          </x14:formula1>
          <xm:sqref>B63:K63</xm:sqref>
        </x14:dataValidation>
        <x14:dataValidation type="list" allowBlank="1" showInputMessage="1" showErrorMessage="1" xr:uid="{43EFA555-DC3C-4AA0-8C9A-725A5C07D6E8}">
          <x14:formula1>
            <xm:f>'DB Thermo Air'!$A$67:$A$70</xm:f>
          </x14:formula1>
          <xm:sqref>B64</xm:sqref>
        </x14:dataValidation>
        <x14:dataValidation type="list" allowBlank="1" showInputMessage="1" showErrorMessage="1" xr:uid="{5F55BBAC-6CFC-47C8-86B8-244864A1DDFF}">
          <x14:formula1>
            <xm:f>'DB Balance'!$A$145:$A$166</xm:f>
          </x14:formula1>
          <xm:sqref>B71:E71</xm:sqref>
        </x14:dataValidation>
        <x14:dataValidation type="list" allowBlank="1" showInputMessage="1" showErrorMessage="1" xr:uid="{F7C12009-5BDE-406B-BA42-36A6A5205F77}">
          <x14:formula1>
            <xm:f>'DB Balance'!$D$146:$D$147</xm:f>
          </x14:formula1>
          <xm:sqref>E23:E24</xm:sqref>
        </x14:dataValidation>
        <x14:dataValidation type="list" allowBlank="1" showInputMessage="1" showErrorMessage="1" xr:uid="{33DAB40A-48C1-4252-833A-A8A2EBAA2B1C}">
          <x14:formula1>
            <xm:f>'DB Balance'!$D$151:$D$166</xm:f>
          </x14:formula1>
          <xm:sqref>E8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55"/>
  <sheetViews>
    <sheetView showGridLines="0" view="pageBreakPreview" zoomScaleNormal="60" zoomScaleSheetLayoutView="100" workbookViewId="0">
      <selection activeCell="D22" sqref="D22"/>
    </sheetView>
  </sheetViews>
  <sheetFormatPr defaultRowHeight="14.4" x14ac:dyDescent="0.3"/>
  <cols>
    <col min="1" max="1" width="3.6640625" style="1" customWidth="1"/>
    <col min="2" max="2" width="6.5546875" customWidth="1"/>
    <col min="3" max="3" width="12.6640625" customWidth="1"/>
    <col min="4" max="4" width="12" customWidth="1"/>
    <col min="5" max="5" width="11.44140625" customWidth="1"/>
    <col min="6" max="7" width="10.44140625" customWidth="1"/>
    <col min="8" max="8" width="11.6640625" customWidth="1"/>
    <col min="9" max="9" width="11.109375" customWidth="1"/>
    <col min="10" max="10" width="11.88671875" customWidth="1"/>
    <col min="11" max="11" width="11.44140625" customWidth="1"/>
    <col min="12" max="12" width="10.88671875" customWidth="1"/>
    <col min="13" max="13" width="10" customWidth="1"/>
    <col min="14" max="14" width="7.88671875" customWidth="1"/>
    <col min="15" max="15" width="10.44140625" customWidth="1"/>
    <col min="16" max="16" width="12.109375" customWidth="1"/>
    <col min="17" max="17" width="11.44140625" customWidth="1"/>
  </cols>
  <sheetData>
    <row r="1" spans="1:17" ht="17.399999999999999" x14ac:dyDescent="0.3">
      <c r="A1" s="714" t="s">
        <v>102</v>
      </c>
      <c r="B1" s="714"/>
      <c r="C1" s="714"/>
      <c r="D1" s="714"/>
      <c r="E1" s="714"/>
      <c r="F1" s="714"/>
      <c r="G1" s="714"/>
      <c r="H1" s="714"/>
      <c r="I1" s="714"/>
      <c r="J1" s="714"/>
      <c r="K1" s="714"/>
      <c r="L1" s="714"/>
      <c r="M1" s="714"/>
      <c r="N1" s="714"/>
      <c r="O1" s="714"/>
      <c r="P1" s="714"/>
      <c r="Q1" s="715"/>
    </row>
    <row r="2" spans="1:17" x14ac:dyDescent="0.3">
      <c r="A2" s="722">
        <f>'DB Balance'!B88</f>
        <v>10</v>
      </c>
      <c r="B2" s="723"/>
      <c r="C2" s="724"/>
      <c r="Q2" s="35"/>
    </row>
    <row r="3" spans="1:17" ht="15" customHeight="1" x14ac:dyDescent="0.3">
      <c r="A3" s="15"/>
      <c r="B3" s="716" t="s">
        <v>103</v>
      </c>
      <c r="C3" s="716"/>
      <c r="D3" s="460" t="s">
        <v>104</v>
      </c>
      <c r="E3" s="460" t="s">
        <v>105</v>
      </c>
      <c r="F3" s="460" t="s">
        <v>106</v>
      </c>
      <c r="G3" s="460" t="s">
        <v>105</v>
      </c>
      <c r="H3" s="460" t="s">
        <v>107</v>
      </c>
      <c r="I3" s="460" t="s">
        <v>108</v>
      </c>
      <c r="J3" s="461" t="s">
        <v>109</v>
      </c>
      <c r="K3" s="460" t="s">
        <v>110</v>
      </c>
      <c r="L3" s="460" t="s">
        <v>111</v>
      </c>
      <c r="M3" s="460" t="s">
        <v>112</v>
      </c>
      <c r="N3" s="460" t="s">
        <v>105</v>
      </c>
      <c r="O3" s="460" t="s">
        <v>113</v>
      </c>
      <c r="P3" s="460" t="s">
        <v>114</v>
      </c>
      <c r="Q3" s="460" t="s">
        <v>115</v>
      </c>
    </row>
    <row r="4" spans="1:17" ht="24.9" customHeight="1" x14ac:dyDescent="0.3">
      <c r="A4" s="15">
        <v>1</v>
      </c>
      <c r="B4" s="718" t="str">
        <f>'DB Balance'!A98</f>
        <v>1. Massa Air (Repeatability)</v>
      </c>
      <c r="C4" s="718"/>
      <c r="D4" s="11">
        <f>'DB Balance'!D98*'DB Balance'!H77</f>
        <v>4.0000000000000577E-2</v>
      </c>
      <c r="E4" s="9" t="s">
        <v>116</v>
      </c>
      <c r="F4" s="11">
        <f>D4*'DB Balance'!H76</f>
        <v>40.000000000000576</v>
      </c>
      <c r="G4" s="9" t="s">
        <v>117</v>
      </c>
      <c r="H4" s="10" t="s">
        <v>118</v>
      </c>
      <c r="I4" s="11">
        <f>F4</f>
        <v>40.000000000000576</v>
      </c>
      <c r="J4" s="40">
        <f>SQRT(10)</f>
        <v>3.1622776601683795</v>
      </c>
      <c r="K4" s="10">
        <v>9</v>
      </c>
      <c r="L4" s="11">
        <f>I4/J4</f>
        <v>12.649110640673699</v>
      </c>
      <c r="M4" s="10">
        <v>1</v>
      </c>
      <c r="N4" s="10" t="s">
        <v>119</v>
      </c>
      <c r="O4" s="11">
        <f t="shared" ref="O4:O5" si="0">L4*M4</f>
        <v>12.649110640673699</v>
      </c>
      <c r="P4" s="11">
        <f>O4^2</f>
        <v>160.0000000000046</v>
      </c>
      <c r="Q4" s="11">
        <f t="shared" ref="Q4:Q5" si="1">O4^4/K4</f>
        <v>2844.4444444446081</v>
      </c>
    </row>
    <row r="5" spans="1:17" ht="24.9" customHeight="1" x14ac:dyDescent="0.3">
      <c r="A5" s="15">
        <v>2</v>
      </c>
      <c r="B5" s="718" t="str">
        <f>'DB Balance'!A101</f>
        <v>Massa Air (Sertifikat timbangan)</v>
      </c>
      <c r="C5" s="718"/>
      <c r="D5" s="11">
        <f>'DB Balance'!D101*'DB Balance'!H77</f>
        <v>0.04</v>
      </c>
      <c r="E5" s="9" t="s">
        <v>116</v>
      </c>
      <c r="F5" s="11">
        <f>D5*'DB Balance'!H76</f>
        <v>40</v>
      </c>
      <c r="G5" s="9" t="s">
        <v>117</v>
      </c>
      <c r="H5" s="10" t="s">
        <v>118</v>
      </c>
      <c r="I5" s="11">
        <f>F5</f>
        <v>40</v>
      </c>
      <c r="J5" s="40">
        <v>2</v>
      </c>
      <c r="K5" s="10">
        <v>50</v>
      </c>
      <c r="L5" s="11">
        <f>I5/J5</f>
        <v>20</v>
      </c>
      <c r="M5" s="10">
        <v>1</v>
      </c>
      <c r="N5" s="10" t="s">
        <v>119</v>
      </c>
      <c r="O5" s="11">
        <f t="shared" si="0"/>
        <v>20</v>
      </c>
      <c r="P5" s="11">
        <f>O5^2</f>
        <v>400</v>
      </c>
      <c r="Q5" s="11">
        <f t="shared" si="1"/>
        <v>3200</v>
      </c>
    </row>
    <row r="6" spans="1:17" ht="24.9" customHeight="1" x14ac:dyDescent="0.3">
      <c r="A6" s="15">
        <v>3</v>
      </c>
      <c r="B6" s="719" t="str">
        <f>'DB Balance'!A102</f>
        <v>Densitas Suhu Air (Sertifikat thermometer air)</v>
      </c>
      <c r="C6" s="719"/>
      <c r="D6" s="13">
        <f>'DB Balance'!D102</f>
        <v>0.2</v>
      </c>
      <c r="E6" s="9" t="s">
        <v>17</v>
      </c>
      <c r="F6" s="11">
        <f>D6</f>
        <v>0.2</v>
      </c>
      <c r="G6" s="9" t="s">
        <v>17</v>
      </c>
      <c r="H6" s="10" t="s">
        <v>118</v>
      </c>
      <c r="I6" s="11">
        <f>F6/2</f>
        <v>0.1</v>
      </c>
      <c r="J6" s="40">
        <v>2</v>
      </c>
      <c r="K6" s="10">
        <v>50</v>
      </c>
      <c r="L6" s="11">
        <f>I6/J6</f>
        <v>0.05</v>
      </c>
      <c r="M6" s="168">
        <f>0.0000007*'DB Balance'!F88</f>
        <v>6.9930347549999979E-9</v>
      </c>
      <c r="N6" s="169" t="s">
        <v>120</v>
      </c>
      <c r="O6" s="11">
        <f>L6*M6</f>
        <v>3.496517377499999E-10</v>
      </c>
      <c r="P6" s="11">
        <f>O6^2</f>
        <v>1.222563377115947E-19</v>
      </c>
      <c r="Q6" s="11">
        <f>O6^4/K6</f>
        <v>2.9893224221302984E-40</v>
      </c>
    </row>
    <row r="7" spans="1:17" ht="24.9" customHeight="1" x14ac:dyDescent="0.3">
      <c r="A7" s="15">
        <v>4</v>
      </c>
      <c r="B7" s="718" t="str">
        <f>'DB Balance'!A103</f>
        <v>Densitas Anak Timbangan</v>
      </c>
      <c r="C7" s="718"/>
      <c r="D7" s="13">
        <f>'DB Balance'!F103</f>
        <v>8</v>
      </c>
      <c r="E7" s="9" t="s">
        <v>121</v>
      </c>
      <c r="F7" s="11">
        <f>D7*'DB Balance'!H79</f>
        <v>8.0000000000000002E-3</v>
      </c>
      <c r="G7" s="9" t="s">
        <v>122</v>
      </c>
      <c r="H7" s="10" t="s">
        <v>123</v>
      </c>
      <c r="I7" s="11">
        <f>F7</f>
        <v>8.0000000000000002E-3</v>
      </c>
      <c r="J7" s="40">
        <f t="shared" ref="J7:J11" si="2">SQRT(3)</f>
        <v>1.7320508075688772</v>
      </c>
      <c r="K7" s="10">
        <v>50</v>
      </c>
      <c r="L7" s="11">
        <f t="shared" ref="L7:L8" si="3">I7/J7</f>
        <v>4.6188021535170064E-3</v>
      </c>
      <c r="M7" s="168">
        <v>1</v>
      </c>
      <c r="N7" s="10" t="s">
        <v>119</v>
      </c>
      <c r="O7" s="11">
        <f t="shared" ref="O7:O8" si="4">L7*M7</f>
        <v>4.6188021535170064E-3</v>
      </c>
      <c r="P7" s="11">
        <f t="shared" ref="P7:P8" si="5">O7^2</f>
        <v>2.1333333333333335E-5</v>
      </c>
      <c r="Q7" s="11">
        <f t="shared" ref="Q7:Q8" si="6">O7^4/K7</f>
        <v>9.1022222222222229E-12</v>
      </c>
    </row>
    <row r="8" spans="1:17" ht="24.9" customHeight="1" x14ac:dyDescent="0.3">
      <c r="A8" s="15">
        <v>5</v>
      </c>
      <c r="B8" s="719" t="s">
        <v>124</v>
      </c>
      <c r="C8" s="719"/>
      <c r="D8" s="13">
        <f>('DB Balance'!E88*'DB Balance'!H73)*'DB Balance'!H81</f>
        <v>997.97602528834307</v>
      </c>
      <c r="E8" s="8" t="s">
        <v>121</v>
      </c>
      <c r="F8" s="178">
        <f>D8*'DB Balance'!H79</f>
        <v>0.99797602528834306</v>
      </c>
      <c r="G8" s="8" t="s">
        <v>125</v>
      </c>
      <c r="H8" s="179" t="s">
        <v>123</v>
      </c>
      <c r="I8" s="178">
        <f>((D8/'DB Balance'!D88)*UB!I6)</f>
        <v>4.5704991595993567</v>
      </c>
      <c r="J8" s="388">
        <f t="shared" si="2"/>
        <v>1.7320508075688772</v>
      </c>
      <c r="K8" s="179">
        <v>50</v>
      </c>
      <c r="L8" s="178">
        <f t="shared" si="3"/>
        <v>2.6387789201256471</v>
      </c>
      <c r="M8" s="389">
        <v>1</v>
      </c>
      <c r="N8" s="179" t="s">
        <v>126</v>
      </c>
      <c r="O8" s="180">
        <f t="shared" si="4"/>
        <v>2.6387789201256471</v>
      </c>
      <c r="P8" s="178">
        <f t="shared" si="5"/>
        <v>6.9631541892994759</v>
      </c>
      <c r="Q8" s="466">
        <f t="shared" si="6"/>
        <v>0.96971032527917689</v>
      </c>
    </row>
    <row r="9" spans="1:17" ht="24.9" customHeight="1" x14ac:dyDescent="0.3">
      <c r="A9" s="15">
        <v>6</v>
      </c>
      <c r="B9" s="719" t="s">
        <v>127</v>
      </c>
      <c r="C9" s="719"/>
      <c r="D9" s="15">
        <f>'DB Balance'!D105</f>
        <v>2.9999999999999997E-4</v>
      </c>
      <c r="E9" s="9" t="s">
        <v>17</v>
      </c>
      <c r="F9" s="10">
        <f>D9</f>
        <v>2.9999999999999997E-4</v>
      </c>
      <c r="G9" s="9" t="s">
        <v>17</v>
      </c>
      <c r="H9" s="10" t="s">
        <v>123</v>
      </c>
      <c r="I9" s="172">
        <f>10%*F9</f>
        <v>2.9999999999999997E-5</v>
      </c>
      <c r="J9" s="40">
        <f t="shared" si="2"/>
        <v>1.7320508075688772</v>
      </c>
      <c r="K9" s="10">
        <v>50</v>
      </c>
      <c r="L9" s="172">
        <f>I9/J9</f>
        <v>1.7320508075688774E-5</v>
      </c>
      <c r="M9" s="168">
        <f>((-0.001)*('DB Balance'!F88)*('DB Balance'!D88-20))</f>
        <v>-1.8333387819230769E-5</v>
      </c>
      <c r="N9" s="169" t="s">
        <v>128</v>
      </c>
      <c r="O9" s="11">
        <f>L9*M9</f>
        <v>-3.1754359177772073E-10</v>
      </c>
      <c r="P9" s="11">
        <f>O9^2</f>
        <v>1.0083393267909574E-19</v>
      </c>
      <c r="Q9" s="11">
        <f>O9^4/K9</f>
        <v>2.0334963959064825E-40</v>
      </c>
    </row>
    <row r="10" spans="1:17" ht="24.9" customHeight="1" x14ac:dyDescent="0.3">
      <c r="A10" s="15">
        <v>7</v>
      </c>
      <c r="B10" s="718" t="str">
        <f>'DB Balance'!A106</f>
        <v>Drift</v>
      </c>
      <c r="C10" s="718"/>
      <c r="D10" s="11">
        <f>'DB Balance'!D106*'DB Balance'!H77</f>
        <v>1.4999999999999996E-2</v>
      </c>
      <c r="E10" s="9" t="s">
        <v>116</v>
      </c>
      <c r="F10" s="11">
        <f>D10*'DB Balance'!H81</f>
        <v>14.999999999999996</v>
      </c>
      <c r="G10" s="9" t="s">
        <v>117</v>
      </c>
      <c r="H10" s="10" t="s">
        <v>118</v>
      </c>
      <c r="I10" s="11">
        <f>F10</f>
        <v>14.999999999999996</v>
      </c>
      <c r="J10" s="40">
        <f t="shared" si="2"/>
        <v>1.7320508075688772</v>
      </c>
      <c r="K10" s="10">
        <v>50</v>
      </c>
      <c r="L10" s="11">
        <f>I10/J10</f>
        <v>8.6602540378443855</v>
      </c>
      <c r="M10" s="10">
        <v>1</v>
      </c>
      <c r="N10" s="10" t="s">
        <v>119</v>
      </c>
      <c r="O10" s="39">
        <f t="shared" ref="O10:O12" si="7">L10*M10</f>
        <v>8.6602540378443855</v>
      </c>
      <c r="P10" s="11">
        <f>O10^2</f>
        <v>74.999999999999986</v>
      </c>
      <c r="Q10" s="11">
        <f t="shared" ref="Q10:Q12" si="8">O10^4/K10</f>
        <v>112.49999999999996</v>
      </c>
    </row>
    <row r="11" spans="1:17" ht="24.9" customHeight="1" x14ac:dyDescent="0.3">
      <c r="A11" s="15">
        <v>8</v>
      </c>
      <c r="B11" s="720" t="s">
        <v>129</v>
      </c>
      <c r="C11" s="721"/>
      <c r="D11" s="343">
        <f>'DB Balance'!D107</f>
        <v>150</v>
      </c>
      <c r="E11" s="9" t="s">
        <v>130</v>
      </c>
      <c r="F11" s="343">
        <f>D11</f>
        <v>150</v>
      </c>
      <c r="G11" s="9" t="s">
        <v>130</v>
      </c>
      <c r="H11" s="10" t="s">
        <v>123</v>
      </c>
      <c r="I11" s="343">
        <f>F11</f>
        <v>150</v>
      </c>
      <c r="J11" s="388">
        <f t="shared" si="2"/>
        <v>1.7320508075688772</v>
      </c>
      <c r="K11" s="10">
        <v>50</v>
      </c>
      <c r="L11" s="11">
        <f>I11/J11</f>
        <v>86.602540378443877</v>
      </c>
      <c r="M11" s="10">
        <v>1</v>
      </c>
      <c r="N11" s="9" t="s">
        <v>130</v>
      </c>
      <c r="O11" s="387">
        <f t="shared" si="7"/>
        <v>86.602540378443877</v>
      </c>
      <c r="P11" s="11">
        <f>O11^2</f>
        <v>7500.0000000000018</v>
      </c>
      <c r="Q11" s="11">
        <f t="shared" si="8"/>
        <v>1125000.0000000007</v>
      </c>
    </row>
    <row r="12" spans="1:17" ht="24.9" customHeight="1" x14ac:dyDescent="0.3">
      <c r="A12" s="15">
        <v>9</v>
      </c>
      <c r="B12" s="720" t="s">
        <v>37</v>
      </c>
      <c r="C12" s="721"/>
      <c r="D12" s="168">
        <f>'DB Balance'!J126*'DB Balance'!H77</f>
        <v>5.999999999999929E-2</v>
      </c>
      <c r="E12" s="9" t="s">
        <v>116</v>
      </c>
      <c r="F12" s="40">
        <f>D12*'DB Balance'!H76</f>
        <v>59.999999999999289</v>
      </c>
      <c r="G12" s="9" t="s">
        <v>117</v>
      </c>
      <c r="H12" s="10" t="s">
        <v>123</v>
      </c>
      <c r="I12" s="40">
        <f>F12</f>
        <v>59.999999999999289</v>
      </c>
      <c r="J12" s="40">
        <f>SQRT(10)</f>
        <v>3.1622776601683795</v>
      </c>
      <c r="K12" s="10">
        <v>9</v>
      </c>
      <c r="L12" s="11">
        <f>I12/J12</f>
        <v>18.973665961010049</v>
      </c>
      <c r="M12" s="10">
        <v>1</v>
      </c>
      <c r="N12" s="10" t="s">
        <v>119</v>
      </c>
      <c r="O12" s="387">
        <f t="shared" si="7"/>
        <v>18.973665961010049</v>
      </c>
      <c r="P12" s="11">
        <f>O12^2</f>
        <v>359.99999999999136</v>
      </c>
      <c r="Q12" s="343">
        <f t="shared" si="8"/>
        <v>14399.999999999309</v>
      </c>
    </row>
    <row r="13" spans="1:17" x14ac:dyDescent="0.3">
      <c r="A13" s="467"/>
      <c r="B13" s="717" t="s">
        <v>131</v>
      </c>
      <c r="C13" s="717"/>
      <c r="D13" s="163"/>
      <c r="E13" s="163"/>
      <c r="F13" s="163"/>
      <c r="G13" s="41"/>
      <c r="H13" s="41"/>
      <c r="I13" s="41"/>
      <c r="J13" s="42"/>
      <c r="K13" s="41"/>
      <c r="L13" s="41"/>
      <c r="M13" s="41"/>
      <c r="N13" s="41"/>
      <c r="O13" s="173"/>
      <c r="P13" s="11">
        <f>SUM(P4:P12)</f>
        <v>8501.963175522631</v>
      </c>
      <c r="Q13" s="343">
        <f>SUM(Q4:Q12)</f>
        <v>1145557.9141547699</v>
      </c>
    </row>
    <row r="14" spans="1:17" ht="16.2" x14ac:dyDescent="0.3">
      <c r="A14" s="467"/>
      <c r="B14" s="6" t="s">
        <v>132</v>
      </c>
      <c r="C14" s="6"/>
      <c r="D14" s="6"/>
      <c r="E14" s="6"/>
      <c r="F14" s="6"/>
      <c r="G14" s="43"/>
      <c r="H14" s="43"/>
      <c r="I14" s="43"/>
      <c r="J14" s="44"/>
      <c r="K14" s="43"/>
      <c r="L14" s="45" t="s">
        <v>133</v>
      </c>
      <c r="M14" s="43"/>
      <c r="N14" s="43"/>
      <c r="O14" s="174"/>
      <c r="P14" s="46">
        <f>SQRT(P13)</f>
        <v>92.206090772370516</v>
      </c>
      <c r="Q14" s="462"/>
    </row>
    <row r="15" spans="1:17" ht="16.8" x14ac:dyDescent="0.3">
      <c r="A15" s="467"/>
      <c r="B15" s="7" t="s">
        <v>134</v>
      </c>
      <c r="C15" s="7"/>
      <c r="D15" s="6"/>
      <c r="E15" s="6"/>
      <c r="F15" s="6"/>
      <c r="G15" s="43"/>
      <c r="H15" s="43"/>
      <c r="I15" s="43"/>
      <c r="J15" s="44"/>
      <c r="K15" s="43"/>
      <c r="L15" s="47" t="s">
        <v>135</v>
      </c>
      <c r="M15" s="43"/>
      <c r="N15" s="43"/>
      <c r="O15" s="174"/>
      <c r="P15" s="11">
        <f>P14^4/(Q13)</f>
        <v>63.098842009463915</v>
      </c>
      <c r="Q15" s="462"/>
    </row>
    <row r="16" spans="1:17" ht="15.6" x14ac:dyDescent="0.3">
      <c r="A16" s="467"/>
      <c r="B16" s="7" t="s">
        <v>136</v>
      </c>
      <c r="C16" s="7"/>
      <c r="D16" s="6"/>
      <c r="E16" s="6"/>
      <c r="F16" s="6"/>
      <c r="G16" s="43"/>
      <c r="H16" s="43"/>
      <c r="I16" s="43"/>
      <c r="J16" s="44"/>
      <c r="K16" s="43"/>
      <c r="L16" s="48" t="s">
        <v>137</v>
      </c>
      <c r="M16" s="43"/>
      <c r="N16" s="43"/>
      <c r="O16" s="43"/>
      <c r="P16" s="49">
        <f>1.95996+(2.37356/P15)+(2.818745/P15^2)+(2.546662/P15^3)+(1.761829/P15^4)+(0.245458/P15^5)+(1.000764/P15^6)</f>
        <v>1.9982947535296642</v>
      </c>
      <c r="Q16" s="463"/>
    </row>
    <row r="17" spans="1:17" x14ac:dyDescent="0.3">
      <c r="A17" s="467"/>
      <c r="B17" s="7" t="s">
        <v>138</v>
      </c>
      <c r="C17" s="7"/>
      <c r="D17" s="6"/>
      <c r="E17" s="6"/>
      <c r="F17" s="6"/>
      <c r="G17" s="43"/>
      <c r="H17" s="43"/>
      <c r="I17" s="43"/>
      <c r="J17" s="44"/>
      <c r="K17" s="43"/>
      <c r="L17" s="48" t="s">
        <v>139</v>
      </c>
      <c r="M17" s="43"/>
      <c r="N17" s="43"/>
      <c r="O17" s="43"/>
      <c r="P17" s="46">
        <f>P14*P16</f>
        <v>184.254947433908</v>
      </c>
      <c r="Q17" s="464" t="s">
        <v>130</v>
      </c>
    </row>
    <row r="18" spans="1:17" ht="15.6" x14ac:dyDescent="0.3">
      <c r="A18" s="467"/>
      <c r="B18" s="175"/>
      <c r="C18" s="175"/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443">
        <f>P17*'DB Balance'!H78</f>
        <v>0.184254947433908</v>
      </c>
      <c r="Q18" s="465" t="s">
        <v>7</v>
      </c>
    </row>
    <row r="19" spans="1:17" x14ac:dyDescent="0.3">
      <c r="A19" s="467"/>
      <c r="B19" s="166"/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7"/>
      <c r="Q19" s="106"/>
    </row>
    <row r="20" spans="1:17" x14ac:dyDescent="0.3">
      <c r="A20" s="722">
        <f>'DB Balance'!B92</f>
        <v>50</v>
      </c>
      <c r="B20" s="723"/>
      <c r="C20" s="724"/>
      <c r="Q20" s="35"/>
    </row>
    <row r="21" spans="1:17" x14ac:dyDescent="0.3">
      <c r="A21" s="15"/>
      <c r="B21" s="716" t="s">
        <v>103</v>
      </c>
      <c r="C21" s="716"/>
      <c r="D21" s="460" t="s">
        <v>104</v>
      </c>
      <c r="E21" s="460" t="s">
        <v>105</v>
      </c>
      <c r="F21" s="460" t="s">
        <v>106</v>
      </c>
      <c r="G21" s="460" t="s">
        <v>105</v>
      </c>
      <c r="H21" s="460" t="s">
        <v>107</v>
      </c>
      <c r="I21" s="460" t="s">
        <v>108</v>
      </c>
      <c r="J21" s="461" t="s">
        <v>109</v>
      </c>
      <c r="K21" s="460" t="s">
        <v>110</v>
      </c>
      <c r="L21" s="460" t="s">
        <v>111</v>
      </c>
      <c r="M21" s="460" t="s">
        <v>112</v>
      </c>
      <c r="N21" s="460" t="s">
        <v>105</v>
      </c>
      <c r="O21" s="460" t="s">
        <v>113</v>
      </c>
      <c r="P21" s="460" t="s">
        <v>114</v>
      </c>
      <c r="Q21" s="460" t="s">
        <v>115</v>
      </c>
    </row>
    <row r="22" spans="1:17" ht="24.9" customHeight="1" x14ac:dyDescent="0.3">
      <c r="A22" s="15">
        <v>1</v>
      </c>
      <c r="B22" s="718" t="str">
        <f>'DB Balance'!A98</f>
        <v>1. Massa Air (Repeatability)</v>
      </c>
      <c r="C22" s="718"/>
      <c r="D22" s="11">
        <f>'DB Balance'!D99*'DB Balance'!H77</f>
        <v>4.0000000000002311E-2</v>
      </c>
      <c r="E22" s="9" t="s">
        <v>116</v>
      </c>
      <c r="F22" s="11">
        <f>D22*'DB Balance'!H76</f>
        <v>40.000000000002309</v>
      </c>
      <c r="G22" s="9" t="s">
        <v>117</v>
      </c>
      <c r="H22" s="10" t="s">
        <v>118</v>
      </c>
      <c r="I22" s="11">
        <f>F22</f>
        <v>40.000000000002309</v>
      </c>
      <c r="J22" s="40">
        <f>SQRT(10)</f>
        <v>3.1622776601683795</v>
      </c>
      <c r="K22" s="10">
        <v>9</v>
      </c>
      <c r="L22" s="11">
        <f>I22/J22</f>
        <v>12.649110640674246</v>
      </c>
      <c r="M22" s="10">
        <v>1</v>
      </c>
      <c r="N22" s="10" t="s">
        <v>119</v>
      </c>
      <c r="O22" s="11">
        <f t="shared" ref="O22:O23" si="9">L22*M22</f>
        <v>12.649110640674246</v>
      </c>
      <c r="P22" s="11">
        <f>O22^2</f>
        <v>160.00000000001845</v>
      </c>
      <c r="Q22" s="11">
        <f t="shared" ref="Q22:Q23" si="10">O22^4/K22</f>
        <v>2844.4444444451001</v>
      </c>
    </row>
    <row r="23" spans="1:17" ht="24.9" customHeight="1" x14ac:dyDescent="0.3">
      <c r="A23" s="15">
        <v>2</v>
      </c>
      <c r="B23" s="718" t="str">
        <f>'DB Balance'!A101</f>
        <v>Massa Air (Sertifikat timbangan)</v>
      </c>
      <c r="C23" s="718"/>
      <c r="D23" s="11">
        <f>'DB Balance'!D101*'DB Balance'!H77</f>
        <v>0.04</v>
      </c>
      <c r="E23" s="9" t="s">
        <v>116</v>
      </c>
      <c r="F23" s="11">
        <f>D23*'DB Balance'!H76</f>
        <v>40</v>
      </c>
      <c r="G23" s="9" t="s">
        <v>117</v>
      </c>
      <c r="H23" s="10" t="s">
        <v>118</v>
      </c>
      <c r="I23" s="11">
        <f>F23</f>
        <v>40</v>
      </c>
      <c r="J23" s="40">
        <v>2</v>
      </c>
      <c r="K23" s="10">
        <v>50</v>
      </c>
      <c r="L23" s="11">
        <f>I23/J23</f>
        <v>20</v>
      </c>
      <c r="M23" s="10">
        <v>1</v>
      </c>
      <c r="N23" s="10" t="s">
        <v>119</v>
      </c>
      <c r="O23" s="11">
        <f t="shared" si="9"/>
        <v>20</v>
      </c>
      <c r="P23" s="11">
        <f>O23^2</f>
        <v>400</v>
      </c>
      <c r="Q23" s="11">
        <f t="shared" si="10"/>
        <v>3200</v>
      </c>
    </row>
    <row r="24" spans="1:17" ht="24.9" customHeight="1" x14ac:dyDescent="0.3">
      <c r="A24" s="15">
        <v>3</v>
      </c>
      <c r="B24" s="719" t="str">
        <f>'DB Balance'!A102</f>
        <v>Densitas Suhu Air (Sertifikat thermometer air)</v>
      </c>
      <c r="C24" s="719"/>
      <c r="D24" s="13">
        <f>'DB Balance'!D102</f>
        <v>0.2</v>
      </c>
      <c r="E24" s="9" t="s">
        <v>17</v>
      </c>
      <c r="F24" s="11">
        <f>D24</f>
        <v>0.2</v>
      </c>
      <c r="G24" s="9" t="s">
        <v>17</v>
      </c>
      <c r="H24" s="10" t="s">
        <v>118</v>
      </c>
      <c r="I24" s="11">
        <f>F24/2</f>
        <v>0.1</v>
      </c>
      <c r="J24" s="40">
        <v>2</v>
      </c>
      <c r="K24" s="10">
        <v>50</v>
      </c>
      <c r="L24" s="11">
        <f>I24/J24</f>
        <v>0.05</v>
      </c>
      <c r="M24" s="168">
        <f>0.0000007*'DB Balance'!F108</f>
        <v>0</v>
      </c>
      <c r="N24" s="169" t="s">
        <v>120</v>
      </c>
      <c r="O24" s="11">
        <f>L24*M24</f>
        <v>0</v>
      </c>
      <c r="P24" s="11">
        <f>O24^2</f>
        <v>0</v>
      </c>
      <c r="Q24" s="11">
        <f>O24^4/K24</f>
        <v>0</v>
      </c>
    </row>
    <row r="25" spans="1:17" ht="24.9" customHeight="1" x14ac:dyDescent="0.3">
      <c r="A25" s="15">
        <v>4</v>
      </c>
      <c r="B25" s="718" t="str">
        <f>'DB Balance'!A103</f>
        <v>Densitas Anak Timbangan</v>
      </c>
      <c r="C25" s="718"/>
      <c r="D25" s="13">
        <f>'DB Balance'!F103</f>
        <v>8</v>
      </c>
      <c r="E25" s="9" t="s">
        <v>121</v>
      </c>
      <c r="F25" s="11">
        <f>D25*'DB Balance'!H79</f>
        <v>8.0000000000000002E-3</v>
      </c>
      <c r="G25" s="9" t="s">
        <v>122</v>
      </c>
      <c r="H25" s="10" t="s">
        <v>123</v>
      </c>
      <c r="I25" s="11">
        <f>F25</f>
        <v>8.0000000000000002E-3</v>
      </c>
      <c r="J25" s="40">
        <f t="shared" ref="J25:J29" si="11">SQRT(3)</f>
        <v>1.7320508075688772</v>
      </c>
      <c r="K25" s="10">
        <v>50</v>
      </c>
      <c r="L25" s="11">
        <f t="shared" ref="L25:L26" si="12">I25/J25</f>
        <v>4.6188021535170064E-3</v>
      </c>
      <c r="M25" s="168">
        <v>1</v>
      </c>
      <c r="N25" s="10" t="s">
        <v>119</v>
      </c>
      <c r="O25" s="11">
        <f t="shared" ref="O25:O26" si="13">L25*M25</f>
        <v>4.6188021535170064E-3</v>
      </c>
      <c r="P25" s="11">
        <f t="shared" ref="P25:P26" si="14">O25^2</f>
        <v>2.1333333333333335E-5</v>
      </c>
      <c r="Q25" s="11">
        <f t="shared" ref="Q25:Q26" si="15">O25^4/K25</f>
        <v>9.1022222222222229E-12</v>
      </c>
    </row>
    <row r="26" spans="1:17" ht="24.9" customHeight="1" x14ac:dyDescent="0.3">
      <c r="A26" s="15">
        <v>5</v>
      </c>
      <c r="B26" s="719" t="s">
        <v>124</v>
      </c>
      <c r="C26" s="719"/>
      <c r="D26" s="13">
        <f>'DB Balance'!E92</f>
        <v>997.97602528834307</v>
      </c>
      <c r="E26" s="8" t="s">
        <v>121</v>
      </c>
      <c r="F26" s="178">
        <f>D26*'DB Balance'!H79</f>
        <v>0.99797602528834306</v>
      </c>
      <c r="G26" s="8" t="s">
        <v>125</v>
      </c>
      <c r="H26" s="179" t="s">
        <v>123</v>
      </c>
      <c r="I26" s="178">
        <f>((D26/'DB Balance'!D92)*UB!I24)</f>
        <v>4.5704991595993567</v>
      </c>
      <c r="J26" s="388">
        <f t="shared" si="11"/>
        <v>1.7320508075688772</v>
      </c>
      <c r="K26" s="179">
        <v>50</v>
      </c>
      <c r="L26" s="178">
        <f t="shared" si="12"/>
        <v>2.6387789201256471</v>
      </c>
      <c r="M26" s="389">
        <v>1</v>
      </c>
      <c r="N26" s="179" t="s">
        <v>126</v>
      </c>
      <c r="O26" s="180">
        <f t="shared" si="13"/>
        <v>2.6387789201256471</v>
      </c>
      <c r="P26" s="178">
        <f t="shared" si="14"/>
        <v>6.9631541892994759</v>
      </c>
      <c r="Q26" s="466">
        <f t="shared" si="15"/>
        <v>0.96971032527917689</v>
      </c>
    </row>
    <row r="27" spans="1:17" ht="24.9" customHeight="1" x14ac:dyDescent="0.3">
      <c r="A27" s="15">
        <v>6</v>
      </c>
      <c r="B27" s="719" t="s">
        <v>127</v>
      </c>
      <c r="C27" s="719"/>
      <c r="D27" s="15">
        <f>'DB Balance'!D105</f>
        <v>2.9999999999999997E-4</v>
      </c>
      <c r="E27" s="9" t="s">
        <v>17</v>
      </c>
      <c r="F27" s="10">
        <f>D27</f>
        <v>2.9999999999999997E-4</v>
      </c>
      <c r="G27" s="9" t="s">
        <v>17</v>
      </c>
      <c r="H27" s="10" t="s">
        <v>123</v>
      </c>
      <c r="I27" s="172">
        <f>10%*F27</f>
        <v>2.9999999999999997E-5</v>
      </c>
      <c r="J27" s="40">
        <f t="shared" si="11"/>
        <v>1.7320508075688772</v>
      </c>
      <c r="K27" s="10">
        <v>50</v>
      </c>
      <c r="L27" s="172">
        <f>I27/J27</f>
        <v>1.7320508075688774E-5</v>
      </c>
      <c r="M27" s="168">
        <f>((-0.001)*('DB Balance'!F108)*('DB Balance'!D108-20))</f>
        <v>0</v>
      </c>
      <c r="N27" s="169" t="s">
        <v>128</v>
      </c>
      <c r="O27" s="11">
        <f>L27*M27</f>
        <v>0</v>
      </c>
      <c r="P27" s="11">
        <f>O27^2</f>
        <v>0</v>
      </c>
      <c r="Q27" s="11">
        <f>O27^4/K27</f>
        <v>0</v>
      </c>
    </row>
    <row r="28" spans="1:17" ht="24.9" customHeight="1" x14ac:dyDescent="0.3">
      <c r="A28" s="15">
        <v>7</v>
      </c>
      <c r="B28" s="718" t="str">
        <f>'DB Balance'!A106</f>
        <v>Drift</v>
      </c>
      <c r="C28" s="718"/>
      <c r="D28" s="11">
        <f>'DB Balance'!D106*'DB Balance'!H77</f>
        <v>1.4999999999999996E-2</v>
      </c>
      <c r="E28" s="9" t="s">
        <v>116</v>
      </c>
      <c r="F28" s="11">
        <f>D28*'DB Balance'!H81</f>
        <v>14.999999999999996</v>
      </c>
      <c r="G28" s="9" t="s">
        <v>117</v>
      </c>
      <c r="H28" s="10" t="s">
        <v>118</v>
      </c>
      <c r="I28" s="11">
        <f>F28</f>
        <v>14.999999999999996</v>
      </c>
      <c r="J28" s="40">
        <f t="shared" si="11"/>
        <v>1.7320508075688772</v>
      </c>
      <c r="K28" s="10">
        <v>50</v>
      </c>
      <c r="L28" s="11">
        <f>I28/J28</f>
        <v>8.6602540378443855</v>
      </c>
      <c r="M28" s="10">
        <v>1</v>
      </c>
      <c r="N28" s="10" t="s">
        <v>119</v>
      </c>
      <c r="O28" s="39">
        <f t="shared" ref="O28:O30" si="16">L28*M28</f>
        <v>8.6602540378443855</v>
      </c>
      <c r="P28" s="11">
        <f>O28^2</f>
        <v>74.999999999999986</v>
      </c>
      <c r="Q28" s="11">
        <f t="shared" ref="Q28:Q30" si="17">O28^4/K28</f>
        <v>112.49999999999996</v>
      </c>
    </row>
    <row r="29" spans="1:17" ht="24.9" customHeight="1" x14ac:dyDescent="0.3">
      <c r="A29" s="15">
        <v>8</v>
      </c>
      <c r="B29" s="720" t="s">
        <v>129</v>
      </c>
      <c r="C29" s="721"/>
      <c r="D29" s="343">
        <f>'DB Balance'!D107</f>
        <v>150</v>
      </c>
      <c r="E29" s="9" t="s">
        <v>130</v>
      </c>
      <c r="F29" s="343">
        <f>D29</f>
        <v>150</v>
      </c>
      <c r="G29" s="9" t="s">
        <v>130</v>
      </c>
      <c r="H29" s="10" t="s">
        <v>123</v>
      </c>
      <c r="I29" s="343">
        <f>F29</f>
        <v>150</v>
      </c>
      <c r="J29" s="388">
        <f t="shared" si="11"/>
        <v>1.7320508075688772</v>
      </c>
      <c r="K29" s="10">
        <v>50</v>
      </c>
      <c r="L29" s="11">
        <f>I29/J29</f>
        <v>86.602540378443877</v>
      </c>
      <c r="M29" s="10">
        <v>1</v>
      </c>
      <c r="N29" s="9" t="s">
        <v>130</v>
      </c>
      <c r="O29" s="387">
        <f t="shared" si="16"/>
        <v>86.602540378443877</v>
      </c>
      <c r="P29" s="11">
        <f>O29^2</f>
        <v>7500.0000000000018</v>
      </c>
      <c r="Q29" s="11">
        <f t="shared" si="17"/>
        <v>1125000.0000000007</v>
      </c>
    </row>
    <row r="30" spans="1:17" ht="24.9" customHeight="1" x14ac:dyDescent="0.3">
      <c r="A30" s="15">
        <v>9</v>
      </c>
      <c r="B30" s="720" t="s">
        <v>37</v>
      </c>
      <c r="C30" s="721"/>
      <c r="D30" s="591">
        <f>'DB Balance'!J127*'DB Balance'!H77</f>
        <v>0</v>
      </c>
      <c r="E30" s="9" t="s">
        <v>116</v>
      </c>
      <c r="F30" s="40">
        <f>D30*'DB Balance'!H76</f>
        <v>0</v>
      </c>
      <c r="G30" s="9" t="s">
        <v>117</v>
      </c>
      <c r="H30" s="10" t="s">
        <v>123</v>
      </c>
      <c r="I30" s="40">
        <f>F30</f>
        <v>0</v>
      </c>
      <c r="J30" s="40">
        <f>SQRT(10)</f>
        <v>3.1622776601683795</v>
      </c>
      <c r="K30" s="10">
        <v>9</v>
      </c>
      <c r="L30" s="11">
        <f>I30/J30</f>
        <v>0</v>
      </c>
      <c r="M30" s="10">
        <v>1</v>
      </c>
      <c r="N30" s="10" t="s">
        <v>119</v>
      </c>
      <c r="O30" s="387">
        <f t="shared" si="16"/>
        <v>0</v>
      </c>
      <c r="P30" s="11">
        <f>O30^2</f>
        <v>0</v>
      </c>
      <c r="Q30" s="343">
        <f t="shared" si="17"/>
        <v>0</v>
      </c>
    </row>
    <row r="31" spans="1:17" x14ac:dyDescent="0.3">
      <c r="A31" s="467"/>
      <c r="B31" s="717" t="s">
        <v>131</v>
      </c>
      <c r="C31" s="717"/>
      <c r="D31" s="163"/>
      <c r="E31" s="163"/>
      <c r="F31" s="163"/>
      <c r="G31" s="41"/>
      <c r="H31" s="41"/>
      <c r="I31" s="41"/>
      <c r="J31" s="42"/>
      <c r="K31" s="41"/>
      <c r="L31" s="41"/>
      <c r="M31" s="41"/>
      <c r="N31" s="41"/>
      <c r="O31" s="173"/>
      <c r="P31" s="11">
        <f>SUM(P22:P30)</f>
        <v>8141.9631755226528</v>
      </c>
      <c r="Q31" s="343">
        <f>SUM(Q22:Q30)</f>
        <v>1131157.914154771</v>
      </c>
    </row>
    <row r="32" spans="1:17" ht="16.2" x14ac:dyDescent="0.3">
      <c r="A32" s="467"/>
      <c r="B32" s="6" t="s">
        <v>132</v>
      </c>
      <c r="C32" s="6"/>
      <c r="D32" s="6"/>
      <c r="E32" s="6"/>
      <c r="F32" s="6"/>
      <c r="G32" s="43"/>
      <c r="H32" s="43"/>
      <c r="I32" s="43"/>
      <c r="J32" s="44"/>
      <c r="K32" s="43"/>
      <c r="L32" s="45" t="s">
        <v>133</v>
      </c>
      <c r="M32" s="43"/>
      <c r="N32" s="43"/>
      <c r="O32" s="174"/>
      <c r="P32" s="46">
        <f>SQRT(P31)</f>
        <v>90.232827593524149</v>
      </c>
      <c r="Q32" s="462"/>
    </row>
    <row r="33" spans="1:17" ht="16.8" x14ac:dyDescent="0.3">
      <c r="A33" s="467"/>
      <c r="B33" s="7" t="s">
        <v>134</v>
      </c>
      <c r="C33" s="7"/>
      <c r="D33" s="6"/>
      <c r="E33" s="6"/>
      <c r="F33" s="6"/>
      <c r="G33" s="43"/>
      <c r="H33" s="43"/>
      <c r="I33" s="43"/>
      <c r="J33" s="44"/>
      <c r="K33" s="43"/>
      <c r="L33" s="47" t="s">
        <v>135</v>
      </c>
      <c r="M33" s="43"/>
      <c r="N33" s="43"/>
      <c r="O33" s="174"/>
      <c r="P33" s="11">
        <f>P32^4/(Q31)</f>
        <v>58.60504843932565</v>
      </c>
      <c r="Q33" s="462"/>
    </row>
    <row r="34" spans="1:17" ht="15.6" x14ac:dyDescent="0.3">
      <c r="A34" s="467"/>
      <c r="B34" s="7" t="s">
        <v>136</v>
      </c>
      <c r="C34" s="7"/>
      <c r="D34" s="6"/>
      <c r="E34" s="6"/>
      <c r="F34" s="6"/>
      <c r="G34" s="43"/>
      <c r="H34" s="43"/>
      <c r="I34" s="43"/>
      <c r="J34" s="44"/>
      <c r="K34" s="43"/>
      <c r="L34" s="48" t="s">
        <v>137</v>
      </c>
      <c r="M34" s="43"/>
      <c r="N34" s="43"/>
      <c r="O34" s="43"/>
      <c r="P34" s="49">
        <f>1.95996+(2.37356/P33)+(2.818745/P33^2)+(2.546662/P33^3)+(1.761829/P33^4)+(0.245458/P33^5)+(1.000764/P33^6)</f>
        <v>2.0012944520613223</v>
      </c>
      <c r="Q34" s="463"/>
    </row>
    <row r="35" spans="1:17" x14ac:dyDescent="0.3">
      <c r="A35" s="467"/>
      <c r="B35" s="7" t="s">
        <v>138</v>
      </c>
      <c r="C35" s="7"/>
      <c r="D35" s="6"/>
      <c r="E35" s="6"/>
      <c r="F35" s="6"/>
      <c r="G35" s="43"/>
      <c r="H35" s="43"/>
      <c r="I35" s="43"/>
      <c r="J35" s="44"/>
      <c r="K35" s="43"/>
      <c r="L35" s="48" t="s">
        <v>139</v>
      </c>
      <c r="M35" s="43"/>
      <c r="N35" s="43"/>
      <c r="O35" s="43"/>
      <c r="P35" s="46">
        <f>P32*P34</f>
        <v>180.58245725672566</v>
      </c>
      <c r="Q35" s="464" t="s">
        <v>130</v>
      </c>
    </row>
    <row r="36" spans="1:17" ht="15.6" x14ac:dyDescent="0.3">
      <c r="A36" s="467"/>
      <c r="B36" s="175"/>
      <c r="C36" s="175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443">
        <f>P35*'DB Balance'!H78</f>
        <v>0.18058245725672567</v>
      </c>
      <c r="Q36" s="465" t="s">
        <v>7</v>
      </c>
    </row>
    <row r="37" spans="1:17" x14ac:dyDescent="0.3">
      <c r="A37" s="467"/>
      <c r="B37" s="166"/>
      <c r="C37" s="166"/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66"/>
      <c r="P37" s="167"/>
      <c r="Q37" s="106"/>
    </row>
    <row r="38" spans="1:17" x14ac:dyDescent="0.3">
      <c r="A38" s="722">
        <f>'DB Balance'!B96</f>
        <v>100</v>
      </c>
      <c r="B38" s="723"/>
      <c r="C38" s="724"/>
      <c r="Q38" s="35"/>
    </row>
    <row r="39" spans="1:17" x14ac:dyDescent="0.3">
      <c r="A39" s="15"/>
      <c r="B39" s="716" t="s">
        <v>103</v>
      </c>
      <c r="C39" s="716"/>
      <c r="D39" s="460" t="s">
        <v>104</v>
      </c>
      <c r="E39" s="460" t="s">
        <v>105</v>
      </c>
      <c r="F39" s="460" t="s">
        <v>106</v>
      </c>
      <c r="G39" s="460" t="s">
        <v>105</v>
      </c>
      <c r="H39" s="460" t="s">
        <v>107</v>
      </c>
      <c r="I39" s="460" t="s">
        <v>108</v>
      </c>
      <c r="J39" s="461" t="s">
        <v>109</v>
      </c>
      <c r="K39" s="460" t="s">
        <v>110</v>
      </c>
      <c r="L39" s="460" t="s">
        <v>111</v>
      </c>
      <c r="M39" s="460" t="s">
        <v>112</v>
      </c>
      <c r="N39" s="460" t="s">
        <v>105</v>
      </c>
      <c r="O39" s="460" t="s">
        <v>113</v>
      </c>
      <c r="P39" s="460" t="s">
        <v>114</v>
      </c>
      <c r="Q39" s="460" t="s">
        <v>115</v>
      </c>
    </row>
    <row r="40" spans="1:17" ht="24.9" customHeight="1" x14ac:dyDescent="0.3">
      <c r="A40" s="15">
        <v>1</v>
      </c>
      <c r="B40" s="718" t="str">
        <f>'DB Balance'!A98</f>
        <v>1. Massa Air (Repeatability)</v>
      </c>
      <c r="C40" s="718"/>
      <c r="D40" s="11">
        <f>'DB Balance'!D100*'DB Balance'!H77</f>
        <v>0.04</v>
      </c>
      <c r="E40" s="9" t="s">
        <v>116</v>
      </c>
      <c r="F40" s="11">
        <f>D40*'DB Balance'!H76</f>
        <v>40</v>
      </c>
      <c r="G40" s="9" t="s">
        <v>117</v>
      </c>
      <c r="H40" s="10" t="s">
        <v>118</v>
      </c>
      <c r="I40" s="11">
        <f>F40</f>
        <v>40</v>
      </c>
      <c r="J40" s="40">
        <f>SQRT(10)</f>
        <v>3.1622776601683795</v>
      </c>
      <c r="K40" s="10">
        <v>9</v>
      </c>
      <c r="L40" s="11">
        <f>I40/J40</f>
        <v>12.649110640673516</v>
      </c>
      <c r="M40" s="10">
        <v>1</v>
      </c>
      <c r="N40" s="10" t="s">
        <v>119</v>
      </c>
      <c r="O40" s="11">
        <f t="shared" ref="O40:O41" si="18">L40*M40</f>
        <v>12.649110640673516</v>
      </c>
      <c r="P40" s="11">
        <f>O40^2</f>
        <v>159.99999999999997</v>
      </c>
      <c r="Q40" s="11">
        <f t="shared" ref="Q40:Q41" si="19">O40^4/K40</f>
        <v>2844.4444444444434</v>
      </c>
    </row>
    <row r="41" spans="1:17" ht="24.9" customHeight="1" x14ac:dyDescent="0.3">
      <c r="A41" s="15">
        <v>2</v>
      </c>
      <c r="B41" s="718" t="str">
        <f>'DB Balance'!A101</f>
        <v>Massa Air (Sertifikat timbangan)</v>
      </c>
      <c r="C41" s="718"/>
      <c r="D41" s="11">
        <f>'DB Balance'!D101*'DB Balance'!H77</f>
        <v>0.04</v>
      </c>
      <c r="E41" s="9" t="s">
        <v>116</v>
      </c>
      <c r="F41" s="11">
        <f>D41*'DB Balance'!H76</f>
        <v>40</v>
      </c>
      <c r="G41" s="9" t="s">
        <v>117</v>
      </c>
      <c r="H41" s="10" t="s">
        <v>118</v>
      </c>
      <c r="I41" s="11">
        <f>F41</f>
        <v>40</v>
      </c>
      <c r="J41" s="40">
        <v>2</v>
      </c>
      <c r="K41" s="10">
        <v>50</v>
      </c>
      <c r="L41" s="11">
        <f>I41/J41</f>
        <v>20</v>
      </c>
      <c r="M41" s="10">
        <v>1</v>
      </c>
      <c r="N41" s="10" t="s">
        <v>119</v>
      </c>
      <c r="O41" s="11">
        <f t="shared" si="18"/>
        <v>20</v>
      </c>
      <c r="P41" s="11">
        <f>O41^2</f>
        <v>400</v>
      </c>
      <c r="Q41" s="11">
        <f t="shared" si="19"/>
        <v>3200</v>
      </c>
    </row>
    <row r="42" spans="1:17" ht="24.9" customHeight="1" x14ac:dyDescent="0.3">
      <c r="A42" s="15">
        <v>3</v>
      </c>
      <c r="B42" s="719" t="str">
        <f>'DB Balance'!A102</f>
        <v>Densitas Suhu Air (Sertifikat thermometer air)</v>
      </c>
      <c r="C42" s="719"/>
      <c r="D42" s="13">
        <f>'DB Balance'!D102</f>
        <v>0.2</v>
      </c>
      <c r="E42" s="9" t="s">
        <v>17</v>
      </c>
      <c r="F42" s="11">
        <f>D42</f>
        <v>0.2</v>
      </c>
      <c r="G42" s="9" t="s">
        <v>17</v>
      </c>
      <c r="H42" s="10" t="s">
        <v>118</v>
      </c>
      <c r="I42" s="11">
        <f>F42/2</f>
        <v>0.1</v>
      </c>
      <c r="J42" s="40">
        <v>2</v>
      </c>
      <c r="K42" s="10">
        <v>50</v>
      </c>
      <c r="L42" s="11">
        <f>I42/J42</f>
        <v>0.05</v>
      </c>
      <c r="M42" s="168">
        <f>0.0000007*'DB Balance'!F126</f>
        <v>0</v>
      </c>
      <c r="N42" s="169" t="s">
        <v>120</v>
      </c>
      <c r="O42" s="11">
        <f>L42*M42</f>
        <v>0</v>
      </c>
      <c r="P42" s="11">
        <f>O42^2</f>
        <v>0</v>
      </c>
      <c r="Q42" s="11">
        <f>O42^4/K42</f>
        <v>0</v>
      </c>
    </row>
    <row r="43" spans="1:17" ht="24.9" customHeight="1" x14ac:dyDescent="0.3">
      <c r="A43" s="15">
        <v>4</v>
      </c>
      <c r="B43" s="718" t="str">
        <f>'DB Balance'!A103</f>
        <v>Densitas Anak Timbangan</v>
      </c>
      <c r="C43" s="718"/>
      <c r="D43" s="13">
        <f>'DB Balance'!F103</f>
        <v>8</v>
      </c>
      <c r="E43" s="9" t="s">
        <v>121</v>
      </c>
      <c r="F43" s="11">
        <f>D43*'DB Balance'!H79</f>
        <v>8.0000000000000002E-3</v>
      </c>
      <c r="G43" s="9" t="s">
        <v>122</v>
      </c>
      <c r="H43" s="10" t="s">
        <v>123</v>
      </c>
      <c r="I43" s="11">
        <f>F43</f>
        <v>8.0000000000000002E-3</v>
      </c>
      <c r="J43" s="40">
        <f t="shared" ref="J43:J47" si="20">SQRT(3)</f>
        <v>1.7320508075688772</v>
      </c>
      <c r="K43" s="10">
        <v>50</v>
      </c>
      <c r="L43" s="11">
        <f t="shared" ref="L43:L44" si="21">I43/J43</f>
        <v>4.6188021535170064E-3</v>
      </c>
      <c r="M43" s="168">
        <v>1</v>
      </c>
      <c r="N43" s="10" t="s">
        <v>119</v>
      </c>
      <c r="O43" s="11">
        <f t="shared" ref="O43:O44" si="22">L43*M43</f>
        <v>4.6188021535170064E-3</v>
      </c>
      <c r="P43" s="11">
        <f t="shared" ref="P43:P44" si="23">O43^2</f>
        <v>2.1333333333333335E-5</v>
      </c>
      <c r="Q43" s="11">
        <f t="shared" ref="Q43:Q44" si="24">O43^4/K43</f>
        <v>9.1022222222222229E-12</v>
      </c>
    </row>
    <row r="44" spans="1:17" ht="24.9" customHeight="1" x14ac:dyDescent="0.3">
      <c r="A44" s="15">
        <v>5</v>
      </c>
      <c r="B44" s="719" t="s">
        <v>124</v>
      </c>
      <c r="C44" s="719"/>
      <c r="D44" s="13">
        <f>'DB Balance'!E96</f>
        <v>997.97602528834307</v>
      </c>
      <c r="E44" s="8" t="s">
        <v>121</v>
      </c>
      <c r="F44" s="178">
        <f>D44*'DB Balance'!H79</f>
        <v>0.99797602528834306</v>
      </c>
      <c r="G44" s="8" t="s">
        <v>125</v>
      </c>
      <c r="H44" s="179" t="s">
        <v>123</v>
      </c>
      <c r="I44" s="178">
        <f>((D44/'DB Balance'!D96)*UB!I42)</f>
        <v>4.5704991595993567</v>
      </c>
      <c r="J44" s="388">
        <f t="shared" si="20"/>
        <v>1.7320508075688772</v>
      </c>
      <c r="K44" s="179">
        <v>50</v>
      </c>
      <c r="L44" s="178">
        <f t="shared" si="21"/>
        <v>2.6387789201256471</v>
      </c>
      <c r="M44" s="389">
        <v>1</v>
      </c>
      <c r="N44" s="179" t="s">
        <v>126</v>
      </c>
      <c r="O44" s="180">
        <f t="shared" si="22"/>
        <v>2.6387789201256471</v>
      </c>
      <c r="P44" s="178">
        <f t="shared" si="23"/>
        <v>6.9631541892994759</v>
      </c>
      <c r="Q44" s="466">
        <f t="shared" si="24"/>
        <v>0.96971032527917689</v>
      </c>
    </row>
    <row r="45" spans="1:17" ht="24.9" customHeight="1" x14ac:dyDescent="0.3">
      <c r="A45" s="15">
        <v>6</v>
      </c>
      <c r="B45" s="719" t="s">
        <v>127</v>
      </c>
      <c r="C45" s="719"/>
      <c r="D45" s="15">
        <f>'DB Balance'!D105</f>
        <v>2.9999999999999997E-4</v>
      </c>
      <c r="E45" s="9" t="s">
        <v>17</v>
      </c>
      <c r="F45" s="10">
        <f>D45</f>
        <v>2.9999999999999997E-4</v>
      </c>
      <c r="G45" s="9" t="s">
        <v>17</v>
      </c>
      <c r="H45" s="10" t="s">
        <v>123</v>
      </c>
      <c r="I45" s="172">
        <f>10%*F45</f>
        <v>2.9999999999999997E-5</v>
      </c>
      <c r="J45" s="40">
        <f t="shared" si="20"/>
        <v>1.7320508075688772</v>
      </c>
      <c r="K45" s="10">
        <v>50</v>
      </c>
      <c r="L45" s="172">
        <f>I45/J45</f>
        <v>1.7320508075688774E-5</v>
      </c>
      <c r="M45" s="168">
        <f>((-0.001)*('DB Balance'!F126)*('DB Balance'!D126-20))</f>
        <v>0</v>
      </c>
      <c r="N45" s="169" t="s">
        <v>128</v>
      </c>
      <c r="O45" s="11">
        <f>L45*M45</f>
        <v>0</v>
      </c>
      <c r="P45" s="11">
        <f>O45^2</f>
        <v>0</v>
      </c>
      <c r="Q45" s="11">
        <f>O45^4/K45</f>
        <v>0</v>
      </c>
    </row>
    <row r="46" spans="1:17" ht="24.9" customHeight="1" x14ac:dyDescent="0.3">
      <c r="A46" s="15">
        <v>7</v>
      </c>
      <c r="B46" s="718" t="str">
        <f>'DB Balance'!A106</f>
        <v>Drift</v>
      </c>
      <c r="C46" s="718"/>
      <c r="D46" s="11">
        <f>'DB Balance'!D106*'DB Balance'!H77</f>
        <v>1.4999999999999996E-2</v>
      </c>
      <c r="E46" s="9" t="s">
        <v>116</v>
      </c>
      <c r="F46" s="11">
        <f>D46*'DB Balance'!H81</f>
        <v>14.999999999999996</v>
      </c>
      <c r="G46" s="9" t="s">
        <v>117</v>
      </c>
      <c r="H46" s="10" t="s">
        <v>118</v>
      </c>
      <c r="I46" s="11">
        <f>F46</f>
        <v>14.999999999999996</v>
      </c>
      <c r="J46" s="40">
        <f t="shared" si="20"/>
        <v>1.7320508075688772</v>
      </c>
      <c r="K46" s="10">
        <v>50</v>
      </c>
      <c r="L46" s="11">
        <f>I46/J46</f>
        <v>8.6602540378443855</v>
      </c>
      <c r="M46" s="10">
        <v>1</v>
      </c>
      <c r="N46" s="10" t="s">
        <v>119</v>
      </c>
      <c r="O46" s="39">
        <f t="shared" ref="O46:O48" si="25">L46*M46</f>
        <v>8.6602540378443855</v>
      </c>
      <c r="P46" s="11">
        <f>O46^2</f>
        <v>74.999999999999986</v>
      </c>
      <c r="Q46" s="11">
        <f t="shared" ref="Q46:Q48" si="26">O46^4/K46</f>
        <v>112.49999999999996</v>
      </c>
    </row>
    <row r="47" spans="1:17" ht="24.9" customHeight="1" x14ac:dyDescent="0.3">
      <c r="A47" s="15">
        <v>8</v>
      </c>
      <c r="B47" s="720" t="s">
        <v>129</v>
      </c>
      <c r="C47" s="721"/>
      <c r="D47" s="343">
        <f>'DB Balance'!D107</f>
        <v>150</v>
      </c>
      <c r="E47" s="9" t="s">
        <v>130</v>
      </c>
      <c r="F47" s="343">
        <f>D47</f>
        <v>150</v>
      </c>
      <c r="G47" s="9" t="s">
        <v>130</v>
      </c>
      <c r="H47" s="10" t="s">
        <v>123</v>
      </c>
      <c r="I47" s="343">
        <f>F47</f>
        <v>150</v>
      </c>
      <c r="J47" s="388">
        <f t="shared" si="20"/>
        <v>1.7320508075688772</v>
      </c>
      <c r="K47" s="10">
        <v>50</v>
      </c>
      <c r="L47" s="11">
        <f>I47/J47</f>
        <v>86.602540378443877</v>
      </c>
      <c r="M47" s="10">
        <v>1</v>
      </c>
      <c r="N47" s="9" t="s">
        <v>130</v>
      </c>
      <c r="O47" s="387">
        <f t="shared" si="25"/>
        <v>86.602540378443877</v>
      </c>
      <c r="P47" s="11">
        <f>O47^2</f>
        <v>7500.0000000000018</v>
      </c>
      <c r="Q47" s="11">
        <f t="shared" si="26"/>
        <v>1125000.0000000007</v>
      </c>
    </row>
    <row r="48" spans="1:17" ht="24.9" customHeight="1" x14ac:dyDescent="0.3">
      <c r="A48" s="15">
        <v>9</v>
      </c>
      <c r="B48" s="720" t="s">
        <v>37</v>
      </c>
      <c r="C48" s="721"/>
      <c r="D48" s="168">
        <f>'DB Balance'!J128*'DB Balance'!H77</f>
        <v>0</v>
      </c>
      <c r="E48" s="9" t="s">
        <v>116</v>
      </c>
      <c r="F48" s="40">
        <f>D48*'DB Balance'!H76</f>
        <v>0</v>
      </c>
      <c r="G48" s="9" t="s">
        <v>117</v>
      </c>
      <c r="H48" s="10" t="s">
        <v>123</v>
      </c>
      <c r="I48" s="40">
        <f>F48</f>
        <v>0</v>
      </c>
      <c r="J48" s="40">
        <f>SQRT(10)</f>
        <v>3.1622776601683795</v>
      </c>
      <c r="K48" s="10">
        <v>9</v>
      </c>
      <c r="L48" s="11">
        <f>I48/J48</f>
        <v>0</v>
      </c>
      <c r="M48" s="10">
        <v>1</v>
      </c>
      <c r="N48" s="10" t="s">
        <v>119</v>
      </c>
      <c r="O48" s="387">
        <f t="shared" si="25"/>
        <v>0</v>
      </c>
      <c r="P48" s="11">
        <f>O48^2</f>
        <v>0</v>
      </c>
      <c r="Q48" s="343">
        <f t="shared" si="26"/>
        <v>0</v>
      </c>
    </row>
    <row r="49" spans="1:17" x14ac:dyDescent="0.3">
      <c r="A49" s="467"/>
      <c r="B49" s="717" t="s">
        <v>131</v>
      </c>
      <c r="C49" s="717"/>
      <c r="D49" s="163"/>
      <c r="E49" s="163"/>
      <c r="F49" s="163"/>
      <c r="G49" s="41"/>
      <c r="H49" s="41"/>
      <c r="I49" s="41"/>
      <c r="J49" s="42"/>
      <c r="K49" s="41"/>
      <c r="L49" s="41"/>
      <c r="M49" s="41"/>
      <c r="N49" s="41"/>
      <c r="O49" s="173"/>
      <c r="P49" s="11">
        <f>SUM(P40:P48)</f>
        <v>8141.9631755226346</v>
      </c>
      <c r="Q49" s="343">
        <f>SUM(Q40:Q48)</f>
        <v>1131157.9141547703</v>
      </c>
    </row>
    <row r="50" spans="1:17" ht="16.2" x14ac:dyDescent="0.3">
      <c r="A50" s="467"/>
      <c r="B50" s="6" t="s">
        <v>132</v>
      </c>
      <c r="C50" s="6"/>
      <c r="D50" s="6"/>
      <c r="E50" s="6"/>
      <c r="F50" s="6"/>
      <c r="G50" s="43"/>
      <c r="H50" s="43"/>
      <c r="I50" s="43"/>
      <c r="J50" s="44"/>
      <c r="K50" s="43"/>
      <c r="L50" s="45" t="s">
        <v>133</v>
      </c>
      <c r="M50" s="43"/>
      <c r="N50" s="43"/>
      <c r="O50" s="174"/>
      <c r="P50" s="46">
        <f>SQRT(P49)</f>
        <v>90.23282759352405</v>
      </c>
      <c r="Q50" s="462"/>
    </row>
    <row r="51" spans="1:17" ht="16.8" x14ac:dyDescent="0.3">
      <c r="A51" s="467"/>
      <c r="B51" s="7" t="s">
        <v>134</v>
      </c>
      <c r="C51" s="7"/>
      <c r="D51" s="6"/>
      <c r="E51" s="6"/>
      <c r="F51" s="6"/>
      <c r="G51" s="43"/>
      <c r="H51" s="43"/>
      <c r="I51" s="43"/>
      <c r="J51" s="44"/>
      <c r="K51" s="43"/>
      <c r="L51" s="47" t="s">
        <v>135</v>
      </c>
      <c r="M51" s="43"/>
      <c r="N51" s="43"/>
      <c r="O51" s="174"/>
      <c r="P51" s="11">
        <f>P50^4/(Q49)</f>
        <v>58.605048439325444</v>
      </c>
      <c r="Q51" s="462"/>
    </row>
    <row r="52" spans="1:17" ht="15.6" x14ac:dyDescent="0.3">
      <c r="A52" s="467"/>
      <c r="B52" s="7" t="s">
        <v>136</v>
      </c>
      <c r="C52" s="7"/>
      <c r="D52" s="6"/>
      <c r="E52" s="6"/>
      <c r="F52" s="6"/>
      <c r="G52" s="43"/>
      <c r="H52" s="43"/>
      <c r="I52" s="43"/>
      <c r="J52" s="44"/>
      <c r="K52" s="43"/>
      <c r="L52" s="48" t="s">
        <v>137</v>
      </c>
      <c r="M52" s="43"/>
      <c r="N52" s="43"/>
      <c r="O52" s="43"/>
      <c r="P52" s="49">
        <f>1.95996+(2.37356/P51)+(2.818745/P51^2)+(2.546662/P51^3)+(1.761829/P51^4)+(0.245458/P51^5)+(1.000764/P51^6)</f>
        <v>2.0012944520613223</v>
      </c>
      <c r="Q52" s="463"/>
    </row>
    <row r="53" spans="1:17" x14ac:dyDescent="0.3">
      <c r="A53" s="467"/>
      <c r="B53" s="7" t="s">
        <v>138</v>
      </c>
      <c r="C53" s="7"/>
      <c r="D53" s="6"/>
      <c r="E53" s="6"/>
      <c r="F53" s="6"/>
      <c r="G53" s="43"/>
      <c r="H53" s="43"/>
      <c r="I53" s="43"/>
      <c r="J53" s="44"/>
      <c r="K53" s="43"/>
      <c r="L53" s="48" t="s">
        <v>139</v>
      </c>
      <c r="M53" s="43"/>
      <c r="N53" s="43"/>
      <c r="O53" s="43"/>
      <c r="P53" s="46">
        <f>P50*P52</f>
        <v>180.58245725672546</v>
      </c>
      <c r="Q53" s="464" t="s">
        <v>130</v>
      </c>
    </row>
    <row r="54" spans="1:17" ht="15.6" x14ac:dyDescent="0.3">
      <c r="A54" s="467"/>
      <c r="B54" s="175"/>
      <c r="C54" s="175"/>
      <c r="D54" s="176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443">
        <f>P53*'DB Balance'!H78</f>
        <v>0.18058245725672548</v>
      </c>
      <c r="Q54" s="465" t="s">
        <v>7</v>
      </c>
    </row>
    <row r="55" spans="1:17" x14ac:dyDescent="0.3">
      <c r="A55" s="467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7"/>
      <c r="Q55" s="106"/>
    </row>
  </sheetData>
  <sheetProtection algorithmName="SHA-512" hashValue="0cMSykqlQYat9qWmu/e70Vx+CJ2sxDOzDEjKGSolzVlnMOGfcxYY/MysIzJmfU7Q3kVMDXn379VXk79Hr+dnxg==" saltValue="+OgsZQy6KLXAgS3lpE7ZjA==" spinCount="100000" sheet="1" objects="1" scenarios="1"/>
  <mergeCells count="37">
    <mergeCell ref="B46:C46"/>
    <mergeCell ref="B47:C47"/>
    <mergeCell ref="B48:C48"/>
    <mergeCell ref="B49:C49"/>
    <mergeCell ref="B41:C41"/>
    <mergeCell ref="B42:C42"/>
    <mergeCell ref="B43:C43"/>
    <mergeCell ref="B44:C44"/>
    <mergeCell ref="B45:C45"/>
    <mergeCell ref="B30:C30"/>
    <mergeCell ref="B31:C31"/>
    <mergeCell ref="A38:C38"/>
    <mergeCell ref="B39:C39"/>
    <mergeCell ref="B40:C40"/>
    <mergeCell ref="B25:C25"/>
    <mergeCell ref="B26:C26"/>
    <mergeCell ref="B27:C27"/>
    <mergeCell ref="B28:C28"/>
    <mergeCell ref="B29:C29"/>
    <mergeCell ref="A20:C20"/>
    <mergeCell ref="B21:C21"/>
    <mergeCell ref="B22:C22"/>
    <mergeCell ref="B23:C23"/>
    <mergeCell ref="B24:C24"/>
    <mergeCell ref="A1:Q1"/>
    <mergeCell ref="B3:C3"/>
    <mergeCell ref="B13:C13"/>
    <mergeCell ref="B4:C4"/>
    <mergeCell ref="B5:C5"/>
    <mergeCell ref="B7:C7"/>
    <mergeCell ref="B6:C6"/>
    <mergeCell ref="B9:C9"/>
    <mergeCell ref="B8:C8"/>
    <mergeCell ref="B10:C10"/>
    <mergeCell ref="B11:C11"/>
    <mergeCell ref="B12:C12"/>
    <mergeCell ref="A2:C2"/>
  </mergeCells>
  <printOptions horizontalCentered="1"/>
  <pageMargins left="0.4" right="0.25" top="0.75" bottom="0.25" header="0.25" footer="0.25"/>
  <pageSetup paperSize="9" scale="55" orientation="portrait" horizontalDpi="4294967293" r:id="rId1"/>
  <headerFooter>
    <oddHeader>&amp;R&amp;"Times New Roman,Regular"FV.UB 115-19 / REV : 0</oddHeader>
    <oddFooter>&amp;R&amp;8&amp;K00-014SOFTWARE MIKROPIPET FIX 2017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52"/>
  <sheetViews>
    <sheetView showGridLines="0" view="pageBreakPreview" zoomScaleNormal="100" zoomScaleSheetLayoutView="100" workbookViewId="0">
      <selection activeCell="G19" sqref="G19"/>
    </sheetView>
  </sheetViews>
  <sheetFormatPr defaultColWidth="9.109375" defaultRowHeight="15" x14ac:dyDescent="0.25"/>
  <cols>
    <col min="1" max="1" width="4.44140625" style="66" customWidth="1"/>
    <col min="2" max="2" width="5" style="66" customWidth="1"/>
    <col min="3" max="3" width="13.6640625" style="66" customWidth="1"/>
    <col min="4" max="4" width="3.88671875" style="66" customWidth="1"/>
    <col min="5" max="5" width="10.44140625" style="66" customWidth="1"/>
    <col min="6" max="6" width="7.109375" style="66" customWidth="1"/>
    <col min="7" max="7" width="6.6640625" style="66" customWidth="1"/>
    <col min="8" max="8" width="6" style="66" customWidth="1"/>
    <col min="9" max="9" width="6.109375" style="66" customWidth="1"/>
    <col min="10" max="10" width="7.44140625" style="66" customWidth="1"/>
    <col min="11" max="11" width="10.44140625" style="66" customWidth="1"/>
    <col min="12" max="12" width="10.109375" style="66" customWidth="1"/>
    <col min="13" max="13" width="2" style="66" customWidth="1"/>
    <col min="14" max="14" width="11" style="66" customWidth="1"/>
    <col min="15" max="16384" width="9.109375" style="66"/>
  </cols>
  <sheetData>
    <row r="1" spans="1:14" ht="17.399999999999999" x14ac:dyDescent="0.25">
      <c r="A1" s="725" t="s">
        <v>140</v>
      </c>
      <c r="B1" s="725"/>
      <c r="C1" s="725"/>
      <c r="D1" s="725"/>
      <c r="E1" s="725"/>
      <c r="F1" s="725"/>
      <c r="G1" s="725"/>
      <c r="H1" s="725"/>
      <c r="I1" s="725"/>
      <c r="J1" s="725"/>
      <c r="K1" s="725"/>
      <c r="L1" s="725"/>
      <c r="M1" s="725"/>
      <c r="N1" s="725"/>
    </row>
    <row r="2" spans="1:14" ht="16.8" x14ac:dyDescent="0.25">
      <c r="A2" s="726" t="str">
        <f>ID!H2&amp;ID!I2</f>
        <v>Nomor Sertifikat : 36 / 1 / VII - 23 / E - 007 Dt</v>
      </c>
      <c r="B2" s="726"/>
      <c r="C2" s="726"/>
      <c r="D2" s="726"/>
      <c r="E2" s="726"/>
      <c r="F2" s="726"/>
      <c r="G2" s="726"/>
      <c r="H2" s="726"/>
      <c r="I2" s="726"/>
      <c r="J2" s="726"/>
      <c r="K2" s="726"/>
      <c r="L2" s="726"/>
      <c r="M2" s="726"/>
      <c r="N2" s="726"/>
    </row>
    <row r="3" spans="1:14" ht="15.6" x14ac:dyDescent="0.25">
      <c r="A3" s="108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</row>
    <row r="5" spans="1:14" x14ac:dyDescent="0.25">
      <c r="A5" s="66" t="str">
        <f>ID!A5</f>
        <v>Merek</v>
      </c>
      <c r="D5" s="222" t="str">
        <f>ID!D5</f>
        <v>:</v>
      </c>
      <c r="E5" s="735" t="str">
        <f>ID!E5</f>
        <v>SOCOREX</v>
      </c>
      <c r="F5" s="735"/>
      <c r="G5" s="735"/>
      <c r="H5" s="735"/>
    </row>
    <row r="6" spans="1:14" x14ac:dyDescent="0.25">
      <c r="A6" s="66" t="str">
        <f>ID!A6</f>
        <v>Model/Tipe</v>
      </c>
      <c r="D6" s="82" t="str">
        <f>ID!D6</f>
        <v>:</v>
      </c>
      <c r="E6" s="735" t="str">
        <f>ID!E6</f>
        <v>ACURA 815</v>
      </c>
      <c r="F6" s="735"/>
      <c r="G6" s="735"/>
      <c r="H6" s="735"/>
      <c r="N6" s="223"/>
    </row>
    <row r="7" spans="1:14" x14ac:dyDescent="0.25">
      <c r="A7" s="66" t="str">
        <f>ID!A7</f>
        <v>No. Seri</v>
      </c>
      <c r="D7" s="82" t="str">
        <f>ID!D7</f>
        <v>:</v>
      </c>
      <c r="E7" s="735" t="str">
        <f>ID!E7</f>
        <v>18071332</v>
      </c>
      <c r="F7" s="735"/>
      <c r="G7" s="735"/>
      <c r="H7" s="735"/>
    </row>
    <row r="8" spans="1:14" x14ac:dyDescent="0.25">
      <c r="A8" s="66" t="str">
        <f>ID!A8</f>
        <v>Kapasitas</v>
      </c>
      <c r="D8" s="82" t="str">
        <f>ID!D8</f>
        <v>:</v>
      </c>
      <c r="E8" s="224" t="str">
        <f>ID!E8</f>
        <v>10 - 100 µl</v>
      </c>
    </row>
    <row r="9" spans="1:14" x14ac:dyDescent="0.25">
      <c r="A9" s="66" t="str">
        <f>ID!A9</f>
        <v>Tanggal Penerimaan Alat</v>
      </c>
      <c r="D9" s="82" t="s">
        <v>3</v>
      </c>
      <c r="E9" s="224" t="str">
        <f>ID!E9</f>
        <v>10 November 2016</v>
      </c>
    </row>
    <row r="10" spans="1:14" x14ac:dyDescent="0.25">
      <c r="A10" s="66" t="str">
        <f>ID!A10</f>
        <v>Tanggal Kalibrasi</v>
      </c>
      <c r="D10" s="82" t="str">
        <f>ID!D10</f>
        <v>:</v>
      </c>
      <c r="E10" s="735" t="str">
        <f>ID!E10</f>
        <v>10 November 2016</v>
      </c>
      <c r="F10" s="735"/>
      <c r="G10" s="735"/>
      <c r="H10" s="735"/>
    </row>
    <row r="11" spans="1:14" x14ac:dyDescent="0.25">
      <c r="A11" s="66" t="str">
        <f>ID!A11</f>
        <v>Tempat Kalibrasi</v>
      </c>
      <c r="D11" s="82" t="str">
        <f>ID!D11</f>
        <v>:</v>
      </c>
      <c r="E11" s="86" t="str">
        <f>ID!E11</f>
        <v>Laboratorium Kalibrasi LPFK Banjarbaru</v>
      </c>
      <c r="F11" s="86"/>
      <c r="G11" s="86"/>
      <c r="H11" s="86"/>
      <c r="I11" s="86"/>
      <c r="J11" s="86"/>
    </row>
    <row r="12" spans="1:14" x14ac:dyDescent="0.25">
      <c r="A12" s="66" t="str">
        <f>ID!A12</f>
        <v>Nama Ruang</v>
      </c>
      <c r="D12" s="82" t="str">
        <f>ID!D12</f>
        <v>:</v>
      </c>
      <c r="E12" s="86" t="str">
        <f>ID!E12</f>
        <v>Laboratorium</v>
      </c>
      <c r="F12" s="86"/>
      <c r="G12" s="86"/>
      <c r="H12" s="86"/>
      <c r="I12" s="86"/>
      <c r="J12" s="86"/>
    </row>
    <row r="13" spans="1:14" x14ac:dyDescent="0.25">
      <c r="A13" s="66" t="s">
        <v>95</v>
      </c>
      <c r="D13" s="82" t="s">
        <v>3</v>
      </c>
      <c r="E13" s="735" t="str">
        <f>ID!E13</f>
        <v>MK. 115 - 2019</v>
      </c>
      <c r="F13" s="735"/>
    </row>
    <row r="15" spans="1:14" ht="15.6" x14ac:dyDescent="0.3">
      <c r="A15" s="80" t="str">
        <f>ID!A15</f>
        <v>I.</v>
      </c>
      <c r="B15" s="80" t="str">
        <f>ID!B15</f>
        <v>Kondisi Ruang</v>
      </c>
      <c r="C15" s="80"/>
    </row>
    <row r="16" spans="1:14" x14ac:dyDescent="0.25">
      <c r="B16" s="97" t="str">
        <f>ID!B17</f>
        <v>Suhu ruang</v>
      </c>
      <c r="C16" s="97"/>
      <c r="D16" s="82" t="str">
        <f>ID!D17</f>
        <v>:</v>
      </c>
      <c r="E16" s="658" t="str">
        <f>'DB Thermohygro'!N390</f>
        <v>21.0</v>
      </c>
      <c r="F16" s="659" t="str">
        <f>'DB Thermohygro'!O393</f>
        <v xml:space="preserve"> ± </v>
      </c>
      <c r="G16" s="659" t="str">
        <f>'DB Thermohygro'!O390</f>
        <v>0.2</v>
      </c>
      <c r="H16" s="110" t="str">
        <f>'DB Thermohygro'!P390</f>
        <v xml:space="preserve"> °C</v>
      </c>
    </row>
    <row r="17" spans="1:19" x14ac:dyDescent="0.25">
      <c r="B17" s="97" t="str">
        <f>ID!B18</f>
        <v>Kelembaban</v>
      </c>
      <c r="C17" s="97"/>
      <c r="D17" s="82" t="str">
        <f>ID!D18</f>
        <v>:</v>
      </c>
      <c r="E17" s="658" t="str">
        <f>'DB Thermohygro'!N391</f>
        <v>63.0</v>
      </c>
      <c r="F17" s="659" t="str">
        <f>'DB Thermohygro'!O393</f>
        <v xml:space="preserve"> ± </v>
      </c>
      <c r="G17" s="659" t="str">
        <f>'DB Thermohygro'!O391</f>
        <v>2.4</v>
      </c>
      <c r="H17" s="110" t="str">
        <f>'DB Thermohygro'!P391</f>
        <v xml:space="preserve"> %RH</v>
      </c>
    </row>
    <row r="18" spans="1:19" x14ac:dyDescent="0.25">
      <c r="B18" s="97" t="str">
        <f>ID!B19</f>
        <v>Tekanan udara</v>
      </c>
      <c r="C18" s="97"/>
      <c r="D18" s="82" t="str">
        <f>ID!D19</f>
        <v>:</v>
      </c>
      <c r="E18" s="658" t="str">
        <f>'DB Thermohygro'!N392</f>
        <v>1000.1</v>
      </c>
      <c r="F18" s="659" t="str">
        <f>'DB Thermohygro'!O393</f>
        <v xml:space="preserve"> ± </v>
      </c>
      <c r="G18" s="659" t="str">
        <f>'DB Thermohygro'!O392</f>
        <v>2.4</v>
      </c>
      <c r="H18" s="110" t="str">
        <f>'DB Thermohygro'!P392</f>
        <v xml:space="preserve"> hPa</v>
      </c>
    </row>
    <row r="19" spans="1:19" ht="18.600000000000001" x14ac:dyDescent="0.4">
      <c r="B19" s="66" t="s">
        <v>22</v>
      </c>
      <c r="D19" s="82" t="s">
        <v>3</v>
      </c>
      <c r="E19" s="658" t="str">
        <f>'DB Thermo Air'!D61</f>
        <v>21.8</v>
      </c>
      <c r="F19" s="659" t="str">
        <f>'DB Thermo Air'!B63</f>
        <v xml:space="preserve"> ± </v>
      </c>
      <c r="G19" s="659" t="str">
        <f>'DB Thermo Air'!D55</f>
        <v>0.2</v>
      </c>
      <c r="H19" s="110" t="str">
        <f>'DB Thermo Air'!D63</f>
        <v xml:space="preserve"> °C</v>
      </c>
    </row>
    <row r="20" spans="1:19" x14ac:dyDescent="0.25">
      <c r="D20" s="82"/>
      <c r="E20" s="110"/>
      <c r="F20" s="110"/>
      <c r="H20" s="85"/>
    </row>
    <row r="21" spans="1:19" ht="15.6" x14ac:dyDescent="0.3">
      <c r="A21" s="80" t="str">
        <f>ID!A22</f>
        <v>II.</v>
      </c>
      <c r="B21" s="80" t="str">
        <f>ID!B22</f>
        <v>Pemeriksaan Kondisi Fisik dan Fungsi Alat</v>
      </c>
      <c r="D21" s="82"/>
      <c r="E21" s="110"/>
      <c r="F21" s="110"/>
      <c r="H21" s="85"/>
      <c r="N21" s="449"/>
    </row>
    <row r="22" spans="1:19" x14ac:dyDescent="0.25">
      <c r="B22" s="66" t="str">
        <f>ID!B23</f>
        <v>1. Fisik</v>
      </c>
      <c r="D22" s="82" t="s">
        <v>3</v>
      </c>
      <c r="E22" s="110" t="str">
        <f>ID!E23</f>
        <v>Baik</v>
      </c>
      <c r="F22" s="110"/>
      <c r="H22" s="85"/>
      <c r="N22" s="448"/>
    </row>
    <row r="23" spans="1:19" x14ac:dyDescent="0.25">
      <c r="B23" s="66" t="str">
        <f>ID!B24</f>
        <v>2. Fungsi</v>
      </c>
      <c r="D23" s="82" t="s">
        <v>3</v>
      </c>
      <c r="E23" s="110" t="str">
        <f>ID!E24</f>
        <v>Baik</v>
      </c>
      <c r="F23" s="110"/>
      <c r="H23" s="85"/>
      <c r="N23" s="448"/>
    </row>
    <row r="25" spans="1:19" ht="15.6" x14ac:dyDescent="0.3">
      <c r="A25" s="80" t="str">
        <f>ID!A26</f>
        <v>III.</v>
      </c>
      <c r="B25" s="80" t="str">
        <f>ID!B26</f>
        <v>Pengujian Kinerja</v>
      </c>
      <c r="C25" s="80"/>
    </row>
    <row r="26" spans="1:19" ht="47.25" customHeight="1" x14ac:dyDescent="0.25">
      <c r="B26" s="111" t="s">
        <v>63</v>
      </c>
      <c r="C26" s="206" t="str">
        <f>ID!C27</f>
        <v>Parameter</v>
      </c>
      <c r="D26" s="667" t="str">
        <f>ID!D27</f>
        <v>Setting Alat</v>
      </c>
      <c r="E26" s="667"/>
      <c r="F26" s="736" t="s">
        <v>141</v>
      </c>
      <c r="G26" s="737"/>
      <c r="H26" s="736" t="s">
        <v>142</v>
      </c>
      <c r="I26" s="737"/>
      <c r="J26" s="667" t="s">
        <v>143</v>
      </c>
      <c r="K26" s="667"/>
      <c r="L26" s="114"/>
      <c r="N26" s="447"/>
      <c r="P26" s="193"/>
      <c r="Q26" s="522" t="s">
        <v>144</v>
      </c>
    </row>
    <row r="27" spans="1:19" ht="39.75" customHeight="1" x14ac:dyDescent="0.25">
      <c r="B27" s="87">
        <f>'DB Balance'!A88</f>
        <v>1</v>
      </c>
      <c r="C27" s="742" t="s">
        <v>145</v>
      </c>
      <c r="D27" s="739">
        <f>'DB Balance'!B88</f>
        <v>10</v>
      </c>
      <c r="E27" s="739"/>
      <c r="F27" s="738">
        <f>'DB Balance'!J88</f>
        <v>10.015144700481333</v>
      </c>
      <c r="G27" s="738"/>
      <c r="H27" s="738">
        <f>'DB Balance'!K88</f>
        <v>1.5144700481332762E-2</v>
      </c>
      <c r="I27" s="738"/>
      <c r="J27" s="502" t="s">
        <v>146</v>
      </c>
      <c r="K27" s="503" t="str">
        <f>'DB Balance'!I106</f>
        <v>0.18</v>
      </c>
      <c r="P27" s="586">
        <f>ABS(H27)</f>
        <v>1.5144700481332762E-2</v>
      </c>
      <c r="Q27" s="511">
        <f>IF(P27&lt;='DB Balance'!H113,10,0)</f>
        <v>10</v>
      </c>
      <c r="R27" s="513">
        <f>SUM(Q27:Q29)</f>
        <v>30</v>
      </c>
      <c r="S27" s="81">
        <f>IF(R27&lt;30,2,1)</f>
        <v>1</v>
      </c>
    </row>
    <row r="28" spans="1:19" ht="39.75" customHeight="1" x14ac:dyDescent="0.25">
      <c r="B28" s="90">
        <v>2</v>
      </c>
      <c r="C28" s="743"/>
      <c r="D28" s="740">
        <f>'DB Balance'!B92</f>
        <v>50</v>
      </c>
      <c r="E28" s="740"/>
      <c r="F28" s="745">
        <f>'DB Balance'!J92</f>
        <v>50.00554881497483</v>
      </c>
      <c r="G28" s="745"/>
      <c r="H28" s="745">
        <f>'DB Balance'!K92</f>
        <v>5.548814974829952E-3</v>
      </c>
      <c r="I28" s="745"/>
      <c r="J28" s="505" t="s">
        <v>146</v>
      </c>
      <c r="K28" s="506" t="str">
        <f>'DB Balance'!I107</f>
        <v>0.18</v>
      </c>
      <c r="P28" s="586">
        <f t="shared" ref="P28:P29" si="0">ABS(H28)</f>
        <v>5.548814974829952E-3</v>
      </c>
      <c r="Q28" s="512">
        <f>IF(P28&lt;='DB Balance'!H114,10,0)</f>
        <v>10</v>
      </c>
    </row>
    <row r="29" spans="1:19" ht="39.75" customHeight="1" x14ac:dyDescent="0.25">
      <c r="B29" s="507">
        <v>3</v>
      </c>
      <c r="C29" s="744"/>
      <c r="D29" s="741">
        <f>'DB Balance'!B96</f>
        <v>100</v>
      </c>
      <c r="E29" s="741"/>
      <c r="F29" s="746">
        <f>'DB Balance'!J96</f>
        <v>100.00107245977827</v>
      </c>
      <c r="G29" s="746"/>
      <c r="H29" s="746">
        <f>'DB Balance'!K96</f>
        <v>1.0724597782711953E-3</v>
      </c>
      <c r="I29" s="746"/>
      <c r="J29" s="509" t="s">
        <v>146</v>
      </c>
      <c r="K29" s="510" t="str">
        <f>'DB Balance'!I108</f>
        <v>0.18</v>
      </c>
      <c r="P29" s="586">
        <f t="shared" si="0"/>
        <v>1.0724597782711953E-3</v>
      </c>
      <c r="Q29" s="511">
        <f>IF(P29&lt;='DB Balance'!H115,10,0)</f>
        <v>10</v>
      </c>
    </row>
    <row r="30" spans="1:19" ht="15.6" x14ac:dyDescent="0.25">
      <c r="P30" s="192"/>
      <c r="Q30" s="194"/>
    </row>
    <row r="31" spans="1:19" ht="15.6" x14ac:dyDescent="0.3">
      <c r="A31" s="212" t="str">
        <f>ID!A57</f>
        <v>IV.</v>
      </c>
      <c r="B31" s="212" t="str">
        <f>ID!B57</f>
        <v>Keterangan</v>
      </c>
      <c r="C31" s="212"/>
      <c r="D31" s="213"/>
      <c r="E31" s="213"/>
      <c r="F31" s="213"/>
      <c r="G31" s="213"/>
      <c r="H31" s="213"/>
      <c r="I31" s="213"/>
      <c r="J31" s="213"/>
      <c r="K31" s="213"/>
      <c r="L31" s="213"/>
      <c r="M31" s="213"/>
      <c r="N31" s="213"/>
    </row>
    <row r="32" spans="1:19" x14ac:dyDescent="0.25">
      <c r="A32" s="213"/>
      <c r="B32" s="213" t="str">
        <f>ID!B58</f>
        <v>Ketidakpastian pengukuran dilaporkan pada tingkat kepercayaan 95% dengan faktor cakupan k = 2</v>
      </c>
      <c r="C32" s="213"/>
      <c r="D32" s="213"/>
      <c r="E32" s="213"/>
      <c r="F32" s="213"/>
      <c r="G32" s="213"/>
      <c r="H32" s="213"/>
      <c r="I32" s="213"/>
      <c r="J32" s="213"/>
      <c r="K32" s="213"/>
      <c r="L32" s="213"/>
      <c r="M32" s="213"/>
      <c r="N32" s="213"/>
    </row>
    <row r="33" spans="1:14" x14ac:dyDescent="0.25">
      <c r="A33" s="213"/>
      <c r="B33" s="213" t="str">
        <f>ID!B59</f>
        <v>Hasil kalibrasi pippette calibration balance tertelusur ke Satuan Internasional ( SI ) melalui SNSU-BSN</v>
      </c>
      <c r="C33" s="213"/>
      <c r="D33" s="213"/>
      <c r="E33" s="213"/>
      <c r="F33" s="213"/>
      <c r="G33" s="213"/>
      <c r="H33" s="213"/>
      <c r="I33" s="213"/>
      <c r="J33" s="213"/>
      <c r="K33" s="213"/>
      <c r="L33" s="213"/>
      <c r="M33" s="213"/>
      <c r="N33" s="213"/>
    </row>
    <row r="34" spans="1:14" x14ac:dyDescent="0.25">
      <c r="A34" s="213"/>
      <c r="B34" s="213" t="str">
        <f>'DB Balance'!A180</f>
        <v/>
      </c>
      <c r="C34" s="213"/>
      <c r="D34" s="213"/>
      <c r="E34" s="213"/>
      <c r="F34" s="213"/>
      <c r="G34" s="213"/>
      <c r="H34" s="213"/>
      <c r="I34" s="213"/>
      <c r="J34" s="213"/>
      <c r="K34" s="213"/>
      <c r="L34" s="213"/>
      <c r="M34" s="213"/>
      <c r="N34" s="213"/>
    </row>
    <row r="35" spans="1:14" x14ac:dyDescent="0.25">
      <c r="A35" s="213"/>
      <c r="B35" s="213"/>
      <c r="C35" s="213"/>
      <c r="D35" s="213"/>
      <c r="E35" s="213"/>
      <c r="F35" s="213"/>
      <c r="G35" s="213"/>
      <c r="H35" s="213"/>
      <c r="I35" s="213"/>
      <c r="J35" s="213"/>
      <c r="K35" s="213"/>
      <c r="L35" s="213"/>
      <c r="M35" s="213"/>
      <c r="N35" s="213"/>
    </row>
    <row r="36" spans="1:14" ht="15.6" x14ac:dyDescent="0.3">
      <c r="A36" s="212" t="str">
        <f>ID!A61</f>
        <v>V.</v>
      </c>
      <c r="B36" s="212" t="str">
        <f>ID!B61</f>
        <v>Alat Yang Digunakan</v>
      </c>
      <c r="C36" s="212"/>
      <c r="D36" s="213"/>
      <c r="E36" s="213"/>
      <c r="F36" s="213"/>
      <c r="G36" s="213"/>
      <c r="H36" s="213"/>
      <c r="I36" s="213"/>
      <c r="J36" s="213"/>
      <c r="K36" s="213"/>
      <c r="L36" s="213"/>
      <c r="M36" s="213"/>
      <c r="N36" s="213"/>
    </row>
    <row r="37" spans="1:14" x14ac:dyDescent="0.25">
      <c r="A37" s="213"/>
      <c r="B37" s="214" t="str">
        <f>ID!B62</f>
        <v>Pippette Callibration Balance, Merek : Sartorius, Tipe : MSA 225S-100-DU, SN : 36301077</v>
      </c>
      <c r="C37" s="214"/>
      <c r="D37" s="213"/>
      <c r="E37" s="213"/>
      <c r="F37" s="213"/>
      <c r="G37" s="213"/>
      <c r="H37" s="213"/>
      <c r="I37" s="213"/>
      <c r="J37" s="213"/>
      <c r="K37" s="213"/>
      <c r="L37" s="213"/>
      <c r="M37" s="213"/>
      <c r="N37" s="213"/>
    </row>
    <row r="38" spans="1:14" x14ac:dyDescent="0.25">
      <c r="A38" s="213"/>
      <c r="B38" s="214" t="str">
        <f>ID!B63</f>
        <v>Thermohygrolight, Merek : Greisinger, Model : GFTB 200, SN : 34903053</v>
      </c>
      <c r="C38" s="214"/>
      <c r="D38" s="213"/>
      <c r="E38" s="213"/>
      <c r="F38" s="213"/>
      <c r="G38" s="213"/>
      <c r="H38" s="213"/>
      <c r="I38" s="213"/>
      <c r="J38" s="213"/>
      <c r="K38" s="213"/>
      <c r="L38" s="213"/>
      <c r="M38" s="213"/>
      <c r="N38" s="213"/>
    </row>
    <row r="39" spans="1:14" x14ac:dyDescent="0.25">
      <c r="A39" s="213"/>
      <c r="B39" s="214" t="str">
        <f>ID!B64</f>
        <v>Digital Thermometer, Merek : Greisinger, Tipe : GMH 5530, SN : 33700052</v>
      </c>
      <c r="C39" s="214"/>
      <c r="D39" s="213"/>
      <c r="E39" s="213"/>
      <c r="F39" s="213"/>
      <c r="G39" s="213"/>
      <c r="H39" s="213"/>
      <c r="I39" s="213"/>
      <c r="J39" s="213"/>
      <c r="K39" s="213"/>
      <c r="L39" s="213"/>
      <c r="M39" s="213"/>
      <c r="N39" s="213"/>
    </row>
    <row r="40" spans="1:14" x14ac:dyDescent="0.25">
      <c r="A40" s="213"/>
      <c r="B40" s="214"/>
      <c r="C40" s="214"/>
      <c r="D40" s="213"/>
      <c r="E40" s="213"/>
      <c r="F40" s="213"/>
      <c r="G40" s="213"/>
      <c r="H40" s="213"/>
      <c r="I40" s="213"/>
      <c r="J40" s="213"/>
      <c r="K40" s="213"/>
      <c r="L40" s="213"/>
      <c r="M40" s="213"/>
      <c r="N40" s="213"/>
    </row>
    <row r="41" spans="1:14" ht="15.6" hidden="1" x14ac:dyDescent="0.3">
      <c r="A41" s="212" t="str">
        <f>ID!A66</f>
        <v>VI.</v>
      </c>
      <c r="B41" s="212" t="str">
        <f>ID!B66</f>
        <v>Kesimpulan</v>
      </c>
      <c r="C41" s="214"/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213"/>
    </row>
    <row r="42" spans="1:14" ht="15.6" hidden="1" x14ac:dyDescent="0.3">
      <c r="A42" s="212"/>
      <c r="B42" s="688" t="str">
        <f>ID!B67</f>
        <v/>
      </c>
      <c r="C42" s="688"/>
      <c r="D42" s="688"/>
      <c r="E42" s="688"/>
      <c r="F42" s="688"/>
      <c r="G42" s="688"/>
      <c r="H42" s="688"/>
      <c r="I42" s="688"/>
      <c r="J42" s="688"/>
      <c r="K42" s="688"/>
      <c r="L42" s="688"/>
      <c r="M42" s="213"/>
      <c r="N42" s="213"/>
    </row>
    <row r="43" spans="1:14" ht="15.6" hidden="1" x14ac:dyDescent="0.3">
      <c r="A43" s="212"/>
      <c r="B43" s="688"/>
      <c r="C43" s="688"/>
      <c r="D43" s="688"/>
      <c r="E43" s="688"/>
      <c r="F43" s="688"/>
      <c r="G43" s="688"/>
      <c r="H43" s="688"/>
      <c r="I43" s="688"/>
      <c r="J43" s="688"/>
      <c r="K43" s="688"/>
      <c r="L43" s="688"/>
      <c r="M43" s="213"/>
      <c r="N43" s="213"/>
    </row>
    <row r="44" spans="1:14" hidden="1" x14ac:dyDescent="0.25">
      <c r="A44" s="213"/>
      <c r="B44" s="214"/>
      <c r="C44" s="214"/>
      <c r="D44" s="213"/>
      <c r="E44" s="213"/>
      <c r="F44" s="213"/>
      <c r="G44" s="213"/>
      <c r="H44" s="213"/>
      <c r="I44" s="213"/>
      <c r="J44" s="213"/>
      <c r="K44" s="213"/>
      <c r="L44" s="213"/>
      <c r="M44" s="213"/>
      <c r="N44" s="213"/>
    </row>
    <row r="45" spans="1:14" ht="15.6" x14ac:dyDescent="0.3">
      <c r="A45" s="212" t="str">
        <f>ID!A70</f>
        <v>VI.</v>
      </c>
      <c r="B45" s="212" t="str">
        <f>ID!B70</f>
        <v>Petugas Kalibrasi</v>
      </c>
      <c r="C45" s="212"/>
      <c r="D45" s="213"/>
      <c r="E45" s="213"/>
      <c r="F45" s="213"/>
      <c r="G45" s="213"/>
      <c r="H45" s="213"/>
      <c r="I45" s="213"/>
      <c r="J45" s="213"/>
      <c r="K45" s="213"/>
      <c r="L45" s="213"/>
      <c r="M45" s="213"/>
      <c r="N45" s="213"/>
    </row>
    <row r="46" spans="1:14" x14ac:dyDescent="0.25">
      <c r="A46" s="213"/>
      <c r="B46" s="213" t="str">
        <f>ID!B71</f>
        <v>Donny Martha</v>
      </c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13"/>
      <c r="N46" s="213"/>
    </row>
    <row r="47" spans="1:14" x14ac:dyDescent="0.25">
      <c r="A47" s="213"/>
      <c r="B47" s="213"/>
      <c r="C47" s="213"/>
      <c r="D47" s="213"/>
      <c r="E47" s="213"/>
      <c r="F47" s="213"/>
      <c r="G47" s="213"/>
      <c r="H47" s="213"/>
      <c r="I47" s="213"/>
      <c r="J47" s="213"/>
      <c r="K47" s="213"/>
      <c r="L47" s="213"/>
      <c r="M47" s="213"/>
      <c r="N47" s="213"/>
    </row>
    <row r="48" spans="1:14" ht="15.6" customHeight="1" x14ac:dyDescent="0.25">
      <c r="A48" s="213"/>
      <c r="B48" s="213"/>
      <c r="C48" s="213"/>
      <c r="D48" s="213"/>
      <c r="E48" s="213"/>
      <c r="F48" s="213"/>
      <c r="G48" s="213"/>
      <c r="H48" s="213"/>
      <c r="I48" s="213"/>
      <c r="J48" s="213"/>
      <c r="K48" s="213"/>
      <c r="L48" s="213"/>
      <c r="M48" s="213"/>
      <c r="N48" s="213"/>
    </row>
    <row r="49" spans="1:14" ht="15.6" customHeight="1" x14ac:dyDescent="0.25">
      <c r="A49" s="213"/>
      <c r="B49" s="232"/>
      <c r="C49" s="213"/>
      <c r="D49" s="213"/>
      <c r="E49" s="213"/>
      <c r="F49" s="213"/>
      <c r="G49" s="213"/>
      <c r="H49" s="213"/>
      <c r="I49" s="213"/>
      <c r="J49" s="213"/>
      <c r="K49" s="213"/>
      <c r="L49" s="213"/>
      <c r="M49" s="213"/>
      <c r="N49" s="213"/>
    </row>
    <row r="50" spans="1:14" x14ac:dyDescent="0.25">
      <c r="B50" s="225"/>
      <c r="C50" s="727" t="s">
        <v>147</v>
      </c>
      <c r="D50" s="727"/>
      <c r="E50" s="727"/>
      <c r="F50" s="727"/>
      <c r="G50" s="727"/>
      <c r="H50" s="727" t="s">
        <v>64</v>
      </c>
      <c r="I50" s="727"/>
      <c r="J50" s="727"/>
      <c r="K50" s="445" t="s">
        <v>148</v>
      </c>
      <c r="L50" s="728"/>
      <c r="M50" s="729"/>
    </row>
    <row r="51" spans="1:14" x14ac:dyDescent="0.25">
      <c r="B51" s="226"/>
      <c r="C51" s="227" t="str">
        <f>'DB Balance'!D149&amp;ID!B71</f>
        <v>Dibuat : Donny Martha</v>
      </c>
      <c r="D51" s="228"/>
      <c r="E51" s="228"/>
      <c r="F51" s="228"/>
      <c r="G51" s="229"/>
      <c r="H51" s="727" t="str">
        <f>ID!B74</f>
        <v>10 November 2016</v>
      </c>
      <c r="I51" s="727"/>
      <c r="J51" s="727"/>
      <c r="K51" s="446"/>
      <c r="L51" s="730"/>
      <c r="M51" s="731"/>
    </row>
    <row r="52" spans="1:14" x14ac:dyDescent="0.25">
      <c r="C52" s="230" t="s">
        <v>149</v>
      </c>
      <c r="D52" s="231"/>
      <c r="E52" s="231"/>
      <c r="F52" s="231"/>
      <c r="G52" s="229"/>
      <c r="H52" s="732"/>
      <c r="I52" s="733"/>
      <c r="J52" s="734"/>
      <c r="K52" s="446"/>
      <c r="L52" s="730"/>
      <c r="M52" s="731"/>
    </row>
  </sheetData>
  <mergeCells count="28">
    <mergeCell ref="H26:I26"/>
    <mergeCell ref="H27:I27"/>
    <mergeCell ref="D27:E27"/>
    <mergeCell ref="B42:L43"/>
    <mergeCell ref="J26:K26"/>
    <mergeCell ref="D28:E28"/>
    <mergeCell ref="D29:E29"/>
    <mergeCell ref="C27:C29"/>
    <mergeCell ref="F28:G28"/>
    <mergeCell ref="H28:I28"/>
    <mergeCell ref="H29:I29"/>
    <mergeCell ref="F29:G29"/>
    <mergeCell ref="A1:N1"/>
    <mergeCell ref="A2:N2"/>
    <mergeCell ref="C50:G50"/>
    <mergeCell ref="L50:M50"/>
    <mergeCell ref="L51:M52"/>
    <mergeCell ref="H50:J50"/>
    <mergeCell ref="H51:J51"/>
    <mergeCell ref="H52:J52"/>
    <mergeCell ref="E5:H5"/>
    <mergeCell ref="E6:H6"/>
    <mergeCell ref="E7:H7"/>
    <mergeCell ref="E10:H10"/>
    <mergeCell ref="E13:F13"/>
    <mergeCell ref="D26:E26"/>
    <mergeCell ref="F26:G26"/>
    <mergeCell ref="F27:G27"/>
  </mergeCells>
  <printOptions horizontalCentered="1"/>
  <pageMargins left="0.59055118110236204" right="0.23622047244094499" top="0.511811023622047" bottom="0.23622047244094499" header="0.23622047244094499" footer="0.23622047244094499"/>
  <pageSetup paperSize="9" scale="89" orientation="portrait" horizontalDpi="4294967294" r:id="rId1"/>
  <headerFooter>
    <oddHeader>&amp;R&amp;8FV.LP 115-19 / REV : 0</oddHeader>
    <oddFooter>&amp;R&amp;"-,Bold"&amp;K01+034Mikro Var 3.7.2023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B06A510-C530-429A-A447-B5C40227948C}">
            <x14:iconSet custom="1">
              <x14:cfvo type="percent">
                <xm:f>0</xm:f>
              </x14:cfvo>
              <x14:cfvo type="num">
                <xm:f>70</xm:f>
              </x14:cfvo>
              <x14:cfvo type="num" gte="0">
                <xm:f>70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L51</xm:sqref>
        </x14:conditionalFormatting>
        <x14:conditionalFormatting xmlns:xm="http://schemas.microsoft.com/office/excel/2006/main">
          <x14:cfRule type="iconSet" priority="3" id="{04C24A1E-0D61-4672-9A46-A26DDDAEB627}">
            <x14:iconSet custom="1">
              <x14:cfvo type="percent">
                <xm:f>0</xm:f>
              </x14:cfvo>
              <x14:cfvo type="num">
                <xm:f>5</xm:f>
              </x14:cfvo>
              <x14:cfvo type="num">
                <xm:f>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N22:N23</xm:sqref>
        </x14:conditionalFormatting>
        <x14:conditionalFormatting xmlns:xm="http://schemas.microsoft.com/office/excel/2006/main">
          <x14:cfRule type="iconSet" priority="2" id="{57E3E9AC-5CF4-441A-87AB-74E0FDBE4377}">
            <x14:iconSet custom="1">
              <x14:cfvo type="percent">
                <xm:f>0</xm:f>
              </x14:cfvo>
              <x14:cfvo type="num">
                <xm:f>6.25</xm:f>
              </x14:cfvo>
              <x14:cfvo type="num">
                <xm:f>6.25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Q27:Q29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Q76"/>
  <sheetViews>
    <sheetView showGridLines="0" view="pageBreakPreview" zoomScaleNormal="100" zoomScaleSheetLayoutView="100" workbookViewId="0">
      <selection activeCell="G19" sqref="G19"/>
    </sheetView>
  </sheetViews>
  <sheetFormatPr defaultColWidth="9.109375" defaultRowHeight="15" x14ac:dyDescent="0.25"/>
  <cols>
    <col min="1" max="1" width="4.33203125" style="66" customWidth="1"/>
    <col min="2" max="2" width="5.6640625" style="66" customWidth="1"/>
    <col min="3" max="3" width="15.6640625" style="66" customWidth="1"/>
    <col min="4" max="4" width="4.44140625" style="66" customWidth="1"/>
    <col min="5" max="5" width="7.109375" style="66" customWidth="1"/>
    <col min="6" max="6" width="8.5546875" style="66" customWidth="1"/>
    <col min="7" max="7" width="6.6640625" style="66" customWidth="1"/>
    <col min="8" max="9" width="6" style="66" customWidth="1"/>
    <col min="10" max="10" width="7.44140625" style="66" customWidth="1"/>
    <col min="11" max="12" width="10.6640625" style="66" customWidth="1"/>
    <col min="13" max="13" width="13" style="66" customWidth="1"/>
    <col min="14" max="16384" width="9.109375" style="66"/>
  </cols>
  <sheetData>
    <row r="1" spans="1:13" ht="17.399999999999999" x14ac:dyDescent="0.25">
      <c r="A1" s="725" t="str">
        <f>Penyelia!A1</f>
        <v>Hasil Kalibrasi Mikropipet Variabel</v>
      </c>
      <c r="B1" s="725"/>
      <c r="C1" s="725"/>
      <c r="D1" s="725"/>
      <c r="E1" s="725"/>
      <c r="F1" s="725"/>
      <c r="G1" s="725"/>
      <c r="H1" s="725"/>
      <c r="I1" s="725"/>
      <c r="J1" s="725"/>
      <c r="K1" s="725"/>
      <c r="L1" s="725"/>
      <c r="M1" s="725"/>
    </row>
    <row r="2" spans="1:13" ht="16.8" x14ac:dyDescent="0.25">
      <c r="A2" s="726" t="str">
        <f>Penyelia!A2</f>
        <v>Nomor Sertifikat : 36 / 1 / VII - 23 / E - 007 Dt</v>
      </c>
      <c r="B2" s="726"/>
      <c r="C2" s="726"/>
      <c r="D2" s="726"/>
      <c r="E2" s="726"/>
      <c r="F2" s="726"/>
      <c r="G2" s="726"/>
      <c r="H2" s="726"/>
      <c r="I2" s="726"/>
      <c r="J2" s="726"/>
      <c r="K2" s="726"/>
      <c r="L2" s="726"/>
      <c r="M2" s="726"/>
    </row>
    <row r="3" spans="1:13" ht="15.6" x14ac:dyDescent="0.25">
      <c r="A3" s="108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</row>
    <row r="5" spans="1:13" x14ac:dyDescent="0.25">
      <c r="A5" s="66" t="str">
        <f>Penyelia!A5</f>
        <v>Merek</v>
      </c>
      <c r="D5" s="82" t="str">
        <f>Penyelia!D5</f>
        <v>:</v>
      </c>
      <c r="E5" s="735" t="str">
        <f>Penyelia!E5</f>
        <v>SOCOREX</v>
      </c>
      <c r="F5" s="735"/>
      <c r="G5" s="735"/>
      <c r="H5" s="735"/>
      <c r="I5" s="735"/>
    </row>
    <row r="6" spans="1:13" x14ac:dyDescent="0.25">
      <c r="A6" s="66" t="str">
        <f>Penyelia!A6</f>
        <v>Model/Tipe</v>
      </c>
      <c r="D6" s="82" t="str">
        <f>Penyelia!D6</f>
        <v>:</v>
      </c>
      <c r="E6" s="735" t="str">
        <f>Penyelia!E6</f>
        <v>ACURA 815</v>
      </c>
      <c r="F6" s="735"/>
      <c r="G6" s="735"/>
      <c r="H6" s="735"/>
      <c r="I6" s="735"/>
    </row>
    <row r="7" spans="1:13" x14ac:dyDescent="0.25">
      <c r="A7" s="66" t="str">
        <f>Penyelia!A7</f>
        <v>No. Seri</v>
      </c>
      <c r="D7" s="82" t="str">
        <f>Penyelia!D7</f>
        <v>:</v>
      </c>
      <c r="E7" s="735" t="str">
        <f>Penyelia!E7</f>
        <v>18071332</v>
      </c>
      <c r="F7" s="735"/>
      <c r="G7" s="735"/>
      <c r="H7" s="735"/>
    </row>
    <row r="8" spans="1:13" x14ac:dyDescent="0.25">
      <c r="A8" s="66" t="str">
        <f>Penyelia!A8</f>
        <v>Kapasitas</v>
      </c>
      <c r="D8" s="82" t="str">
        <f>Penyelia!D8</f>
        <v>:</v>
      </c>
      <c r="E8" s="749" t="str">
        <f>Penyelia!E8</f>
        <v>10 - 100 µl</v>
      </c>
      <c r="F8" s="749"/>
      <c r="G8" s="749"/>
      <c r="H8" s="749"/>
    </row>
    <row r="9" spans="1:13" x14ac:dyDescent="0.25">
      <c r="A9" s="66" t="str">
        <f>Penyelia!A9</f>
        <v>Tanggal Penerimaan Alat</v>
      </c>
      <c r="D9" s="82" t="str">
        <f>Penyelia!D9</f>
        <v>:</v>
      </c>
      <c r="E9" s="224" t="str">
        <f>Penyelia!E9</f>
        <v>10 November 2016</v>
      </c>
      <c r="F9" s="224"/>
      <c r="G9" s="224"/>
      <c r="H9" s="224"/>
    </row>
    <row r="10" spans="1:13" x14ac:dyDescent="0.25">
      <c r="A10" s="66" t="str">
        <f>Penyelia!A10</f>
        <v>Tanggal Kalibrasi</v>
      </c>
      <c r="D10" s="82" t="str">
        <f>Penyelia!D10</f>
        <v>:</v>
      </c>
      <c r="E10" s="735" t="str">
        <f>Penyelia!E10</f>
        <v>10 November 2016</v>
      </c>
      <c r="F10" s="735"/>
      <c r="G10" s="735"/>
      <c r="H10" s="735"/>
    </row>
    <row r="11" spans="1:13" x14ac:dyDescent="0.25">
      <c r="A11" s="66" t="str">
        <f>Penyelia!A11</f>
        <v>Tempat Kalibrasi</v>
      </c>
      <c r="D11" s="82" t="str">
        <f>Penyelia!D11</f>
        <v>:</v>
      </c>
      <c r="E11" s="97" t="str">
        <f>Penyelia!E11</f>
        <v>Laboratorium Kalibrasi LPFK Banjarbaru</v>
      </c>
      <c r="F11" s="97"/>
      <c r="G11" s="97"/>
      <c r="H11" s="97"/>
      <c r="I11" s="112"/>
      <c r="J11" s="112"/>
    </row>
    <row r="12" spans="1:13" x14ac:dyDescent="0.25">
      <c r="A12" s="66" t="str">
        <f>Penyelia!A12</f>
        <v>Nama Ruang</v>
      </c>
      <c r="D12" s="82" t="str">
        <f>Penyelia!D12</f>
        <v>:</v>
      </c>
      <c r="E12" s="97" t="str">
        <f>Penyelia!E12</f>
        <v>Laboratorium</v>
      </c>
      <c r="F12" s="97"/>
      <c r="G12" s="97"/>
      <c r="H12" s="97"/>
      <c r="I12" s="112"/>
      <c r="J12" s="112"/>
    </row>
    <row r="13" spans="1:13" x14ac:dyDescent="0.25">
      <c r="A13" s="66" t="str">
        <f>Penyelia!A13</f>
        <v>Metode Kerja</v>
      </c>
      <c r="D13" s="82" t="str">
        <f>Penyelia!D13</f>
        <v>:</v>
      </c>
      <c r="E13" s="735" t="str">
        <f>Penyelia!E13</f>
        <v>MK. 115 - 2019</v>
      </c>
      <c r="F13" s="735"/>
    </row>
    <row r="14" spans="1:13" x14ac:dyDescent="0.25">
      <c r="D14" s="82"/>
    </row>
    <row r="15" spans="1:13" ht="15.6" x14ac:dyDescent="0.3">
      <c r="A15" s="80" t="str">
        <f>Penyelia!A15</f>
        <v>I.</v>
      </c>
      <c r="B15" s="80" t="str">
        <f>Penyelia!B15</f>
        <v>Kondisi Ruang</v>
      </c>
      <c r="D15" s="82"/>
      <c r="F15" s="85"/>
    </row>
    <row r="16" spans="1:13" ht="15.6" x14ac:dyDescent="0.3">
      <c r="A16" s="80"/>
      <c r="B16" s="66" t="str">
        <f>Penyelia!B16</f>
        <v>Suhu ruang</v>
      </c>
      <c r="D16" s="82" t="str">
        <f>Penyelia!D16</f>
        <v>:</v>
      </c>
      <c r="E16" s="658" t="str">
        <f>Penyelia!E16</f>
        <v>21.0</v>
      </c>
      <c r="F16" s="658" t="str">
        <f>Penyelia!F16</f>
        <v xml:space="preserve"> ± </v>
      </c>
      <c r="G16" s="658" t="str">
        <f>Penyelia!G16</f>
        <v>0.2</v>
      </c>
      <c r="H16" s="109" t="str">
        <f>Penyelia!H16</f>
        <v xml:space="preserve"> °C</v>
      </c>
    </row>
    <row r="17" spans="1:17" ht="15.6" x14ac:dyDescent="0.3">
      <c r="A17" s="80"/>
      <c r="B17" s="66" t="str">
        <f>Penyelia!B17</f>
        <v>Kelembaban</v>
      </c>
      <c r="D17" s="82" t="str">
        <f>Penyelia!D17</f>
        <v>:</v>
      </c>
      <c r="E17" s="658" t="str">
        <f>Penyelia!E17</f>
        <v>63.0</v>
      </c>
      <c r="F17" s="658" t="str">
        <f>Penyelia!F17</f>
        <v xml:space="preserve"> ± </v>
      </c>
      <c r="G17" s="658" t="str">
        <f>Penyelia!G17</f>
        <v>2.4</v>
      </c>
      <c r="H17" s="109" t="str">
        <f>Penyelia!H17</f>
        <v xml:space="preserve"> %RH</v>
      </c>
    </row>
    <row r="18" spans="1:17" ht="15.6" x14ac:dyDescent="0.3">
      <c r="A18" s="80"/>
      <c r="B18" s="66" t="str">
        <f>Penyelia!B18</f>
        <v>Tekanan udara</v>
      </c>
      <c r="D18" s="82" t="str">
        <f>Penyelia!D18</f>
        <v>:</v>
      </c>
      <c r="E18" s="658" t="str">
        <f>Penyelia!E18</f>
        <v>1000.1</v>
      </c>
      <c r="F18" s="658" t="str">
        <f>Penyelia!F18</f>
        <v xml:space="preserve"> ± </v>
      </c>
      <c r="G18" s="658" t="str">
        <f>Penyelia!G18</f>
        <v>2.4</v>
      </c>
      <c r="H18" s="109" t="str">
        <f>Penyelia!H18</f>
        <v xml:space="preserve"> hPa</v>
      </c>
    </row>
    <row r="19" spans="1:17" ht="18.600000000000001" x14ac:dyDescent="0.4">
      <c r="A19" s="80"/>
      <c r="B19" s="66" t="s">
        <v>22</v>
      </c>
      <c r="D19" s="82" t="str">
        <f>Penyelia!D19</f>
        <v>:</v>
      </c>
      <c r="E19" s="660" t="str">
        <f>Penyelia!E19</f>
        <v>21.8</v>
      </c>
      <c r="F19" s="660" t="str">
        <f>Penyelia!F19</f>
        <v xml:space="preserve"> ± </v>
      </c>
      <c r="G19" s="660" t="str">
        <f>Penyelia!G19</f>
        <v>0.2</v>
      </c>
      <c r="H19" s="110" t="str">
        <f>Penyelia!H19</f>
        <v xml:space="preserve"> °C</v>
      </c>
    </row>
    <row r="20" spans="1:17" ht="15.6" x14ac:dyDescent="0.3">
      <c r="A20" s="80"/>
      <c r="D20" s="82"/>
      <c r="E20" s="110"/>
      <c r="F20" s="660"/>
    </row>
    <row r="21" spans="1:17" ht="15.6" x14ac:dyDescent="0.3">
      <c r="A21" s="80" t="str">
        <f>Penyelia!A21</f>
        <v>II.</v>
      </c>
      <c r="B21" s="80" t="str">
        <f>Penyelia!B21</f>
        <v>Pemeriksaan Kondisi Fisik dan Fungsi Alat</v>
      </c>
      <c r="D21" s="82"/>
      <c r="E21" s="110"/>
      <c r="F21" s="113"/>
    </row>
    <row r="22" spans="1:17" ht="15.6" x14ac:dyDescent="0.3">
      <c r="A22" s="80"/>
      <c r="B22" s="66" t="str">
        <f>Penyelia!B22</f>
        <v>1. Fisik</v>
      </c>
      <c r="D22" s="82" t="s">
        <v>3</v>
      </c>
      <c r="E22" s="110" t="str">
        <f>Penyelia!E22</f>
        <v>Baik</v>
      </c>
      <c r="F22" s="113"/>
    </row>
    <row r="23" spans="1:17" ht="15.6" x14ac:dyDescent="0.3">
      <c r="A23" s="80"/>
      <c r="B23" s="66" t="str">
        <f>Penyelia!B23</f>
        <v>2. Fungsi</v>
      </c>
      <c r="D23" s="82" t="s">
        <v>3</v>
      </c>
      <c r="E23" s="110" t="str">
        <f>Penyelia!E23</f>
        <v>Baik</v>
      </c>
      <c r="F23" s="113"/>
    </row>
    <row r="24" spans="1:17" ht="15.6" x14ac:dyDescent="0.3">
      <c r="A24" s="80"/>
      <c r="B24" s="80"/>
    </row>
    <row r="25" spans="1:17" ht="15.6" x14ac:dyDescent="0.3">
      <c r="A25" s="80" t="str">
        <f>Penyelia!A25</f>
        <v>III.</v>
      </c>
      <c r="B25" s="80" t="str">
        <f>Penyelia!B25</f>
        <v>Pengujian Kinerja</v>
      </c>
    </row>
    <row r="26" spans="1:17" ht="41.4" customHeight="1" x14ac:dyDescent="0.3">
      <c r="A26" s="80"/>
      <c r="B26" s="206" t="str">
        <f>Penyelia!B26</f>
        <v>No.</v>
      </c>
      <c r="C26" s="206" t="str">
        <f>Penyelia!C26</f>
        <v>Parameter</v>
      </c>
      <c r="D26" s="667" t="str">
        <f>Penyelia!D26</f>
        <v>Setting Alat</v>
      </c>
      <c r="E26" s="667"/>
      <c r="F26" s="667" t="str">
        <f>Penyelia!F26</f>
        <v>Pembacaan standar</v>
      </c>
      <c r="G26" s="667"/>
      <c r="H26" s="667" t="s">
        <v>142</v>
      </c>
      <c r="I26" s="667"/>
      <c r="J26" s="667" t="str">
        <f>Penyelia!J26</f>
        <v>Ketidakpastian pengukuran</v>
      </c>
      <c r="K26" s="667"/>
    </row>
    <row r="27" spans="1:17" ht="42.75" customHeight="1" x14ac:dyDescent="0.3">
      <c r="A27" s="80"/>
      <c r="B27" s="501">
        <f>Penyelia!B27</f>
        <v>1</v>
      </c>
      <c r="C27" s="750" t="str">
        <f>Penyelia!C27</f>
        <v>Volume (µl)</v>
      </c>
      <c r="D27" s="747">
        <f>Penyelia!D27</f>
        <v>10</v>
      </c>
      <c r="E27" s="747"/>
      <c r="F27" s="748">
        <f>Penyelia!F27</f>
        <v>10.015144700481333</v>
      </c>
      <c r="G27" s="748"/>
      <c r="H27" s="738">
        <f>Penyelia!H27</f>
        <v>1.5144700481332762E-2</v>
      </c>
      <c r="I27" s="738"/>
      <c r="J27" s="516" t="str">
        <f>Penyelia!J27</f>
        <v>±</v>
      </c>
      <c r="K27" s="517" t="str">
        <f>Penyelia!K27</f>
        <v>0.18</v>
      </c>
    </row>
    <row r="28" spans="1:17" ht="42.75" customHeight="1" x14ac:dyDescent="0.3">
      <c r="A28" s="80"/>
      <c r="B28" s="504">
        <v>2</v>
      </c>
      <c r="C28" s="751"/>
      <c r="D28" s="753">
        <f>Penyelia!D28</f>
        <v>50</v>
      </c>
      <c r="E28" s="753"/>
      <c r="F28" s="755">
        <f>Penyelia!F28</f>
        <v>50.00554881497483</v>
      </c>
      <c r="G28" s="755"/>
      <c r="H28" s="745">
        <f>Penyelia!H28</f>
        <v>5.548814974829952E-3</v>
      </c>
      <c r="I28" s="745"/>
      <c r="J28" s="518" t="str">
        <f>Penyelia!J28</f>
        <v>±</v>
      </c>
      <c r="K28" s="519" t="str">
        <f>Penyelia!K28</f>
        <v>0.18</v>
      </c>
      <c r="L28" s="515"/>
      <c r="M28" s="514"/>
      <c r="P28" s="114"/>
      <c r="Q28" s="114"/>
    </row>
    <row r="29" spans="1:17" ht="42.75" customHeight="1" x14ac:dyDescent="0.3">
      <c r="A29" s="80"/>
      <c r="B29" s="508">
        <v>3</v>
      </c>
      <c r="C29" s="752"/>
      <c r="D29" s="754">
        <f>Penyelia!D29</f>
        <v>100</v>
      </c>
      <c r="E29" s="754"/>
      <c r="F29" s="756">
        <f>Penyelia!F29</f>
        <v>100.00107245977827</v>
      </c>
      <c r="G29" s="756"/>
      <c r="H29" s="746">
        <f>Penyelia!H29</f>
        <v>1.0724597782711953E-3</v>
      </c>
      <c r="I29" s="746"/>
      <c r="J29" s="520" t="str">
        <f>Penyelia!J29</f>
        <v>±</v>
      </c>
      <c r="K29" s="521" t="str">
        <f>Penyelia!K29</f>
        <v>0.18</v>
      </c>
      <c r="L29" s="515"/>
      <c r="M29" s="514"/>
    </row>
    <row r="30" spans="1:17" ht="15.6" x14ac:dyDescent="0.3">
      <c r="A30" s="80"/>
    </row>
    <row r="31" spans="1:17" ht="15.6" x14ac:dyDescent="0.3">
      <c r="A31" s="212" t="str">
        <f>Penyelia!A31</f>
        <v>IV.</v>
      </c>
      <c r="B31" s="212" t="str">
        <f>Penyelia!B31</f>
        <v>Keterangan</v>
      </c>
      <c r="C31" s="213"/>
      <c r="D31" s="213"/>
      <c r="E31" s="213"/>
      <c r="F31" s="213"/>
      <c r="G31" s="213"/>
      <c r="H31" s="213"/>
      <c r="I31" s="213"/>
      <c r="J31" s="213"/>
      <c r="K31" s="213"/>
      <c r="L31" s="213"/>
    </row>
    <row r="32" spans="1:17" ht="15.6" x14ac:dyDescent="0.3">
      <c r="A32" s="212"/>
      <c r="B32" s="213" t="str">
        <f>Penyelia!B32</f>
        <v>Ketidakpastian pengukuran dilaporkan pada tingkat kepercayaan 95% dengan faktor cakupan k = 2</v>
      </c>
      <c r="C32" s="213"/>
      <c r="D32" s="213"/>
      <c r="E32" s="213"/>
      <c r="F32" s="213"/>
      <c r="G32" s="213"/>
      <c r="H32" s="213"/>
      <c r="I32" s="213"/>
      <c r="J32" s="213"/>
      <c r="K32" s="213"/>
      <c r="L32" s="213"/>
    </row>
    <row r="33" spans="1:12" ht="15.6" x14ac:dyDescent="0.3">
      <c r="A33" s="212"/>
      <c r="B33" s="213" t="str">
        <f>Penyelia!B33</f>
        <v>Hasil kalibrasi pippette calibration balance tertelusur ke Satuan Internasional ( SI ) melalui SNSU-BSN</v>
      </c>
      <c r="C33" s="213"/>
      <c r="D33" s="213"/>
      <c r="E33" s="213"/>
      <c r="F33" s="213"/>
      <c r="G33" s="213"/>
      <c r="H33" s="213"/>
      <c r="I33" s="213"/>
      <c r="J33" s="213"/>
      <c r="K33" s="213"/>
      <c r="L33" s="213"/>
    </row>
    <row r="34" spans="1:12" ht="15.6" x14ac:dyDescent="0.3">
      <c r="A34" s="212"/>
      <c r="B34" s="213" t="str">
        <f>Penyelia!B34</f>
        <v/>
      </c>
      <c r="C34" s="213"/>
      <c r="D34" s="213"/>
      <c r="E34" s="213"/>
      <c r="F34" s="213"/>
      <c r="G34" s="213"/>
      <c r="H34" s="213"/>
      <c r="I34" s="213"/>
      <c r="J34" s="213"/>
      <c r="K34" s="213"/>
      <c r="L34" s="213"/>
    </row>
    <row r="35" spans="1:12" ht="15.6" x14ac:dyDescent="0.3">
      <c r="A35" s="212"/>
      <c r="B35" s="213"/>
      <c r="C35" s="213"/>
      <c r="D35" s="213"/>
      <c r="E35" s="213"/>
      <c r="F35" s="213"/>
      <c r="G35" s="213"/>
      <c r="H35" s="213"/>
      <c r="I35" s="213"/>
      <c r="J35" s="213"/>
      <c r="K35" s="213"/>
      <c r="L35" s="213"/>
    </row>
    <row r="36" spans="1:12" ht="15.6" x14ac:dyDescent="0.3">
      <c r="A36" s="212" t="str">
        <f>Penyelia!A36</f>
        <v>V.</v>
      </c>
      <c r="B36" s="212" t="str">
        <f>Penyelia!B36</f>
        <v>Alat Yang Digunakan</v>
      </c>
      <c r="C36" s="213"/>
      <c r="D36" s="213"/>
      <c r="E36" s="213"/>
      <c r="F36" s="213"/>
      <c r="G36" s="213"/>
      <c r="H36" s="213"/>
      <c r="I36" s="213"/>
      <c r="J36" s="213"/>
      <c r="K36" s="213"/>
      <c r="L36" s="213"/>
    </row>
    <row r="37" spans="1:12" ht="15.6" x14ac:dyDescent="0.3">
      <c r="A37" s="212"/>
      <c r="B37" s="214" t="str">
        <f>Penyelia!B37</f>
        <v>Pippette Callibration Balance, Merek : Sartorius, Tipe : MSA 225S-100-DU, SN : 36301077</v>
      </c>
      <c r="C37" s="213"/>
      <c r="D37" s="213"/>
      <c r="E37" s="213"/>
      <c r="F37" s="213"/>
      <c r="G37" s="213"/>
      <c r="H37" s="213"/>
      <c r="I37" s="213"/>
      <c r="J37" s="213"/>
      <c r="K37" s="213"/>
      <c r="L37" s="213"/>
    </row>
    <row r="38" spans="1:12" ht="15.6" x14ac:dyDescent="0.3">
      <c r="A38" s="212"/>
      <c r="B38" s="214" t="str">
        <f>Penyelia!B38</f>
        <v>Thermohygrolight, Merek : Greisinger, Model : GFTB 200, SN : 34903053</v>
      </c>
      <c r="C38" s="213"/>
      <c r="D38" s="213"/>
      <c r="E38" s="213"/>
      <c r="F38" s="213"/>
      <c r="G38" s="213"/>
      <c r="H38" s="213"/>
      <c r="I38" s="213"/>
      <c r="J38" s="213"/>
      <c r="K38" s="213"/>
      <c r="L38" s="213"/>
    </row>
    <row r="39" spans="1:12" ht="15.6" x14ac:dyDescent="0.3">
      <c r="A39" s="212"/>
      <c r="B39" s="214" t="str">
        <f>Penyelia!B39</f>
        <v>Digital Thermometer, Merek : Greisinger, Tipe : GMH 5530, SN : 33700052</v>
      </c>
      <c r="C39" s="213"/>
      <c r="D39" s="213"/>
      <c r="E39" s="213"/>
      <c r="F39" s="213"/>
      <c r="G39" s="213"/>
      <c r="H39" s="213"/>
      <c r="I39" s="213"/>
      <c r="J39" s="213"/>
      <c r="K39" s="213"/>
      <c r="L39" s="213"/>
    </row>
    <row r="40" spans="1:12" ht="15.6" x14ac:dyDescent="0.3">
      <c r="A40" s="212"/>
      <c r="B40" s="214"/>
      <c r="C40" s="213"/>
      <c r="D40" s="213"/>
      <c r="E40" s="213"/>
      <c r="F40" s="213"/>
      <c r="G40" s="213"/>
      <c r="H40" s="213"/>
      <c r="I40" s="213"/>
      <c r="J40" s="213"/>
      <c r="K40" s="213"/>
      <c r="L40" s="213"/>
    </row>
    <row r="41" spans="1:12" ht="15.6" hidden="1" x14ac:dyDescent="0.3">
      <c r="A41" s="212" t="str">
        <f>Penyelia!A41</f>
        <v>VI.</v>
      </c>
      <c r="B41" s="212" t="str">
        <f>Penyelia!B41</f>
        <v>Kesimpulan</v>
      </c>
      <c r="C41" s="213"/>
      <c r="D41" s="213"/>
      <c r="E41" s="213"/>
      <c r="F41" s="213"/>
      <c r="G41" s="213"/>
      <c r="H41" s="213"/>
      <c r="I41" s="213"/>
      <c r="J41" s="213"/>
      <c r="K41" s="213"/>
      <c r="L41" s="213"/>
    </row>
    <row r="42" spans="1:12" ht="15.6" hidden="1" x14ac:dyDescent="0.3">
      <c r="A42" s="212"/>
      <c r="B42" s="688" t="str">
        <f>Penyelia!B42</f>
        <v/>
      </c>
      <c r="C42" s="688"/>
      <c r="D42" s="688"/>
      <c r="E42" s="688"/>
      <c r="F42" s="688"/>
      <c r="G42" s="688"/>
      <c r="H42" s="688"/>
      <c r="I42" s="688"/>
      <c r="J42" s="688"/>
      <c r="K42" s="688"/>
      <c r="L42" s="688"/>
    </row>
    <row r="43" spans="1:12" ht="15.6" hidden="1" x14ac:dyDescent="0.3">
      <c r="A43" s="212"/>
      <c r="B43" s="688"/>
      <c r="C43" s="688"/>
      <c r="D43" s="688"/>
      <c r="E43" s="688"/>
      <c r="F43" s="688"/>
      <c r="G43" s="688"/>
      <c r="H43" s="688"/>
      <c r="I43" s="688"/>
      <c r="J43" s="688"/>
      <c r="K43" s="688"/>
      <c r="L43" s="688"/>
    </row>
    <row r="44" spans="1:12" ht="15.6" hidden="1" x14ac:dyDescent="0.3">
      <c r="A44" s="212"/>
      <c r="B44" s="459"/>
      <c r="C44" s="459"/>
      <c r="D44" s="459"/>
      <c r="E44" s="459"/>
      <c r="F44" s="459"/>
      <c r="G44" s="459"/>
      <c r="H44" s="459"/>
      <c r="I44" s="459"/>
      <c r="J44" s="459"/>
      <c r="K44" s="459"/>
      <c r="L44" s="459"/>
    </row>
    <row r="45" spans="1:12" ht="15.6" x14ac:dyDescent="0.3">
      <c r="A45" s="212" t="str">
        <f>Penyelia!A45</f>
        <v>VI.</v>
      </c>
      <c r="B45" s="212" t="str">
        <f>Penyelia!B45</f>
        <v>Petugas Kalibrasi</v>
      </c>
      <c r="C45" s="213"/>
      <c r="D45" s="213"/>
      <c r="E45" s="213"/>
      <c r="F45" s="213"/>
      <c r="G45" s="213"/>
      <c r="H45" s="213"/>
      <c r="I45" s="213"/>
      <c r="J45" s="213"/>
      <c r="K45" s="213"/>
      <c r="L45" s="213"/>
    </row>
    <row r="46" spans="1:12" ht="15.6" x14ac:dyDescent="0.3">
      <c r="A46" s="212"/>
      <c r="B46" s="213" t="str">
        <f>Penyelia!B46</f>
        <v>Donny Martha</v>
      </c>
      <c r="C46" s="213"/>
      <c r="D46" s="213"/>
      <c r="E46" s="213"/>
      <c r="F46" s="213"/>
      <c r="G46" s="213"/>
      <c r="H46" s="213"/>
      <c r="I46" s="213"/>
      <c r="J46" s="213"/>
      <c r="K46" s="213"/>
      <c r="L46" s="213"/>
    </row>
    <row r="47" spans="1:12" ht="15.6" x14ac:dyDescent="0.3">
      <c r="A47" s="212"/>
      <c r="B47" s="213"/>
      <c r="C47" s="213"/>
      <c r="D47" s="213"/>
      <c r="E47" s="213"/>
      <c r="F47" s="213"/>
      <c r="G47" s="213"/>
      <c r="H47" s="213"/>
      <c r="I47" s="213"/>
      <c r="J47" s="213"/>
      <c r="K47" s="213"/>
      <c r="L47" s="213"/>
    </row>
    <row r="48" spans="1:12" ht="15.6" x14ac:dyDescent="0.3">
      <c r="A48" s="212"/>
      <c r="B48" s="213"/>
      <c r="C48" s="213"/>
      <c r="D48" s="213"/>
      <c r="E48" s="213"/>
      <c r="F48" s="213"/>
      <c r="G48" s="213"/>
      <c r="H48" s="213"/>
      <c r="I48" s="213"/>
      <c r="J48" s="215" t="s">
        <v>205</v>
      </c>
      <c r="K48" s="216"/>
      <c r="L48" s="217"/>
    </row>
    <row r="49" spans="1:13" ht="15.6" x14ac:dyDescent="0.3">
      <c r="A49" s="212"/>
      <c r="B49" s="213"/>
      <c r="C49" s="213"/>
      <c r="D49" s="213"/>
      <c r="E49" s="213"/>
      <c r="F49" s="213"/>
      <c r="G49" s="213"/>
      <c r="H49" s="213"/>
      <c r="I49" s="213"/>
      <c r="J49" s="215" t="str">
        <f>IF(J55=A69,A71,A73)</f>
        <v>Kepala Instalasi Laboratorium</v>
      </c>
      <c r="K49" s="215"/>
      <c r="L49" s="215"/>
    </row>
    <row r="50" spans="1:13" ht="15.6" x14ac:dyDescent="0.3">
      <c r="A50" s="212"/>
      <c r="B50" s="213"/>
      <c r="C50" s="213"/>
      <c r="D50" s="213"/>
      <c r="E50" s="213"/>
      <c r="F50" s="213"/>
      <c r="G50" s="213"/>
      <c r="H50" s="213"/>
      <c r="I50" s="213"/>
      <c r="J50" s="218" t="str">
        <f>IF(J55=A69,A72,A74)</f>
        <v>Pengujian dan Kalibrasi</v>
      </c>
      <c r="K50" s="216"/>
      <c r="L50" s="216"/>
    </row>
    <row r="51" spans="1:13" ht="15.6" x14ac:dyDescent="0.3">
      <c r="A51" s="212"/>
      <c r="B51" s="213"/>
      <c r="C51" s="213"/>
      <c r="D51" s="213"/>
      <c r="E51" s="213"/>
      <c r="F51" s="213"/>
      <c r="G51" s="213"/>
      <c r="H51" s="213"/>
      <c r="I51" s="213"/>
      <c r="J51" s="218"/>
      <c r="K51" s="216"/>
      <c r="L51" s="216"/>
    </row>
    <row r="52" spans="1:13" ht="15.6" x14ac:dyDescent="0.3">
      <c r="A52" s="212"/>
      <c r="B52" s="213"/>
      <c r="C52" s="213"/>
      <c r="D52" s="213"/>
      <c r="E52" s="213"/>
      <c r="F52" s="213"/>
      <c r="G52" s="213"/>
      <c r="H52" s="213"/>
      <c r="I52" s="213"/>
      <c r="J52" s="218"/>
      <c r="K52" s="216"/>
      <c r="L52" s="216"/>
    </row>
    <row r="53" spans="1:13" ht="15.6" x14ac:dyDescent="0.3">
      <c r="A53" s="212"/>
      <c r="B53" s="213"/>
      <c r="C53" s="213"/>
      <c r="D53" s="213"/>
      <c r="E53" s="213"/>
      <c r="F53" s="213"/>
      <c r="G53" s="213"/>
      <c r="H53" s="213"/>
      <c r="I53" s="213"/>
      <c r="J53" s="218"/>
      <c r="K53" s="216"/>
      <c r="L53" s="216"/>
    </row>
    <row r="54" spans="1:13" ht="15.6" x14ac:dyDescent="0.3">
      <c r="A54" s="212"/>
      <c r="B54" s="213"/>
      <c r="C54" s="213"/>
      <c r="D54" s="213"/>
      <c r="E54" s="213"/>
      <c r="F54" s="213"/>
      <c r="G54" s="213"/>
      <c r="H54" s="213"/>
      <c r="I54" s="213"/>
      <c r="J54" s="218"/>
      <c r="K54" s="216"/>
      <c r="L54" s="219"/>
    </row>
    <row r="55" spans="1:13" ht="15.6" x14ac:dyDescent="0.3">
      <c r="A55" s="212"/>
      <c r="B55" s="213"/>
      <c r="C55" s="213"/>
      <c r="D55" s="213"/>
      <c r="E55" s="213"/>
      <c r="F55" s="213"/>
      <c r="G55" s="213"/>
      <c r="H55" s="213"/>
      <c r="I55" s="213"/>
      <c r="J55" s="220" t="s">
        <v>206</v>
      </c>
      <c r="K55" s="216"/>
      <c r="L55" s="219"/>
    </row>
    <row r="56" spans="1:13" ht="15.6" x14ac:dyDescent="0.3">
      <c r="A56" s="212"/>
      <c r="B56" s="213"/>
      <c r="C56" s="213"/>
      <c r="D56" s="213"/>
      <c r="E56" s="213"/>
      <c r="F56" s="213"/>
      <c r="G56" s="213"/>
      <c r="H56" s="213"/>
      <c r="I56" s="213"/>
      <c r="J56" s="215" t="str">
        <f>VLOOKUP(J55,A68:B69,2,0)</f>
        <v>NIP 198008062010121001</v>
      </c>
      <c r="K56" s="216"/>
      <c r="L56" s="219"/>
    </row>
    <row r="57" spans="1:13" ht="15.6" x14ac:dyDescent="0.3">
      <c r="A57" s="212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</row>
    <row r="58" spans="1:13" ht="15.6" x14ac:dyDescent="0.3">
      <c r="A58" s="212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</row>
    <row r="59" spans="1:13" ht="15.6" x14ac:dyDescent="0.3">
      <c r="A59" s="212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</row>
    <row r="60" spans="1:13" ht="13.5" customHeight="1" x14ac:dyDescent="0.3">
      <c r="A60" s="212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21"/>
    </row>
    <row r="61" spans="1:13" ht="15.6" x14ac:dyDescent="0.3">
      <c r="A61" s="212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M61" s="221" t="s">
        <v>207</v>
      </c>
    </row>
    <row r="62" spans="1:13" ht="15.6" x14ac:dyDescent="0.3">
      <c r="A62" s="80"/>
    </row>
    <row r="63" spans="1:13" ht="15.6" x14ac:dyDescent="0.3">
      <c r="A63" s="80"/>
    </row>
    <row r="64" spans="1:13" ht="15.6" x14ac:dyDescent="0.3">
      <c r="A64" s="80"/>
    </row>
    <row r="65" spans="1:3" ht="15.6" x14ac:dyDescent="0.3">
      <c r="A65" s="80"/>
    </row>
    <row r="66" spans="1:3" ht="15.6" x14ac:dyDescent="0.3">
      <c r="A66" s="80"/>
    </row>
    <row r="67" spans="1:3" ht="15.6" x14ac:dyDescent="0.3">
      <c r="A67" s="80"/>
    </row>
    <row r="68" spans="1:3" x14ac:dyDescent="0.25">
      <c r="A68" s="207" t="s">
        <v>60</v>
      </c>
      <c r="B68" s="208" t="s">
        <v>208</v>
      </c>
      <c r="C68" s="196"/>
    </row>
    <row r="69" spans="1:3" x14ac:dyDescent="0.25">
      <c r="A69" s="209" t="s">
        <v>206</v>
      </c>
      <c r="B69" s="208" t="s">
        <v>209</v>
      </c>
      <c r="C69" s="196"/>
    </row>
    <row r="70" spans="1:3" x14ac:dyDescent="0.25">
      <c r="A70" s="210"/>
      <c r="B70" s="198"/>
      <c r="C70" s="196"/>
    </row>
    <row r="71" spans="1:3" x14ac:dyDescent="0.25">
      <c r="A71" s="211" t="s">
        <v>210</v>
      </c>
      <c r="B71" s="198"/>
      <c r="C71" s="196"/>
    </row>
    <row r="72" spans="1:3" x14ac:dyDescent="0.25">
      <c r="A72" s="211" t="s">
        <v>211</v>
      </c>
      <c r="B72" s="198"/>
      <c r="C72" s="196"/>
    </row>
    <row r="73" spans="1:3" x14ac:dyDescent="0.25">
      <c r="A73" s="211" t="s">
        <v>212</v>
      </c>
      <c r="B73" s="198"/>
      <c r="C73" s="196"/>
    </row>
    <row r="74" spans="1:3" x14ac:dyDescent="0.25">
      <c r="A74" s="211" t="s">
        <v>213</v>
      </c>
      <c r="B74" s="198"/>
      <c r="C74" s="196"/>
    </row>
    <row r="75" spans="1:3" ht="15.6" x14ac:dyDescent="0.3">
      <c r="A75" s="80"/>
    </row>
    <row r="76" spans="1:3" ht="15.6" x14ac:dyDescent="0.3">
      <c r="A76" s="80"/>
    </row>
  </sheetData>
  <mergeCells count="23">
    <mergeCell ref="D29:E29"/>
    <mergeCell ref="F28:G28"/>
    <mergeCell ref="F29:G29"/>
    <mergeCell ref="H26:I26"/>
    <mergeCell ref="H27:I27"/>
    <mergeCell ref="H28:I28"/>
    <mergeCell ref="H29:I29"/>
    <mergeCell ref="B42:L43"/>
    <mergeCell ref="A1:M1"/>
    <mergeCell ref="A2:M2"/>
    <mergeCell ref="D26:E26"/>
    <mergeCell ref="D27:E27"/>
    <mergeCell ref="F26:G26"/>
    <mergeCell ref="F27:G27"/>
    <mergeCell ref="E8:H8"/>
    <mergeCell ref="E10:H10"/>
    <mergeCell ref="E13:F13"/>
    <mergeCell ref="E5:I5"/>
    <mergeCell ref="E6:I6"/>
    <mergeCell ref="E7:H7"/>
    <mergeCell ref="C27:C29"/>
    <mergeCell ref="D28:E28"/>
    <mergeCell ref="J26:K26"/>
  </mergeCells>
  <dataValidations disablePrompts="1" count="1">
    <dataValidation type="list" allowBlank="1" showInputMessage="1" showErrorMessage="1" sqref="J55" xr:uid="{B5133515-98F1-42DC-BE36-F02D2DD844EF}">
      <formula1>$A$68:$A$69</formula1>
    </dataValidation>
  </dataValidations>
  <printOptions horizontalCentered="1"/>
  <pageMargins left="0.6" right="0.25" top="0.5" bottom="0.5" header="0.25" footer="0.25"/>
  <pageSetup paperSize="9" scale="76" orientation="portrait" horizontalDpi="4294967293" r:id="rId1"/>
  <headerFooter alignWithMargins="0">
    <oddHeader>&amp;R&amp;8FV.LHK 115-19 / REV : 0</oddHeader>
    <oddFooter>&amp;C&amp;8Dilarang keras mengutip memperbanyak dan atau mempublikasikan sebagian isi sertifikat ini tanpa seijin LPFK Banjarbaru
Sertifikat ini sah apabila dibubuhi cap LPFK Banjarbaru dan ditandatangani oleh pejabat yang berwenang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06782-F46E-40EA-9266-7685E2CFAF2B}">
  <dimension ref="A1:O61"/>
  <sheetViews>
    <sheetView view="pageBreakPreview" zoomScaleNormal="100" zoomScaleSheetLayoutView="100" workbookViewId="0">
      <selection activeCell="E41" sqref="E41"/>
    </sheetView>
  </sheetViews>
  <sheetFormatPr defaultColWidth="9.44140625" defaultRowHeight="13.2" x14ac:dyDescent="0.25"/>
  <cols>
    <col min="1" max="1" width="18.44140625" style="608" customWidth="1"/>
    <col min="2" max="2" width="26.44140625" style="608" customWidth="1"/>
    <col min="3" max="3" width="3.44140625" style="608" customWidth="1"/>
    <col min="4" max="4" width="11.5546875" style="608" customWidth="1"/>
    <col min="5" max="5" width="9.44140625" style="608"/>
    <col min="6" max="6" width="22.5546875" style="608" customWidth="1"/>
    <col min="7" max="7" width="9.44140625" style="608"/>
    <col min="8" max="8" width="18.5546875" style="608" customWidth="1"/>
    <col min="9" max="9" width="12.44140625" style="608" customWidth="1"/>
    <col min="10" max="16384" width="9.44140625" style="608"/>
  </cols>
  <sheetData>
    <row r="1" spans="1:15" x14ac:dyDescent="0.25">
      <c r="H1" s="609" t="str">
        <f>IF([1]PENYELIA!J79&lt;70,"TIDAK LAIK","LAIK")</f>
        <v>LAIK</v>
      </c>
      <c r="I1" s="610"/>
      <c r="J1" s="610"/>
    </row>
    <row r="2" spans="1:15" ht="30" x14ac:dyDescent="0.25">
      <c r="A2" s="776" t="s">
        <v>362</v>
      </c>
      <c r="B2" s="776"/>
      <c r="C2" s="776"/>
      <c r="D2" s="776"/>
      <c r="E2" s="776"/>
      <c r="F2" s="776"/>
      <c r="H2" s="611"/>
      <c r="I2" s="777"/>
      <c r="J2" s="778"/>
    </row>
    <row r="3" spans="1:15" ht="13.8" x14ac:dyDescent="0.25">
      <c r="A3" s="779" t="str">
        <f>"Nomor : 36 /"&amp;" "&amp;ID!I2</f>
        <v>Nomor : 36 / 1 / VII - 23 / E - 007 Dt</v>
      </c>
      <c r="B3" s="779"/>
      <c r="C3" s="779"/>
      <c r="D3" s="779"/>
      <c r="E3" s="779"/>
      <c r="F3" s="779"/>
    </row>
    <row r="4" spans="1:15" x14ac:dyDescent="0.25">
      <c r="C4" s="608" t="s">
        <v>343</v>
      </c>
      <c r="D4" s="780" t="str">
        <f>ID!E13</f>
        <v>MK. 115 - 2019</v>
      </c>
      <c r="E4" s="780"/>
      <c r="F4" s="780"/>
      <c r="H4" s="612"/>
      <c r="I4" s="612"/>
      <c r="J4" s="612"/>
    </row>
    <row r="5" spans="1:15" ht="14.4" x14ac:dyDescent="0.3">
      <c r="H5" s="781"/>
      <c r="I5" s="781"/>
      <c r="J5" s="781"/>
    </row>
    <row r="6" spans="1:15" ht="13.8" x14ac:dyDescent="0.25">
      <c r="A6" s="613" t="s">
        <v>344</v>
      </c>
      <c r="B6" s="614" t="s">
        <v>373</v>
      </c>
      <c r="C6" s="615"/>
      <c r="D6" s="763" t="s">
        <v>345</v>
      </c>
      <c r="E6" s="764"/>
      <c r="F6" s="616" t="str">
        <f>MID(A3,SEARCH("E - ",A3),LEN(A3))</f>
        <v>E - 007 Dt</v>
      </c>
    </row>
    <row r="7" spans="1:15" ht="13.8" x14ac:dyDescent="0.25">
      <c r="A7" s="617"/>
      <c r="B7" s="617"/>
      <c r="C7" s="617"/>
    </row>
    <row r="8" spans="1:15" ht="13.8" x14ac:dyDescent="0.25">
      <c r="A8" s="758" t="s">
        <v>2</v>
      </c>
      <c r="B8" s="758"/>
      <c r="C8" s="618" t="s">
        <v>3</v>
      </c>
      <c r="D8" s="758" t="str">
        <f>LH!E5</f>
        <v>SOCOREX</v>
      </c>
      <c r="E8" s="758"/>
      <c r="F8" s="758"/>
      <c r="I8" s="773"/>
      <c r="J8" s="773"/>
    </row>
    <row r="9" spans="1:15" ht="14.25" customHeight="1" x14ac:dyDescent="0.25">
      <c r="A9" s="758" t="s">
        <v>346</v>
      </c>
      <c r="B9" s="758"/>
      <c r="C9" s="618" t="s">
        <v>3</v>
      </c>
      <c r="D9" s="758" t="str">
        <f>LH!E6</f>
        <v>ACURA 815</v>
      </c>
      <c r="E9" s="758"/>
      <c r="F9" s="758"/>
      <c r="I9" s="773"/>
      <c r="J9" s="773"/>
    </row>
    <row r="10" spans="1:15" ht="15" customHeight="1" x14ac:dyDescent="0.3">
      <c r="A10" s="758" t="s">
        <v>347</v>
      </c>
      <c r="B10" s="758"/>
      <c r="C10" s="618" t="s">
        <v>3</v>
      </c>
      <c r="D10" s="758" t="str">
        <f>LH!E7</f>
        <v>18071332</v>
      </c>
      <c r="E10" s="758"/>
      <c r="F10" s="758"/>
      <c r="I10" s="774"/>
      <c r="J10" s="765"/>
      <c r="O10" s="619"/>
    </row>
    <row r="11" spans="1:15" s="610" customFormat="1" ht="14.4" hidden="1" x14ac:dyDescent="0.3">
      <c r="A11" s="775" t="s">
        <v>6</v>
      </c>
      <c r="B11" s="775"/>
      <c r="C11" s="620" t="s">
        <v>3</v>
      </c>
      <c r="D11" s="621" t="str">
        <f>I11&amp;"    "&amp;J11&amp;""</f>
        <v xml:space="preserve">    </v>
      </c>
      <c r="E11" s="621"/>
      <c r="F11" s="622">
        <f>J11</f>
        <v>0</v>
      </c>
      <c r="I11" s="623"/>
      <c r="J11" s="624"/>
      <c r="O11" s="624"/>
    </row>
    <row r="12" spans="1:15" s="610" customFormat="1" ht="14.4" hidden="1" x14ac:dyDescent="0.3">
      <c r="A12" s="775" t="s">
        <v>348</v>
      </c>
      <c r="B12" s="775"/>
      <c r="C12" s="620" t="s">
        <v>3</v>
      </c>
      <c r="D12" s="625">
        <f>[2]LH!E8</f>
        <v>1</v>
      </c>
      <c r="E12" s="625"/>
      <c r="F12" s="622"/>
      <c r="I12" s="626"/>
      <c r="J12" s="624"/>
      <c r="O12" s="624"/>
    </row>
    <row r="13" spans="1:15" ht="14.4" x14ac:dyDescent="0.3">
      <c r="A13" s="627"/>
      <c r="B13" s="627"/>
      <c r="C13" s="617"/>
      <c r="I13" s="772"/>
      <c r="J13" s="772"/>
      <c r="O13" s="619"/>
    </row>
    <row r="14" spans="1:15" ht="28.5" customHeight="1" x14ac:dyDescent="0.3">
      <c r="A14" s="628" t="s">
        <v>349</v>
      </c>
      <c r="B14" s="629"/>
      <c r="C14" s="617"/>
      <c r="D14" s="763" t="s">
        <v>350</v>
      </c>
      <c r="E14" s="764"/>
      <c r="F14" s="630"/>
      <c r="I14" s="765"/>
      <c r="J14" s="765"/>
      <c r="O14" s="619"/>
    </row>
    <row r="15" spans="1:15" ht="14.4" x14ac:dyDescent="0.25">
      <c r="A15" s="631"/>
      <c r="B15" s="617"/>
      <c r="C15" s="617"/>
      <c r="D15" s="617"/>
      <c r="E15" s="617"/>
      <c r="I15" s="766"/>
      <c r="J15" s="766"/>
    </row>
    <row r="16" spans="1:15" s="610" customFormat="1" ht="42.75" customHeight="1" x14ac:dyDescent="0.3">
      <c r="A16" s="767" t="s">
        <v>351</v>
      </c>
      <c r="B16" s="767"/>
      <c r="C16" s="632" t="s">
        <v>3</v>
      </c>
      <c r="D16" s="768" t="s">
        <v>352</v>
      </c>
      <c r="E16" s="768"/>
      <c r="F16" s="768"/>
      <c r="H16" s="633"/>
      <c r="I16" s="769"/>
      <c r="J16" s="770"/>
    </row>
    <row r="17" spans="1:10" ht="14.4" x14ac:dyDescent="0.3">
      <c r="A17" s="758" t="str">
        <f>"Nama Ruang "</f>
        <v xml:space="preserve">Nama Ruang </v>
      </c>
      <c r="B17" s="758"/>
      <c r="C17" s="618" t="s">
        <v>3</v>
      </c>
      <c r="D17" s="760" t="str">
        <f>LH!E12</f>
        <v>Laboratorium</v>
      </c>
      <c r="E17" s="760"/>
      <c r="F17" s="760"/>
      <c r="H17" s="771"/>
      <c r="I17" s="771"/>
      <c r="J17" s="771"/>
    </row>
    <row r="18" spans="1:10" ht="14.4" x14ac:dyDescent="0.3">
      <c r="A18" s="758" t="s">
        <v>83</v>
      </c>
      <c r="B18" s="758"/>
      <c r="C18" s="618" t="s">
        <v>3</v>
      </c>
      <c r="D18" s="762" t="str">
        <f>LH!E9</f>
        <v>10 November 2016</v>
      </c>
      <c r="E18" s="762"/>
      <c r="F18" s="762"/>
      <c r="H18" s="634"/>
      <c r="I18" s="634"/>
      <c r="J18" s="634"/>
    </row>
    <row r="19" spans="1:10" ht="14.25" customHeight="1" x14ac:dyDescent="0.25">
      <c r="A19" s="758" t="str">
        <f>"Tanggal "&amp;B50</f>
        <v>Tanggal Kalibrasi</v>
      </c>
      <c r="B19" s="758"/>
      <c r="C19" s="618" t="s">
        <v>3</v>
      </c>
      <c r="D19" s="762" t="str">
        <f>LH!E10</f>
        <v>10 November 2016</v>
      </c>
      <c r="E19" s="762"/>
      <c r="F19" s="762"/>
    </row>
    <row r="20" spans="1:10" ht="13.8" x14ac:dyDescent="0.25">
      <c r="A20" s="758" t="str">
        <f>"Penanggungjawab "&amp;B50</f>
        <v>Penanggungjawab Kalibrasi</v>
      </c>
      <c r="B20" s="758"/>
      <c r="C20" s="618" t="s">
        <v>3</v>
      </c>
      <c r="D20" s="758" t="str">
        <f>LH!B46</f>
        <v>Donny Martha</v>
      </c>
      <c r="E20" s="758"/>
      <c r="F20" s="758"/>
    </row>
    <row r="21" spans="1:10" ht="14.4" x14ac:dyDescent="0.3">
      <c r="A21" s="758" t="str">
        <f>"Lokasi "&amp;B50</f>
        <v>Lokasi Kalibrasi</v>
      </c>
      <c r="B21" s="758"/>
      <c r="C21" s="618" t="s">
        <v>3</v>
      </c>
      <c r="D21" s="760" t="str">
        <f>LH!E11</f>
        <v>Laboratorium Kalibrasi LPFK Banjarbaru</v>
      </c>
      <c r="E21" s="760"/>
      <c r="F21" s="760"/>
      <c r="H21" s="635"/>
    </row>
    <row r="22" spans="1:10" ht="31.5" customHeight="1" x14ac:dyDescent="0.25">
      <c r="A22" s="760" t="str">
        <f>"Hasil "&amp;B50</f>
        <v>Hasil Kalibrasi</v>
      </c>
      <c r="B22" s="760"/>
      <c r="C22" s="636" t="s">
        <v>3</v>
      </c>
      <c r="D22" s="761" t="str">
        <f>B57</f>
        <v>Laik Pakai, disarankan untuk dikalibrasi ulang pada tanggal 10 November 2017</v>
      </c>
      <c r="E22" s="761"/>
      <c r="F22" s="761"/>
    </row>
    <row r="23" spans="1:10" ht="13.8" x14ac:dyDescent="0.25">
      <c r="A23" s="758" t="s">
        <v>95</v>
      </c>
      <c r="B23" s="758"/>
      <c r="C23" s="618" t="s">
        <v>3</v>
      </c>
      <c r="D23" s="758" t="str">
        <f>D4</f>
        <v>MK. 115 - 2019</v>
      </c>
      <c r="E23" s="758"/>
      <c r="F23" s="758"/>
    </row>
    <row r="26" spans="1:10" ht="26.25" customHeight="1" x14ac:dyDescent="0.25">
      <c r="D26" s="637" t="s">
        <v>353</v>
      </c>
      <c r="E26" s="759">
        <f ca="1">TODAY()</f>
        <v>45124</v>
      </c>
      <c r="F26" s="759"/>
    </row>
    <row r="27" spans="1:10" ht="13.8" x14ac:dyDescent="0.25">
      <c r="D27" s="758" t="s">
        <v>354</v>
      </c>
      <c r="E27" s="758"/>
      <c r="F27" s="758"/>
    </row>
    <row r="28" spans="1:10" ht="13.8" x14ac:dyDescent="0.25">
      <c r="D28" s="758" t="s">
        <v>355</v>
      </c>
      <c r="E28" s="758"/>
      <c r="F28" s="758"/>
    </row>
    <row r="29" spans="1:10" ht="13.8" x14ac:dyDescent="0.25">
      <c r="D29" s="638"/>
      <c r="E29" s="638"/>
    </row>
    <row r="30" spans="1:10" ht="13.8" x14ac:dyDescent="0.25">
      <c r="D30" s="638"/>
      <c r="E30" s="638"/>
    </row>
    <row r="31" spans="1:10" ht="13.8" x14ac:dyDescent="0.25">
      <c r="D31" s="638"/>
      <c r="E31" s="638"/>
    </row>
    <row r="32" spans="1:10" ht="13.8" x14ac:dyDescent="0.25">
      <c r="D32" s="758" t="s">
        <v>356</v>
      </c>
      <c r="E32" s="758"/>
      <c r="F32" s="758"/>
    </row>
    <row r="33" spans="1:6" ht="13.8" x14ac:dyDescent="0.25">
      <c r="D33" s="757" t="s">
        <v>357</v>
      </c>
      <c r="E33" s="757"/>
      <c r="F33" s="757"/>
    </row>
    <row r="36" spans="1:6" x14ac:dyDescent="0.25">
      <c r="A36" s="639"/>
      <c r="B36" s="639"/>
      <c r="C36" s="639"/>
      <c r="D36" s="639"/>
      <c r="E36" s="639"/>
      <c r="F36" s="639"/>
    </row>
    <row r="42" spans="1:6" ht="13.8" thickBot="1" x14ac:dyDescent="0.3"/>
    <row r="43" spans="1:6" ht="31.5" customHeight="1" x14ac:dyDescent="0.25">
      <c r="A43" s="640" t="s">
        <v>358</v>
      </c>
      <c r="B43" s="641" t="str">
        <f>MID(ID!I2,SEARCH("E - ",ID!I2),LEN(ID!I2))</f>
        <v>E - 007 Dt</v>
      </c>
    </row>
    <row r="44" spans="1:6" x14ac:dyDescent="0.25">
      <c r="A44" s="642"/>
      <c r="B44" s="643"/>
    </row>
    <row r="45" spans="1:6" ht="24" customHeight="1" x14ac:dyDescent="0.25">
      <c r="A45" s="644" t="s">
        <v>359</v>
      </c>
      <c r="B45" s="645" t="str">
        <f>ID!A1</f>
        <v>Input Data Kalibrasi Mikropipet Variabel</v>
      </c>
    </row>
    <row r="46" spans="1:6" ht="39" customHeight="1" x14ac:dyDescent="0.25">
      <c r="A46" s="644" t="s">
        <v>360</v>
      </c>
      <c r="B46" s="646" t="str">
        <f>IF(B45="Input Data Kalibrasi Mikropipet Variabel",B47,B48)</f>
        <v>SERTIFIKAT KALIBRASI</v>
      </c>
    </row>
    <row r="47" spans="1:6" ht="22.5" customHeight="1" x14ac:dyDescent="0.25">
      <c r="A47" s="644" t="s">
        <v>361</v>
      </c>
      <c r="B47" s="643" t="s">
        <v>362</v>
      </c>
    </row>
    <row r="48" spans="1:6" x14ac:dyDescent="0.25">
      <c r="A48" s="642"/>
      <c r="B48" s="643" t="s">
        <v>363</v>
      </c>
    </row>
    <row r="49" spans="1:2" x14ac:dyDescent="0.25">
      <c r="A49" s="642"/>
      <c r="B49" s="643"/>
    </row>
    <row r="50" spans="1:2" ht="48" customHeight="1" x14ac:dyDescent="0.25">
      <c r="A50" s="644" t="s">
        <v>364</v>
      </c>
      <c r="B50" s="643" t="str">
        <f>IF(RIGHT(A2,10)=" KALIBRASI","Kalibrasi","Pengujian")</f>
        <v>Kalibrasi</v>
      </c>
    </row>
    <row r="51" spans="1:2" x14ac:dyDescent="0.25">
      <c r="A51" s="642"/>
      <c r="B51" s="643"/>
    </row>
    <row r="52" spans="1:2" s="648" customFormat="1" ht="34.5" customHeight="1" x14ac:dyDescent="0.25">
      <c r="A52" s="644" t="s">
        <v>365</v>
      </c>
      <c r="B52" s="647" t="s">
        <v>94</v>
      </c>
    </row>
    <row r="53" spans="1:2" x14ac:dyDescent="0.25">
      <c r="A53" s="642"/>
      <c r="B53" s="643"/>
    </row>
    <row r="54" spans="1:2" ht="50.25" customHeight="1" x14ac:dyDescent="0.25">
      <c r="A54" s="649" t="s">
        <v>366</v>
      </c>
      <c r="B54" s="650">
        <f>DATE(YEAR(D19)+1,MONTH(D19),DAY(D19))</f>
        <v>43049</v>
      </c>
    </row>
    <row r="55" spans="1:2" ht="27" customHeight="1" x14ac:dyDescent="0.25">
      <c r="A55" s="644" t="s">
        <v>367</v>
      </c>
      <c r="B55" s="651" t="str">
        <f>TEXT(B54,"d mmmm yyyy")</f>
        <v>10 November 2017</v>
      </c>
    </row>
    <row r="56" spans="1:2" x14ac:dyDescent="0.25">
      <c r="A56" s="642"/>
      <c r="B56" s="643"/>
    </row>
    <row r="57" spans="1:2" ht="30" customHeight="1" x14ac:dyDescent="0.25">
      <c r="A57" s="649" t="s">
        <v>368</v>
      </c>
      <c r="B57" s="652" t="str">
        <f>IF(B46=B47,B58,B59)</f>
        <v>Laik Pakai, disarankan untuk dikalibrasi ulang pada tanggal 10 November 2017</v>
      </c>
    </row>
    <row r="58" spans="1:2" ht="41.4" x14ac:dyDescent="0.25">
      <c r="A58" s="642" t="s">
        <v>369</v>
      </c>
      <c r="B58" s="653" t="str">
        <f>CONCATENATE(B60,B55)</f>
        <v>Laik Pakai, disarankan untuk dikalibrasi ulang pada tanggal 10 November 2017</v>
      </c>
    </row>
    <row r="59" spans="1:2" ht="41.4" x14ac:dyDescent="0.25">
      <c r="A59" s="642"/>
      <c r="B59" s="653" t="str">
        <f>CONCATENATE(B61,B55)</f>
        <v>Laik Pakai, disarankan untuk diuji ulang pada tanggal 10 November 2017</v>
      </c>
    </row>
    <row r="60" spans="1:2" ht="42" customHeight="1" x14ac:dyDescent="0.25">
      <c r="A60" s="654" t="s">
        <v>361</v>
      </c>
      <c r="B60" s="653" t="s">
        <v>370</v>
      </c>
    </row>
    <row r="61" spans="1:2" ht="39.75" customHeight="1" thickBot="1" x14ac:dyDescent="0.3">
      <c r="A61" s="655"/>
      <c r="B61" s="656" t="s">
        <v>371</v>
      </c>
    </row>
  </sheetData>
  <mergeCells count="44">
    <mergeCell ref="D6:E6"/>
    <mergeCell ref="A2:F2"/>
    <mergeCell ref="I2:J2"/>
    <mergeCell ref="A3:F3"/>
    <mergeCell ref="D4:F4"/>
    <mergeCell ref="H5:J5"/>
    <mergeCell ref="I13:J13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A12:B12"/>
    <mergeCell ref="A19:B19"/>
    <mergeCell ref="D19:F19"/>
    <mergeCell ref="D14:E14"/>
    <mergeCell ref="I14:J14"/>
    <mergeCell ref="I15:J15"/>
    <mergeCell ref="A16:B16"/>
    <mergeCell ref="D16:F16"/>
    <mergeCell ref="I16:J16"/>
    <mergeCell ref="A17:B17"/>
    <mergeCell ref="D17:F17"/>
    <mergeCell ref="H17:J17"/>
    <mergeCell ref="A18:B18"/>
    <mergeCell ref="D18:F18"/>
    <mergeCell ref="A20:B20"/>
    <mergeCell ref="D20:F20"/>
    <mergeCell ref="A21:B21"/>
    <mergeCell ref="D21:F21"/>
    <mergeCell ref="A22:B22"/>
    <mergeCell ref="D22:F22"/>
    <mergeCell ref="D33:F33"/>
    <mergeCell ref="A23:B23"/>
    <mergeCell ref="D23:F23"/>
    <mergeCell ref="E26:F26"/>
    <mergeCell ref="D27:F27"/>
    <mergeCell ref="D28:F28"/>
    <mergeCell ref="D32:F32"/>
  </mergeCells>
  <dataValidations count="3">
    <dataValidation type="list" allowBlank="1" showInputMessage="1" showErrorMessage="1" sqref="J12" xr:uid="{709374BB-42CE-4586-BCA1-F3AB7043B3EF}">
      <formula1>$O$9:$O$14</formula1>
    </dataValidation>
    <dataValidation type="list" allowBlank="1" showInputMessage="1" showErrorMessage="1" sqref="J11" xr:uid="{6EAF9316-2F82-4B1F-B753-BD9070BEE4FC}">
      <formula1>$M$2:$M$22</formula1>
    </dataValidation>
    <dataValidation type="list" allowBlank="1" showInputMessage="1" showErrorMessage="1" sqref="A2:F2" xr:uid="{AFA336C3-0050-494D-8B1E-E8B1AB15C4F1}">
      <formula1>"SERTIFIKAT KALIBRASI,SERTIFIKAT PENGUJIAN"</formula1>
    </dataValidation>
  </dataValidations>
  <pageMargins left="0.7" right="0.7" top="0.75" bottom="0.75" header="0.3" footer="0.3"/>
  <pageSetup paperSize="9" scale="95" orientation="portrait" r:id="rId1"/>
  <rowBreaks count="1" manualBreakCount="1">
    <brk id="35" max="16383" man="1"/>
  </rowBreaks>
  <colBreaks count="1" manualBreakCount="1">
    <brk id="6" max="1048575" man="1"/>
  </col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8C609-0733-42AA-A6F3-36770CCA8354}">
  <sheetPr>
    <tabColor rgb="FF00B050"/>
  </sheetPr>
  <dimension ref="A1:AL410"/>
  <sheetViews>
    <sheetView topLeftCell="A384" workbookViewId="0">
      <selection activeCell="A409" sqref="A409"/>
    </sheetView>
  </sheetViews>
  <sheetFormatPr defaultColWidth="8.6640625" defaultRowHeight="13.2" x14ac:dyDescent="0.25"/>
  <cols>
    <col min="1" max="1" width="9.44140625" style="265" bestFit="1" customWidth="1"/>
    <col min="2" max="2" width="8.6640625" style="265"/>
    <col min="3" max="3" width="9.33203125" style="265" bestFit="1" customWidth="1"/>
    <col min="4" max="4" width="10.109375" style="265" bestFit="1" customWidth="1"/>
    <col min="5" max="5" width="9.44140625" style="265" bestFit="1" customWidth="1"/>
    <col min="6" max="6" width="8.6640625" style="265" customWidth="1"/>
    <col min="7" max="7" width="9.5546875" style="265" bestFit="1" customWidth="1"/>
    <col min="8" max="8" width="9.44140625" style="265" bestFit="1" customWidth="1"/>
    <col min="9" max="10" width="8.6640625" style="265"/>
    <col min="11" max="11" width="9.109375" style="265" bestFit="1" customWidth="1"/>
    <col min="12" max="12" width="9" style="265" customWidth="1"/>
    <col min="13" max="13" width="8.6640625" style="265"/>
    <col min="14" max="14" width="8.88671875" style="265" bestFit="1" customWidth="1"/>
    <col min="15" max="15" width="8.6640625" style="265"/>
    <col min="16" max="16" width="9.109375" style="265" bestFit="1" customWidth="1"/>
    <col min="17" max="17" width="9.5546875" style="265" customWidth="1"/>
    <col min="18" max="18" width="10.44140625" style="265" bestFit="1" customWidth="1"/>
    <col min="19" max="19" width="9.109375" style="265" customWidth="1"/>
    <col min="20" max="20" width="10" style="265" bestFit="1" customWidth="1"/>
    <col min="21" max="21" width="8.88671875" style="265" customWidth="1"/>
    <col min="22" max="16384" width="8.6640625" style="265"/>
  </cols>
  <sheetData>
    <row r="1" spans="1:24" ht="18" thickBot="1" x14ac:dyDescent="0.3">
      <c r="A1" s="835" t="s">
        <v>150</v>
      </c>
      <c r="B1" s="836"/>
      <c r="C1" s="836"/>
      <c r="D1" s="836"/>
      <c r="E1" s="836"/>
      <c r="F1" s="836"/>
      <c r="G1" s="836"/>
      <c r="H1" s="836"/>
      <c r="I1" s="836"/>
      <c r="J1" s="836"/>
      <c r="K1" s="836"/>
      <c r="L1" s="836"/>
      <c r="M1" s="836"/>
      <c r="N1" s="836"/>
      <c r="O1" s="836"/>
      <c r="P1" s="836"/>
      <c r="Q1" s="836"/>
      <c r="R1" s="836"/>
      <c r="S1" s="836"/>
      <c r="T1" s="836"/>
      <c r="U1" s="836"/>
    </row>
    <row r="2" spans="1:24" x14ac:dyDescent="0.25">
      <c r="A2" s="829">
        <v>1</v>
      </c>
      <c r="B2" s="814" t="s">
        <v>151</v>
      </c>
      <c r="C2" s="814"/>
      <c r="D2" s="814"/>
      <c r="E2" s="814"/>
      <c r="F2" s="814"/>
      <c r="G2" s="814"/>
      <c r="I2" s="814" t="str">
        <f>B2</f>
        <v>KOREKSI KIMO THERMOHYGROMETER 15062873</v>
      </c>
      <c r="J2" s="814"/>
      <c r="K2" s="814"/>
      <c r="L2" s="814"/>
      <c r="M2" s="814"/>
      <c r="N2" s="814"/>
      <c r="P2" s="814" t="str">
        <f>I2</f>
        <v>KOREKSI KIMO THERMOHYGROMETER 15062873</v>
      </c>
      <c r="Q2" s="814"/>
      <c r="R2" s="814"/>
      <c r="S2" s="814"/>
      <c r="T2" s="814"/>
      <c r="U2" s="814"/>
      <c r="W2" s="820" t="s">
        <v>152</v>
      </c>
      <c r="X2" s="821"/>
    </row>
    <row r="3" spans="1:24" x14ac:dyDescent="0.25">
      <c r="A3" s="829"/>
      <c r="B3" s="822" t="s">
        <v>153</v>
      </c>
      <c r="C3" s="822"/>
      <c r="D3" s="822" t="s">
        <v>154</v>
      </c>
      <c r="E3" s="822"/>
      <c r="F3" s="822"/>
      <c r="G3" s="822" t="s">
        <v>155</v>
      </c>
      <c r="I3" s="822" t="s">
        <v>18</v>
      </c>
      <c r="J3" s="822"/>
      <c r="K3" s="822" t="s">
        <v>154</v>
      </c>
      <c r="L3" s="822"/>
      <c r="M3" s="822"/>
      <c r="N3" s="822" t="s">
        <v>155</v>
      </c>
      <c r="P3" s="822" t="s">
        <v>156</v>
      </c>
      <c r="Q3" s="822"/>
      <c r="R3" s="822" t="s">
        <v>154</v>
      </c>
      <c r="S3" s="822"/>
      <c r="T3" s="822"/>
      <c r="U3" s="822" t="s">
        <v>155</v>
      </c>
      <c r="W3" s="266" t="s">
        <v>153</v>
      </c>
      <c r="X3" s="267">
        <v>0.5</v>
      </c>
    </row>
    <row r="4" spans="1:24" ht="14.4" x14ac:dyDescent="0.25">
      <c r="A4" s="829"/>
      <c r="B4" s="824" t="s">
        <v>157</v>
      </c>
      <c r="C4" s="824"/>
      <c r="D4" s="269">
        <v>2023</v>
      </c>
      <c r="E4" s="269">
        <v>2020</v>
      </c>
      <c r="F4" s="269">
        <v>2017</v>
      </c>
      <c r="G4" s="822"/>
      <c r="I4" s="823" t="s">
        <v>19</v>
      </c>
      <c r="J4" s="824"/>
      <c r="K4" s="270">
        <f>D4</f>
        <v>2023</v>
      </c>
      <c r="L4" s="270">
        <f>E4</f>
        <v>2020</v>
      </c>
      <c r="M4" s="270">
        <f>F4</f>
        <v>2017</v>
      </c>
      <c r="N4" s="822"/>
      <c r="P4" s="823" t="s">
        <v>21</v>
      </c>
      <c r="Q4" s="824"/>
      <c r="R4" s="270">
        <f>K4</f>
        <v>2023</v>
      </c>
      <c r="S4" s="270">
        <f>L4</f>
        <v>2020</v>
      </c>
      <c r="T4" s="270">
        <f>M4</f>
        <v>2017</v>
      </c>
      <c r="U4" s="822"/>
      <c r="W4" s="266" t="s">
        <v>19</v>
      </c>
      <c r="X4" s="267">
        <v>2.6</v>
      </c>
    </row>
    <row r="5" spans="1:24" ht="13.8" thickBot="1" x14ac:dyDescent="0.3">
      <c r="A5" s="829"/>
      <c r="B5" s="271">
        <v>1</v>
      </c>
      <c r="C5" s="272">
        <v>15</v>
      </c>
      <c r="D5" s="293">
        <v>0.3</v>
      </c>
      <c r="E5" s="293">
        <v>-0.5</v>
      </c>
      <c r="F5" s="293">
        <v>0.3</v>
      </c>
      <c r="G5" s="274">
        <f>0.5*(MAX(D5:F5)-MIN(D5:F5))</f>
        <v>0.4</v>
      </c>
      <c r="I5" s="271">
        <v>1</v>
      </c>
      <c r="J5" s="272">
        <v>35</v>
      </c>
      <c r="K5" s="293">
        <v>-5</v>
      </c>
      <c r="L5" s="293">
        <v>-6</v>
      </c>
      <c r="M5" s="293">
        <v>-9.4</v>
      </c>
      <c r="N5" s="274">
        <f>0.5*(MAX(K5:M5)-MIN(K5:M5))</f>
        <v>2.2000000000000002</v>
      </c>
      <c r="P5" s="271">
        <v>1</v>
      </c>
      <c r="Q5" s="272">
        <v>750</v>
      </c>
      <c r="R5" s="273" t="s">
        <v>82</v>
      </c>
      <c r="S5" s="273" t="s">
        <v>82</v>
      </c>
      <c r="T5" s="273" t="s">
        <v>82</v>
      </c>
      <c r="U5" s="274">
        <f>0.5*(MAX(R5:T5)-MIN(R5:T5))</f>
        <v>0</v>
      </c>
      <c r="W5" s="275" t="s">
        <v>21</v>
      </c>
      <c r="X5" s="276">
        <v>0</v>
      </c>
    </row>
    <row r="6" spans="1:24" x14ac:dyDescent="0.25">
      <c r="A6" s="829"/>
      <c r="B6" s="271">
        <v>2</v>
      </c>
      <c r="C6" s="272">
        <v>20</v>
      </c>
      <c r="D6" s="293">
        <v>0</v>
      </c>
      <c r="E6" s="293">
        <v>-0.2</v>
      </c>
      <c r="F6" s="293">
        <v>0.2</v>
      </c>
      <c r="G6" s="274">
        <f t="shared" ref="G6:G11" si="0">0.5*(MAX(D6:F6)-MIN(D6:F6))</f>
        <v>0.2</v>
      </c>
      <c r="I6" s="271">
        <v>2</v>
      </c>
      <c r="J6" s="272">
        <v>40</v>
      </c>
      <c r="K6" s="293">
        <v>-5.9</v>
      </c>
      <c r="L6" s="293">
        <v>-6</v>
      </c>
      <c r="M6" s="293">
        <v>-8.6</v>
      </c>
      <c r="N6" s="274">
        <f t="shared" ref="N6:N11" si="1">0.5*(MAX(K6:M6)-MIN(K6:M6))</f>
        <v>1.3499999999999996</v>
      </c>
      <c r="P6" s="271">
        <v>2</v>
      </c>
      <c r="Q6" s="272">
        <v>800</v>
      </c>
      <c r="R6" s="273" t="s">
        <v>82</v>
      </c>
      <c r="S6" s="273" t="s">
        <v>82</v>
      </c>
      <c r="T6" s="273" t="s">
        <v>82</v>
      </c>
      <c r="U6" s="274">
        <f t="shared" ref="U6:U11" si="2">0.5*(MAX(R6:T6)-MIN(R6:T6))</f>
        <v>0</v>
      </c>
    </row>
    <row r="7" spans="1:24" x14ac:dyDescent="0.25">
      <c r="A7" s="829"/>
      <c r="B7" s="271">
        <v>3</v>
      </c>
      <c r="C7" s="272">
        <v>25</v>
      </c>
      <c r="D7" s="293">
        <v>-0.1</v>
      </c>
      <c r="E7" s="293">
        <v>9.9999999999999995E-7</v>
      </c>
      <c r="F7" s="293">
        <v>0.1</v>
      </c>
      <c r="G7" s="274">
        <f t="shared" si="0"/>
        <v>0.1</v>
      </c>
      <c r="I7" s="271">
        <v>3</v>
      </c>
      <c r="J7" s="272">
        <v>50</v>
      </c>
      <c r="K7" s="293">
        <v>-6.6</v>
      </c>
      <c r="L7" s="293">
        <v>-5.8</v>
      </c>
      <c r="M7" s="293">
        <v>-7.2</v>
      </c>
      <c r="N7" s="274">
        <f t="shared" si="1"/>
        <v>0.70000000000000018</v>
      </c>
      <c r="P7" s="271">
        <v>3</v>
      </c>
      <c r="Q7" s="272">
        <v>850</v>
      </c>
      <c r="R7" s="273" t="s">
        <v>82</v>
      </c>
      <c r="S7" s="273" t="s">
        <v>82</v>
      </c>
      <c r="T7" s="273" t="s">
        <v>82</v>
      </c>
      <c r="U7" s="274">
        <f t="shared" si="2"/>
        <v>0</v>
      </c>
    </row>
    <row r="8" spans="1:24" x14ac:dyDescent="0.25">
      <c r="A8" s="829"/>
      <c r="B8" s="271">
        <v>4</v>
      </c>
      <c r="C8" s="277">
        <v>30</v>
      </c>
      <c r="D8" s="295">
        <v>-0.1</v>
      </c>
      <c r="E8" s="295">
        <v>9.9999999999999995E-7</v>
      </c>
      <c r="F8" s="600">
        <v>-0.2</v>
      </c>
      <c r="G8" s="274">
        <f t="shared" si="0"/>
        <v>0.10000050000000001</v>
      </c>
      <c r="I8" s="271">
        <v>4</v>
      </c>
      <c r="J8" s="277">
        <v>60</v>
      </c>
      <c r="K8" s="295">
        <v>-6</v>
      </c>
      <c r="L8" s="295">
        <v>-5.3</v>
      </c>
      <c r="M8" s="600">
        <v>-5.2</v>
      </c>
      <c r="N8" s="274">
        <f t="shared" si="1"/>
        <v>0.39999999999999991</v>
      </c>
      <c r="P8" s="271">
        <v>4</v>
      </c>
      <c r="Q8" s="277">
        <v>900</v>
      </c>
      <c r="R8" s="278" t="s">
        <v>82</v>
      </c>
      <c r="S8" s="279" t="s">
        <v>82</v>
      </c>
      <c r="T8" s="273" t="s">
        <v>82</v>
      </c>
      <c r="U8" s="274">
        <f t="shared" si="2"/>
        <v>0</v>
      </c>
    </row>
    <row r="9" spans="1:24" x14ac:dyDescent="0.25">
      <c r="A9" s="829"/>
      <c r="B9" s="271">
        <v>5</v>
      </c>
      <c r="C9" s="277">
        <v>35</v>
      </c>
      <c r="D9" s="295">
        <v>0</v>
      </c>
      <c r="E9" s="295">
        <v>-0.1</v>
      </c>
      <c r="F9" s="600">
        <v>-0.5</v>
      </c>
      <c r="G9" s="274">
        <f t="shared" si="0"/>
        <v>0.25</v>
      </c>
      <c r="I9" s="271">
        <v>5</v>
      </c>
      <c r="J9" s="277">
        <v>70</v>
      </c>
      <c r="K9" s="295">
        <v>-4</v>
      </c>
      <c r="L9" s="295">
        <v>-4.4000000000000004</v>
      </c>
      <c r="M9" s="600">
        <v>-2.6</v>
      </c>
      <c r="N9" s="274">
        <f t="shared" si="1"/>
        <v>0.90000000000000013</v>
      </c>
      <c r="P9" s="271">
        <v>5</v>
      </c>
      <c r="Q9" s="277">
        <v>1000</v>
      </c>
      <c r="R9" s="278" t="s">
        <v>82</v>
      </c>
      <c r="S9" s="279" t="s">
        <v>82</v>
      </c>
      <c r="T9" s="273" t="s">
        <v>82</v>
      </c>
      <c r="U9" s="274">
        <f t="shared" si="2"/>
        <v>0</v>
      </c>
    </row>
    <row r="10" spans="1:24" x14ac:dyDescent="0.25">
      <c r="A10" s="829"/>
      <c r="B10" s="271">
        <v>6</v>
      </c>
      <c r="C10" s="277">
        <v>37</v>
      </c>
      <c r="D10" s="295">
        <v>0.1</v>
      </c>
      <c r="E10" s="295">
        <v>-0.2</v>
      </c>
      <c r="F10" s="600">
        <v>-0.6</v>
      </c>
      <c r="G10" s="274">
        <f t="shared" si="0"/>
        <v>0.35</v>
      </c>
      <c r="I10" s="271">
        <v>6</v>
      </c>
      <c r="J10" s="277">
        <v>80</v>
      </c>
      <c r="K10" s="295">
        <v>-0.7</v>
      </c>
      <c r="L10" s="295">
        <v>-3.2</v>
      </c>
      <c r="M10" s="600">
        <v>0.7</v>
      </c>
      <c r="N10" s="274">
        <f t="shared" si="1"/>
        <v>1.9500000000000002</v>
      </c>
      <c r="P10" s="271">
        <v>6</v>
      </c>
      <c r="Q10" s="277">
        <v>1005</v>
      </c>
      <c r="R10" s="278" t="s">
        <v>82</v>
      </c>
      <c r="S10" s="279" t="s">
        <v>82</v>
      </c>
      <c r="T10" s="273" t="s">
        <v>82</v>
      </c>
      <c r="U10" s="274">
        <f t="shared" si="2"/>
        <v>0</v>
      </c>
    </row>
    <row r="11" spans="1:24" x14ac:dyDescent="0.25">
      <c r="A11" s="829"/>
      <c r="B11" s="271">
        <v>7</v>
      </c>
      <c r="C11" s="277">
        <v>40</v>
      </c>
      <c r="D11" s="295">
        <v>0.3</v>
      </c>
      <c r="E11" s="295">
        <v>-0.3</v>
      </c>
      <c r="F11" s="600">
        <v>-0.8</v>
      </c>
      <c r="G11" s="274">
        <f t="shared" si="0"/>
        <v>0.55000000000000004</v>
      </c>
      <c r="I11" s="271">
        <v>7</v>
      </c>
      <c r="J11" s="277">
        <v>90</v>
      </c>
      <c r="K11" s="295">
        <v>4</v>
      </c>
      <c r="L11" s="295">
        <v>-1.6</v>
      </c>
      <c r="M11" s="600">
        <v>4.5</v>
      </c>
      <c r="N11" s="274">
        <f t="shared" si="1"/>
        <v>3.05</v>
      </c>
      <c r="P11" s="271">
        <v>7</v>
      </c>
      <c r="Q11" s="277">
        <v>1020</v>
      </c>
      <c r="R11" s="278" t="s">
        <v>82</v>
      </c>
      <c r="S11" s="279" t="s">
        <v>82</v>
      </c>
      <c r="T11" s="273" t="s">
        <v>82</v>
      </c>
      <c r="U11" s="274">
        <f t="shared" si="2"/>
        <v>0</v>
      </c>
    </row>
    <row r="12" spans="1:24" ht="13.8" thickBot="1" x14ac:dyDescent="0.3">
      <c r="A12" s="280"/>
      <c r="P12" s="281"/>
    </row>
    <row r="13" spans="1:24" x14ac:dyDescent="0.25">
      <c r="A13" s="829">
        <v>2</v>
      </c>
      <c r="B13" s="814" t="s">
        <v>158</v>
      </c>
      <c r="C13" s="814"/>
      <c r="D13" s="814"/>
      <c r="E13" s="814"/>
      <c r="F13" s="814"/>
      <c r="G13" s="814"/>
      <c r="I13" s="814" t="str">
        <f>B13</f>
        <v>KOREKSI KIMO THERMOHYGROMETER 15062874</v>
      </c>
      <c r="J13" s="814"/>
      <c r="K13" s="814"/>
      <c r="L13" s="814"/>
      <c r="M13" s="814"/>
      <c r="N13" s="814"/>
      <c r="P13" s="814" t="str">
        <f>I13</f>
        <v>KOREKSI KIMO THERMOHYGROMETER 15062874</v>
      </c>
      <c r="Q13" s="814"/>
      <c r="R13" s="814"/>
      <c r="S13" s="814"/>
      <c r="T13" s="814"/>
      <c r="U13" s="814"/>
      <c r="W13" s="820" t="s">
        <v>152</v>
      </c>
      <c r="X13" s="821"/>
    </row>
    <row r="14" spans="1:24" x14ac:dyDescent="0.25">
      <c r="A14" s="829"/>
      <c r="B14" s="822" t="s">
        <v>153</v>
      </c>
      <c r="C14" s="822"/>
      <c r="D14" s="822" t="s">
        <v>154</v>
      </c>
      <c r="E14" s="822"/>
      <c r="F14" s="822"/>
      <c r="G14" s="822" t="s">
        <v>155</v>
      </c>
      <c r="I14" s="822" t="s">
        <v>18</v>
      </c>
      <c r="J14" s="822"/>
      <c r="K14" s="822" t="s">
        <v>154</v>
      </c>
      <c r="L14" s="822"/>
      <c r="M14" s="822"/>
      <c r="N14" s="822" t="s">
        <v>155</v>
      </c>
      <c r="P14" s="822" t="s">
        <v>156</v>
      </c>
      <c r="Q14" s="822"/>
      <c r="R14" s="822" t="s">
        <v>154</v>
      </c>
      <c r="S14" s="822"/>
      <c r="T14" s="822"/>
      <c r="U14" s="822" t="s">
        <v>155</v>
      </c>
      <c r="W14" s="266" t="s">
        <v>153</v>
      </c>
      <c r="X14" s="267">
        <v>0.8</v>
      </c>
    </row>
    <row r="15" spans="1:24" ht="14.4" x14ac:dyDescent="0.25">
      <c r="A15" s="829"/>
      <c r="B15" s="824" t="s">
        <v>157</v>
      </c>
      <c r="C15" s="824"/>
      <c r="D15" s="269">
        <v>2021</v>
      </c>
      <c r="E15" s="269">
        <v>2018</v>
      </c>
      <c r="F15" s="269" t="s">
        <v>82</v>
      </c>
      <c r="G15" s="822"/>
      <c r="I15" s="823" t="s">
        <v>19</v>
      </c>
      <c r="J15" s="824"/>
      <c r="K15" s="270">
        <f>D15</f>
        <v>2021</v>
      </c>
      <c r="L15" s="270">
        <f>E15</f>
        <v>2018</v>
      </c>
      <c r="M15" s="270" t="str">
        <f>F15</f>
        <v>-</v>
      </c>
      <c r="N15" s="822"/>
      <c r="P15" s="823" t="s">
        <v>21</v>
      </c>
      <c r="Q15" s="824"/>
      <c r="R15" s="270">
        <f>K15</f>
        <v>2021</v>
      </c>
      <c r="S15" s="270">
        <f>L15</f>
        <v>2018</v>
      </c>
      <c r="T15" s="270" t="str">
        <f>M15</f>
        <v>-</v>
      </c>
      <c r="U15" s="822"/>
      <c r="W15" s="266" t="s">
        <v>19</v>
      </c>
      <c r="X15" s="267">
        <v>2.2000000000000002</v>
      </c>
    </row>
    <row r="16" spans="1:24" ht="13.8" thickBot="1" x14ac:dyDescent="0.3">
      <c r="A16" s="829"/>
      <c r="B16" s="271">
        <v>1</v>
      </c>
      <c r="C16" s="272">
        <v>15</v>
      </c>
      <c r="D16" s="273">
        <v>0.4</v>
      </c>
      <c r="E16" s="273">
        <v>9.9999999999999995E-7</v>
      </c>
      <c r="F16" s="273" t="s">
        <v>82</v>
      </c>
      <c r="G16" s="274">
        <f>0.5*(MAX(D16:F16)-MIN(D16:F16))</f>
        <v>0.19999950000000002</v>
      </c>
      <c r="I16" s="271">
        <v>1</v>
      </c>
      <c r="J16" s="272">
        <v>35</v>
      </c>
      <c r="K16" s="273">
        <v>-6.9</v>
      </c>
      <c r="L16" s="273">
        <v>-1.6</v>
      </c>
      <c r="M16" s="273" t="s">
        <v>82</v>
      </c>
      <c r="N16" s="274">
        <f>0.5*(MAX(K16:M16)-MIN(K16:M16))</f>
        <v>2.6500000000000004</v>
      </c>
      <c r="P16" s="271">
        <v>1</v>
      </c>
      <c r="Q16" s="272">
        <v>750</v>
      </c>
      <c r="R16" s="273" t="s">
        <v>82</v>
      </c>
      <c r="S16" s="273" t="s">
        <v>82</v>
      </c>
      <c r="T16" s="273" t="s">
        <v>82</v>
      </c>
      <c r="U16" s="274">
        <f>0.5*(MAX(R16:T16)-MIN(R16:T16))</f>
        <v>0</v>
      </c>
      <c r="W16" s="275" t="s">
        <v>21</v>
      </c>
      <c r="X16" s="276">
        <v>0</v>
      </c>
    </row>
    <row r="17" spans="1:24" x14ac:dyDescent="0.25">
      <c r="A17" s="829"/>
      <c r="B17" s="271">
        <v>2</v>
      </c>
      <c r="C17" s="272">
        <v>20</v>
      </c>
      <c r="D17" s="273">
        <v>0.7</v>
      </c>
      <c r="E17" s="273">
        <v>-0.1</v>
      </c>
      <c r="F17" s="273" t="s">
        <v>82</v>
      </c>
      <c r="G17" s="274">
        <f t="shared" ref="G17:G22" si="3">0.5*(MAX(D17:F17)-MIN(D17:F17))</f>
        <v>0.39999999999999997</v>
      </c>
      <c r="I17" s="271">
        <v>2</v>
      </c>
      <c r="J17" s="272">
        <v>40</v>
      </c>
      <c r="K17" s="273">
        <v>-6.2</v>
      </c>
      <c r="L17" s="273">
        <v>-1.6</v>
      </c>
      <c r="M17" s="273" t="s">
        <v>82</v>
      </c>
      <c r="N17" s="274">
        <f t="shared" ref="N17:N22" si="4">0.5*(MAX(K17:M17)-MIN(K17:M17))</f>
        <v>2.2999999999999998</v>
      </c>
      <c r="P17" s="271">
        <v>2</v>
      </c>
      <c r="Q17" s="272">
        <v>800</v>
      </c>
      <c r="R17" s="273" t="s">
        <v>82</v>
      </c>
      <c r="S17" s="273" t="s">
        <v>82</v>
      </c>
      <c r="T17" s="273" t="s">
        <v>82</v>
      </c>
      <c r="U17" s="274">
        <f t="shared" ref="U17:U22" si="5">0.5*(MAX(R17:T17)-MIN(R17:T17))</f>
        <v>0</v>
      </c>
    </row>
    <row r="18" spans="1:24" x14ac:dyDescent="0.25">
      <c r="A18" s="829"/>
      <c r="B18" s="271">
        <v>3</v>
      </c>
      <c r="C18" s="272">
        <v>25</v>
      </c>
      <c r="D18" s="273">
        <v>0.5</v>
      </c>
      <c r="E18" s="273">
        <v>-0.2</v>
      </c>
      <c r="F18" s="273" t="s">
        <v>82</v>
      </c>
      <c r="G18" s="274">
        <f t="shared" si="3"/>
        <v>0.35</v>
      </c>
      <c r="I18" s="271">
        <v>3</v>
      </c>
      <c r="J18" s="272">
        <v>50</v>
      </c>
      <c r="K18" s="273">
        <v>-5.3</v>
      </c>
      <c r="L18" s="273">
        <v>-1.5</v>
      </c>
      <c r="M18" s="273" t="s">
        <v>82</v>
      </c>
      <c r="N18" s="274">
        <f t="shared" si="4"/>
        <v>1.9</v>
      </c>
      <c r="P18" s="271">
        <v>3</v>
      </c>
      <c r="Q18" s="272">
        <v>850</v>
      </c>
      <c r="R18" s="273" t="s">
        <v>82</v>
      </c>
      <c r="S18" s="273" t="s">
        <v>82</v>
      </c>
      <c r="T18" s="273" t="s">
        <v>82</v>
      </c>
      <c r="U18" s="274">
        <f t="shared" si="5"/>
        <v>0</v>
      </c>
    </row>
    <row r="19" spans="1:24" x14ac:dyDescent="0.25">
      <c r="A19" s="829"/>
      <c r="B19" s="271">
        <v>4</v>
      </c>
      <c r="C19" s="277">
        <v>30</v>
      </c>
      <c r="D19" s="278">
        <v>0.2</v>
      </c>
      <c r="E19" s="279">
        <v>-0.3</v>
      </c>
      <c r="F19" s="273" t="s">
        <v>82</v>
      </c>
      <c r="G19" s="274">
        <f t="shared" si="3"/>
        <v>0.25</v>
      </c>
      <c r="I19" s="271">
        <v>4</v>
      </c>
      <c r="J19" s="277">
        <v>60</v>
      </c>
      <c r="K19" s="278">
        <v>-4</v>
      </c>
      <c r="L19" s="279">
        <v>-1.3</v>
      </c>
      <c r="M19" s="273" t="s">
        <v>82</v>
      </c>
      <c r="N19" s="274">
        <f t="shared" si="4"/>
        <v>1.35</v>
      </c>
      <c r="P19" s="271">
        <v>4</v>
      </c>
      <c r="Q19" s="277">
        <v>900</v>
      </c>
      <c r="R19" s="278" t="s">
        <v>82</v>
      </c>
      <c r="S19" s="279" t="s">
        <v>82</v>
      </c>
      <c r="T19" s="273" t="s">
        <v>82</v>
      </c>
      <c r="U19" s="274">
        <f t="shared" si="5"/>
        <v>0</v>
      </c>
    </row>
    <row r="20" spans="1:24" x14ac:dyDescent="0.25">
      <c r="A20" s="829"/>
      <c r="B20" s="271">
        <v>5</v>
      </c>
      <c r="C20" s="277">
        <v>35</v>
      </c>
      <c r="D20" s="278">
        <v>-0.1</v>
      </c>
      <c r="E20" s="279">
        <v>-0.3</v>
      </c>
      <c r="F20" s="273" t="s">
        <v>82</v>
      </c>
      <c r="G20" s="274">
        <f t="shared" si="3"/>
        <v>9.9999999999999992E-2</v>
      </c>
      <c r="I20" s="271">
        <v>5</v>
      </c>
      <c r="J20" s="277">
        <v>70</v>
      </c>
      <c r="K20" s="278">
        <v>-2.4</v>
      </c>
      <c r="L20" s="279">
        <v>-1.1000000000000001</v>
      </c>
      <c r="M20" s="273" t="s">
        <v>82</v>
      </c>
      <c r="N20" s="274">
        <f t="shared" si="4"/>
        <v>0.64999999999999991</v>
      </c>
      <c r="P20" s="271">
        <v>5</v>
      </c>
      <c r="Q20" s="277">
        <v>1000</v>
      </c>
      <c r="R20" s="278" t="s">
        <v>82</v>
      </c>
      <c r="S20" s="279" t="s">
        <v>82</v>
      </c>
      <c r="T20" s="273" t="s">
        <v>82</v>
      </c>
      <c r="U20" s="274">
        <f t="shared" si="5"/>
        <v>0</v>
      </c>
    </row>
    <row r="21" spans="1:24" x14ac:dyDescent="0.25">
      <c r="A21" s="829"/>
      <c r="B21" s="271">
        <v>6</v>
      </c>
      <c r="C21" s="277">
        <v>37</v>
      </c>
      <c r="D21" s="278">
        <v>-0.2</v>
      </c>
      <c r="E21" s="279">
        <v>-0.3</v>
      </c>
      <c r="F21" s="273" t="s">
        <v>82</v>
      </c>
      <c r="G21" s="274">
        <f t="shared" si="3"/>
        <v>4.9999999999999989E-2</v>
      </c>
      <c r="I21" s="271">
        <v>6</v>
      </c>
      <c r="J21" s="277">
        <v>80</v>
      </c>
      <c r="K21" s="278">
        <v>-0.5</v>
      </c>
      <c r="L21" s="279">
        <v>-0.7</v>
      </c>
      <c r="M21" s="273" t="s">
        <v>82</v>
      </c>
      <c r="N21" s="274">
        <f t="shared" si="4"/>
        <v>9.9999999999999978E-2</v>
      </c>
      <c r="P21" s="271">
        <v>6</v>
      </c>
      <c r="Q21" s="277">
        <v>1005</v>
      </c>
      <c r="R21" s="278" t="s">
        <v>82</v>
      </c>
      <c r="S21" s="279" t="s">
        <v>82</v>
      </c>
      <c r="T21" s="273" t="s">
        <v>82</v>
      </c>
      <c r="U21" s="274">
        <f t="shared" si="5"/>
        <v>0</v>
      </c>
    </row>
    <row r="22" spans="1:24" x14ac:dyDescent="0.25">
      <c r="A22" s="829"/>
      <c r="B22" s="271">
        <v>7</v>
      </c>
      <c r="C22" s="277">
        <v>40</v>
      </c>
      <c r="D22" s="278">
        <v>-0.1</v>
      </c>
      <c r="E22" s="279">
        <v>-0.3</v>
      </c>
      <c r="F22" s="273" t="s">
        <v>82</v>
      </c>
      <c r="G22" s="274">
        <f t="shared" si="3"/>
        <v>9.9999999999999992E-2</v>
      </c>
      <c r="I22" s="271">
        <v>7</v>
      </c>
      <c r="J22" s="277">
        <v>90</v>
      </c>
      <c r="K22" s="278">
        <v>1.7</v>
      </c>
      <c r="L22" s="279">
        <v>-0.3</v>
      </c>
      <c r="M22" s="273" t="s">
        <v>82</v>
      </c>
      <c r="N22" s="274">
        <f t="shared" si="4"/>
        <v>1</v>
      </c>
      <c r="P22" s="271">
        <v>7</v>
      </c>
      <c r="Q22" s="277">
        <v>1020</v>
      </c>
      <c r="R22" s="278" t="s">
        <v>82</v>
      </c>
      <c r="S22" s="279" t="s">
        <v>82</v>
      </c>
      <c r="T22" s="273" t="s">
        <v>82</v>
      </c>
      <c r="U22" s="274">
        <f t="shared" si="5"/>
        <v>0</v>
      </c>
    </row>
    <row r="23" spans="1:24" ht="13.8" thickBot="1" x14ac:dyDescent="0.3">
      <c r="A23" s="280"/>
      <c r="P23" s="281"/>
    </row>
    <row r="24" spans="1:24" x14ac:dyDescent="0.25">
      <c r="A24" s="832">
        <v>3</v>
      </c>
      <c r="B24" s="814" t="s">
        <v>159</v>
      </c>
      <c r="C24" s="814"/>
      <c r="D24" s="814"/>
      <c r="E24" s="814"/>
      <c r="F24" s="814"/>
      <c r="G24" s="814"/>
      <c r="I24" s="814" t="str">
        <f>B24</f>
        <v>KOREKSI KIMO THERMOHYGROMETER 14082463</v>
      </c>
      <c r="J24" s="814"/>
      <c r="K24" s="814"/>
      <c r="L24" s="814"/>
      <c r="M24" s="814"/>
      <c r="N24" s="814"/>
      <c r="P24" s="814" t="str">
        <f>I24</f>
        <v>KOREKSI KIMO THERMOHYGROMETER 14082463</v>
      </c>
      <c r="Q24" s="814"/>
      <c r="R24" s="814"/>
      <c r="S24" s="814"/>
      <c r="T24" s="814"/>
      <c r="U24" s="814"/>
      <c r="W24" s="820" t="s">
        <v>152</v>
      </c>
      <c r="X24" s="821"/>
    </row>
    <row r="25" spans="1:24" x14ac:dyDescent="0.25">
      <c r="A25" s="833"/>
      <c r="B25" s="822" t="s">
        <v>153</v>
      </c>
      <c r="C25" s="822"/>
      <c r="D25" s="822" t="s">
        <v>154</v>
      </c>
      <c r="E25" s="822"/>
      <c r="F25" s="822"/>
      <c r="G25" s="822" t="s">
        <v>155</v>
      </c>
      <c r="I25" s="822" t="s">
        <v>18</v>
      </c>
      <c r="J25" s="822"/>
      <c r="K25" s="822" t="s">
        <v>154</v>
      </c>
      <c r="L25" s="822"/>
      <c r="M25" s="822"/>
      <c r="N25" s="822" t="s">
        <v>155</v>
      </c>
      <c r="P25" s="822" t="s">
        <v>156</v>
      </c>
      <c r="Q25" s="822"/>
      <c r="R25" s="822" t="s">
        <v>154</v>
      </c>
      <c r="S25" s="822"/>
      <c r="T25" s="822"/>
      <c r="U25" s="822" t="s">
        <v>155</v>
      </c>
      <c r="W25" s="266" t="s">
        <v>153</v>
      </c>
      <c r="X25" s="267">
        <v>0.5</v>
      </c>
    </row>
    <row r="26" spans="1:24" ht="14.4" x14ac:dyDescent="0.25">
      <c r="A26" s="833"/>
      <c r="B26" s="824" t="s">
        <v>157</v>
      </c>
      <c r="C26" s="824"/>
      <c r="D26" s="269">
        <v>2021</v>
      </c>
      <c r="E26" s="269">
        <v>2018</v>
      </c>
      <c r="F26" s="269" t="s">
        <v>82</v>
      </c>
      <c r="G26" s="822"/>
      <c r="I26" s="823" t="s">
        <v>19</v>
      </c>
      <c r="J26" s="824"/>
      <c r="K26" s="270">
        <f>D26</f>
        <v>2021</v>
      </c>
      <c r="L26" s="270">
        <f>E26</f>
        <v>2018</v>
      </c>
      <c r="M26" s="270" t="str">
        <f>F26</f>
        <v>-</v>
      </c>
      <c r="N26" s="822"/>
      <c r="P26" s="823" t="s">
        <v>21</v>
      </c>
      <c r="Q26" s="824"/>
      <c r="R26" s="270">
        <f>K26</f>
        <v>2021</v>
      </c>
      <c r="S26" s="270">
        <f>L26</f>
        <v>2018</v>
      </c>
      <c r="T26" s="270" t="str">
        <f>M26</f>
        <v>-</v>
      </c>
      <c r="U26" s="822"/>
      <c r="W26" s="266" t="s">
        <v>19</v>
      </c>
      <c r="X26" s="267">
        <v>3.1</v>
      </c>
    </row>
    <row r="27" spans="1:24" ht="13.8" thickBot="1" x14ac:dyDescent="0.3">
      <c r="A27" s="833"/>
      <c r="B27" s="271">
        <v>1</v>
      </c>
      <c r="C27" s="272">
        <v>15</v>
      </c>
      <c r="D27" s="273">
        <v>0.4</v>
      </c>
      <c r="E27" s="273">
        <v>9.9999999999999995E-7</v>
      </c>
      <c r="F27" s="273" t="s">
        <v>82</v>
      </c>
      <c r="G27" s="274">
        <f>0.5*(MAX(D27:F27)-MIN(D27:F27))</f>
        <v>0.19999950000000002</v>
      </c>
      <c r="I27" s="271">
        <v>1</v>
      </c>
      <c r="J27" s="272">
        <v>30</v>
      </c>
      <c r="K27" s="273">
        <v>-7.3</v>
      </c>
      <c r="L27" s="273">
        <v>-5.7</v>
      </c>
      <c r="M27" s="273"/>
      <c r="N27" s="274">
        <f>0.5*(MAX(K27:M27)-MIN(K27:M27))</f>
        <v>0.79999999999999982</v>
      </c>
      <c r="P27" s="271">
        <v>1</v>
      </c>
      <c r="Q27" s="272">
        <v>750</v>
      </c>
      <c r="R27" s="273" t="s">
        <v>82</v>
      </c>
      <c r="S27" s="273" t="s">
        <v>82</v>
      </c>
      <c r="T27" s="273" t="s">
        <v>82</v>
      </c>
      <c r="U27" s="274">
        <f>0.5*(MAX(R27:T27)-MIN(R27:S27))</f>
        <v>0</v>
      </c>
      <c r="W27" s="275" t="s">
        <v>21</v>
      </c>
      <c r="X27" s="276">
        <v>0</v>
      </c>
    </row>
    <row r="28" spans="1:24" x14ac:dyDescent="0.25">
      <c r="A28" s="833"/>
      <c r="B28" s="271">
        <v>2</v>
      </c>
      <c r="C28" s="272">
        <v>20</v>
      </c>
      <c r="D28" s="273">
        <v>1</v>
      </c>
      <c r="E28" s="273">
        <v>9.9999999999999995E-7</v>
      </c>
      <c r="F28" s="273" t="s">
        <v>82</v>
      </c>
      <c r="G28" s="274">
        <f t="shared" ref="G28:G33" si="6">0.5*(MAX(D28:F28)-MIN(D28:F28))</f>
        <v>0.49999949999999999</v>
      </c>
      <c r="I28" s="271">
        <v>2</v>
      </c>
      <c r="J28" s="272">
        <v>40</v>
      </c>
      <c r="K28" s="273">
        <v>-5.9</v>
      </c>
      <c r="L28" s="273">
        <v>-5.3</v>
      </c>
      <c r="M28" s="273"/>
      <c r="N28" s="274">
        <f t="shared" ref="N28:N33" si="7">0.5*(MAX(K28:M28)-MIN(K28:M28))</f>
        <v>0.30000000000000027</v>
      </c>
      <c r="P28" s="271">
        <v>2</v>
      </c>
      <c r="Q28" s="272">
        <v>800</v>
      </c>
      <c r="R28" s="273" t="s">
        <v>82</v>
      </c>
      <c r="S28" s="273" t="s">
        <v>82</v>
      </c>
      <c r="T28" s="273" t="s">
        <v>82</v>
      </c>
      <c r="U28" s="274">
        <f t="shared" ref="U28:U33" si="8">0.5*(MAX(R28:T28)-MIN(R28:S28))</f>
        <v>0</v>
      </c>
    </row>
    <row r="29" spans="1:24" x14ac:dyDescent="0.25">
      <c r="A29" s="833"/>
      <c r="B29" s="271">
        <v>3</v>
      </c>
      <c r="C29" s="272">
        <v>25</v>
      </c>
      <c r="D29" s="273">
        <v>0.7</v>
      </c>
      <c r="E29" s="273">
        <v>-0.1</v>
      </c>
      <c r="F29" s="273" t="s">
        <v>82</v>
      </c>
      <c r="G29" s="274">
        <f t="shared" si="6"/>
        <v>0.39999999999999997</v>
      </c>
      <c r="I29" s="271">
        <v>3</v>
      </c>
      <c r="J29" s="272">
        <v>50</v>
      </c>
      <c r="K29" s="273">
        <v>-4.5</v>
      </c>
      <c r="L29" s="273">
        <v>-4.9000000000000004</v>
      </c>
      <c r="M29" s="273"/>
      <c r="N29" s="274">
        <f t="shared" si="7"/>
        <v>0.20000000000000018</v>
      </c>
      <c r="P29" s="271">
        <v>3</v>
      </c>
      <c r="Q29" s="272">
        <v>850</v>
      </c>
      <c r="R29" s="273" t="s">
        <v>82</v>
      </c>
      <c r="S29" s="273" t="s">
        <v>82</v>
      </c>
      <c r="T29" s="273" t="s">
        <v>82</v>
      </c>
      <c r="U29" s="274">
        <f t="shared" si="8"/>
        <v>0</v>
      </c>
    </row>
    <row r="30" spans="1:24" x14ac:dyDescent="0.25">
      <c r="A30" s="833"/>
      <c r="B30" s="271">
        <v>4</v>
      </c>
      <c r="C30" s="277">
        <v>30</v>
      </c>
      <c r="D30" s="278">
        <v>9.9999999999999995E-7</v>
      </c>
      <c r="E30" s="279">
        <v>-0.3</v>
      </c>
      <c r="F30" s="273" t="s">
        <v>82</v>
      </c>
      <c r="G30" s="274">
        <f t="shared" si="6"/>
        <v>0.15000049999999998</v>
      </c>
      <c r="I30" s="271">
        <v>4</v>
      </c>
      <c r="J30" s="277">
        <v>60</v>
      </c>
      <c r="K30" s="278">
        <v>-3.2</v>
      </c>
      <c r="L30" s="279">
        <v>-4.3</v>
      </c>
      <c r="M30" s="273"/>
      <c r="N30" s="274">
        <f t="shared" si="7"/>
        <v>0.54999999999999982</v>
      </c>
      <c r="P30" s="271">
        <v>4</v>
      </c>
      <c r="Q30" s="277">
        <v>900</v>
      </c>
      <c r="R30" s="278" t="s">
        <v>82</v>
      </c>
      <c r="S30" s="279" t="s">
        <v>82</v>
      </c>
      <c r="T30" s="273" t="s">
        <v>82</v>
      </c>
      <c r="U30" s="274">
        <f t="shared" si="8"/>
        <v>0</v>
      </c>
    </row>
    <row r="31" spans="1:24" x14ac:dyDescent="0.25">
      <c r="A31" s="833"/>
      <c r="B31" s="271">
        <v>5</v>
      </c>
      <c r="C31" s="277">
        <v>35</v>
      </c>
      <c r="D31" s="278">
        <v>-0.3</v>
      </c>
      <c r="E31" s="279">
        <v>-0.5</v>
      </c>
      <c r="F31" s="273" t="s">
        <v>82</v>
      </c>
      <c r="G31" s="274">
        <f t="shared" si="6"/>
        <v>0.1</v>
      </c>
      <c r="I31" s="271">
        <v>5</v>
      </c>
      <c r="J31" s="277">
        <v>70</v>
      </c>
      <c r="K31" s="278">
        <v>-2</v>
      </c>
      <c r="L31" s="279">
        <v>-3.6</v>
      </c>
      <c r="M31" s="273"/>
      <c r="N31" s="274">
        <f t="shared" si="7"/>
        <v>0.8</v>
      </c>
      <c r="P31" s="271">
        <v>5</v>
      </c>
      <c r="Q31" s="277">
        <v>1000</v>
      </c>
      <c r="R31" s="278" t="s">
        <v>82</v>
      </c>
      <c r="S31" s="279" t="s">
        <v>82</v>
      </c>
      <c r="T31" s="273" t="s">
        <v>82</v>
      </c>
      <c r="U31" s="274">
        <f t="shared" si="8"/>
        <v>0</v>
      </c>
    </row>
    <row r="32" spans="1:24" x14ac:dyDescent="0.25">
      <c r="A32" s="833"/>
      <c r="B32" s="271">
        <v>6</v>
      </c>
      <c r="C32" s="277">
        <v>37</v>
      </c>
      <c r="D32" s="278">
        <v>-0.2</v>
      </c>
      <c r="E32" s="279">
        <v>-0.6</v>
      </c>
      <c r="F32" s="273" t="s">
        <v>82</v>
      </c>
      <c r="G32" s="274">
        <f t="shared" si="6"/>
        <v>0.19999999999999998</v>
      </c>
      <c r="I32" s="271">
        <v>6</v>
      </c>
      <c r="J32" s="277">
        <v>80</v>
      </c>
      <c r="K32" s="278">
        <v>-0.8</v>
      </c>
      <c r="L32" s="279">
        <v>-2.9</v>
      </c>
      <c r="M32" s="273"/>
      <c r="N32" s="274">
        <f t="shared" si="7"/>
        <v>1.0499999999999998</v>
      </c>
      <c r="P32" s="271">
        <v>6</v>
      </c>
      <c r="Q32" s="277">
        <v>1005</v>
      </c>
      <c r="R32" s="278" t="s">
        <v>82</v>
      </c>
      <c r="S32" s="279" t="s">
        <v>82</v>
      </c>
      <c r="T32" s="273" t="s">
        <v>82</v>
      </c>
      <c r="U32" s="274">
        <f t="shared" si="8"/>
        <v>0</v>
      </c>
    </row>
    <row r="33" spans="1:24" x14ac:dyDescent="0.25">
      <c r="A33" s="834"/>
      <c r="B33" s="271">
        <v>7</v>
      </c>
      <c r="C33" s="277">
        <v>40</v>
      </c>
      <c r="D33" s="278">
        <v>0.2</v>
      </c>
      <c r="E33" s="279">
        <v>-0.7</v>
      </c>
      <c r="F33" s="273" t="s">
        <v>82</v>
      </c>
      <c r="G33" s="274">
        <f t="shared" si="6"/>
        <v>0.44999999999999996</v>
      </c>
      <c r="I33" s="271">
        <v>7</v>
      </c>
      <c r="J33" s="277">
        <v>90</v>
      </c>
      <c r="K33" s="278">
        <v>0.3</v>
      </c>
      <c r="L33" s="279">
        <v>-2</v>
      </c>
      <c r="M33" s="273"/>
      <c r="N33" s="274">
        <f t="shared" si="7"/>
        <v>1.1499999999999999</v>
      </c>
      <c r="P33" s="271">
        <v>7</v>
      </c>
      <c r="Q33" s="277">
        <v>1020</v>
      </c>
      <c r="R33" s="278" t="s">
        <v>82</v>
      </c>
      <c r="S33" s="279" t="s">
        <v>82</v>
      </c>
      <c r="T33" s="273" t="s">
        <v>82</v>
      </c>
      <c r="U33" s="274">
        <f t="shared" si="8"/>
        <v>0</v>
      </c>
    </row>
    <row r="34" spans="1:24" ht="13.8" thickBot="1" x14ac:dyDescent="0.3">
      <c r="A34" s="280"/>
      <c r="H34" s="282"/>
      <c r="P34" s="281"/>
    </row>
    <row r="35" spans="1:24" x14ac:dyDescent="0.25">
      <c r="A35" s="832">
        <v>4</v>
      </c>
      <c r="B35" s="814" t="s">
        <v>160</v>
      </c>
      <c r="C35" s="814"/>
      <c r="D35" s="814"/>
      <c r="E35" s="814"/>
      <c r="F35" s="814"/>
      <c r="G35" s="814"/>
      <c r="I35" s="814" t="str">
        <f>B35</f>
        <v>KOREKSI KIMO THERMOHYGROMETER 15062872</v>
      </c>
      <c r="J35" s="814"/>
      <c r="K35" s="814"/>
      <c r="L35" s="814"/>
      <c r="M35" s="814"/>
      <c r="N35" s="814"/>
      <c r="P35" s="814" t="str">
        <f>I35</f>
        <v>KOREKSI KIMO THERMOHYGROMETER 15062872</v>
      </c>
      <c r="Q35" s="814"/>
      <c r="R35" s="814"/>
      <c r="S35" s="814"/>
      <c r="T35" s="814"/>
      <c r="U35" s="814"/>
      <c r="W35" s="820" t="s">
        <v>152</v>
      </c>
      <c r="X35" s="821"/>
    </row>
    <row r="36" spans="1:24" x14ac:dyDescent="0.25">
      <c r="A36" s="833"/>
      <c r="B36" s="822" t="s">
        <v>153</v>
      </c>
      <c r="C36" s="822"/>
      <c r="D36" s="822" t="s">
        <v>154</v>
      </c>
      <c r="E36" s="822"/>
      <c r="F36" s="822"/>
      <c r="G36" s="822" t="s">
        <v>155</v>
      </c>
      <c r="I36" s="822" t="s">
        <v>18</v>
      </c>
      <c r="J36" s="822"/>
      <c r="K36" s="822" t="s">
        <v>154</v>
      </c>
      <c r="L36" s="822"/>
      <c r="M36" s="822"/>
      <c r="N36" s="822" t="s">
        <v>155</v>
      </c>
      <c r="P36" s="822" t="s">
        <v>156</v>
      </c>
      <c r="Q36" s="822"/>
      <c r="R36" s="822" t="s">
        <v>154</v>
      </c>
      <c r="S36" s="822"/>
      <c r="T36" s="822"/>
      <c r="U36" s="822" t="s">
        <v>155</v>
      </c>
      <c r="W36" s="266" t="s">
        <v>153</v>
      </c>
      <c r="X36" s="267">
        <v>0.3</v>
      </c>
    </row>
    <row r="37" spans="1:24" ht="14.4" x14ac:dyDescent="0.25">
      <c r="A37" s="833"/>
      <c r="B37" s="824" t="s">
        <v>157</v>
      </c>
      <c r="C37" s="824"/>
      <c r="D37" s="269">
        <v>2019</v>
      </c>
      <c r="E37" s="269">
        <v>2017</v>
      </c>
      <c r="F37" s="269" t="s">
        <v>82</v>
      </c>
      <c r="G37" s="822"/>
      <c r="I37" s="823" t="s">
        <v>19</v>
      </c>
      <c r="J37" s="824"/>
      <c r="K37" s="270">
        <f>D37</f>
        <v>2019</v>
      </c>
      <c r="L37" s="270">
        <f>E37</f>
        <v>2017</v>
      </c>
      <c r="M37" s="270" t="str">
        <f>F37</f>
        <v>-</v>
      </c>
      <c r="N37" s="822"/>
      <c r="P37" s="823" t="s">
        <v>21</v>
      </c>
      <c r="Q37" s="824"/>
      <c r="R37" s="270">
        <f>K37</f>
        <v>2019</v>
      </c>
      <c r="S37" s="270">
        <f>L37</f>
        <v>2017</v>
      </c>
      <c r="T37" s="270" t="str">
        <f>M37</f>
        <v>-</v>
      </c>
      <c r="U37" s="822"/>
      <c r="W37" s="266" t="s">
        <v>19</v>
      </c>
      <c r="X37" s="267">
        <v>1.3</v>
      </c>
    </row>
    <row r="38" spans="1:24" ht="13.8" thickBot="1" x14ac:dyDescent="0.3">
      <c r="A38" s="833"/>
      <c r="B38" s="271">
        <v>1</v>
      </c>
      <c r="C38" s="272">
        <v>15</v>
      </c>
      <c r="D38" s="273">
        <v>-0.2</v>
      </c>
      <c r="E38" s="273">
        <v>-0.1</v>
      </c>
      <c r="F38" s="273" t="s">
        <v>82</v>
      </c>
      <c r="G38" s="274">
        <f>0.5*(MAX(D38:F38)-MIN(D38:F38))</f>
        <v>0.05</v>
      </c>
      <c r="I38" s="271">
        <v>1</v>
      </c>
      <c r="J38" s="272">
        <v>35</v>
      </c>
      <c r="K38" s="273">
        <v>-4.5</v>
      </c>
      <c r="L38" s="273">
        <v>-1.7</v>
      </c>
      <c r="M38" s="273" t="s">
        <v>82</v>
      </c>
      <c r="N38" s="274">
        <f>0.5*(MAX(K38:M38)-MIN(K38:M38))</f>
        <v>1.4</v>
      </c>
      <c r="P38" s="271">
        <v>1</v>
      </c>
      <c r="Q38" s="272">
        <v>750</v>
      </c>
      <c r="R38" s="273" t="s">
        <v>82</v>
      </c>
      <c r="S38" s="273" t="s">
        <v>82</v>
      </c>
      <c r="T38" s="273" t="s">
        <v>82</v>
      </c>
      <c r="U38" s="274">
        <f>0.5*(MAX(R38:T38)-MIN(R38:T38))</f>
        <v>0</v>
      </c>
      <c r="W38" s="275" t="s">
        <v>21</v>
      </c>
      <c r="X38" s="276">
        <v>0</v>
      </c>
    </row>
    <row r="39" spans="1:24" x14ac:dyDescent="0.25">
      <c r="A39" s="833"/>
      <c r="B39" s="271">
        <v>2</v>
      </c>
      <c r="C39" s="272">
        <v>20</v>
      </c>
      <c r="D39" s="273">
        <v>-0.1</v>
      </c>
      <c r="E39" s="273">
        <v>-0.3</v>
      </c>
      <c r="F39" s="273" t="s">
        <v>82</v>
      </c>
      <c r="G39" s="274">
        <f t="shared" ref="G39:G44" si="9">0.5*(MAX(D39:F39)-MIN(D39:F39))</f>
        <v>9.9999999999999992E-2</v>
      </c>
      <c r="I39" s="271">
        <v>2</v>
      </c>
      <c r="J39" s="272">
        <v>40</v>
      </c>
      <c r="K39" s="273">
        <v>-4.4000000000000004</v>
      </c>
      <c r="L39" s="273">
        <v>-1.5</v>
      </c>
      <c r="M39" s="273" t="s">
        <v>82</v>
      </c>
      <c r="N39" s="274">
        <f t="shared" ref="N39:N44" si="10">0.5*(MAX(K39:L39)-MIN(K39:L39))</f>
        <v>1.4500000000000002</v>
      </c>
      <c r="P39" s="271">
        <v>2</v>
      </c>
      <c r="Q39" s="272">
        <v>800</v>
      </c>
      <c r="R39" s="273" t="s">
        <v>82</v>
      </c>
      <c r="S39" s="273" t="s">
        <v>82</v>
      </c>
      <c r="T39" s="273" t="s">
        <v>82</v>
      </c>
      <c r="U39" s="274">
        <f t="shared" ref="U39:U44" si="11">0.5*(MAX(R39:T39)-MIN(R39:T39))</f>
        <v>0</v>
      </c>
    </row>
    <row r="40" spans="1:24" x14ac:dyDescent="0.25">
      <c r="A40" s="833"/>
      <c r="B40" s="271">
        <v>3</v>
      </c>
      <c r="C40" s="272">
        <v>25</v>
      </c>
      <c r="D40" s="273">
        <v>-0.1</v>
      </c>
      <c r="E40" s="273">
        <v>-0.5</v>
      </c>
      <c r="F40" s="273" t="s">
        <v>82</v>
      </c>
      <c r="G40" s="274">
        <f t="shared" si="9"/>
        <v>0.2</v>
      </c>
      <c r="I40" s="271">
        <v>3</v>
      </c>
      <c r="J40" s="272">
        <v>50</v>
      </c>
      <c r="K40" s="273">
        <v>-4.3</v>
      </c>
      <c r="L40" s="273">
        <v>-1</v>
      </c>
      <c r="M40" s="273" t="s">
        <v>82</v>
      </c>
      <c r="N40" s="274">
        <f t="shared" si="10"/>
        <v>1.65</v>
      </c>
      <c r="P40" s="271">
        <v>3</v>
      </c>
      <c r="Q40" s="272">
        <v>850</v>
      </c>
      <c r="R40" s="273" t="s">
        <v>82</v>
      </c>
      <c r="S40" s="273" t="s">
        <v>82</v>
      </c>
      <c r="T40" s="273" t="s">
        <v>82</v>
      </c>
      <c r="U40" s="274">
        <f t="shared" si="11"/>
        <v>0</v>
      </c>
    </row>
    <row r="41" spans="1:24" x14ac:dyDescent="0.25">
      <c r="A41" s="833"/>
      <c r="B41" s="271">
        <v>4</v>
      </c>
      <c r="C41" s="277">
        <v>30</v>
      </c>
      <c r="D41" s="278">
        <v>-0.1</v>
      </c>
      <c r="E41" s="279">
        <v>-0.6</v>
      </c>
      <c r="F41" s="273" t="s">
        <v>82</v>
      </c>
      <c r="G41" s="274">
        <f t="shared" si="9"/>
        <v>0.25</v>
      </c>
      <c r="I41" s="271">
        <v>4</v>
      </c>
      <c r="J41" s="277">
        <v>60</v>
      </c>
      <c r="K41" s="278">
        <v>-4.2</v>
      </c>
      <c r="L41" s="279">
        <v>-0.3</v>
      </c>
      <c r="M41" s="273" t="s">
        <v>82</v>
      </c>
      <c r="N41" s="274">
        <f t="shared" si="10"/>
        <v>1.9500000000000002</v>
      </c>
      <c r="P41" s="271">
        <v>4</v>
      </c>
      <c r="Q41" s="277">
        <v>900</v>
      </c>
      <c r="R41" s="278" t="s">
        <v>82</v>
      </c>
      <c r="S41" s="279" t="s">
        <v>82</v>
      </c>
      <c r="T41" s="273" t="s">
        <v>82</v>
      </c>
      <c r="U41" s="274">
        <f t="shared" si="11"/>
        <v>0</v>
      </c>
    </row>
    <row r="42" spans="1:24" x14ac:dyDescent="0.25">
      <c r="A42" s="833"/>
      <c r="B42" s="271">
        <v>5</v>
      </c>
      <c r="C42" s="277">
        <v>35</v>
      </c>
      <c r="D42" s="278">
        <v>-0.3</v>
      </c>
      <c r="E42" s="279">
        <v>-0.6</v>
      </c>
      <c r="F42" s="273" t="s">
        <v>82</v>
      </c>
      <c r="G42" s="274">
        <f t="shared" si="9"/>
        <v>0.15</v>
      </c>
      <c r="I42" s="271">
        <v>5</v>
      </c>
      <c r="J42" s="277">
        <v>70</v>
      </c>
      <c r="K42" s="278">
        <v>-4</v>
      </c>
      <c r="L42" s="279">
        <v>0.7</v>
      </c>
      <c r="M42" s="273" t="s">
        <v>82</v>
      </c>
      <c r="N42" s="274">
        <f t="shared" si="10"/>
        <v>2.35</v>
      </c>
      <c r="P42" s="271">
        <v>5</v>
      </c>
      <c r="Q42" s="277">
        <v>1000</v>
      </c>
      <c r="R42" s="278" t="s">
        <v>82</v>
      </c>
      <c r="S42" s="279" t="s">
        <v>82</v>
      </c>
      <c r="T42" s="273" t="s">
        <v>82</v>
      </c>
      <c r="U42" s="274">
        <f t="shared" si="11"/>
        <v>0</v>
      </c>
    </row>
    <row r="43" spans="1:24" x14ac:dyDescent="0.25">
      <c r="A43" s="833"/>
      <c r="B43" s="271">
        <v>6</v>
      </c>
      <c r="C43" s="277">
        <v>37</v>
      </c>
      <c r="D43" s="278">
        <v>-0.4</v>
      </c>
      <c r="E43" s="279">
        <v>-0.6</v>
      </c>
      <c r="F43" s="273" t="s">
        <v>82</v>
      </c>
      <c r="G43" s="274">
        <f t="shared" si="9"/>
        <v>9.9999999999999978E-2</v>
      </c>
      <c r="I43" s="271">
        <v>6</v>
      </c>
      <c r="J43" s="277">
        <v>80</v>
      </c>
      <c r="K43" s="278">
        <v>-3.8</v>
      </c>
      <c r="L43" s="279">
        <v>1.9</v>
      </c>
      <c r="M43" s="273" t="s">
        <v>82</v>
      </c>
      <c r="N43" s="274">
        <f t="shared" si="10"/>
        <v>2.8499999999999996</v>
      </c>
      <c r="P43" s="271">
        <v>6</v>
      </c>
      <c r="Q43" s="277">
        <v>1005</v>
      </c>
      <c r="R43" s="278" t="s">
        <v>82</v>
      </c>
      <c r="S43" s="279" t="s">
        <v>82</v>
      </c>
      <c r="T43" s="273" t="s">
        <v>82</v>
      </c>
      <c r="U43" s="274">
        <f t="shared" si="11"/>
        <v>0</v>
      </c>
    </row>
    <row r="44" spans="1:24" x14ac:dyDescent="0.25">
      <c r="A44" s="834"/>
      <c r="B44" s="271">
        <v>7</v>
      </c>
      <c r="C44" s="277">
        <v>40</v>
      </c>
      <c r="D44" s="278">
        <v>-0.5</v>
      </c>
      <c r="E44" s="279">
        <v>-0.6</v>
      </c>
      <c r="F44" s="273" t="s">
        <v>82</v>
      </c>
      <c r="G44" s="274">
        <f t="shared" si="9"/>
        <v>4.9999999999999989E-2</v>
      </c>
      <c r="I44" s="271">
        <v>7</v>
      </c>
      <c r="J44" s="277">
        <v>90</v>
      </c>
      <c r="K44" s="278">
        <v>-3.5</v>
      </c>
      <c r="L44" s="279">
        <v>3.3</v>
      </c>
      <c r="M44" s="273" t="s">
        <v>82</v>
      </c>
      <c r="N44" s="274">
        <f t="shared" si="10"/>
        <v>3.4</v>
      </c>
      <c r="P44" s="271">
        <v>7</v>
      </c>
      <c r="Q44" s="277">
        <v>1020</v>
      </c>
      <c r="R44" s="278" t="s">
        <v>82</v>
      </c>
      <c r="S44" s="279" t="s">
        <v>82</v>
      </c>
      <c r="T44" s="273" t="s">
        <v>82</v>
      </c>
      <c r="U44" s="274">
        <f t="shared" si="11"/>
        <v>0</v>
      </c>
    </row>
    <row r="45" spans="1:24" ht="13.8" thickBot="1" x14ac:dyDescent="0.3">
      <c r="A45" s="280"/>
      <c r="P45" s="281"/>
    </row>
    <row r="46" spans="1:24" x14ac:dyDescent="0.25">
      <c r="A46" s="832">
        <v>5</v>
      </c>
      <c r="B46" s="814" t="s">
        <v>161</v>
      </c>
      <c r="C46" s="814"/>
      <c r="D46" s="814"/>
      <c r="E46" s="814"/>
      <c r="F46" s="814"/>
      <c r="G46" s="814"/>
      <c r="I46" s="814" t="str">
        <f>B46</f>
        <v>KOREKSI KIMO THERMOHYGROMETER 15062875</v>
      </c>
      <c r="J46" s="814"/>
      <c r="K46" s="814"/>
      <c r="L46" s="814"/>
      <c r="M46" s="814"/>
      <c r="N46" s="814"/>
      <c r="P46" s="814" t="str">
        <f>I46</f>
        <v>KOREKSI KIMO THERMOHYGROMETER 15062875</v>
      </c>
      <c r="Q46" s="814"/>
      <c r="R46" s="814"/>
      <c r="S46" s="814"/>
      <c r="T46" s="814"/>
      <c r="U46" s="814"/>
      <c r="W46" s="820" t="s">
        <v>152</v>
      </c>
      <c r="X46" s="821"/>
    </row>
    <row r="47" spans="1:24" x14ac:dyDescent="0.25">
      <c r="A47" s="833"/>
      <c r="B47" s="822" t="s">
        <v>153</v>
      </c>
      <c r="C47" s="822"/>
      <c r="D47" s="822" t="s">
        <v>154</v>
      </c>
      <c r="E47" s="822"/>
      <c r="F47" s="822"/>
      <c r="G47" s="822" t="s">
        <v>155</v>
      </c>
      <c r="I47" s="822" t="s">
        <v>18</v>
      </c>
      <c r="J47" s="822"/>
      <c r="K47" s="822" t="s">
        <v>154</v>
      </c>
      <c r="L47" s="822"/>
      <c r="M47" s="822"/>
      <c r="N47" s="822" t="s">
        <v>155</v>
      </c>
      <c r="P47" s="822" t="s">
        <v>156</v>
      </c>
      <c r="Q47" s="822"/>
      <c r="R47" s="822" t="s">
        <v>154</v>
      </c>
      <c r="S47" s="822"/>
      <c r="T47" s="822"/>
      <c r="U47" s="822" t="s">
        <v>155</v>
      </c>
      <c r="W47" s="266" t="s">
        <v>153</v>
      </c>
      <c r="X47" s="267">
        <v>0.4</v>
      </c>
    </row>
    <row r="48" spans="1:24" ht="14.4" x14ac:dyDescent="0.25">
      <c r="A48" s="833"/>
      <c r="B48" s="824" t="s">
        <v>157</v>
      </c>
      <c r="C48" s="824"/>
      <c r="D48" s="269">
        <v>2020</v>
      </c>
      <c r="E48" s="269">
        <v>2017</v>
      </c>
      <c r="F48" s="269">
        <v>2016</v>
      </c>
      <c r="G48" s="822"/>
      <c r="I48" s="823" t="s">
        <v>19</v>
      </c>
      <c r="J48" s="824"/>
      <c r="K48" s="270">
        <f>D48</f>
        <v>2020</v>
      </c>
      <c r="L48" s="270">
        <f>E48</f>
        <v>2017</v>
      </c>
      <c r="M48" s="270">
        <v>2016</v>
      </c>
      <c r="N48" s="822"/>
      <c r="P48" s="823" t="s">
        <v>21</v>
      </c>
      <c r="Q48" s="824"/>
      <c r="R48" s="270">
        <f>K48</f>
        <v>2020</v>
      </c>
      <c r="S48" s="270">
        <f>L48</f>
        <v>2017</v>
      </c>
      <c r="T48" s="270">
        <v>2016</v>
      </c>
      <c r="U48" s="822"/>
      <c r="W48" s="266" t="s">
        <v>19</v>
      </c>
      <c r="X48" s="267">
        <v>2.8</v>
      </c>
    </row>
    <row r="49" spans="1:24" ht="13.8" thickBot="1" x14ac:dyDescent="0.3">
      <c r="A49" s="833"/>
      <c r="B49" s="271">
        <v>1</v>
      </c>
      <c r="C49" s="272">
        <v>15</v>
      </c>
      <c r="D49" s="273">
        <v>-0.3</v>
      </c>
      <c r="E49" s="273">
        <v>0.3</v>
      </c>
      <c r="F49" s="273" t="s">
        <v>82</v>
      </c>
      <c r="G49" s="274">
        <f>0.5*(MAX(D49:F49)-MIN(D49:F49))</f>
        <v>0.3</v>
      </c>
      <c r="I49" s="271">
        <v>1</v>
      </c>
      <c r="J49" s="272">
        <v>35</v>
      </c>
      <c r="K49" s="273">
        <v>-7.7</v>
      </c>
      <c r="L49" s="273">
        <v>-9.6</v>
      </c>
      <c r="M49" s="273" t="s">
        <v>82</v>
      </c>
      <c r="N49" s="274">
        <f>0.5*(MAX(K49:M49)-MIN(K49:M49))</f>
        <v>0.94999999999999973</v>
      </c>
      <c r="P49" s="271">
        <v>1</v>
      </c>
      <c r="Q49" s="272">
        <v>750</v>
      </c>
      <c r="R49" s="273" t="s">
        <v>82</v>
      </c>
      <c r="S49" s="273" t="s">
        <v>82</v>
      </c>
      <c r="T49" s="273" t="s">
        <v>82</v>
      </c>
      <c r="U49" s="274">
        <f>0.5*(MAX(R49:T49)-MIN(R49:T49))</f>
        <v>0</v>
      </c>
      <c r="W49" s="275" t="s">
        <v>21</v>
      </c>
      <c r="X49" s="276">
        <v>0</v>
      </c>
    </row>
    <row r="50" spans="1:24" x14ac:dyDescent="0.25">
      <c r="A50" s="833"/>
      <c r="B50" s="271">
        <v>2</v>
      </c>
      <c r="C50" s="272">
        <v>20</v>
      </c>
      <c r="D50" s="273">
        <v>0.1</v>
      </c>
      <c r="E50" s="273">
        <v>0.3</v>
      </c>
      <c r="F50" s="273" t="s">
        <v>82</v>
      </c>
      <c r="G50" s="274">
        <f t="shared" ref="G50:G55" si="12">0.5*(MAX(D50:F50)-MIN(D50:F50))</f>
        <v>9.9999999999999992E-2</v>
      </c>
      <c r="I50" s="271">
        <v>2</v>
      </c>
      <c r="J50" s="272">
        <v>40</v>
      </c>
      <c r="K50" s="273">
        <v>-7.2</v>
      </c>
      <c r="L50" s="273">
        <v>-8</v>
      </c>
      <c r="M50" s="273" t="s">
        <v>82</v>
      </c>
      <c r="N50" s="274">
        <f t="shared" ref="N50:N55" si="13">0.5*(MAX(K50:M50)-MIN(K50:M50))</f>
        <v>0.39999999999999991</v>
      </c>
      <c r="P50" s="271">
        <v>2</v>
      </c>
      <c r="Q50" s="272">
        <v>800</v>
      </c>
      <c r="R50" s="273" t="s">
        <v>82</v>
      </c>
      <c r="S50" s="273" t="s">
        <v>82</v>
      </c>
      <c r="T50" s="273" t="s">
        <v>82</v>
      </c>
      <c r="U50" s="274">
        <f t="shared" ref="U50:U55" si="14">0.5*(MAX(R50:T50)-MIN(R50:T50))</f>
        <v>0</v>
      </c>
    </row>
    <row r="51" spans="1:24" x14ac:dyDescent="0.25">
      <c r="A51" s="833"/>
      <c r="B51" s="271">
        <v>3</v>
      </c>
      <c r="C51" s="272">
        <v>25</v>
      </c>
      <c r="D51" s="273">
        <v>0.4</v>
      </c>
      <c r="E51" s="273">
        <v>0.2</v>
      </c>
      <c r="F51" s="273" t="s">
        <v>82</v>
      </c>
      <c r="G51" s="274">
        <f t="shared" si="12"/>
        <v>0.1</v>
      </c>
      <c r="I51" s="271">
        <v>3</v>
      </c>
      <c r="J51" s="272">
        <v>50</v>
      </c>
      <c r="K51" s="273">
        <v>-6.2</v>
      </c>
      <c r="L51" s="273">
        <v>-6.2</v>
      </c>
      <c r="M51" s="273" t="s">
        <v>82</v>
      </c>
      <c r="N51" s="274">
        <f t="shared" si="13"/>
        <v>0</v>
      </c>
      <c r="P51" s="271">
        <v>3</v>
      </c>
      <c r="Q51" s="272">
        <v>850</v>
      </c>
      <c r="R51" s="273" t="s">
        <v>82</v>
      </c>
      <c r="S51" s="273" t="s">
        <v>82</v>
      </c>
      <c r="T51" s="273" t="s">
        <v>82</v>
      </c>
      <c r="U51" s="274">
        <f t="shared" si="14"/>
        <v>0</v>
      </c>
    </row>
    <row r="52" spans="1:24" x14ac:dyDescent="0.25">
      <c r="A52" s="833"/>
      <c r="B52" s="271">
        <v>4</v>
      </c>
      <c r="C52" s="277">
        <v>30</v>
      </c>
      <c r="D52" s="278">
        <v>0.6</v>
      </c>
      <c r="E52" s="279">
        <v>0.1</v>
      </c>
      <c r="F52" s="273" t="s">
        <v>82</v>
      </c>
      <c r="G52" s="274">
        <f t="shared" si="12"/>
        <v>0.25</v>
      </c>
      <c r="I52" s="271">
        <v>4</v>
      </c>
      <c r="J52" s="277">
        <v>60</v>
      </c>
      <c r="K52" s="278">
        <v>-5.2</v>
      </c>
      <c r="L52" s="279">
        <v>-4.2</v>
      </c>
      <c r="M52" s="273" t="s">
        <v>82</v>
      </c>
      <c r="N52" s="274">
        <f t="shared" si="13"/>
        <v>0.5</v>
      </c>
      <c r="P52" s="271">
        <v>4</v>
      </c>
      <c r="Q52" s="277">
        <v>900</v>
      </c>
      <c r="R52" s="278" t="s">
        <v>82</v>
      </c>
      <c r="S52" s="279" t="s">
        <v>82</v>
      </c>
      <c r="T52" s="273" t="s">
        <v>82</v>
      </c>
      <c r="U52" s="274">
        <f t="shared" si="14"/>
        <v>0</v>
      </c>
    </row>
    <row r="53" spans="1:24" x14ac:dyDescent="0.25">
      <c r="A53" s="833"/>
      <c r="B53" s="271">
        <v>5</v>
      </c>
      <c r="C53" s="277">
        <v>35</v>
      </c>
      <c r="D53" s="278">
        <v>0.7</v>
      </c>
      <c r="E53" s="279">
        <v>9.9999999999999995E-7</v>
      </c>
      <c r="F53" s="273" t="s">
        <v>82</v>
      </c>
      <c r="G53" s="274">
        <f t="shared" si="12"/>
        <v>0.34999949999999996</v>
      </c>
      <c r="I53" s="271">
        <v>5</v>
      </c>
      <c r="J53" s="277">
        <v>70</v>
      </c>
      <c r="K53" s="278">
        <v>-4.0999999999999996</v>
      </c>
      <c r="L53" s="279">
        <v>-2.1</v>
      </c>
      <c r="M53" s="273" t="s">
        <v>82</v>
      </c>
      <c r="N53" s="274">
        <f t="shared" si="13"/>
        <v>0.99999999999999978</v>
      </c>
      <c r="P53" s="271">
        <v>5</v>
      </c>
      <c r="Q53" s="277">
        <v>1000</v>
      </c>
      <c r="R53" s="278" t="s">
        <v>82</v>
      </c>
      <c r="S53" s="279" t="s">
        <v>82</v>
      </c>
      <c r="T53" s="273" t="s">
        <v>82</v>
      </c>
      <c r="U53" s="274">
        <f t="shared" si="14"/>
        <v>0</v>
      </c>
    </row>
    <row r="54" spans="1:24" x14ac:dyDescent="0.25">
      <c r="A54" s="833"/>
      <c r="B54" s="271">
        <v>6</v>
      </c>
      <c r="C54" s="277">
        <v>37</v>
      </c>
      <c r="D54" s="278">
        <v>0.7</v>
      </c>
      <c r="E54" s="279">
        <v>9.9999999999999995E-7</v>
      </c>
      <c r="F54" s="273" t="s">
        <v>82</v>
      </c>
      <c r="G54" s="274">
        <f t="shared" si="12"/>
        <v>0.34999949999999996</v>
      </c>
      <c r="I54" s="271">
        <v>6</v>
      </c>
      <c r="J54" s="277">
        <v>80</v>
      </c>
      <c r="K54" s="278">
        <v>-3</v>
      </c>
      <c r="L54" s="279">
        <v>0.2</v>
      </c>
      <c r="M54" s="273" t="s">
        <v>82</v>
      </c>
      <c r="N54" s="274">
        <f t="shared" si="13"/>
        <v>1.6</v>
      </c>
      <c r="P54" s="271">
        <v>6</v>
      </c>
      <c r="Q54" s="277">
        <v>1005</v>
      </c>
      <c r="R54" s="278" t="s">
        <v>82</v>
      </c>
      <c r="S54" s="279" t="s">
        <v>82</v>
      </c>
      <c r="T54" s="273" t="s">
        <v>82</v>
      </c>
      <c r="U54" s="274">
        <f t="shared" si="14"/>
        <v>0</v>
      </c>
    </row>
    <row r="55" spans="1:24" x14ac:dyDescent="0.25">
      <c r="A55" s="834"/>
      <c r="B55" s="271">
        <v>7</v>
      </c>
      <c r="C55" s="277">
        <v>40</v>
      </c>
      <c r="D55" s="278">
        <v>0.7</v>
      </c>
      <c r="E55" s="279">
        <v>-0.1</v>
      </c>
      <c r="F55" s="273" t="s">
        <v>82</v>
      </c>
      <c r="G55" s="274">
        <f t="shared" si="12"/>
        <v>0.39999999999999997</v>
      </c>
      <c r="I55" s="271">
        <v>7</v>
      </c>
      <c r="J55" s="277">
        <v>90</v>
      </c>
      <c r="K55" s="278">
        <v>-1.8</v>
      </c>
      <c r="L55" s="279">
        <v>2.7</v>
      </c>
      <c r="M55" s="273" t="s">
        <v>82</v>
      </c>
      <c r="N55" s="274">
        <f t="shared" si="13"/>
        <v>2.25</v>
      </c>
      <c r="P55" s="271">
        <v>7</v>
      </c>
      <c r="Q55" s="277">
        <v>1020</v>
      </c>
      <c r="R55" s="278" t="s">
        <v>82</v>
      </c>
      <c r="S55" s="279" t="s">
        <v>82</v>
      </c>
      <c r="T55" s="273" t="s">
        <v>82</v>
      </c>
      <c r="U55" s="274">
        <f t="shared" si="14"/>
        <v>0</v>
      </c>
    </row>
    <row r="56" spans="1:24" ht="13.8" thickBot="1" x14ac:dyDescent="0.3">
      <c r="A56" s="283"/>
      <c r="B56" s="284"/>
      <c r="C56" s="284"/>
      <c r="D56" s="284"/>
      <c r="E56" s="285"/>
      <c r="F56" s="284"/>
      <c r="G56" s="286"/>
      <c r="H56" s="284"/>
      <c r="I56" s="284"/>
      <c r="J56" s="284"/>
      <c r="K56" s="285"/>
      <c r="L56" s="284"/>
      <c r="P56" s="281"/>
    </row>
    <row r="57" spans="1:24" x14ac:dyDescent="0.25">
      <c r="A57" s="829">
        <v>6</v>
      </c>
      <c r="B57" s="814" t="s">
        <v>162</v>
      </c>
      <c r="C57" s="814"/>
      <c r="D57" s="814"/>
      <c r="E57" s="814"/>
      <c r="F57" s="814"/>
      <c r="G57" s="814"/>
      <c r="I57" s="814" t="str">
        <f>B57</f>
        <v>KOREKSI GREISINGER 34903046</v>
      </c>
      <c r="J57" s="814"/>
      <c r="K57" s="814"/>
      <c r="L57" s="814"/>
      <c r="M57" s="814"/>
      <c r="N57" s="814"/>
      <c r="P57" s="814" t="str">
        <f>I57</f>
        <v>KOREKSI GREISINGER 34903046</v>
      </c>
      <c r="Q57" s="814"/>
      <c r="R57" s="814"/>
      <c r="S57" s="814"/>
      <c r="T57" s="814"/>
      <c r="U57" s="814"/>
      <c r="W57" s="820" t="s">
        <v>152</v>
      </c>
      <c r="X57" s="821"/>
    </row>
    <row r="58" spans="1:24" x14ac:dyDescent="0.25">
      <c r="A58" s="829"/>
      <c r="B58" s="822" t="s">
        <v>153</v>
      </c>
      <c r="C58" s="822"/>
      <c r="D58" s="822" t="s">
        <v>154</v>
      </c>
      <c r="E58" s="822"/>
      <c r="F58" s="822"/>
      <c r="G58" s="822" t="s">
        <v>155</v>
      </c>
      <c r="I58" s="822" t="s">
        <v>18</v>
      </c>
      <c r="J58" s="822"/>
      <c r="K58" s="822" t="s">
        <v>154</v>
      </c>
      <c r="L58" s="822"/>
      <c r="M58" s="822"/>
      <c r="N58" s="822" t="s">
        <v>155</v>
      </c>
      <c r="P58" s="822" t="s">
        <v>156</v>
      </c>
      <c r="Q58" s="822"/>
      <c r="R58" s="826" t="s">
        <v>154</v>
      </c>
      <c r="S58" s="827"/>
      <c r="T58" s="828"/>
      <c r="U58" s="822" t="s">
        <v>155</v>
      </c>
      <c r="W58" s="266" t="s">
        <v>153</v>
      </c>
      <c r="X58" s="267">
        <v>0.8</v>
      </c>
    </row>
    <row r="59" spans="1:24" ht="14.4" x14ac:dyDescent="0.25">
      <c r="A59" s="829"/>
      <c r="B59" s="824" t="s">
        <v>157</v>
      </c>
      <c r="C59" s="824"/>
      <c r="D59" s="269">
        <v>2019</v>
      </c>
      <c r="E59" s="269">
        <v>2018</v>
      </c>
      <c r="F59" s="269" t="s">
        <v>82</v>
      </c>
      <c r="G59" s="822"/>
      <c r="I59" s="823" t="s">
        <v>19</v>
      </c>
      <c r="J59" s="824"/>
      <c r="K59" s="270">
        <f>D59</f>
        <v>2019</v>
      </c>
      <c r="L59" s="270">
        <f>E59</f>
        <v>2018</v>
      </c>
      <c r="M59" s="270" t="str">
        <f>F59</f>
        <v>-</v>
      </c>
      <c r="N59" s="822"/>
      <c r="P59" s="823" t="s">
        <v>21</v>
      </c>
      <c r="Q59" s="824"/>
      <c r="R59" s="270">
        <f>K59</f>
        <v>2019</v>
      </c>
      <c r="S59" s="270">
        <f>L59</f>
        <v>2018</v>
      </c>
      <c r="T59" s="270" t="str">
        <f>M59</f>
        <v>-</v>
      </c>
      <c r="U59" s="822"/>
      <c r="W59" s="266" t="s">
        <v>19</v>
      </c>
      <c r="X59" s="267">
        <v>2.6</v>
      </c>
    </row>
    <row r="60" spans="1:24" ht="13.8" thickBot="1" x14ac:dyDescent="0.3">
      <c r="A60" s="829"/>
      <c r="B60" s="271">
        <v>1</v>
      </c>
      <c r="C60" s="272">
        <v>15</v>
      </c>
      <c r="D60" s="273">
        <v>0.4</v>
      </c>
      <c r="E60" s="273">
        <v>0.4</v>
      </c>
      <c r="F60" s="273" t="s">
        <v>82</v>
      </c>
      <c r="G60" s="274">
        <f>0.5*(MAX(D60:F60)-MIN(D60:F60))</f>
        <v>0</v>
      </c>
      <c r="I60" s="271">
        <v>1</v>
      </c>
      <c r="J60" s="272">
        <v>30</v>
      </c>
      <c r="K60" s="273">
        <v>-1.5</v>
      </c>
      <c r="L60" s="273">
        <v>1.7</v>
      </c>
      <c r="M60" s="273" t="s">
        <v>82</v>
      </c>
      <c r="N60" s="274">
        <f>0.5*(MAX(K60:M60)-MIN(K60:M60))</f>
        <v>1.6</v>
      </c>
      <c r="P60" s="271">
        <v>1</v>
      </c>
      <c r="Q60" s="272">
        <v>750</v>
      </c>
      <c r="R60" s="273">
        <v>0.9</v>
      </c>
      <c r="S60" s="273">
        <v>2.1</v>
      </c>
      <c r="T60" s="273" t="s">
        <v>82</v>
      </c>
      <c r="U60" s="274">
        <f>0.5*(MAX(R60:T60)-MIN(R60:T60))</f>
        <v>0.60000000000000009</v>
      </c>
      <c r="W60" s="275" t="s">
        <v>21</v>
      </c>
      <c r="X60" s="276">
        <v>1.6</v>
      </c>
    </row>
    <row r="61" spans="1:24" x14ac:dyDescent="0.25">
      <c r="A61" s="829"/>
      <c r="B61" s="271">
        <v>2</v>
      </c>
      <c r="C61" s="272">
        <v>20</v>
      </c>
      <c r="D61" s="273">
        <v>0.3</v>
      </c>
      <c r="E61" s="273">
        <v>0.2</v>
      </c>
      <c r="F61" s="273" t="s">
        <v>82</v>
      </c>
      <c r="G61" s="274">
        <f t="shared" ref="G61:G66" si="15">0.5*(MAX(D61:F61)-MIN(D61:F61))</f>
        <v>4.9999999999999989E-2</v>
      </c>
      <c r="I61" s="271">
        <v>2</v>
      </c>
      <c r="J61" s="272">
        <v>40</v>
      </c>
      <c r="K61" s="273">
        <v>-3.8</v>
      </c>
      <c r="L61" s="273">
        <v>1.5</v>
      </c>
      <c r="M61" s="273" t="s">
        <v>82</v>
      </c>
      <c r="N61" s="274">
        <f t="shared" ref="N61:N66" si="16">0.5*(MAX(K61:M61)-MIN(K61:M61))</f>
        <v>2.65</v>
      </c>
      <c r="P61" s="271">
        <v>2</v>
      </c>
      <c r="Q61" s="272">
        <v>800</v>
      </c>
      <c r="R61" s="273">
        <v>0.9</v>
      </c>
      <c r="S61" s="273">
        <v>1.6</v>
      </c>
      <c r="T61" s="273" t="s">
        <v>82</v>
      </c>
      <c r="U61" s="274">
        <f t="shared" ref="U61:U66" si="17">0.5*(MAX(R61:T61)-MIN(R61:T61))</f>
        <v>0.35000000000000003</v>
      </c>
    </row>
    <row r="62" spans="1:24" x14ac:dyDescent="0.25">
      <c r="A62" s="829"/>
      <c r="B62" s="271">
        <v>3</v>
      </c>
      <c r="C62" s="272">
        <v>25</v>
      </c>
      <c r="D62" s="273">
        <v>0.2</v>
      </c>
      <c r="E62" s="273">
        <v>-0.1</v>
      </c>
      <c r="F62" s="273" t="s">
        <v>82</v>
      </c>
      <c r="G62" s="274">
        <f t="shared" si="15"/>
        <v>0.15000000000000002</v>
      </c>
      <c r="I62" s="271">
        <v>3</v>
      </c>
      <c r="J62" s="272">
        <v>50</v>
      </c>
      <c r="K62" s="273">
        <v>-5.4</v>
      </c>
      <c r="L62" s="273">
        <v>1.2</v>
      </c>
      <c r="M62" s="273" t="s">
        <v>82</v>
      </c>
      <c r="N62" s="274">
        <f t="shared" si="16"/>
        <v>3.3000000000000003</v>
      </c>
      <c r="P62" s="271">
        <v>3</v>
      </c>
      <c r="Q62" s="272">
        <v>850</v>
      </c>
      <c r="R62" s="273">
        <v>0.9</v>
      </c>
      <c r="S62" s="273">
        <v>1.1000000000000001</v>
      </c>
      <c r="T62" s="273" t="s">
        <v>82</v>
      </c>
      <c r="U62" s="274">
        <f t="shared" si="17"/>
        <v>0.10000000000000003</v>
      </c>
    </row>
    <row r="63" spans="1:24" x14ac:dyDescent="0.25">
      <c r="A63" s="829"/>
      <c r="B63" s="271">
        <v>4</v>
      </c>
      <c r="C63" s="277">
        <v>30</v>
      </c>
      <c r="D63" s="278">
        <v>0.1</v>
      </c>
      <c r="E63" s="279">
        <v>-0.5</v>
      </c>
      <c r="F63" s="273" t="s">
        <v>82</v>
      </c>
      <c r="G63" s="274">
        <f t="shared" si="15"/>
        <v>0.3</v>
      </c>
      <c r="I63" s="271">
        <v>4</v>
      </c>
      <c r="J63" s="277">
        <v>60</v>
      </c>
      <c r="K63" s="278">
        <v>-6.4</v>
      </c>
      <c r="L63" s="279">
        <v>1.1000000000000001</v>
      </c>
      <c r="M63" s="273" t="s">
        <v>82</v>
      </c>
      <c r="N63" s="274">
        <f t="shared" si="16"/>
        <v>3.75</v>
      </c>
      <c r="P63" s="271">
        <v>4</v>
      </c>
      <c r="Q63" s="277">
        <v>900</v>
      </c>
      <c r="R63" s="278">
        <v>0.9</v>
      </c>
      <c r="S63" s="279">
        <v>0.7</v>
      </c>
      <c r="T63" s="273" t="s">
        <v>82</v>
      </c>
      <c r="U63" s="274">
        <f t="shared" si="17"/>
        <v>0.10000000000000003</v>
      </c>
    </row>
    <row r="64" spans="1:24" x14ac:dyDescent="0.25">
      <c r="A64" s="829"/>
      <c r="B64" s="271">
        <v>5</v>
      </c>
      <c r="C64" s="277">
        <v>35</v>
      </c>
      <c r="D64" s="278">
        <v>0.1</v>
      </c>
      <c r="E64" s="279">
        <v>-0.9</v>
      </c>
      <c r="F64" s="273" t="s">
        <v>82</v>
      </c>
      <c r="G64" s="274">
        <f t="shared" si="15"/>
        <v>0.5</v>
      </c>
      <c r="I64" s="271">
        <v>5</v>
      </c>
      <c r="J64" s="277">
        <v>70</v>
      </c>
      <c r="K64" s="278">
        <v>-6.7</v>
      </c>
      <c r="L64" s="279">
        <v>0.9</v>
      </c>
      <c r="M64" s="273" t="s">
        <v>82</v>
      </c>
      <c r="N64" s="274">
        <f t="shared" si="16"/>
        <v>3.8000000000000003</v>
      </c>
      <c r="P64" s="271">
        <v>5</v>
      </c>
      <c r="Q64" s="277">
        <v>1000</v>
      </c>
      <c r="R64" s="278">
        <v>0.9</v>
      </c>
      <c r="S64" s="279">
        <v>-0.3</v>
      </c>
      <c r="T64" s="273" t="s">
        <v>82</v>
      </c>
      <c r="U64" s="274">
        <f t="shared" si="17"/>
        <v>0.6</v>
      </c>
    </row>
    <row r="65" spans="1:24" x14ac:dyDescent="0.25">
      <c r="A65" s="829"/>
      <c r="B65" s="271">
        <v>6</v>
      </c>
      <c r="C65" s="277">
        <v>37</v>
      </c>
      <c r="D65" s="278">
        <v>0.1</v>
      </c>
      <c r="E65" s="279">
        <v>-1.1000000000000001</v>
      </c>
      <c r="F65" s="273" t="s">
        <v>82</v>
      </c>
      <c r="G65" s="274">
        <f t="shared" si="15"/>
        <v>0.60000000000000009</v>
      </c>
      <c r="I65" s="271">
        <v>6</v>
      </c>
      <c r="J65" s="277">
        <v>80</v>
      </c>
      <c r="K65" s="278">
        <v>-6.3</v>
      </c>
      <c r="L65" s="279">
        <v>0.8</v>
      </c>
      <c r="M65" s="273" t="s">
        <v>82</v>
      </c>
      <c r="N65" s="274">
        <f t="shared" si="16"/>
        <v>3.55</v>
      </c>
      <c r="P65" s="271">
        <v>6</v>
      </c>
      <c r="Q65" s="277">
        <v>1005</v>
      </c>
      <c r="R65" s="278">
        <v>0.9</v>
      </c>
      <c r="S65" s="279">
        <v>-0.3</v>
      </c>
      <c r="T65" s="273" t="s">
        <v>82</v>
      </c>
      <c r="U65" s="274">
        <f t="shared" si="17"/>
        <v>0.6</v>
      </c>
    </row>
    <row r="66" spans="1:24" x14ac:dyDescent="0.25">
      <c r="A66" s="829"/>
      <c r="B66" s="271">
        <v>7</v>
      </c>
      <c r="C66" s="277">
        <v>40</v>
      </c>
      <c r="D66" s="278">
        <v>0.1</v>
      </c>
      <c r="E66" s="279">
        <v>-1.4</v>
      </c>
      <c r="F66" s="273" t="s">
        <v>82</v>
      </c>
      <c r="G66" s="274">
        <f t="shared" si="15"/>
        <v>0.75</v>
      </c>
      <c r="I66" s="271">
        <v>7</v>
      </c>
      <c r="J66" s="277">
        <v>90</v>
      </c>
      <c r="K66" s="278">
        <v>-5.2</v>
      </c>
      <c r="L66" s="279">
        <v>0.7</v>
      </c>
      <c r="M66" s="273" t="s">
        <v>82</v>
      </c>
      <c r="N66" s="274">
        <f t="shared" si="16"/>
        <v>2.95</v>
      </c>
      <c r="P66" s="271">
        <v>7</v>
      </c>
      <c r="Q66" s="277">
        <v>1020</v>
      </c>
      <c r="R66" s="278">
        <v>0.9</v>
      </c>
      <c r="S66" s="279">
        <v>9.9999999999999995E-7</v>
      </c>
      <c r="T66" s="273" t="s">
        <v>82</v>
      </c>
      <c r="U66" s="274">
        <f t="shared" si="17"/>
        <v>0.4499995</v>
      </c>
    </row>
    <row r="67" spans="1:24" ht="13.8" thickBot="1" x14ac:dyDescent="0.3">
      <c r="A67" s="287"/>
      <c r="B67" s="284"/>
      <c r="C67" s="284"/>
      <c r="D67" s="284"/>
      <c r="E67" s="285"/>
      <c r="F67" s="284"/>
      <c r="G67" s="286"/>
      <c r="I67" s="284"/>
      <c r="J67" s="284"/>
      <c r="K67" s="284"/>
      <c r="L67" s="285"/>
      <c r="M67" s="284"/>
      <c r="R67" s="281"/>
    </row>
    <row r="68" spans="1:24" x14ac:dyDescent="0.25">
      <c r="A68" s="829">
        <v>7</v>
      </c>
      <c r="B68" s="814" t="s">
        <v>163</v>
      </c>
      <c r="C68" s="814"/>
      <c r="D68" s="814"/>
      <c r="E68" s="814"/>
      <c r="F68" s="814"/>
      <c r="G68" s="814"/>
      <c r="I68" s="814" t="str">
        <f>B68</f>
        <v>KOREKSI GREISINGER 34903053</v>
      </c>
      <c r="J68" s="814"/>
      <c r="K68" s="814"/>
      <c r="L68" s="814"/>
      <c r="M68" s="814"/>
      <c r="N68" s="814"/>
      <c r="P68" s="814" t="str">
        <f>I68</f>
        <v>KOREKSI GREISINGER 34903053</v>
      </c>
      <c r="Q68" s="814"/>
      <c r="R68" s="814"/>
      <c r="S68" s="814"/>
      <c r="T68" s="814"/>
      <c r="U68" s="814"/>
      <c r="W68" s="820" t="s">
        <v>152</v>
      </c>
      <c r="X68" s="821"/>
    </row>
    <row r="69" spans="1:24" x14ac:dyDescent="0.25">
      <c r="A69" s="829"/>
      <c r="B69" s="822" t="s">
        <v>153</v>
      </c>
      <c r="C69" s="822"/>
      <c r="D69" s="822" t="s">
        <v>154</v>
      </c>
      <c r="E69" s="822"/>
      <c r="F69" s="822"/>
      <c r="G69" s="822" t="s">
        <v>155</v>
      </c>
      <c r="I69" s="822" t="s">
        <v>18</v>
      </c>
      <c r="J69" s="822"/>
      <c r="K69" s="822" t="s">
        <v>154</v>
      </c>
      <c r="L69" s="822"/>
      <c r="M69" s="822"/>
      <c r="N69" s="822" t="s">
        <v>155</v>
      </c>
      <c r="P69" s="822" t="s">
        <v>156</v>
      </c>
      <c r="Q69" s="822"/>
      <c r="R69" s="822" t="s">
        <v>154</v>
      </c>
      <c r="S69" s="822"/>
      <c r="T69" s="822"/>
      <c r="U69" s="822" t="s">
        <v>155</v>
      </c>
      <c r="W69" s="266" t="s">
        <v>153</v>
      </c>
      <c r="X69" s="267">
        <v>0.2</v>
      </c>
    </row>
    <row r="70" spans="1:24" ht="14.4" x14ac:dyDescent="0.25">
      <c r="A70" s="829"/>
      <c r="B70" s="824" t="s">
        <v>157</v>
      </c>
      <c r="C70" s="824"/>
      <c r="D70" s="269">
        <v>2021</v>
      </c>
      <c r="E70" s="269">
        <v>2018</v>
      </c>
      <c r="F70" s="269" t="s">
        <v>82</v>
      </c>
      <c r="G70" s="822"/>
      <c r="I70" s="823" t="s">
        <v>19</v>
      </c>
      <c r="J70" s="824"/>
      <c r="K70" s="270">
        <f>D70</f>
        <v>2021</v>
      </c>
      <c r="L70" s="270">
        <f>E70</f>
        <v>2018</v>
      </c>
      <c r="M70" s="270" t="str">
        <f>F70</f>
        <v>-</v>
      </c>
      <c r="N70" s="822"/>
      <c r="P70" s="823" t="s">
        <v>21</v>
      </c>
      <c r="Q70" s="824"/>
      <c r="R70" s="270">
        <f>K70</f>
        <v>2021</v>
      </c>
      <c r="S70" s="270">
        <f>L70</f>
        <v>2018</v>
      </c>
      <c r="T70" s="270" t="str">
        <f>M70</f>
        <v>-</v>
      </c>
      <c r="U70" s="822"/>
      <c r="W70" s="266" t="s">
        <v>19</v>
      </c>
      <c r="X70" s="267">
        <v>2.4</v>
      </c>
    </row>
    <row r="71" spans="1:24" ht="13.8" thickBot="1" x14ac:dyDescent="0.3">
      <c r="A71" s="829"/>
      <c r="B71" s="271">
        <v>1</v>
      </c>
      <c r="C71" s="272">
        <v>15</v>
      </c>
      <c r="D71" s="273">
        <v>0.1</v>
      </c>
      <c r="E71" s="273">
        <v>0.3</v>
      </c>
      <c r="F71" s="273" t="s">
        <v>82</v>
      </c>
      <c r="G71" s="274">
        <f>0.5*(MAX(D71:F71)-MIN(D71:F71))</f>
        <v>9.9999999999999992E-2</v>
      </c>
      <c r="I71" s="271">
        <v>1</v>
      </c>
      <c r="J71" s="272">
        <v>30</v>
      </c>
      <c r="K71" s="273">
        <v>-1.9</v>
      </c>
      <c r="L71" s="273">
        <v>1.8</v>
      </c>
      <c r="M71" s="273" t="s">
        <v>82</v>
      </c>
      <c r="N71" s="274">
        <f>0.5*(MAX(K71:M71)-MIN(K71:M71))</f>
        <v>1.85</v>
      </c>
      <c r="P71" s="271">
        <v>1</v>
      </c>
      <c r="Q71" s="272">
        <v>750</v>
      </c>
      <c r="R71" s="273">
        <v>9.9999999999999995E-7</v>
      </c>
      <c r="S71" s="273">
        <v>3.2</v>
      </c>
      <c r="T71" s="273" t="s">
        <v>82</v>
      </c>
      <c r="U71" s="274">
        <f>0.5*(MAX(R71:T71)-MIN(R71:T71))</f>
        <v>1.5999995</v>
      </c>
      <c r="W71" s="275" t="s">
        <v>21</v>
      </c>
      <c r="X71" s="276">
        <v>2.4</v>
      </c>
    </row>
    <row r="72" spans="1:24" x14ac:dyDescent="0.25">
      <c r="A72" s="829"/>
      <c r="B72" s="271">
        <v>2</v>
      </c>
      <c r="C72" s="272">
        <v>20</v>
      </c>
      <c r="D72" s="273">
        <v>9.9999999999999995E-7</v>
      </c>
      <c r="E72" s="273">
        <v>0.1</v>
      </c>
      <c r="F72" s="273" t="s">
        <v>82</v>
      </c>
      <c r="G72" s="274">
        <f t="shared" ref="G72:G77" si="18">0.5*(MAX(D72:F72)-MIN(D72:F72))</f>
        <v>4.9999500000000002E-2</v>
      </c>
      <c r="I72" s="271">
        <v>2</v>
      </c>
      <c r="J72" s="272">
        <v>40</v>
      </c>
      <c r="K72" s="273">
        <v>-1.9</v>
      </c>
      <c r="L72" s="273">
        <v>1.2</v>
      </c>
      <c r="M72" s="273" t="s">
        <v>82</v>
      </c>
      <c r="N72" s="274">
        <f t="shared" ref="N72:N77" si="19">0.5*(MAX(K72:M72)-MIN(K72:M72))</f>
        <v>1.5499999999999998</v>
      </c>
      <c r="P72" s="271">
        <v>2</v>
      </c>
      <c r="Q72" s="272">
        <v>800</v>
      </c>
      <c r="R72" s="273">
        <v>9.9999999999999995E-7</v>
      </c>
      <c r="S72" s="273">
        <v>2.5</v>
      </c>
      <c r="T72" s="273" t="s">
        <v>82</v>
      </c>
      <c r="U72" s="274">
        <f t="shared" ref="U72:U76" si="20">0.5*(MAX(R72:T72)-MIN(R72:T72))</f>
        <v>1.2499994999999999</v>
      </c>
    </row>
    <row r="73" spans="1:24" x14ac:dyDescent="0.25">
      <c r="A73" s="829"/>
      <c r="B73" s="271">
        <v>3</v>
      </c>
      <c r="C73" s="272">
        <v>25</v>
      </c>
      <c r="D73" s="273">
        <v>9.9999999999999995E-7</v>
      </c>
      <c r="E73" s="273">
        <v>-0.2</v>
      </c>
      <c r="F73" s="273" t="s">
        <v>82</v>
      </c>
      <c r="G73" s="274">
        <f t="shared" si="18"/>
        <v>0.10000050000000001</v>
      </c>
      <c r="I73" s="271">
        <v>3</v>
      </c>
      <c r="J73" s="272">
        <v>50</v>
      </c>
      <c r="K73" s="273">
        <v>-1.9</v>
      </c>
      <c r="L73" s="273">
        <v>0.8</v>
      </c>
      <c r="M73" s="273" t="s">
        <v>82</v>
      </c>
      <c r="N73" s="274">
        <f t="shared" si="19"/>
        <v>1.35</v>
      </c>
      <c r="P73" s="271">
        <v>3</v>
      </c>
      <c r="Q73" s="272">
        <v>850</v>
      </c>
      <c r="R73" s="273">
        <v>9.9999999999999995E-7</v>
      </c>
      <c r="S73" s="273">
        <v>1.7</v>
      </c>
      <c r="T73" s="273" t="s">
        <v>82</v>
      </c>
      <c r="U73" s="274">
        <f t="shared" si="20"/>
        <v>0.84999950000000002</v>
      </c>
    </row>
    <row r="74" spans="1:24" x14ac:dyDescent="0.25">
      <c r="A74" s="829"/>
      <c r="B74" s="271">
        <v>4</v>
      </c>
      <c r="C74" s="277">
        <v>30</v>
      </c>
      <c r="D74" s="278">
        <v>9.9999999999999995E-7</v>
      </c>
      <c r="E74" s="279">
        <v>-0.6</v>
      </c>
      <c r="F74" s="273" t="s">
        <v>82</v>
      </c>
      <c r="G74" s="274">
        <f t="shared" si="18"/>
        <v>0.3000005</v>
      </c>
      <c r="I74" s="271">
        <v>4</v>
      </c>
      <c r="J74" s="277">
        <v>60</v>
      </c>
      <c r="K74" s="278">
        <v>-2.1</v>
      </c>
      <c r="L74" s="279">
        <v>0.7</v>
      </c>
      <c r="M74" s="273" t="s">
        <v>82</v>
      </c>
      <c r="N74" s="274">
        <f t="shared" si="19"/>
        <v>1.4</v>
      </c>
      <c r="P74" s="271">
        <v>4</v>
      </c>
      <c r="Q74" s="277">
        <v>900</v>
      </c>
      <c r="R74" s="278">
        <v>9.9999999999999995E-7</v>
      </c>
      <c r="S74" s="279">
        <v>1</v>
      </c>
      <c r="T74" s="273" t="s">
        <v>82</v>
      </c>
      <c r="U74" s="274">
        <f t="shared" si="20"/>
        <v>0.49999949999999999</v>
      </c>
    </row>
    <row r="75" spans="1:24" x14ac:dyDescent="0.25">
      <c r="A75" s="829"/>
      <c r="B75" s="271">
        <v>5</v>
      </c>
      <c r="C75" s="277">
        <v>35</v>
      </c>
      <c r="D75" s="278">
        <v>9.9999999999999995E-7</v>
      </c>
      <c r="E75" s="279">
        <v>-1.1000000000000001</v>
      </c>
      <c r="F75" s="273" t="s">
        <v>82</v>
      </c>
      <c r="G75" s="274">
        <f t="shared" si="18"/>
        <v>0.5500005</v>
      </c>
      <c r="I75" s="271">
        <v>5</v>
      </c>
      <c r="J75" s="277">
        <v>70</v>
      </c>
      <c r="K75" s="278">
        <v>-2.2999999999999998</v>
      </c>
      <c r="L75" s="279">
        <v>0.9</v>
      </c>
      <c r="M75" s="273" t="s">
        <v>82</v>
      </c>
      <c r="N75" s="274">
        <f t="shared" si="19"/>
        <v>1.5999999999999999</v>
      </c>
      <c r="P75" s="271">
        <v>5</v>
      </c>
      <c r="Q75" s="277">
        <v>1000</v>
      </c>
      <c r="R75" s="278">
        <v>-3.9</v>
      </c>
      <c r="S75" s="279">
        <v>-0.4</v>
      </c>
      <c r="T75" s="273" t="s">
        <v>82</v>
      </c>
      <c r="U75" s="274">
        <f t="shared" si="20"/>
        <v>1.75</v>
      </c>
    </row>
    <row r="76" spans="1:24" x14ac:dyDescent="0.25">
      <c r="A76" s="829"/>
      <c r="B76" s="271">
        <v>6</v>
      </c>
      <c r="C76" s="277">
        <v>37</v>
      </c>
      <c r="D76" s="278">
        <v>9.9999999999999995E-7</v>
      </c>
      <c r="E76" s="279">
        <v>-1.4</v>
      </c>
      <c r="F76" s="273" t="s">
        <v>82</v>
      </c>
      <c r="G76" s="274">
        <f t="shared" si="18"/>
        <v>0.70000049999999991</v>
      </c>
      <c r="I76" s="271">
        <v>6</v>
      </c>
      <c r="J76" s="277">
        <v>80</v>
      </c>
      <c r="K76" s="278">
        <v>-2.6</v>
      </c>
      <c r="L76" s="279">
        <v>1.2</v>
      </c>
      <c r="M76" s="273" t="s">
        <v>82</v>
      </c>
      <c r="N76" s="274">
        <f t="shared" si="19"/>
        <v>1.9</v>
      </c>
      <c r="P76" s="271">
        <v>6</v>
      </c>
      <c r="Q76" s="277">
        <v>1005</v>
      </c>
      <c r="R76" s="278">
        <v>-3.8</v>
      </c>
      <c r="S76" s="279">
        <v>-0.5</v>
      </c>
      <c r="T76" s="273" t="s">
        <v>82</v>
      </c>
      <c r="U76" s="274">
        <f t="shared" si="20"/>
        <v>1.65</v>
      </c>
    </row>
    <row r="77" spans="1:24" x14ac:dyDescent="0.25">
      <c r="A77" s="829"/>
      <c r="B77" s="271">
        <v>7</v>
      </c>
      <c r="C77" s="277">
        <v>40</v>
      </c>
      <c r="D77" s="278">
        <v>0.1</v>
      </c>
      <c r="E77" s="279">
        <v>-1.7</v>
      </c>
      <c r="F77" s="273" t="s">
        <v>82</v>
      </c>
      <c r="G77" s="274">
        <f t="shared" si="18"/>
        <v>0.9</v>
      </c>
      <c r="I77" s="271">
        <v>7</v>
      </c>
      <c r="J77" s="277">
        <v>90</v>
      </c>
      <c r="K77" s="278">
        <v>-3</v>
      </c>
      <c r="L77" s="279">
        <v>1.8</v>
      </c>
      <c r="M77" s="273" t="s">
        <v>82</v>
      </c>
      <c r="N77" s="274">
        <f t="shared" si="19"/>
        <v>2.4</v>
      </c>
      <c r="P77" s="271">
        <v>7</v>
      </c>
      <c r="Q77" s="277">
        <v>1020</v>
      </c>
      <c r="R77" s="278">
        <v>-3.8</v>
      </c>
      <c r="S77" s="279">
        <v>9.9999999999999995E-7</v>
      </c>
      <c r="T77" s="273" t="s">
        <v>82</v>
      </c>
      <c r="U77" s="274">
        <f>0.5*(MAX(R77:T77)-MIN(R77:T77))</f>
        <v>1.9000005</v>
      </c>
    </row>
    <row r="78" spans="1:24" ht="13.8" thickBot="1" x14ac:dyDescent="0.3">
      <c r="A78" s="287"/>
      <c r="B78" s="284"/>
      <c r="C78" s="284"/>
      <c r="D78" s="284"/>
      <c r="E78" s="285"/>
      <c r="F78" s="284"/>
      <c r="G78" s="286"/>
      <c r="H78" s="284"/>
      <c r="I78" s="284"/>
      <c r="J78" s="284"/>
      <c r="K78" s="285"/>
      <c r="L78" s="284"/>
      <c r="P78" s="281"/>
    </row>
    <row r="79" spans="1:24" x14ac:dyDescent="0.25">
      <c r="A79" s="829">
        <v>8</v>
      </c>
      <c r="B79" s="814" t="s">
        <v>164</v>
      </c>
      <c r="C79" s="814"/>
      <c r="D79" s="814"/>
      <c r="E79" s="814"/>
      <c r="F79" s="814"/>
      <c r="G79" s="814"/>
      <c r="I79" s="814" t="str">
        <f>B79</f>
        <v>KOREKSI GREISINGER 34903051</v>
      </c>
      <c r="J79" s="814"/>
      <c r="K79" s="814"/>
      <c r="L79" s="814"/>
      <c r="M79" s="814"/>
      <c r="N79" s="814"/>
      <c r="P79" s="814" t="str">
        <f>I79</f>
        <v>KOREKSI GREISINGER 34903051</v>
      </c>
      <c r="Q79" s="814"/>
      <c r="R79" s="814"/>
      <c r="S79" s="814"/>
      <c r="T79" s="814"/>
      <c r="U79" s="814"/>
      <c r="W79" s="820" t="s">
        <v>152</v>
      </c>
      <c r="X79" s="821"/>
    </row>
    <row r="80" spans="1:24" x14ac:dyDescent="0.25">
      <c r="A80" s="829"/>
      <c r="B80" s="822" t="s">
        <v>153</v>
      </c>
      <c r="C80" s="822"/>
      <c r="D80" s="822" t="s">
        <v>154</v>
      </c>
      <c r="E80" s="822"/>
      <c r="F80" s="822"/>
      <c r="G80" s="822" t="s">
        <v>155</v>
      </c>
      <c r="I80" s="822" t="s">
        <v>18</v>
      </c>
      <c r="J80" s="822"/>
      <c r="K80" s="822" t="s">
        <v>154</v>
      </c>
      <c r="L80" s="822"/>
      <c r="M80" s="822"/>
      <c r="N80" s="822" t="s">
        <v>155</v>
      </c>
      <c r="P80" s="822" t="s">
        <v>156</v>
      </c>
      <c r="Q80" s="822"/>
      <c r="R80" s="822" t="s">
        <v>154</v>
      </c>
      <c r="S80" s="822"/>
      <c r="T80" s="822"/>
      <c r="U80" s="822" t="s">
        <v>155</v>
      </c>
      <c r="W80" s="266" t="s">
        <v>153</v>
      </c>
      <c r="X80" s="267">
        <v>0.8</v>
      </c>
    </row>
    <row r="81" spans="1:24" ht="14.4" x14ac:dyDescent="0.25">
      <c r="A81" s="829"/>
      <c r="B81" s="824" t="s">
        <v>157</v>
      </c>
      <c r="C81" s="824"/>
      <c r="D81" s="269">
        <v>2023</v>
      </c>
      <c r="E81" s="269">
        <v>2021</v>
      </c>
      <c r="F81" s="269">
        <v>2019</v>
      </c>
      <c r="G81" s="822"/>
      <c r="I81" s="823" t="s">
        <v>19</v>
      </c>
      <c r="J81" s="824"/>
      <c r="K81" s="270">
        <f>D81</f>
        <v>2023</v>
      </c>
      <c r="L81" s="270">
        <f>E81</f>
        <v>2021</v>
      </c>
      <c r="M81" s="270">
        <f>F81</f>
        <v>2019</v>
      </c>
      <c r="N81" s="822"/>
      <c r="P81" s="823" t="s">
        <v>21</v>
      </c>
      <c r="Q81" s="824"/>
      <c r="R81" s="270">
        <f>K81</f>
        <v>2023</v>
      </c>
      <c r="S81" s="270">
        <f>L81</f>
        <v>2021</v>
      </c>
      <c r="T81" s="270">
        <f>M81</f>
        <v>2019</v>
      </c>
      <c r="U81" s="822"/>
      <c r="W81" s="266" t="s">
        <v>19</v>
      </c>
      <c r="X81" s="267">
        <v>2.2999999999999998</v>
      </c>
    </row>
    <row r="82" spans="1:24" ht="13.8" thickBot="1" x14ac:dyDescent="0.3">
      <c r="A82" s="829"/>
      <c r="B82" s="271">
        <v>1</v>
      </c>
      <c r="C82" s="272">
        <v>15</v>
      </c>
      <c r="D82" s="293">
        <v>0.4</v>
      </c>
      <c r="E82" s="293">
        <v>0.1</v>
      </c>
      <c r="F82" s="293">
        <v>9.9999999999999995E-7</v>
      </c>
      <c r="G82" s="274">
        <f>0.5*(MAX(D82:F82)-MIN(D82:F82))</f>
        <v>0.19999950000000002</v>
      </c>
      <c r="I82" s="271">
        <v>1</v>
      </c>
      <c r="J82" s="272">
        <v>30</v>
      </c>
      <c r="K82" s="293">
        <v>-4.5999999999999996</v>
      </c>
      <c r="L82" s="293">
        <v>-4</v>
      </c>
      <c r="M82" s="293">
        <v>-1.4</v>
      </c>
      <c r="N82" s="274">
        <f>0.5*(MAX(K82:M82)-MIN(K82:M82))</f>
        <v>1.5999999999999999</v>
      </c>
      <c r="P82" s="271">
        <v>1</v>
      </c>
      <c r="Q82" s="272">
        <v>960</v>
      </c>
      <c r="R82" s="293">
        <v>-1.5</v>
      </c>
      <c r="S82" s="293">
        <v>9.9999999999999995E-7</v>
      </c>
      <c r="T82" s="293">
        <v>9.9999999999999995E-7</v>
      </c>
      <c r="U82" s="274">
        <f>0.5*(MAX(R82:T82)-MIN(R82:T82))</f>
        <v>0.75000049999999996</v>
      </c>
      <c r="W82" s="275" t="s">
        <v>21</v>
      </c>
      <c r="X82" s="276">
        <v>2.5</v>
      </c>
    </row>
    <row r="83" spans="1:24" x14ac:dyDescent="0.25">
      <c r="A83" s="829"/>
      <c r="B83" s="271">
        <v>2</v>
      </c>
      <c r="C83" s="272">
        <v>20</v>
      </c>
      <c r="D83" s="293">
        <v>0.2</v>
      </c>
      <c r="E83" s="293">
        <v>9.9999999999999995E-7</v>
      </c>
      <c r="F83" s="293">
        <v>-0.2</v>
      </c>
      <c r="G83" s="274">
        <f t="shared" ref="G83:G88" si="21">0.5*(MAX(D83:F83)-MIN(D83:F83))</f>
        <v>0.2</v>
      </c>
      <c r="I83" s="271">
        <v>2</v>
      </c>
      <c r="J83" s="272">
        <v>40</v>
      </c>
      <c r="K83" s="293">
        <v>-4.5999999999999996</v>
      </c>
      <c r="L83" s="293">
        <v>-3.8</v>
      </c>
      <c r="M83" s="293">
        <v>-1.2</v>
      </c>
      <c r="N83" s="274">
        <f t="shared" ref="N83:N88" si="22">0.5*(MAX(K83:M83)-MIN(K83:M83))</f>
        <v>1.6999999999999997</v>
      </c>
      <c r="P83" s="271">
        <v>2</v>
      </c>
      <c r="Q83" s="272">
        <v>970</v>
      </c>
      <c r="R83" s="293">
        <v>-1</v>
      </c>
      <c r="S83" s="293">
        <v>9.9999999999999995E-7</v>
      </c>
      <c r="T83" s="293">
        <v>9.9999999999999995E-7</v>
      </c>
      <c r="U83" s="274">
        <f t="shared" ref="U83:U88" si="23">0.5*(MAX(R83:T83)-MIN(R83:T83))</f>
        <v>0.50000049999999996</v>
      </c>
    </row>
    <row r="84" spans="1:24" x14ac:dyDescent="0.25">
      <c r="A84" s="829"/>
      <c r="B84" s="271">
        <v>3</v>
      </c>
      <c r="C84" s="272">
        <v>25</v>
      </c>
      <c r="D84" s="293">
        <v>0</v>
      </c>
      <c r="E84" s="293">
        <v>-0.1</v>
      </c>
      <c r="F84" s="293">
        <v>-0.4</v>
      </c>
      <c r="G84" s="274">
        <f t="shared" si="21"/>
        <v>0.2</v>
      </c>
      <c r="I84" s="271">
        <v>3</v>
      </c>
      <c r="J84" s="272">
        <v>50</v>
      </c>
      <c r="K84" s="293">
        <v>-5</v>
      </c>
      <c r="L84" s="293">
        <v>-3.8</v>
      </c>
      <c r="M84" s="293">
        <v>-1.2</v>
      </c>
      <c r="N84" s="274">
        <f t="shared" si="22"/>
        <v>1.9</v>
      </c>
      <c r="P84" s="271">
        <v>3</v>
      </c>
      <c r="Q84" s="272">
        <v>980</v>
      </c>
      <c r="R84" s="293">
        <v>-0.6</v>
      </c>
      <c r="S84" s="293">
        <v>9.9999999999999995E-7</v>
      </c>
      <c r="T84" s="293">
        <v>9.9999999999999995E-7</v>
      </c>
      <c r="U84" s="274">
        <f t="shared" si="23"/>
        <v>0.3000005</v>
      </c>
    </row>
    <row r="85" spans="1:24" x14ac:dyDescent="0.25">
      <c r="A85" s="829"/>
      <c r="B85" s="271">
        <v>4</v>
      </c>
      <c r="C85" s="277">
        <v>30</v>
      </c>
      <c r="D85" s="295">
        <v>-0.1</v>
      </c>
      <c r="E85" s="295">
        <v>-0.2</v>
      </c>
      <c r="F85" s="600">
        <v>-0.4</v>
      </c>
      <c r="G85" s="274">
        <f t="shared" si="21"/>
        <v>0.15000000000000002</v>
      </c>
      <c r="I85" s="271">
        <v>4</v>
      </c>
      <c r="J85" s="277">
        <v>60</v>
      </c>
      <c r="K85" s="295">
        <v>-5.6</v>
      </c>
      <c r="L85" s="295">
        <v>-3.9</v>
      </c>
      <c r="M85" s="600">
        <v>-1.1000000000000001</v>
      </c>
      <c r="N85" s="274">
        <f t="shared" si="22"/>
        <v>2.25</v>
      </c>
      <c r="P85" s="271">
        <v>4</v>
      </c>
      <c r="Q85" s="277">
        <v>990</v>
      </c>
      <c r="R85" s="295">
        <v>-0.2</v>
      </c>
      <c r="S85" s="295">
        <v>-4.4000000000000004</v>
      </c>
      <c r="T85" s="600">
        <v>9.9999999999999995E-7</v>
      </c>
      <c r="U85" s="274">
        <f t="shared" si="23"/>
        <v>2.2000005000000002</v>
      </c>
    </row>
    <row r="86" spans="1:24" x14ac:dyDescent="0.25">
      <c r="A86" s="829"/>
      <c r="B86" s="271">
        <v>5</v>
      </c>
      <c r="C86" s="277">
        <v>35</v>
      </c>
      <c r="D86" s="295">
        <v>-0.1</v>
      </c>
      <c r="E86" s="295">
        <v>-0.1</v>
      </c>
      <c r="F86" s="600">
        <v>-0.5</v>
      </c>
      <c r="G86" s="274">
        <f t="shared" si="21"/>
        <v>0.2</v>
      </c>
      <c r="I86" s="271">
        <v>5</v>
      </c>
      <c r="J86" s="277">
        <v>70</v>
      </c>
      <c r="K86" s="295">
        <v>-6.5</v>
      </c>
      <c r="L86" s="295">
        <v>-4.0999999999999996</v>
      </c>
      <c r="M86" s="600">
        <v>-1.2</v>
      </c>
      <c r="N86" s="274">
        <f t="shared" si="22"/>
        <v>2.65</v>
      </c>
      <c r="P86" s="271">
        <v>5</v>
      </c>
      <c r="Q86" s="277">
        <v>1000</v>
      </c>
      <c r="R86" s="295">
        <v>0.2</v>
      </c>
      <c r="S86" s="295">
        <v>-3.5</v>
      </c>
      <c r="T86" s="600">
        <v>0.2</v>
      </c>
      <c r="U86" s="274">
        <f t="shared" si="23"/>
        <v>1.85</v>
      </c>
    </row>
    <row r="87" spans="1:24" x14ac:dyDescent="0.25">
      <c r="A87" s="829"/>
      <c r="B87" s="271">
        <v>6</v>
      </c>
      <c r="C87" s="277">
        <v>37</v>
      </c>
      <c r="D87" s="295">
        <v>-0.1</v>
      </c>
      <c r="E87" s="295">
        <v>-0.1</v>
      </c>
      <c r="F87" s="600">
        <v>-0.5</v>
      </c>
      <c r="G87" s="274">
        <f t="shared" si="21"/>
        <v>0.2</v>
      </c>
      <c r="I87" s="271">
        <v>6</v>
      </c>
      <c r="J87" s="277">
        <v>80</v>
      </c>
      <c r="K87" s="295">
        <v>-7.6</v>
      </c>
      <c r="L87" s="295">
        <v>-4.5</v>
      </c>
      <c r="M87" s="600">
        <v>-1.2</v>
      </c>
      <c r="N87" s="274">
        <f t="shared" si="22"/>
        <v>3.1999999999999997</v>
      </c>
      <c r="P87" s="271">
        <v>6</v>
      </c>
      <c r="Q87" s="277">
        <v>1010</v>
      </c>
      <c r="R87" s="295">
        <v>0.6</v>
      </c>
      <c r="S87" s="295">
        <v>-3.4</v>
      </c>
      <c r="T87" s="600">
        <v>0.2</v>
      </c>
      <c r="U87" s="274">
        <f t="shared" si="23"/>
        <v>2</v>
      </c>
    </row>
    <row r="88" spans="1:24" x14ac:dyDescent="0.25">
      <c r="A88" s="829"/>
      <c r="B88" s="271">
        <v>7</v>
      </c>
      <c r="C88" s="277">
        <v>40</v>
      </c>
      <c r="D88" s="295">
        <v>-0.1</v>
      </c>
      <c r="E88" s="295">
        <v>9.9999999999999995E-7</v>
      </c>
      <c r="F88" s="600">
        <v>-0.4</v>
      </c>
      <c r="G88" s="274">
        <f t="shared" si="21"/>
        <v>0.2000005</v>
      </c>
      <c r="I88" s="271">
        <v>7</v>
      </c>
      <c r="J88" s="277">
        <v>90</v>
      </c>
      <c r="K88" s="295">
        <v>-9.1</v>
      </c>
      <c r="L88" s="295">
        <v>-4.9000000000000004</v>
      </c>
      <c r="M88" s="600">
        <v>-1.3</v>
      </c>
      <c r="N88" s="274">
        <f t="shared" si="22"/>
        <v>3.9</v>
      </c>
      <c r="P88" s="271">
        <v>7</v>
      </c>
      <c r="Q88" s="277">
        <v>1020</v>
      </c>
      <c r="R88" s="295">
        <v>0.6</v>
      </c>
      <c r="S88" s="295">
        <v>-3.4</v>
      </c>
      <c r="T88" s="600">
        <v>9.9999999999999995E-7</v>
      </c>
      <c r="U88" s="274">
        <f t="shared" si="23"/>
        <v>2</v>
      </c>
    </row>
    <row r="89" spans="1:24" ht="13.8" thickBot="1" x14ac:dyDescent="0.3">
      <c r="A89" s="287"/>
      <c r="B89" s="284"/>
      <c r="C89" s="284"/>
      <c r="D89" s="284"/>
      <c r="E89" s="285"/>
      <c r="G89" s="284"/>
      <c r="I89" s="284"/>
      <c r="J89" s="284"/>
      <c r="K89" s="284"/>
      <c r="L89" s="285"/>
      <c r="N89" s="284"/>
      <c r="R89" s="281"/>
    </row>
    <row r="90" spans="1:24" x14ac:dyDescent="0.25">
      <c r="A90" s="829">
        <v>9</v>
      </c>
      <c r="B90" s="814" t="s">
        <v>165</v>
      </c>
      <c r="C90" s="814"/>
      <c r="D90" s="814"/>
      <c r="E90" s="814"/>
      <c r="F90" s="814"/>
      <c r="G90" s="814"/>
      <c r="I90" s="814" t="str">
        <f>B90</f>
        <v>KOREKSI GREISINGER 34904091</v>
      </c>
      <c r="J90" s="814"/>
      <c r="K90" s="814"/>
      <c r="L90" s="814"/>
      <c r="M90" s="814"/>
      <c r="N90" s="814"/>
      <c r="P90" s="814" t="str">
        <f>I90</f>
        <v>KOREKSI GREISINGER 34904091</v>
      </c>
      <c r="Q90" s="814"/>
      <c r="R90" s="814"/>
      <c r="S90" s="814"/>
      <c r="T90" s="814"/>
      <c r="U90" s="814"/>
      <c r="W90" s="820" t="s">
        <v>152</v>
      </c>
      <c r="X90" s="821"/>
    </row>
    <row r="91" spans="1:24" x14ac:dyDescent="0.25">
      <c r="A91" s="829"/>
      <c r="B91" s="822" t="s">
        <v>153</v>
      </c>
      <c r="C91" s="822"/>
      <c r="D91" s="822" t="s">
        <v>154</v>
      </c>
      <c r="E91" s="822"/>
      <c r="F91" s="822"/>
      <c r="G91" s="822" t="s">
        <v>155</v>
      </c>
      <c r="I91" s="822" t="s">
        <v>18</v>
      </c>
      <c r="J91" s="822"/>
      <c r="K91" s="822" t="s">
        <v>154</v>
      </c>
      <c r="L91" s="822"/>
      <c r="M91" s="822"/>
      <c r="N91" s="822" t="s">
        <v>155</v>
      </c>
      <c r="P91" s="822" t="s">
        <v>156</v>
      </c>
      <c r="Q91" s="822"/>
      <c r="R91" s="822" t="s">
        <v>154</v>
      </c>
      <c r="S91" s="822"/>
      <c r="T91" s="822"/>
      <c r="U91" s="822" t="s">
        <v>155</v>
      </c>
      <c r="W91" s="266" t="s">
        <v>153</v>
      </c>
      <c r="X91" s="267">
        <v>0.3</v>
      </c>
    </row>
    <row r="92" spans="1:24" ht="14.4" x14ac:dyDescent="0.25">
      <c r="A92" s="829"/>
      <c r="B92" s="824" t="s">
        <v>157</v>
      </c>
      <c r="C92" s="824"/>
      <c r="D92" s="269">
        <v>2019</v>
      </c>
      <c r="E92" s="288" t="s">
        <v>82</v>
      </c>
      <c r="F92" s="269" t="s">
        <v>82</v>
      </c>
      <c r="G92" s="822"/>
      <c r="I92" s="823" t="s">
        <v>19</v>
      </c>
      <c r="J92" s="824"/>
      <c r="K92" s="270">
        <f>D92</f>
        <v>2019</v>
      </c>
      <c r="L92" s="270" t="str">
        <f>E92</f>
        <v>-</v>
      </c>
      <c r="M92" s="270" t="str">
        <f>F92</f>
        <v>-</v>
      </c>
      <c r="N92" s="822"/>
      <c r="P92" s="823" t="s">
        <v>21</v>
      </c>
      <c r="Q92" s="824"/>
      <c r="R92" s="270">
        <f>K92</f>
        <v>2019</v>
      </c>
      <c r="S92" s="270" t="str">
        <f>L92</f>
        <v>-</v>
      </c>
      <c r="T92" s="270" t="str">
        <f>M92</f>
        <v>-</v>
      </c>
      <c r="U92" s="822"/>
      <c r="W92" s="266" t="s">
        <v>19</v>
      </c>
      <c r="X92" s="267">
        <v>2.4</v>
      </c>
    </row>
    <row r="93" spans="1:24" ht="13.8" thickBot="1" x14ac:dyDescent="0.3">
      <c r="A93" s="829"/>
      <c r="B93" s="271">
        <v>1</v>
      </c>
      <c r="C93" s="272">
        <v>15</v>
      </c>
      <c r="D93" s="273">
        <v>9.9999999999999995E-7</v>
      </c>
      <c r="E93" s="273" t="s">
        <v>82</v>
      </c>
      <c r="F93" s="273" t="s">
        <v>82</v>
      </c>
      <c r="G93" s="274">
        <f>0.5*(MAX(D93:F93)-MIN(D93:F93))</f>
        <v>0</v>
      </c>
      <c r="I93" s="271">
        <v>1</v>
      </c>
      <c r="J93" s="272">
        <v>30</v>
      </c>
      <c r="K93" s="273">
        <v>-1.2</v>
      </c>
      <c r="L93" s="273" t="s">
        <v>82</v>
      </c>
      <c r="M93" s="273" t="s">
        <v>82</v>
      </c>
      <c r="N93" s="274">
        <f>0.5*(MAX(K93:M93)-MIN(K93:M93))</f>
        <v>0</v>
      </c>
      <c r="P93" s="271">
        <v>1</v>
      </c>
      <c r="Q93" s="272">
        <v>750</v>
      </c>
      <c r="R93" s="273">
        <v>9.9999999999999995E-7</v>
      </c>
      <c r="S93" s="273" t="s">
        <v>82</v>
      </c>
      <c r="T93" s="273" t="s">
        <v>82</v>
      </c>
      <c r="U93" s="274">
        <f>0.5*(MAX(R93:T93)-MIN(R93:T93))</f>
        <v>0</v>
      </c>
      <c r="W93" s="275" t="s">
        <v>21</v>
      </c>
      <c r="X93" s="276">
        <v>2.2000000000000002</v>
      </c>
    </row>
    <row r="94" spans="1:24" x14ac:dyDescent="0.25">
      <c r="A94" s="829"/>
      <c r="B94" s="271">
        <v>2</v>
      </c>
      <c r="C94" s="272">
        <v>20</v>
      </c>
      <c r="D94" s="273">
        <v>-0.2</v>
      </c>
      <c r="E94" s="273" t="s">
        <v>82</v>
      </c>
      <c r="F94" s="273" t="s">
        <v>82</v>
      </c>
      <c r="G94" s="274">
        <f t="shared" ref="G94:G99" si="24">0.5*(MAX(D94:F94)-MIN(D94:F94))</f>
        <v>0</v>
      </c>
      <c r="I94" s="271">
        <v>2</v>
      </c>
      <c r="J94" s="272">
        <v>40</v>
      </c>
      <c r="K94" s="273">
        <v>-1</v>
      </c>
      <c r="L94" s="273" t="s">
        <v>82</v>
      </c>
      <c r="M94" s="273" t="s">
        <v>82</v>
      </c>
      <c r="N94" s="274">
        <f t="shared" ref="N94:N99" si="25">0.5*(MAX(K94:M94)-MIN(K94:M94))</f>
        <v>0</v>
      </c>
      <c r="P94" s="271">
        <v>2</v>
      </c>
      <c r="Q94" s="272">
        <v>800</v>
      </c>
      <c r="R94" s="273">
        <v>9.9999999999999995E-7</v>
      </c>
      <c r="S94" s="273" t="s">
        <v>82</v>
      </c>
      <c r="T94" s="273" t="s">
        <v>82</v>
      </c>
      <c r="U94" s="274">
        <f t="shared" ref="U94:U99" si="26">0.5*(MAX(R94:T94)-MIN(R94:T94))</f>
        <v>0</v>
      </c>
    </row>
    <row r="95" spans="1:24" x14ac:dyDescent="0.25">
      <c r="A95" s="829"/>
      <c r="B95" s="271">
        <v>3</v>
      </c>
      <c r="C95" s="272">
        <v>25</v>
      </c>
      <c r="D95" s="273">
        <v>-0.4</v>
      </c>
      <c r="E95" s="273" t="s">
        <v>82</v>
      </c>
      <c r="F95" s="273" t="s">
        <v>82</v>
      </c>
      <c r="G95" s="274">
        <f t="shared" si="24"/>
        <v>0</v>
      </c>
      <c r="I95" s="271">
        <v>3</v>
      </c>
      <c r="J95" s="272">
        <v>50</v>
      </c>
      <c r="K95" s="273">
        <v>-0.9</v>
      </c>
      <c r="L95" s="273" t="s">
        <v>82</v>
      </c>
      <c r="M95" s="273" t="s">
        <v>82</v>
      </c>
      <c r="N95" s="274">
        <f t="shared" si="25"/>
        <v>0</v>
      </c>
      <c r="P95" s="271">
        <v>3</v>
      </c>
      <c r="Q95" s="272">
        <v>850</v>
      </c>
      <c r="R95" s="273">
        <v>9.9999999999999995E-7</v>
      </c>
      <c r="S95" s="273" t="s">
        <v>82</v>
      </c>
      <c r="T95" s="273" t="s">
        <v>82</v>
      </c>
      <c r="U95" s="274">
        <f t="shared" si="26"/>
        <v>0</v>
      </c>
    </row>
    <row r="96" spans="1:24" x14ac:dyDescent="0.25">
      <c r="A96" s="829"/>
      <c r="B96" s="271">
        <v>4</v>
      </c>
      <c r="C96" s="277">
        <v>30</v>
      </c>
      <c r="D96" s="278">
        <v>-0.5</v>
      </c>
      <c r="E96" s="279" t="s">
        <v>82</v>
      </c>
      <c r="F96" s="273" t="s">
        <v>82</v>
      </c>
      <c r="G96" s="274">
        <f t="shared" si="24"/>
        <v>0</v>
      </c>
      <c r="I96" s="271">
        <v>4</v>
      </c>
      <c r="J96" s="277">
        <v>60</v>
      </c>
      <c r="K96" s="278">
        <v>-0.8</v>
      </c>
      <c r="L96" s="279" t="s">
        <v>82</v>
      </c>
      <c r="M96" s="273" t="s">
        <v>82</v>
      </c>
      <c r="N96" s="274">
        <f t="shared" si="25"/>
        <v>0</v>
      </c>
      <c r="P96" s="271">
        <v>4</v>
      </c>
      <c r="Q96" s="277">
        <v>900</v>
      </c>
      <c r="R96" s="278">
        <v>9.9999999999999995E-7</v>
      </c>
      <c r="S96" s="279" t="s">
        <v>82</v>
      </c>
      <c r="T96" s="273" t="s">
        <v>82</v>
      </c>
      <c r="U96" s="274">
        <f t="shared" si="26"/>
        <v>0</v>
      </c>
    </row>
    <row r="97" spans="1:28" x14ac:dyDescent="0.25">
      <c r="A97" s="829"/>
      <c r="B97" s="271">
        <v>5</v>
      </c>
      <c r="C97" s="277">
        <v>35</v>
      </c>
      <c r="D97" s="278">
        <v>-0.5</v>
      </c>
      <c r="E97" s="279" t="s">
        <v>82</v>
      </c>
      <c r="F97" s="273" t="s">
        <v>82</v>
      </c>
      <c r="G97" s="274">
        <f t="shared" si="24"/>
        <v>0</v>
      </c>
      <c r="I97" s="271">
        <v>5</v>
      </c>
      <c r="J97" s="277">
        <v>70</v>
      </c>
      <c r="K97" s="278">
        <v>-0.6</v>
      </c>
      <c r="L97" s="279" t="s">
        <v>82</v>
      </c>
      <c r="M97" s="273" t="s">
        <v>82</v>
      </c>
      <c r="N97" s="274">
        <f t="shared" si="25"/>
        <v>0</v>
      </c>
      <c r="P97" s="271">
        <v>5</v>
      </c>
      <c r="Q97" s="277">
        <v>1000</v>
      </c>
      <c r="R97" s="278">
        <v>0.2</v>
      </c>
      <c r="S97" s="279" t="s">
        <v>82</v>
      </c>
      <c r="T97" s="273" t="s">
        <v>82</v>
      </c>
      <c r="U97" s="274">
        <f t="shared" si="26"/>
        <v>0</v>
      </c>
    </row>
    <row r="98" spans="1:28" x14ac:dyDescent="0.25">
      <c r="A98" s="829"/>
      <c r="B98" s="271">
        <v>6</v>
      </c>
      <c r="C98" s="277">
        <v>37</v>
      </c>
      <c r="D98" s="278">
        <v>-0.5</v>
      </c>
      <c r="E98" s="279" t="s">
        <v>82</v>
      </c>
      <c r="F98" s="273" t="s">
        <v>82</v>
      </c>
      <c r="G98" s="274">
        <f t="shared" si="24"/>
        <v>0</v>
      </c>
      <c r="I98" s="271">
        <v>6</v>
      </c>
      <c r="J98" s="277">
        <v>80</v>
      </c>
      <c r="K98" s="278">
        <v>-0.5</v>
      </c>
      <c r="L98" s="279" t="s">
        <v>82</v>
      </c>
      <c r="M98" s="273" t="s">
        <v>82</v>
      </c>
      <c r="N98" s="274">
        <f t="shared" si="25"/>
        <v>0</v>
      </c>
      <c r="P98" s="271">
        <v>6</v>
      </c>
      <c r="Q98" s="277">
        <v>1005</v>
      </c>
      <c r="R98" s="278">
        <v>0.2</v>
      </c>
      <c r="S98" s="279" t="s">
        <v>82</v>
      </c>
      <c r="T98" s="273" t="s">
        <v>82</v>
      </c>
      <c r="U98" s="274">
        <f t="shared" si="26"/>
        <v>0</v>
      </c>
    </row>
    <row r="99" spans="1:28" x14ac:dyDescent="0.25">
      <c r="A99" s="829"/>
      <c r="B99" s="271">
        <v>7</v>
      </c>
      <c r="C99" s="277">
        <v>40</v>
      </c>
      <c r="D99" s="278">
        <v>-0.4</v>
      </c>
      <c r="E99" s="279" t="s">
        <v>82</v>
      </c>
      <c r="F99" s="273" t="s">
        <v>82</v>
      </c>
      <c r="G99" s="274">
        <f t="shared" si="24"/>
        <v>0</v>
      </c>
      <c r="I99" s="271">
        <v>7</v>
      </c>
      <c r="J99" s="277">
        <v>90</v>
      </c>
      <c r="K99" s="278">
        <v>-0.2</v>
      </c>
      <c r="L99" s="279" t="s">
        <v>82</v>
      </c>
      <c r="M99" s="273" t="s">
        <v>82</v>
      </c>
      <c r="N99" s="274">
        <f t="shared" si="25"/>
        <v>0</v>
      </c>
      <c r="P99" s="271">
        <v>7</v>
      </c>
      <c r="Q99" s="277">
        <v>1020</v>
      </c>
      <c r="R99" s="278">
        <v>9.9999999999999995E-7</v>
      </c>
      <c r="S99" s="279" t="s">
        <v>82</v>
      </c>
      <c r="T99" s="273" t="s">
        <v>82</v>
      </c>
      <c r="U99" s="274">
        <f t="shared" si="26"/>
        <v>0</v>
      </c>
    </row>
    <row r="100" spans="1:28" ht="13.8" thickBot="1" x14ac:dyDescent="0.3">
      <c r="A100" s="287"/>
      <c r="B100" s="284"/>
      <c r="C100" s="284"/>
      <c r="D100" s="284"/>
      <c r="E100" s="285"/>
      <c r="G100" s="284"/>
      <c r="I100" s="284"/>
      <c r="J100" s="284"/>
      <c r="K100" s="284"/>
      <c r="L100" s="285"/>
      <c r="N100" s="284"/>
      <c r="R100" s="281"/>
      <c r="AB100" s="286"/>
    </row>
    <row r="101" spans="1:28" x14ac:dyDescent="0.25">
      <c r="A101" s="829">
        <v>10</v>
      </c>
      <c r="B101" s="814" t="s">
        <v>166</v>
      </c>
      <c r="C101" s="814"/>
      <c r="D101" s="814"/>
      <c r="E101" s="814"/>
      <c r="F101" s="814"/>
      <c r="G101" s="814"/>
      <c r="I101" s="814" t="str">
        <f>B101</f>
        <v>KOREKSI Sekonic HE-21.000669</v>
      </c>
      <c r="J101" s="814"/>
      <c r="K101" s="814"/>
      <c r="L101" s="814"/>
      <c r="M101" s="814"/>
      <c r="N101" s="814"/>
      <c r="P101" s="814" t="str">
        <f>I101</f>
        <v>KOREKSI Sekonic HE-21.000669</v>
      </c>
      <c r="Q101" s="814"/>
      <c r="R101" s="814"/>
      <c r="S101" s="814"/>
      <c r="T101" s="814"/>
      <c r="U101" s="814"/>
      <c r="W101" s="820" t="s">
        <v>152</v>
      </c>
      <c r="X101" s="821"/>
    </row>
    <row r="102" spans="1:28" x14ac:dyDescent="0.25">
      <c r="A102" s="829"/>
      <c r="B102" s="822" t="s">
        <v>153</v>
      </c>
      <c r="C102" s="822"/>
      <c r="D102" s="822" t="s">
        <v>154</v>
      </c>
      <c r="E102" s="822"/>
      <c r="F102" s="822"/>
      <c r="G102" s="822" t="s">
        <v>155</v>
      </c>
      <c r="I102" s="822" t="s">
        <v>18</v>
      </c>
      <c r="J102" s="822"/>
      <c r="K102" s="822" t="s">
        <v>154</v>
      </c>
      <c r="L102" s="822"/>
      <c r="M102" s="822"/>
      <c r="N102" s="822" t="s">
        <v>155</v>
      </c>
      <c r="P102" s="822" t="s">
        <v>156</v>
      </c>
      <c r="Q102" s="822"/>
      <c r="R102" s="822" t="s">
        <v>154</v>
      </c>
      <c r="S102" s="822"/>
      <c r="T102" s="822"/>
      <c r="U102" s="822" t="s">
        <v>155</v>
      </c>
      <c r="W102" s="266" t="s">
        <v>153</v>
      </c>
      <c r="X102" s="267">
        <v>0.3</v>
      </c>
    </row>
    <row r="103" spans="1:28" ht="14.4" x14ac:dyDescent="0.25">
      <c r="A103" s="829"/>
      <c r="B103" s="824" t="s">
        <v>157</v>
      </c>
      <c r="C103" s="824"/>
      <c r="D103" s="269">
        <v>2019</v>
      </c>
      <c r="E103" s="269">
        <v>2016</v>
      </c>
      <c r="F103" s="269" t="s">
        <v>82</v>
      </c>
      <c r="G103" s="822"/>
      <c r="I103" s="823" t="s">
        <v>19</v>
      </c>
      <c r="J103" s="824"/>
      <c r="K103" s="270">
        <f>D103</f>
        <v>2019</v>
      </c>
      <c r="L103" s="270">
        <f>E103</f>
        <v>2016</v>
      </c>
      <c r="M103" s="270" t="str">
        <f>F103</f>
        <v>-</v>
      </c>
      <c r="N103" s="822"/>
      <c r="P103" s="823" t="s">
        <v>21</v>
      </c>
      <c r="Q103" s="824"/>
      <c r="R103" s="270">
        <f>K103</f>
        <v>2019</v>
      </c>
      <c r="S103" s="270">
        <f>L103</f>
        <v>2016</v>
      </c>
      <c r="T103" s="270" t="str">
        <f>M103</f>
        <v>-</v>
      </c>
      <c r="U103" s="822"/>
      <c r="W103" s="266" t="s">
        <v>19</v>
      </c>
      <c r="X103" s="267">
        <v>1.5</v>
      </c>
    </row>
    <row r="104" spans="1:28" ht="13.8" thickBot="1" x14ac:dyDescent="0.3">
      <c r="A104" s="829"/>
      <c r="B104" s="271">
        <v>1</v>
      </c>
      <c r="C104" s="272">
        <v>15</v>
      </c>
      <c r="D104" s="273">
        <v>0.2</v>
      </c>
      <c r="E104" s="273">
        <v>0.2</v>
      </c>
      <c r="F104" s="273" t="s">
        <v>82</v>
      </c>
      <c r="G104" s="274">
        <f>0.5*(MAX(D104:F104)-MIN(D104:F104))</f>
        <v>0</v>
      </c>
      <c r="I104" s="271">
        <v>1</v>
      </c>
      <c r="J104" s="272">
        <v>30</v>
      </c>
      <c r="K104" s="273">
        <v>-2.9</v>
      </c>
      <c r="L104" s="273">
        <v>-5.8</v>
      </c>
      <c r="M104" s="273" t="s">
        <v>82</v>
      </c>
      <c r="N104" s="274">
        <f>0.5*(MAX(K104:M104)-MIN(K104:M104))</f>
        <v>1.45</v>
      </c>
      <c r="P104" s="271">
        <v>1</v>
      </c>
      <c r="Q104" s="272">
        <v>750</v>
      </c>
      <c r="R104" s="273" t="s">
        <v>82</v>
      </c>
      <c r="S104" s="273" t="s">
        <v>82</v>
      </c>
      <c r="T104" s="273" t="s">
        <v>82</v>
      </c>
      <c r="U104" s="274">
        <f>0.5*(MAX(R104:T104)-MIN(R104:T104))</f>
        <v>0</v>
      </c>
      <c r="W104" s="275" t="s">
        <v>21</v>
      </c>
      <c r="X104" s="276">
        <v>0</v>
      </c>
    </row>
    <row r="105" spans="1:28" x14ac:dyDescent="0.25">
      <c r="A105" s="829"/>
      <c r="B105" s="271">
        <v>2</v>
      </c>
      <c r="C105" s="272">
        <v>20</v>
      </c>
      <c r="D105" s="273">
        <v>0.2</v>
      </c>
      <c r="E105" s="273">
        <v>-0.7</v>
      </c>
      <c r="F105" s="273" t="s">
        <v>82</v>
      </c>
      <c r="G105" s="274">
        <f t="shared" ref="G105:G110" si="27">0.5*(MAX(D105:F105)-MIN(D105:F105))</f>
        <v>0.44999999999999996</v>
      </c>
      <c r="I105" s="271">
        <v>2</v>
      </c>
      <c r="J105" s="272">
        <v>40</v>
      </c>
      <c r="K105" s="273">
        <v>-3.3</v>
      </c>
      <c r="L105" s="273">
        <v>-6.4</v>
      </c>
      <c r="M105" s="273" t="s">
        <v>82</v>
      </c>
      <c r="N105" s="274">
        <f t="shared" ref="N105:N110" si="28">0.5*(MAX(K105:M105)-MIN(K105:M105))</f>
        <v>1.5500000000000003</v>
      </c>
      <c r="P105" s="271">
        <v>2</v>
      </c>
      <c r="Q105" s="272">
        <v>800</v>
      </c>
      <c r="R105" s="273" t="s">
        <v>82</v>
      </c>
      <c r="S105" s="273" t="s">
        <v>82</v>
      </c>
      <c r="T105" s="273" t="s">
        <v>82</v>
      </c>
      <c r="U105" s="274">
        <f t="shared" ref="U105:U110" si="29">0.5*(MAX(R105:T105)-MIN(R105:T105))</f>
        <v>0</v>
      </c>
    </row>
    <row r="106" spans="1:28" x14ac:dyDescent="0.25">
      <c r="A106" s="829"/>
      <c r="B106" s="271">
        <v>3</v>
      </c>
      <c r="C106" s="272">
        <v>25</v>
      </c>
      <c r="D106" s="273">
        <v>0.1</v>
      </c>
      <c r="E106" s="273">
        <v>-0.5</v>
      </c>
      <c r="F106" s="273" t="s">
        <v>82</v>
      </c>
      <c r="G106" s="274">
        <f t="shared" si="27"/>
        <v>0.3</v>
      </c>
      <c r="I106" s="271">
        <v>3</v>
      </c>
      <c r="J106" s="272">
        <v>50</v>
      </c>
      <c r="K106" s="273">
        <v>-3.1</v>
      </c>
      <c r="L106" s="273">
        <v>-6.1</v>
      </c>
      <c r="M106" s="273" t="s">
        <v>82</v>
      </c>
      <c r="N106" s="274">
        <f t="shared" si="28"/>
        <v>1.4999999999999998</v>
      </c>
      <c r="P106" s="271">
        <v>3</v>
      </c>
      <c r="Q106" s="272">
        <v>850</v>
      </c>
      <c r="R106" s="273" t="s">
        <v>82</v>
      </c>
      <c r="S106" s="273" t="s">
        <v>82</v>
      </c>
      <c r="T106" s="273" t="s">
        <v>82</v>
      </c>
      <c r="U106" s="274">
        <f t="shared" si="29"/>
        <v>0</v>
      </c>
    </row>
    <row r="107" spans="1:28" x14ac:dyDescent="0.25">
      <c r="A107" s="829"/>
      <c r="B107" s="271">
        <v>4</v>
      </c>
      <c r="C107" s="277">
        <v>30</v>
      </c>
      <c r="D107" s="278">
        <v>0.1</v>
      </c>
      <c r="E107" s="279">
        <v>0.2</v>
      </c>
      <c r="F107" s="273" t="s">
        <v>82</v>
      </c>
      <c r="G107" s="274">
        <f t="shared" si="27"/>
        <v>0.05</v>
      </c>
      <c r="I107" s="271">
        <v>4</v>
      </c>
      <c r="J107" s="277">
        <v>60</v>
      </c>
      <c r="K107" s="278">
        <v>-2.1</v>
      </c>
      <c r="L107" s="279">
        <v>-5.6</v>
      </c>
      <c r="M107" s="273" t="s">
        <v>82</v>
      </c>
      <c r="N107" s="274">
        <f t="shared" si="28"/>
        <v>1.7499999999999998</v>
      </c>
      <c r="P107" s="271">
        <v>4</v>
      </c>
      <c r="Q107" s="277">
        <v>900</v>
      </c>
      <c r="R107" s="278" t="s">
        <v>82</v>
      </c>
      <c r="S107" s="279" t="s">
        <v>82</v>
      </c>
      <c r="T107" s="273" t="s">
        <v>82</v>
      </c>
      <c r="U107" s="274">
        <f t="shared" si="29"/>
        <v>0</v>
      </c>
    </row>
    <row r="108" spans="1:28" x14ac:dyDescent="0.25">
      <c r="A108" s="829"/>
      <c r="B108" s="271">
        <v>5</v>
      </c>
      <c r="C108" s="277">
        <v>35</v>
      </c>
      <c r="D108" s="278">
        <v>0.2</v>
      </c>
      <c r="E108" s="279">
        <v>0.8</v>
      </c>
      <c r="F108" s="273" t="s">
        <v>82</v>
      </c>
      <c r="G108" s="274">
        <f t="shared" si="27"/>
        <v>0.30000000000000004</v>
      </c>
      <c r="I108" s="271">
        <v>5</v>
      </c>
      <c r="J108" s="277">
        <v>70</v>
      </c>
      <c r="K108" s="278">
        <v>-0.3</v>
      </c>
      <c r="L108" s="279">
        <v>-5.0999999999999996</v>
      </c>
      <c r="M108" s="273" t="s">
        <v>82</v>
      </c>
      <c r="N108" s="274">
        <f t="shared" si="28"/>
        <v>2.4</v>
      </c>
      <c r="P108" s="271">
        <v>5</v>
      </c>
      <c r="Q108" s="277">
        <v>1000</v>
      </c>
      <c r="R108" s="278" t="s">
        <v>82</v>
      </c>
      <c r="S108" s="279" t="s">
        <v>82</v>
      </c>
      <c r="T108" s="273" t="s">
        <v>82</v>
      </c>
      <c r="U108" s="274">
        <f t="shared" si="29"/>
        <v>0</v>
      </c>
    </row>
    <row r="109" spans="1:28" x14ac:dyDescent="0.25">
      <c r="A109" s="829"/>
      <c r="B109" s="271">
        <v>6</v>
      </c>
      <c r="C109" s="277">
        <v>37</v>
      </c>
      <c r="D109" s="278">
        <v>0.2</v>
      </c>
      <c r="E109" s="279">
        <v>0.4</v>
      </c>
      <c r="F109" s="273" t="s">
        <v>82</v>
      </c>
      <c r="G109" s="274">
        <f t="shared" si="27"/>
        <v>0.1</v>
      </c>
      <c r="I109" s="271">
        <v>6</v>
      </c>
      <c r="J109" s="277">
        <v>80</v>
      </c>
      <c r="K109" s="278">
        <v>2.2000000000000002</v>
      </c>
      <c r="L109" s="279">
        <v>-4.7</v>
      </c>
      <c r="M109" s="273" t="s">
        <v>82</v>
      </c>
      <c r="N109" s="274">
        <f t="shared" si="28"/>
        <v>3.45</v>
      </c>
      <c r="P109" s="271">
        <v>6</v>
      </c>
      <c r="Q109" s="277">
        <v>1005</v>
      </c>
      <c r="R109" s="278" t="s">
        <v>82</v>
      </c>
      <c r="S109" s="279" t="s">
        <v>82</v>
      </c>
      <c r="T109" s="273" t="s">
        <v>82</v>
      </c>
      <c r="U109" s="274">
        <f t="shared" si="29"/>
        <v>0</v>
      </c>
    </row>
    <row r="110" spans="1:28" x14ac:dyDescent="0.25">
      <c r="A110" s="829"/>
      <c r="B110" s="271">
        <v>7</v>
      </c>
      <c r="C110" s="277">
        <v>40</v>
      </c>
      <c r="D110" s="278">
        <v>0.2</v>
      </c>
      <c r="E110" s="279">
        <v>9.9999999999999995E-7</v>
      </c>
      <c r="F110" s="273" t="s">
        <v>82</v>
      </c>
      <c r="G110" s="274">
        <f t="shared" si="27"/>
        <v>9.9999500000000005E-2</v>
      </c>
      <c r="I110" s="271">
        <v>7</v>
      </c>
      <c r="J110" s="277">
        <v>90</v>
      </c>
      <c r="K110" s="278">
        <v>5.4</v>
      </c>
      <c r="L110" s="279">
        <v>9.9999999999999995E-7</v>
      </c>
      <c r="M110" s="273" t="s">
        <v>82</v>
      </c>
      <c r="N110" s="274">
        <f t="shared" si="28"/>
        <v>2.6999995000000001</v>
      </c>
      <c r="P110" s="271">
        <v>7</v>
      </c>
      <c r="Q110" s="277">
        <v>1020</v>
      </c>
      <c r="R110" s="278" t="s">
        <v>82</v>
      </c>
      <c r="S110" s="279" t="s">
        <v>82</v>
      </c>
      <c r="T110" s="273" t="s">
        <v>82</v>
      </c>
      <c r="U110" s="274">
        <f t="shared" si="29"/>
        <v>0</v>
      </c>
    </row>
    <row r="111" spans="1:28" ht="13.8" thickBot="1" x14ac:dyDescent="0.3">
      <c r="A111" s="287"/>
      <c r="B111" s="284"/>
      <c r="C111" s="284"/>
      <c r="D111" s="284"/>
      <c r="E111" s="285"/>
      <c r="F111" s="284"/>
      <c r="G111" s="286"/>
      <c r="H111" s="284"/>
      <c r="I111" s="284"/>
      <c r="J111" s="284"/>
      <c r="K111" s="285"/>
      <c r="L111" s="284"/>
      <c r="M111" s="286"/>
      <c r="P111" s="281"/>
    </row>
    <row r="112" spans="1:28" x14ac:dyDescent="0.25">
      <c r="A112" s="829">
        <v>11</v>
      </c>
      <c r="B112" s="814" t="s">
        <v>167</v>
      </c>
      <c r="C112" s="814"/>
      <c r="D112" s="814"/>
      <c r="E112" s="814"/>
      <c r="F112" s="814"/>
      <c r="G112" s="814"/>
      <c r="I112" s="814" t="str">
        <f>B112</f>
        <v>KOREKSI Sekonic HE-21.000670</v>
      </c>
      <c r="J112" s="814"/>
      <c r="K112" s="814"/>
      <c r="L112" s="814"/>
      <c r="M112" s="814"/>
      <c r="N112" s="814"/>
      <c r="P112" s="814" t="str">
        <f>I112</f>
        <v>KOREKSI Sekonic HE-21.000670</v>
      </c>
      <c r="Q112" s="814"/>
      <c r="R112" s="814"/>
      <c r="S112" s="814"/>
      <c r="T112" s="814"/>
      <c r="U112" s="814"/>
      <c r="W112" s="820" t="s">
        <v>152</v>
      </c>
      <c r="X112" s="821"/>
      <c r="AB112" s="289"/>
    </row>
    <row r="113" spans="1:24" x14ac:dyDescent="0.25">
      <c r="A113" s="829"/>
      <c r="B113" s="822" t="s">
        <v>153</v>
      </c>
      <c r="C113" s="822"/>
      <c r="D113" s="822" t="s">
        <v>154</v>
      </c>
      <c r="E113" s="822"/>
      <c r="F113" s="822"/>
      <c r="G113" s="822" t="s">
        <v>155</v>
      </c>
      <c r="I113" s="822" t="s">
        <v>18</v>
      </c>
      <c r="J113" s="822"/>
      <c r="K113" s="822" t="s">
        <v>154</v>
      </c>
      <c r="L113" s="822"/>
      <c r="M113" s="822"/>
      <c r="N113" s="822" t="s">
        <v>155</v>
      </c>
      <c r="P113" s="822" t="s">
        <v>156</v>
      </c>
      <c r="Q113" s="822"/>
      <c r="R113" s="822" t="s">
        <v>154</v>
      </c>
      <c r="S113" s="822"/>
      <c r="T113" s="822"/>
      <c r="U113" s="822" t="s">
        <v>155</v>
      </c>
      <c r="W113" s="266" t="s">
        <v>153</v>
      </c>
      <c r="X113" s="267">
        <v>0.3</v>
      </c>
    </row>
    <row r="114" spans="1:24" ht="14.4" x14ac:dyDescent="0.25">
      <c r="A114" s="829"/>
      <c r="B114" s="824" t="s">
        <v>157</v>
      </c>
      <c r="C114" s="824"/>
      <c r="D114" s="269">
        <v>2020</v>
      </c>
      <c r="E114" s="288">
        <v>2016</v>
      </c>
      <c r="F114" s="269" t="s">
        <v>82</v>
      </c>
      <c r="G114" s="822"/>
      <c r="I114" s="823" t="s">
        <v>19</v>
      </c>
      <c r="J114" s="824"/>
      <c r="K114" s="270">
        <f>D114</f>
        <v>2020</v>
      </c>
      <c r="L114" s="270">
        <f>E114</f>
        <v>2016</v>
      </c>
      <c r="M114" s="270" t="str">
        <f>F114</f>
        <v>-</v>
      </c>
      <c r="N114" s="822"/>
      <c r="P114" s="823" t="s">
        <v>21</v>
      </c>
      <c r="Q114" s="824"/>
      <c r="R114" s="270">
        <f>K114</f>
        <v>2020</v>
      </c>
      <c r="S114" s="270">
        <f>L114</f>
        <v>2016</v>
      </c>
      <c r="T114" s="270" t="str">
        <f>M114</f>
        <v>-</v>
      </c>
      <c r="U114" s="822"/>
      <c r="W114" s="266" t="s">
        <v>19</v>
      </c>
      <c r="X114" s="267">
        <v>1.8</v>
      </c>
    </row>
    <row r="115" spans="1:24" ht="13.8" thickBot="1" x14ac:dyDescent="0.3">
      <c r="A115" s="829"/>
      <c r="B115" s="271">
        <v>1</v>
      </c>
      <c r="C115" s="272">
        <v>15</v>
      </c>
      <c r="D115" s="273">
        <v>0.3</v>
      </c>
      <c r="E115" s="273">
        <v>0.3</v>
      </c>
      <c r="F115" s="273" t="s">
        <v>82</v>
      </c>
      <c r="G115" s="274">
        <f>0.5*(MAX(D115:F115)-MIN(D115:F115))</f>
        <v>0</v>
      </c>
      <c r="I115" s="271">
        <v>1</v>
      </c>
      <c r="J115" s="272">
        <v>30</v>
      </c>
      <c r="K115" s="273">
        <v>-5.2</v>
      </c>
      <c r="L115" s="273">
        <v>-6.4</v>
      </c>
      <c r="M115" s="273" t="s">
        <v>82</v>
      </c>
      <c r="N115" s="274">
        <f>0.5*(MAX(K115:M115)-MIN(K115:M115))</f>
        <v>0.60000000000000009</v>
      </c>
      <c r="P115" s="271">
        <v>1</v>
      </c>
      <c r="Q115" s="272">
        <v>750</v>
      </c>
      <c r="R115" s="273" t="s">
        <v>82</v>
      </c>
      <c r="S115" s="273" t="s">
        <v>82</v>
      </c>
      <c r="T115" s="273" t="s">
        <v>82</v>
      </c>
      <c r="U115" s="274">
        <f>0.5*(MAX(R115:T115)-MIN(R115:T115))</f>
        <v>0</v>
      </c>
      <c r="W115" s="275" t="s">
        <v>21</v>
      </c>
      <c r="X115" s="276">
        <v>0</v>
      </c>
    </row>
    <row r="116" spans="1:24" x14ac:dyDescent="0.25">
      <c r="A116" s="829"/>
      <c r="B116" s="271">
        <v>2</v>
      </c>
      <c r="C116" s="272">
        <v>20</v>
      </c>
      <c r="D116" s="273">
        <v>0.4</v>
      </c>
      <c r="E116" s="273">
        <v>0.5</v>
      </c>
      <c r="F116" s="273" t="s">
        <v>82</v>
      </c>
      <c r="G116" s="274">
        <f t="shared" ref="G116:G121" si="30">0.5*(MAX(D116:F116)-MIN(D116:F116))</f>
        <v>4.9999999999999989E-2</v>
      </c>
      <c r="I116" s="271">
        <v>2</v>
      </c>
      <c r="J116" s="272">
        <v>40</v>
      </c>
      <c r="K116" s="273">
        <v>-5.5</v>
      </c>
      <c r="L116" s="273">
        <v>-5.9</v>
      </c>
      <c r="M116" s="273" t="s">
        <v>82</v>
      </c>
      <c r="N116" s="274">
        <f t="shared" ref="N116:N121" si="31">0.5*(MAX(K116:M116)-MIN(K116:M116))</f>
        <v>0.20000000000000018</v>
      </c>
      <c r="P116" s="271">
        <v>2</v>
      </c>
      <c r="Q116" s="272">
        <v>800</v>
      </c>
      <c r="R116" s="273" t="s">
        <v>82</v>
      </c>
      <c r="S116" s="273" t="s">
        <v>82</v>
      </c>
      <c r="T116" s="273" t="s">
        <v>82</v>
      </c>
      <c r="U116" s="274">
        <f t="shared" ref="U116:U121" si="32">0.5*(MAX(R116:T116)-MIN(R116:T116))</f>
        <v>0</v>
      </c>
    </row>
    <row r="117" spans="1:24" x14ac:dyDescent="0.25">
      <c r="A117" s="829"/>
      <c r="B117" s="271">
        <v>3</v>
      </c>
      <c r="C117" s="272">
        <v>25</v>
      </c>
      <c r="D117" s="273">
        <v>0.4</v>
      </c>
      <c r="E117" s="273">
        <v>0.5</v>
      </c>
      <c r="F117" s="273" t="s">
        <v>82</v>
      </c>
      <c r="G117" s="274">
        <f t="shared" si="30"/>
        <v>4.9999999999999989E-2</v>
      </c>
      <c r="I117" s="271">
        <v>3</v>
      </c>
      <c r="J117" s="272">
        <v>50</v>
      </c>
      <c r="K117" s="273">
        <v>-5.5</v>
      </c>
      <c r="L117" s="273">
        <v>-5.6</v>
      </c>
      <c r="M117" s="273" t="s">
        <v>82</v>
      </c>
      <c r="N117" s="274">
        <f t="shared" si="31"/>
        <v>4.9999999999999822E-2</v>
      </c>
      <c r="P117" s="271">
        <v>3</v>
      </c>
      <c r="Q117" s="272">
        <v>850</v>
      </c>
      <c r="R117" s="273" t="s">
        <v>82</v>
      </c>
      <c r="S117" s="273" t="s">
        <v>82</v>
      </c>
      <c r="T117" s="273" t="s">
        <v>82</v>
      </c>
      <c r="U117" s="274">
        <f t="shared" si="32"/>
        <v>0</v>
      </c>
    </row>
    <row r="118" spans="1:24" x14ac:dyDescent="0.25">
      <c r="A118" s="829"/>
      <c r="B118" s="271">
        <v>4</v>
      </c>
      <c r="C118" s="277">
        <v>30</v>
      </c>
      <c r="D118" s="278">
        <v>0.5</v>
      </c>
      <c r="E118" s="279">
        <v>0.4</v>
      </c>
      <c r="F118" s="273" t="s">
        <v>82</v>
      </c>
      <c r="G118" s="274">
        <f t="shared" si="30"/>
        <v>4.9999999999999989E-2</v>
      </c>
      <c r="I118" s="271">
        <v>4</v>
      </c>
      <c r="J118" s="277">
        <v>60</v>
      </c>
      <c r="K118" s="278">
        <v>-4.8</v>
      </c>
      <c r="L118" s="279">
        <v>-4.5</v>
      </c>
      <c r="M118" s="273" t="s">
        <v>82</v>
      </c>
      <c r="N118" s="274">
        <f t="shared" si="31"/>
        <v>0.14999999999999991</v>
      </c>
      <c r="P118" s="271">
        <v>4</v>
      </c>
      <c r="Q118" s="277">
        <v>900</v>
      </c>
      <c r="R118" s="278" t="s">
        <v>82</v>
      </c>
      <c r="S118" s="279" t="s">
        <v>82</v>
      </c>
      <c r="T118" s="273" t="s">
        <v>82</v>
      </c>
      <c r="U118" s="274">
        <f t="shared" si="32"/>
        <v>0</v>
      </c>
    </row>
    <row r="119" spans="1:24" x14ac:dyDescent="0.25">
      <c r="A119" s="829"/>
      <c r="B119" s="271">
        <v>5</v>
      </c>
      <c r="C119" s="277">
        <v>35</v>
      </c>
      <c r="D119" s="278">
        <v>0.5</v>
      </c>
      <c r="E119" s="279">
        <v>0.4</v>
      </c>
      <c r="F119" s="273" t="s">
        <v>82</v>
      </c>
      <c r="G119" s="274">
        <f t="shared" si="30"/>
        <v>4.9999999999999989E-2</v>
      </c>
      <c r="I119" s="271">
        <v>5</v>
      </c>
      <c r="J119" s="277">
        <v>70</v>
      </c>
      <c r="K119" s="278">
        <v>-3.4</v>
      </c>
      <c r="L119" s="279">
        <v>-1.7</v>
      </c>
      <c r="M119" s="273" t="s">
        <v>82</v>
      </c>
      <c r="N119" s="274">
        <f t="shared" si="31"/>
        <v>0.85</v>
      </c>
      <c r="P119" s="271">
        <v>5</v>
      </c>
      <c r="Q119" s="277">
        <v>1000</v>
      </c>
      <c r="R119" s="278" t="s">
        <v>82</v>
      </c>
      <c r="S119" s="279" t="s">
        <v>82</v>
      </c>
      <c r="T119" s="273" t="s">
        <v>82</v>
      </c>
      <c r="U119" s="274">
        <f t="shared" si="32"/>
        <v>0</v>
      </c>
    </row>
    <row r="120" spans="1:24" x14ac:dyDescent="0.25">
      <c r="A120" s="829"/>
      <c r="B120" s="271">
        <v>6</v>
      </c>
      <c r="C120" s="277">
        <v>37</v>
      </c>
      <c r="D120" s="278">
        <v>0.5</v>
      </c>
      <c r="E120" s="279">
        <v>0.5</v>
      </c>
      <c r="F120" s="273" t="s">
        <v>82</v>
      </c>
      <c r="G120" s="274">
        <f t="shared" si="30"/>
        <v>0</v>
      </c>
      <c r="I120" s="271">
        <v>6</v>
      </c>
      <c r="J120" s="277">
        <v>80</v>
      </c>
      <c r="K120" s="278">
        <v>-1.4</v>
      </c>
      <c r="L120" s="279">
        <v>2.6</v>
      </c>
      <c r="M120" s="273" t="s">
        <v>82</v>
      </c>
      <c r="N120" s="274">
        <f t="shared" si="31"/>
        <v>2</v>
      </c>
      <c r="P120" s="271">
        <v>6</v>
      </c>
      <c r="Q120" s="277">
        <v>1005</v>
      </c>
      <c r="R120" s="278" t="s">
        <v>82</v>
      </c>
      <c r="S120" s="279" t="s">
        <v>82</v>
      </c>
      <c r="T120" s="273" t="s">
        <v>82</v>
      </c>
      <c r="U120" s="274">
        <f t="shared" si="32"/>
        <v>0</v>
      </c>
    </row>
    <row r="121" spans="1:24" x14ac:dyDescent="0.25">
      <c r="A121" s="829"/>
      <c r="B121" s="271">
        <v>7</v>
      </c>
      <c r="C121" s="277">
        <v>40</v>
      </c>
      <c r="D121" s="278">
        <v>0.5</v>
      </c>
      <c r="E121" s="279">
        <v>9.9999999999999995E-7</v>
      </c>
      <c r="F121" s="273" t="s">
        <v>82</v>
      </c>
      <c r="G121" s="274">
        <f t="shared" si="30"/>
        <v>0.24999950000000001</v>
      </c>
      <c r="I121" s="271">
        <v>7</v>
      </c>
      <c r="J121" s="277">
        <v>90</v>
      </c>
      <c r="K121" s="278">
        <v>1.3</v>
      </c>
      <c r="L121" s="279">
        <v>9.9999999999999995E-7</v>
      </c>
      <c r="M121" s="273" t="s">
        <v>82</v>
      </c>
      <c r="N121" s="274">
        <f t="shared" si="31"/>
        <v>0.64999950000000006</v>
      </c>
      <c r="P121" s="271">
        <v>7</v>
      </c>
      <c r="Q121" s="277">
        <v>1020</v>
      </c>
      <c r="R121" s="278" t="s">
        <v>82</v>
      </c>
      <c r="S121" s="279" t="s">
        <v>82</v>
      </c>
      <c r="T121" s="273" t="s">
        <v>82</v>
      </c>
      <c r="U121" s="274">
        <f t="shared" si="32"/>
        <v>0</v>
      </c>
    </row>
    <row r="122" spans="1:24" ht="13.8" thickBot="1" x14ac:dyDescent="0.3">
      <c r="A122" s="287"/>
      <c r="B122" s="284"/>
      <c r="C122" s="284"/>
      <c r="D122" s="284"/>
      <c r="E122" s="285"/>
      <c r="F122" s="284"/>
      <c r="G122" s="286"/>
      <c r="I122" s="284"/>
      <c r="J122" s="284"/>
      <c r="K122" s="284"/>
      <c r="L122" s="285"/>
      <c r="M122" s="284"/>
      <c r="R122" s="281"/>
    </row>
    <row r="123" spans="1:24" x14ac:dyDescent="0.25">
      <c r="A123" s="829">
        <v>12</v>
      </c>
      <c r="B123" s="814" t="s">
        <v>168</v>
      </c>
      <c r="C123" s="814"/>
      <c r="D123" s="814"/>
      <c r="E123" s="814"/>
      <c r="F123" s="814"/>
      <c r="G123" s="814"/>
      <c r="I123" s="814" t="str">
        <f>B123</f>
        <v>KOREKSI EXTECH A.100586</v>
      </c>
      <c r="J123" s="814"/>
      <c r="K123" s="814"/>
      <c r="L123" s="814"/>
      <c r="M123" s="814"/>
      <c r="N123" s="814"/>
      <c r="P123" s="814" t="str">
        <f>I123</f>
        <v>KOREKSI EXTECH A.100586</v>
      </c>
      <c r="Q123" s="814"/>
      <c r="R123" s="814"/>
      <c r="S123" s="814"/>
      <c r="T123" s="814"/>
      <c r="U123" s="814"/>
      <c r="W123" s="820" t="s">
        <v>152</v>
      </c>
      <c r="X123" s="821"/>
    </row>
    <row r="124" spans="1:24" x14ac:dyDescent="0.25">
      <c r="A124" s="829"/>
      <c r="B124" s="822" t="s">
        <v>153</v>
      </c>
      <c r="C124" s="822"/>
      <c r="D124" s="822" t="s">
        <v>154</v>
      </c>
      <c r="E124" s="822"/>
      <c r="F124" s="822"/>
      <c r="G124" s="822" t="s">
        <v>155</v>
      </c>
      <c r="I124" s="822" t="s">
        <v>18</v>
      </c>
      <c r="J124" s="822"/>
      <c r="K124" s="822" t="s">
        <v>154</v>
      </c>
      <c r="L124" s="822"/>
      <c r="M124" s="822"/>
      <c r="N124" s="822" t="s">
        <v>155</v>
      </c>
      <c r="P124" s="822" t="s">
        <v>156</v>
      </c>
      <c r="Q124" s="822"/>
      <c r="R124" s="822" t="s">
        <v>154</v>
      </c>
      <c r="S124" s="822"/>
      <c r="T124" s="822"/>
      <c r="U124" s="822" t="s">
        <v>155</v>
      </c>
      <c r="W124" s="266" t="s">
        <v>153</v>
      </c>
      <c r="X124" s="267">
        <v>0.3</v>
      </c>
    </row>
    <row r="125" spans="1:24" ht="14.4" x14ac:dyDescent="0.25">
      <c r="A125" s="829"/>
      <c r="B125" s="824" t="s">
        <v>157</v>
      </c>
      <c r="C125" s="824"/>
      <c r="D125" s="269">
        <v>2020</v>
      </c>
      <c r="E125" s="288" t="s">
        <v>82</v>
      </c>
      <c r="F125" s="269" t="s">
        <v>82</v>
      </c>
      <c r="G125" s="822"/>
      <c r="I125" s="823" t="s">
        <v>19</v>
      </c>
      <c r="J125" s="824"/>
      <c r="K125" s="270">
        <f>D125</f>
        <v>2020</v>
      </c>
      <c r="L125" s="270" t="str">
        <f>E125</f>
        <v>-</v>
      </c>
      <c r="M125" s="270" t="str">
        <f>F125</f>
        <v>-</v>
      </c>
      <c r="N125" s="822"/>
      <c r="P125" s="823" t="s">
        <v>21</v>
      </c>
      <c r="Q125" s="824"/>
      <c r="R125" s="270">
        <f>K125</f>
        <v>2020</v>
      </c>
      <c r="S125" s="270" t="str">
        <f>L125</f>
        <v>-</v>
      </c>
      <c r="T125" s="270" t="str">
        <f>M125</f>
        <v>-</v>
      </c>
      <c r="U125" s="822"/>
      <c r="W125" s="266" t="s">
        <v>19</v>
      </c>
      <c r="X125" s="267">
        <v>2</v>
      </c>
    </row>
    <row r="126" spans="1:24" ht="13.8" thickBot="1" x14ac:dyDescent="0.3">
      <c r="A126" s="829"/>
      <c r="B126" s="271">
        <v>1</v>
      </c>
      <c r="C126" s="272">
        <v>15</v>
      </c>
      <c r="D126" s="273">
        <v>9.9999999999999995E-7</v>
      </c>
      <c r="E126" s="273" t="s">
        <v>82</v>
      </c>
      <c r="F126" s="273" t="s">
        <v>82</v>
      </c>
      <c r="G126" s="274">
        <f>0.5*(MAX(D126:F126)-MIN(D126:F126))</f>
        <v>0</v>
      </c>
      <c r="I126" s="271">
        <v>1</v>
      </c>
      <c r="J126" s="272">
        <v>30</v>
      </c>
      <c r="K126" s="273">
        <v>-0.4</v>
      </c>
      <c r="L126" s="273" t="s">
        <v>82</v>
      </c>
      <c r="M126" s="273" t="s">
        <v>82</v>
      </c>
      <c r="N126" s="274">
        <f>0.5*(MAX(K126:M126)-MIN(K126:M126))</f>
        <v>0</v>
      </c>
      <c r="P126" s="271">
        <v>1</v>
      </c>
      <c r="Q126" s="272">
        <v>800</v>
      </c>
      <c r="R126" s="273">
        <v>-0.4</v>
      </c>
      <c r="S126" s="273" t="s">
        <v>82</v>
      </c>
      <c r="T126" s="273" t="s">
        <v>82</v>
      </c>
      <c r="U126" s="274">
        <f>0.5*(MAX(R126:T126)-MIN(R126:T126))</f>
        <v>0</v>
      </c>
      <c r="W126" s="275" t="s">
        <v>21</v>
      </c>
      <c r="X126" s="276">
        <v>2.4</v>
      </c>
    </row>
    <row r="127" spans="1:24" x14ac:dyDescent="0.25">
      <c r="A127" s="829"/>
      <c r="B127" s="271">
        <v>2</v>
      </c>
      <c r="C127" s="272">
        <v>20</v>
      </c>
      <c r="D127" s="273">
        <v>9.9999999999999995E-7</v>
      </c>
      <c r="E127" s="273" t="s">
        <v>82</v>
      </c>
      <c r="F127" s="273" t="s">
        <v>82</v>
      </c>
      <c r="G127" s="274">
        <f t="shared" ref="G127:G132" si="33">0.5*(MAX(D127:F127)-MIN(D127:F127))</f>
        <v>0</v>
      </c>
      <c r="I127" s="271">
        <v>2</v>
      </c>
      <c r="J127" s="272">
        <v>40</v>
      </c>
      <c r="K127" s="273">
        <v>-0.1</v>
      </c>
      <c r="L127" s="273" t="s">
        <v>82</v>
      </c>
      <c r="M127" s="273" t="s">
        <v>82</v>
      </c>
      <c r="N127" s="274">
        <f t="shared" ref="N127:N132" si="34">0.5*(MAX(K127:M127)-MIN(K127:M127))</f>
        <v>0</v>
      </c>
      <c r="P127" s="271">
        <v>2</v>
      </c>
      <c r="Q127" s="272">
        <v>850</v>
      </c>
      <c r="R127" s="273">
        <v>-0.5</v>
      </c>
      <c r="S127" s="273" t="s">
        <v>82</v>
      </c>
      <c r="T127" s="273" t="s">
        <v>82</v>
      </c>
      <c r="U127" s="274">
        <f t="shared" ref="U127:U132" si="35">0.5*(MAX(R127:T127)-MIN(R127:T127))</f>
        <v>0</v>
      </c>
    </row>
    <row r="128" spans="1:24" x14ac:dyDescent="0.25">
      <c r="A128" s="829"/>
      <c r="B128" s="271">
        <v>3</v>
      </c>
      <c r="C128" s="272">
        <v>25</v>
      </c>
      <c r="D128" s="273">
        <v>9.9999999999999995E-7</v>
      </c>
      <c r="E128" s="273" t="s">
        <v>82</v>
      </c>
      <c r="F128" s="273" t="s">
        <v>82</v>
      </c>
      <c r="G128" s="274">
        <f t="shared" si="33"/>
        <v>0</v>
      </c>
      <c r="I128" s="271">
        <v>3</v>
      </c>
      <c r="J128" s="272">
        <v>50</v>
      </c>
      <c r="K128" s="273">
        <v>9.9999999999999995E-7</v>
      </c>
      <c r="L128" s="273" t="s">
        <v>82</v>
      </c>
      <c r="M128" s="273" t="s">
        <v>82</v>
      </c>
      <c r="N128" s="274">
        <f t="shared" si="34"/>
        <v>0</v>
      </c>
      <c r="P128" s="271">
        <v>3</v>
      </c>
      <c r="Q128" s="272">
        <v>900</v>
      </c>
      <c r="R128" s="273">
        <v>-0.6</v>
      </c>
      <c r="S128" s="273" t="s">
        <v>82</v>
      </c>
      <c r="T128" s="273" t="s">
        <v>82</v>
      </c>
      <c r="U128" s="274">
        <f t="shared" si="35"/>
        <v>0</v>
      </c>
    </row>
    <row r="129" spans="1:24" x14ac:dyDescent="0.25">
      <c r="A129" s="829"/>
      <c r="B129" s="271">
        <v>4</v>
      </c>
      <c r="C129" s="277">
        <v>30</v>
      </c>
      <c r="D129" s="278">
        <v>-0.1</v>
      </c>
      <c r="E129" s="279" t="s">
        <v>82</v>
      </c>
      <c r="F129" s="273" t="s">
        <v>82</v>
      </c>
      <c r="G129" s="274">
        <f t="shared" si="33"/>
        <v>0</v>
      </c>
      <c r="I129" s="271">
        <v>4</v>
      </c>
      <c r="J129" s="277">
        <v>60</v>
      </c>
      <c r="K129" s="278">
        <v>9.9999999999999995E-7</v>
      </c>
      <c r="L129" s="279" t="s">
        <v>82</v>
      </c>
      <c r="M129" s="273" t="s">
        <v>82</v>
      </c>
      <c r="N129" s="274">
        <f t="shared" si="34"/>
        <v>0</v>
      </c>
      <c r="P129" s="271">
        <v>4</v>
      </c>
      <c r="Q129" s="277">
        <v>950</v>
      </c>
      <c r="R129" s="278">
        <v>-0.7</v>
      </c>
      <c r="S129" s="279" t="s">
        <v>82</v>
      </c>
      <c r="T129" s="273" t="s">
        <v>82</v>
      </c>
      <c r="U129" s="274">
        <f t="shared" si="35"/>
        <v>0</v>
      </c>
    </row>
    <row r="130" spans="1:24" x14ac:dyDescent="0.25">
      <c r="A130" s="829"/>
      <c r="B130" s="271">
        <v>5</v>
      </c>
      <c r="C130" s="277">
        <v>35</v>
      </c>
      <c r="D130" s="278">
        <v>-0.2</v>
      </c>
      <c r="E130" s="279" t="s">
        <v>82</v>
      </c>
      <c r="F130" s="273" t="s">
        <v>82</v>
      </c>
      <c r="G130" s="274">
        <f t="shared" si="33"/>
        <v>0</v>
      </c>
      <c r="I130" s="271">
        <v>5</v>
      </c>
      <c r="J130" s="277">
        <v>70</v>
      </c>
      <c r="K130" s="278">
        <v>-0.1</v>
      </c>
      <c r="L130" s="279" t="s">
        <v>82</v>
      </c>
      <c r="M130" s="273" t="s">
        <v>82</v>
      </c>
      <c r="N130" s="274">
        <f t="shared" si="34"/>
        <v>0</v>
      </c>
      <c r="P130" s="271">
        <v>5</v>
      </c>
      <c r="Q130" s="277">
        <v>1000</v>
      </c>
      <c r="R130" s="278">
        <v>-0.8</v>
      </c>
      <c r="S130" s="279" t="s">
        <v>82</v>
      </c>
      <c r="T130" s="273" t="s">
        <v>82</v>
      </c>
      <c r="U130" s="274">
        <f t="shared" si="35"/>
        <v>0</v>
      </c>
    </row>
    <row r="131" spans="1:24" x14ac:dyDescent="0.25">
      <c r="A131" s="829"/>
      <c r="B131" s="271">
        <v>6</v>
      </c>
      <c r="C131" s="277">
        <v>37</v>
      </c>
      <c r="D131" s="278">
        <v>-0.3</v>
      </c>
      <c r="E131" s="279" t="s">
        <v>82</v>
      </c>
      <c r="F131" s="273" t="s">
        <v>82</v>
      </c>
      <c r="G131" s="274">
        <f t="shared" si="33"/>
        <v>0</v>
      </c>
      <c r="I131" s="271">
        <v>6</v>
      </c>
      <c r="J131" s="277">
        <v>80</v>
      </c>
      <c r="K131" s="278">
        <v>-0.5</v>
      </c>
      <c r="L131" s="279" t="s">
        <v>82</v>
      </c>
      <c r="M131" s="273" t="s">
        <v>82</v>
      </c>
      <c r="N131" s="274">
        <f t="shared" si="34"/>
        <v>0</v>
      </c>
      <c r="P131" s="271">
        <v>6</v>
      </c>
      <c r="Q131" s="277">
        <v>1005</v>
      </c>
      <c r="R131" s="278">
        <v>-0.8</v>
      </c>
      <c r="S131" s="279" t="s">
        <v>82</v>
      </c>
      <c r="T131" s="273" t="s">
        <v>82</v>
      </c>
      <c r="U131" s="274">
        <f t="shared" si="35"/>
        <v>0</v>
      </c>
    </row>
    <row r="132" spans="1:24" x14ac:dyDescent="0.25">
      <c r="A132" s="829"/>
      <c r="B132" s="271">
        <v>7</v>
      </c>
      <c r="C132" s="277">
        <v>40</v>
      </c>
      <c r="D132" s="278">
        <v>-0.4</v>
      </c>
      <c r="E132" s="279" t="s">
        <v>82</v>
      </c>
      <c r="F132" s="273" t="s">
        <v>82</v>
      </c>
      <c r="G132" s="274">
        <f t="shared" si="33"/>
        <v>0</v>
      </c>
      <c r="I132" s="271">
        <v>7</v>
      </c>
      <c r="J132" s="277">
        <v>90</v>
      </c>
      <c r="K132" s="278">
        <v>-0.9</v>
      </c>
      <c r="L132" s="279" t="s">
        <v>82</v>
      </c>
      <c r="M132" s="273" t="s">
        <v>82</v>
      </c>
      <c r="N132" s="274">
        <f t="shared" si="34"/>
        <v>0</v>
      </c>
      <c r="P132" s="271">
        <v>7</v>
      </c>
      <c r="Q132" s="277">
        <v>1020</v>
      </c>
      <c r="R132" s="278">
        <v>9.9999999999999995E-7</v>
      </c>
      <c r="S132" s="279" t="s">
        <v>82</v>
      </c>
      <c r="T132" s="273" t="s">
        <v>82</v>
      </c>
      <c r="U132" s="274">
        <f t="shared" si="35"/>
        <v>0</v>
      </c>
    </row>
    <row r="133" spans="1:24" ht="13.8" thickBot="1" x14ac:dyDescent="0.3">
      <c r="A133" s="290"/>
      <c r="C133" s="282"/>
      <c r="D133" s="282"/>
      <c r="E133" s="291"/>
      <c r="F133" s="282"/>
      <c r="I133" s="282"/>
      <c r="J133" s="282"/>
      <c r="K133" s="291"/>
      <c r="L133" s="282"/>
      <c r="O133" s="282"/>
      <c r="P133" s="291"/>
      <c r="Q133" s="291"/>
      <c r="R133" s="282"/>
    </row>
    <row r="134" spans="1:24" x14ac:dyDescent="0.25">
      <c r="A134" s="829">
        <v>13</v>
      </c>
      <c r="B134" s="814" t="s">
        <v>169</v>
      </c>
      <c r="C134" s="814"/>
      <c r="D134" s="814"/>
      <c r="E134" s="814"/>
      <c r="F134" s="814"/>
      <c r="G134" s="814"/>
      <c r="I134" s="814" t="str">
        <f>B134</f>
        <v>KOREKSI EXTECH A.100605</v>
      </c>
      <c r="J134" s="814"/>
      <c r="K134" s="814"/>
      <c r="L134" s="814"/>
      <c r="M134" s="814"/>
      <c r="N134" s="814"/>
      <c r="P134" s="814" t="str">
        <f>I134</f>
        <v>KOREKSI EXTECH A.100605</v>
      </c>
      <c r="Q134" s="814"/>
      <c r="R134" s="814"/>
      <c r="S134" s="814"/>
      <c r="T134" s="814"/>
      <c r="U134" s="814"/>
      <c r="W134" s="820" t="s">
        <v>152</v>
      </c>
      <c r="X134" s="821"/>
    </row>
    <row r="135" spans="1:24" x14ac:dyDescent="0.25">
      <c r="A135" s="829"/>
      <c r="B135" s="822" t="s">
        <v>153</v>
      </c>
      <c r="C135" s="822"/>
      <c r="D135" s="822" t="s">
        <v>154</v>
      </c>
      <c r="E135" s="822"/>
      <c r="F135" s="822"/>
      <c r="G135" s="822" t="s">
        <v>155</v>
      </c>
      <c r="I135" s="822" t="s">
        <v>18</v>
      </c>
      <c r="J135" s="822"/>
      <c r="K135" s="822" t="s">
        <v>154</v>
      </c>
      <c r="L135" s="822"/>
      <c r="M135" s="822"/>
      <c r="N135" s="822" t="s">
        <v>155</v>
      </c>
      <c r="P135" s="822" t="s">
        <v>156</v>
      </c>
      <c r="Q135" s="822"/>
      <c r="R135" s="822" t="s">
        <v>154</v>
      </c>
      <c r="S135" s="822"/>
      <c r="T135" s="822"/>
      <c r="U135" s="822" t="s">
        <v>155</v>
      </c>
      <c r="W135" s="266" t="s">
        <v>153</v>
      </c>
      <c r="X135" s="267">
        <v>0.5</v>
      </c>
    </row>
    <row r="136" spans="1:24" ht="14.4" x14ac:dyDescent="0.25">
      <c r="A136" s="829"/>
      <c r="B136" s="824" t="s">
        <v>157</v>
      </c>
      <c r="C136" s="824"/>
      <c r="D136" s="269">
        <v>2023</v>
      </c>
      <c r="E136" s="269">
        <v>2022</v>
      </c>
      <c r="F136" s="269">
        <v>2020</v>
      </c>
      <c r="G136" s="822"/>
      <c r="I136" s="823" t="s">
        <v>19</v>
      </c>
      <c r="J136" s="824"/>
      <c r="K136" s="270">
        <f>D136</f>
        <v>2023</v>
      </c>
      <c r="L136" s="270">
        <f>E136</f>
        <v>2022</v>
      </c>
      <c r="M136" s="270">
        <f>F136</f>
        <v>2020</v>
      </c>
      <c r="N136" s="822"/>
      <c r="P136" s="823" t="s">
        <v>21</v>
      </c>
      <c r="Q136" s="824"/>
      <c r="R136" s="270">
        <f>K136</f>
        <v>2023</v>
      </c>
      <c r="S136" s="270">
        <f>L136</f>
        <v>2022</v>
      </c>
      <c r="T136" s="270">
        <f>M136</f>
        <v>2020</v>
      </c>
      <c r="U136" s="822"/>
      <c r="W136" s="266" t="s">
        <v>19</v>
      </c>
      <c r="X136" s="267">
        <v>2.2999999999999998</v>
      </c>
    </row>
    <row r="137" spans="1:24" ht="13.8" thickBot="1" x14ac:dyDescent="0.3">
      <c r="A137" s="829"/>
      <c r="B137" s="271">
        <v>1</v>
      </c>
      <c r="C137" s="272">
        <v>15</v>
      </c>
      <c r="D137" s="293">
        <v>0.1</v>
      </c>
      <c r="E137" s="293">
        <v>0.5</v>
      </c>
      <c r="F137" s="293">
        <v>-0.7</v>
      </c>
      <c r="G137" s="274">
        <f>0.5*(MAX(D137:F137)-MIN(D137:F137))</f>
        <v>0.6</v>
      </c>
      <c r="I137" s="271">
        <v>1</v>
      </c>
      <c r="J137" s="272">
        <v>30</v>
      </c>
      <c r="K137" s="293">
        <v>-4.0999999999999996</v>
      </c>
      <c r="L137" s="293">
        <v>-2.2000000000000002</v>
      </c>
      <c r="M137" s="293">
        <v>-1.4</v>
      </c>
      <c r="N137" s="274">
        <f>0.5*(MAX(K137:M137)-MIN(K137:M137))</f>
        <v>1.3499999999999999</v>
      </c>
      <c r="P137" s="271">
        <v>1</v>
      </c>
      <c r="Q137" s="272">
        <v>970</v>
      </c>
      <c r="R137" s="293">
        <v>3.5</v>
      </c>
      <c r="S137" s="293">
        <v>3.8</v>
      </c>
      <c r="T137" s="293">
        <v>0.9</v>
      </c>
      <c r="U137" s="274">
        <f>0.5*(MAX(R137:T137)-MIN(R137:T137))</f>
        <v>1.45</v>
      </c>
      <c r="W137" s="275" t="s">
        <v>21</v>
      </c>
      <c r="X137" s="276">
        <v>2.4</v>
      </c>
    </row>
    <row r="138" spans="1:24" x14ac:dyDescent="0.25">
      <c r="A138" s="829"/>
      <c r="B138" s="271">
        <v>2</v>
      </c>
      <c r="C138" s="272">
        <v>20</v>
      </c>
      <c r="D138" s="293">
        <v>0.2</v>
      </c>
      <c r="E138" s="293">
        <v>0.2</v>
      </c>
      <c r="F138" s="293">
        <v>-0.4</v>
      </c>
      <c r="G138" s="274">
        <f t="shared" ref="G138:G143" si="36">0.5*(MAX(D138:F138)-MIN(D138:F138))</f>
        <v>0.30000000000000004</v>
      </c>
      <c r="I138" s="271">
        <v>2</v>
      </c>
      <c r="J138" s="272">
        <v>40</v>
      </c>
      <c r="K138" s="293">
        <v>-4</v>
      </c>
      <c r="L138" s="293">
        <v>-2</v>
      </c>
      <c r="M138" s="293">
        <v>-1.3</v>
      </c>
      <c r="N138" s="274">
        <f t="shared" ref="N138:N143" si="37">0.5*(MAX(K138:M138)-MIN(K138:M138))</f>
        <v>1.35</v>
      </c>
      <c r="P138" s="271">
        <v>2</v>
      </c>
      <c r="Q138" s="272">
        <v>980</v>
      </c>
      <c r="R138" s="293">
        <v>3.7</v>
      </c>
      <c r="S138" s="293">
        <v>3.8</v>
      </c>
      <c r="T138" s="293">
        <v>1</v>
      </c>
      <c r="U138" s="274">
        <f t="shared" ref="U138:U143" si="38">0.5*(MAX(R138:T138)-MIN(R138:T138))</f>
        <v>1.4</v>
      </c>
    </row>
    <row r="139" spans="1:24" x14ac:dyDescent="0.25">
      <c r="A139" s="829"/>
      <c r="B139" s="271">
        <v>3</v>
      </c>
      <c r="C139" s="272">
        <v>25</v>
      </c>
      <c r="D139" s="293">
        <v>0.3</v>
      </c>
      <c r="E139" s="293">
        <v>0.1</v>
      </c>
      <c r="F139" s="293">
        <v>-0.2</v>
      </c>
      <c r="G139" s="274">
        <f t="shared" si="36"/>
        <v>0.25</v>
      </c>
      <c r="I139" s="271">
        <v>3</v>
      </c>
      <c r="J139" s="272">
        <v>50</v>
      </c>
      <c r="K139" s="293">
        <v>-3.6</v>
      </c>
      <c r="L139" s="293">
        <v>-1.8</v>
      </c>
      <c r="M139" s="293">
        <v>-1.3</v>
      </c>
      <c r="N139" s="274">
        <f t="shared" si="37"/>
        <v>1.1499999999999999</v>
      </c>
      <c r="P139" s="271">
        <v>3</v>
      </c>
      <c r="Q139" s="272">
        <v>990</v>
      </c>
      <c r="R139" s="293">
        <v>3.9</v>
      </c>
      <c r="S139" s="293">
        <v>3.7</v>
      </c>
      <c r="T139" s="293">
        <v>1</v>
      </c>
      <c r="U139" s="274">
        <f t="shared" si="38"/>
        <v>1.45</v>
      </c>
    </row>
    <row r="140" spans="1:24" x14ac:dyDescent="0.25">
      <c r="A140" s="829"/>
      <c r="B140" s="271">
        <v>4</v>
      </c>
      <c r="C140" s="277">
        <v>30</v>
      </c>
      <c r="D140" s="295">
        <v>0.4</v>
      </c>
      <c r="E140" s="295">
        <v>-0.1</v>
      </c>
      <c r="F140" s="600">
        <v>0.1</v>
      </c>
      <c r="G140" s="274">
        <f t="shared" si="36"/>
        <v>0.25</v>
      </c>
      <c r="I140" s="271">
        <v>4</v>
      </c>
      <c r="J140" s="277">
        <v>60</v>
      </c>
      <c r="K140" s="295">
        <v>-3.1</v>
      </c>
      <c r="L140" s="295">
        <v>-1.6</v>
      </c>
      <c r="M140" s="600">
        <v>-1.5</v>
      </c>
      <c r="N140" s="274">
        <f t="shared" si="37"/>
        <v>0.8</v>
      </c>
      <c r="P140" s="271">
        <v>4</v>
      </c>
      <c r="Q140" s="277">
        <v>1000</v>
      </c>
      <c r="R140" s="295">
        <v>4.0999999999999996</v>
      </c>
      <c r="S140" s="295">
        <v>3.7</v>
      </c>
      <c r="T140" s="600">
        <v>1.1000000000000001</v>
      </c>
      <c r="U140" s="274">
        <f t="shared" si="38"/>
        <v>1.4999999999999998</v>
      </c>
    </row>
    <row r="141" spans="1:24" x14ac:dyDescent="0.25">
      <c r="A141" s="829"/>
      <c r="B141" s="271">
        <v>5</v>
      </c>
      <c r="C141" s="277">
        <v>35</v>
      </c>
      <c r="D141" s="295">
        <v>0.5</v>
      </c>
      <c r="E141" s="295">
        <v>-0.2</v>
      </c>
      <c r="F141" s="600">
        <v>0.3</v>
      </c>
      <c r="G141" s="274">
        <f t="shared" si="36"/>
        <v>0.35</v>
      </c>
      <c r="I141" s="271">
        <v>5</v>
      </c>
      <c r="J141" s="277">
        <v>70</v>
      </c>
      <c r="K141" s="295">
        <v>-2.2999999999999998</v>
      </c>
      <c r="L141" s="295">
        <v>-1.4</v>
      </c>
      <c r="M141" s="600">
        <v>-1.9</v>
      </c>
      <c r="N141" s="274">
        <f t="shared" si="37"/>
        <v>0.44999999999999996</v>
      </c>
      <c r="P141" s="271">
        <v>5</v>
      </c>
      <c r="Q141" s="277">
        <v>1005</v>
      </c>
      <c r="R141" s="295">
        <v>4.0999999999999996</v>
      </c>
      <c r="S141" s="295">
        <v>3.6</v>
      </c>
      <c r="T141" s="600">
        <v>1.1000000000000001</v>
      </c>
      <c r="U141" s="274">
        <f t="shared" si="38"/>
        <v>1.4999999999999998</v>
      </c>
    </row>
    <row r="142" spans="1:24" x14ac:dyDescent="0.25">
      <c r="A142" s="829"/>
      <c r="B142" s="271">
        <v>6</v>
      </c>
      <c r="C142" s="277">
        <v>37</v>
      </c>
      <c r="D142" s="295">
        <v>0.6</v>
      </c>
      <c r="E142" s="295">
        <v>-0.2</v>
      </c>
      <c r="F142" s="600">
        <v>0.4</v>
      </c>
      <c r="G142" s="274">
        <f t="shared" si="36"/>
        <v>0.4</v>
      </c>
      <c r="I142" s="271">
        <v>6</v>
      </c>
      <c r="J142" s="277">
        <v>80</v>
      </c>
      <c r="K142" s="295">
        <v>-1.5</v>
      </c>
      <c r="L142" s="295">
        <v>-1.2</v>
      </c>
      <c r="M142" s="600">
        <v>-2.5</v>
      </c>
      <c r="N142" s="274">
        <f t="shared" si="37"/>
        <v>0.65</v>
      </c>
      <c r="P142" s="271">
        <v>6</v>
      </c>
      <c r="Q142" s="277">
        <v>1010</v>
      </c>
      <c r="R142" s="295">
        <v>4.3</v>
      </c>
      <c r="S142" s="295">
        <v>3.5</v>
      </c>
      <c r="T142" s="600">
        <v>1.1000000000000001</v>
      </c>
      <c r="U142" s="274">
        <f t="shared" si="38"/>
        <v>1.5999999999999999</v>
      </c>
    </row>
    <row r="143" spans="1:24" x14ac:dyDescent="0.25">
      <c r="A143" s="829"/>
      <c r="B143" s="271">
        <v>7</v>
      </c>
      <c r="C143" s="277">
        <v>40</v>
      </c>
      <c r="D143" s="295">
        <v>0.7</v>
      </c>
      <c r="E143" s="295">
        <v>-0.2</v>
      </c>
      <c r="F143" s="600">
        <v>0.5</v>
      </c>
      <c r="G143" s="274">
        <f t="shared" si="36"/>
        <v>0.44999999999999996</v>
      </c>
      <c r="I143" s="271">
        <v>7</v>
      </c>
      <c r="J143" s="277">
        <v>90</v>
      </c>
      <c r="K143" s="295">
        <v>-0.4</v>
      </c>
      <c r="L143" s="295">
        <v>-1</v>
      </c>
      <c r="M143" s="600">
        <v>-3.2</v>
      </c>
      <c r="N143" s="274">
        <f t="shared" si="37"/>
        <v>1.4000000000000001</v>
      </c>
      <c r="P143" s="271">
        <v>7</v>
      </c>
      <c r="Q143" s="277">
        <v>1020</v>
      </c>
      <c r="R143" s="295">
        <v>4.3</v>
      </c>
      <c r="S143" s="295">
        <v>9.9999999999999995E-7</v>
      </c>
      <c r="T143" s="600">
        <v>9.9999999999999995E-7</v>
      </c>
      <c r="U143" s="274">
        <f t="shared" si="38"/>
        <v>2.1499994999999998</v>
      </c>
    </row>
    <row r="144" spans="1:24" ht="13.8" thickBot="1" x14ac:dyDescent="0.3">
      <c r="A144" s="290"/>
      <c r="C144" s="282"/>
      <c r="D144" s="282"/>
      <c r="E144" s="291"/>
      <c r="F144" s="282"/>
      <c r="J144" s="282"/>
      <c r="K144" s="282"/>
      <c r="L144" s="291"/>
      <c r="M144" s="282"/>
      <c r="Q144" s="282"/>
      <c r="R144" s="291"/>
      <c r="S144" s="291"/>
      <c r="T144" s="282"/>
    </row>
    <row r="145" spans="1:24" x14ac:dyDescent="0.25">
      <c r="A145" s="829">
        <v>14</v>
      </c>
      <c r="B145" s="814" t="s">
        <v>170</v>
      </c>
      <c r="C145" s="814"/>
      <c r="D145" s="814"/>
      <c r="E145" s="814"/>
      <c r="F145" s="814"/>
      <c r="G145" s="814"/>
      <c r="I145" s="814" t="str">
        <f>B145</f>
        <v>KOREKSI EXTECH A.100609</v>
      </c>
      <c r="J145" s="814"/>
      <c r="K145" s="814"/>
      <c r="L145" s="814"/>
      <c r="M145" s="814"/>
      <c r="N145" s="814"/>
      <c r="P145" s="814" t="str">
        <f>I145</f>
        <v>KOREKSI EXTECH A.100609</v>
      </c>
      <c r="Q145" s="814"/>
      <c r="R145" s="814"/>
      <c r="S145" s="814"/>
      <c r="T145" s="814"/>
      <c r="U145" s="814"/>
      <c r="W145" s="820" t="s">
        <v>152</v>
      </c>
      <c r="X145" s="821"/>
    </row>
    <row r="146" spans="1:24" x14ac:dyDescent="0.25">
      <c r="A146" s="829"/>
      <c r="B146" s="822" t="s">
        <v>153</v>
      </c>
      <c r="C146" s="822"/>
      <c r="D146" s="822" t="s">
        <v>154</v>
      </c>
      <c r="E146" s="822"/>
      <c r="F146" s="822"/>
      <c r="G146" s="822" t="s">
        <v>155</v>
      </c>
      <c r="I146" s="822" t="s">
        <v>18</v>
      </c>
      <c r="J146" s="822"/>
      <c r="K146" s="822" t="s">
        <v>154</v>
      </c>
      <c r="L146" s="822"/>
      <c r="M146" s="822"/>
      <c r="N146" s="822" t="s">
        <v>155</v>
      </c>
      <c r="P146" s="822" t="s">
        <v>156</v>
      </c>
      <c r="Q146" s="822"/>
      <c r="R146" s="822" t="s">
        <v>154</v>
      </c>
      <c r="S146" s="822"/>
      <c r="T146" s="822"/>
      <c r="U146" s="822" t="s">
        <v>155</v>
      </c>
      <c r="W146" s="266" t="s">
        <v>153</v>
      </c>
      <c r="X146" s="267">
        <v>0.6</v>
      </c>
    </row>
    <row r="147" spans="1:24" ht="14.4" x14ac:dyDescent="0.25">
      <c r="A147" s="829"/>
      <c r="B147" s="824" t="s">
        <v>157</v>
      </c>
      <c r="C147" s="824"/>
      <c r="D147" s="269">
        <v>2023</v>
      </c>
      <c r="E147" s="269">
        <v>2022</v>
      </c>
      <c r="F147" s="269">
        <v>2020</v>
      </c>
      <c r="G147" s="822"/>
      <c r="I147" s="823" t="s">
        <v>19</v>
      </c>
      <c r="J147" s="824"/>
      <c r="K147" s="270">
        <f>D147</f>
        <v>2023</v>
      </c>
      <c r="L147" s="270">
        <f>E147</f>
        <v>2022</v>
      </c>
      <c r="M147" s="270">
        <f>F147</f>
        <v>2020</v>
      </c>
      <c r="N147" s="822"/>
      <c r="P147" s="823" t="s">
        <v>21</v>
      </c>
      <c r="Q147" s="824"/>
      <c r="R147" s="270">
        <f>K147</f>
        <v>2023</v>
      </c>
      <c r="S147" s="270">
        <f>L147</f>
        <v>2022</v>
      </c>
      <c r="T147" s="270">
        <f>M147</f>
        <v>2020</v>
      </c>
      <c r="U147" s="822"/>
      <c r="W147" s="266" t="s">
        <v>19</v>
      </c>
      <c r="X147" s="267">
        <v>2.2999999999999998</v>
      </c>
    </row>
    <row r="148" spans="1:24" ht="13.8" thickBot="1" x14ac:dyDescent="0.3">
      <c r="A148" s="829"/>
      <c r="B148" s="271">
        <v>1</v>
      </c>
      <c r="C148" s="272">
        <v>15</v>
      </c>
      <c r="D148" s="293">
        <v>0.1</v>
      </c>
      <c r="E148" s="293">
        <v>0.5</v>
      </c>
      <c r="F148" s="293">
        <v>-0.2</v>
      </c>
      <c r="G148" s="274">
        <f>0.5*(MAX(D148:F148)-MIN(D148:F148))</f>
        <v>0.35</v>
      </c>
      <c r="I148" s="271">
        <v>1</v>
      </c>
      <c r="J148" s="272">
        <v>30</v>
      </c>
      <c r="K148" s="293">
        <v>-4.2</v>
      </c>
      <c r="L148" s="293">
        <v>-0.8</v>
      </c>
      <c r="M148" s="293">
        <v>0.6</v>
      </c>
      <c r="N148" s="274">
        <f>0.5*(MAX(K148:M148)-MIN(K148:M148))</f>
        <v>2.4</v>
      </c>
      <c r="P148" s="271">
        <v>1</v>
      </c>
      <c r="Q148" s="272">
        <v>985</v>
      </c>
      <c r="R148" s="293">
        <v>3.8</v>
      </c>
      <c r="S148" s="293">
        <v>3.9</v>
      </c>
      <c r="T148" s="293">
        <v>0.9</v>
      </c>
      <c r="U148" s="274">
        <f>0.5*(MAX(R148:T148)-MIN(R148:T148))</f>
        <v>1.5</v>
      </c>
      <c r="W148" s="275" t="s">
        <v>21</v>
      </c>
      <c r="X148" s="276">
        <v>2.5</v>
      </c>
    </row>
    <row r="149" spans="1:24" x14ac:dyDescent="0.25">
      <c r="A149" s="829"/>
      <c r="B149" s="271">
        <v>2</v>
      </c>
      <c r="C149" s="272">
        <v>20</v>
      </c>
      <c r="D149" s="293">
        <v>0.2</v>
      </c>
      <c r="E149" s="293">
        <v>0.2</v>
      </c>
      <c r="F149" s="293">
        <v>-0.1</v>
      </c>
      <c r="G149" s="274">
        <f t="shared" ref="G149:G154" si="39">0.5*(MAX(D149:F149)-MIN(D149:F149))</f>
        <v>0.15000000000000002</v>
      </c>
      <c r="I149" s="271">
        <v>2</v>
      </c>
      <c r="J149" s="272">
        <v>40</v>
      </c>
      <c r="K149" s="293">
        <v>-3.8</v>
      </c>
      <c r="L149" s="293">
        <v>-0.4</v>
      </c>
      <c r="M149" s="293">
        <v>0.3</v>
      </c>
      <c r="N149" s="274">
        <f t="shared" ref="N149:N154" si="40">0.5*(MAX(K149:M149)-MIN(K149:M149))</f>
        <v>2.0499999999999998</v>
      </c>
      <c r="P149" s="271">
        <v>2</v>
      </c>
      <c r="Q149" s="272">
        <v>990</v>
      </c>
      <c r="R149" s="293">
        <v>3.8</v>
      </c>
      <c r="S149" s="293">
        <v>3.9</v>
      </c>
      <c r="T149" s="293">
        <v>1</v>
      </c>
      <c r="U149" s="274">
        <f t="shared" ref="U149:U154" si="41">0.5*(MAX(R149:T149)-MIN(R149:T149))</f>
        <v>1.45</v>
      </c>
    </row>
    <row r="150" spans="1:24" x14ac:dyDescent="0.25">
      <c r="A150" s="829"/>
      <c r="B150" s="271">
        <v>3</v>
      </c>
      <c r="C150" s="272">
        <v>25</v>
      </c>
      <c r="D150" s="293">
        <v>0.2</v>
      </c>
      <c r="E150" s="293">
        <v>-0.1</v>
      </c>
      <c r="F150" s="293">
        <v>-0.1</v>
      </c>
      <c r="G150" s="274">
        <f t="shared" si="39"/>
        <v>0.15000000000000002</v>
      </c>
      <c r="I150" s="271">
        <v>3</v>
      </c>
      <c r="J150" s="272">
        <v>50</v>
      </c>
      <c r="K150" s="293">
        <v>-2.8</v>
      </c>
      <c r="L150" s="293">
        <v>9.9999999999999995E-7</v>
      </c>
      <c r="M150" s="293">
        <v>-0.2</v>
      </c>
      <c r="N150" s="274">
        <f t="shared" si="40"/>
        <v>1.4000005</v>
      </c>
      <c r="P150" s="271">
        <v>3</v>
      </c>
      <c r="Q150" s="272">
        <v>995</v>
      </c>
      <c r="R150" s="293">
        <v>4</v>
      </c>
      <c r="S150" s="293">
        <v>3.8</v>
      </c>
      <c r="T150" s="293">
        <v>1</v>
      </c>
      <c r="U150" s="274">
        <f t="shared" si="41"/>
        <v>1.5</v>
      </c>
    </row>
    <row r="151" spans="1:24" x14ac:dyDescent="0.25">
      <c r="A151" s="829"/>
      <c r="B151" s="271">
        <v>4</v>
      </c>
      <c r="C151" s="277">
        <v>30</v>
      </c>
      <c r="D151" s="295">
        <v>0.3</v>
      </c>
      <c r="E151" s="295">
        <v>-0.4</v>
      </c>
      <c r="F151" s="600">
        <v>-0.3</v>
      </c>
      <c r="G151" s="274">
        <f t="shared" si="39"/>
        <v>0.35</v>
      </c>
      <c r="I151" s="271">
        <v>4</v>
      </c>
      <c r="J151" s="277">
        <v>60</v>
      </c>
      <c r="K151" s="295">
        <v>-1.8</v>
      </c>
      <c r="L151" s="295">
        <v>0.3</v>
      </c>
      <c r="M151" s="600">
        <v>-0.6</v>
      </c>
      <c r="N151" s="274">
        <f t="shared" si="40"/>
        <v>1.05</v>
      </c>
      <c r="P151" s="271">
        <v>4</v>
      </c>
      <c r="Q151" s="277">
        <v>1000</v>
      </c>
      <c r="R151" s="295">
        <v>4.2</v>
      </c>
      <c r="S151" s="295">
        <v>3.8</v>
      </c>
      <c r="T151" s="600">
        <v>1.1000000000000001</v>
      </c>
      <c r="U151" s="274">
        <f t="shared" si="41"/>
        <v>1.55</v>
      </c>
    </row>
    <row r="152" spans="1:24" x14ac:dyDescent="0.25">
      <c r="A152" s="829"/>
      <c r="B152" s="271">
        <v>5</v>
      </c>
      <c r="C152" s="277">
        <v>35</v>
      </c>
      <c r="D152" s="295">
        <v>0.3</v>
      </c>
      <c r="E152" s="295">
        <v>-0.6</v>
      </c>
      <c r="F152" s="600">
        <v>-0.6</v>
      </c>
      <c r="G152" s="274">
        <f t="shared" si="39"/>
        <v>0.44999999999999996</v>
      </c>
      <c r="I152" s="271">
        <v>5</v>
      </c>
      <c r="J152" s="277">
        <v>70</v>
      </c>
      <c r="K152" s="295">
        <v>-0.6</v>
      </c>
      <c r="L152" s="295">
        <v>0.7</v>
      </c>
      <c r="M152" s="600">
        <v>-0.8</v>
      </c>
      <c r="N152" s="274">
        <f t="shared" si="40"/>
        <v>0.75</v>
      </c>
      <c r="P152" s="271">
        <v>5</v>
      </c>
      <c r="Q152" s="277">
        <v>1005</v>
      </c>
      <c r="R152" s="295">
        <v>4.2</v>
      </c>
      <c r="S152" s="295">
        <v>3.8</v>
      </c>
      <c r="T152" s="600">
        <v>1.1000000000000001</v>
      </c>
      <c r="U152" s="274">
        <f t="shared" si="41"/>
        <v>1.55</v>
      </c>
    </row>
    <row r="153" spans="1:24" x14ac:dyDescent="0.25">
      <c r="A153" s="829"/>
      <c r="B153" s="271">
        <v>6</v>
      </c>
      <c r="C153" s="277">
        <v>37</v>
      </c>
      <c r="D153" s="295">
        <v>0.4</v>
      </c>
      <c r="E153" s="295">
        <v>-0.7</v>
      </c>
      <c r="F153" s="600">
        <v>-0.8</v>
      </c>
      <c r="G153" s="274">
        <f t="shared" si="39"/>
        <v>0.60000000000000009</v>
      </c>
      <c r="I153" s="271">
        <v>6</v>
      </c>
      <c r="J153" s="277">
        <v>80</v>
      </c>
      <c r="K153" s="295">
        <v>0.6</v>
      </c>
      <c r="L153" s="295">
        <v>1.1000000000000001</v>
      </c>
      <c r="M153" s="600">
        <v>-0.9</v>
      </c>
      <c r="N153" s="274">
        <f t="shared" si="40"/>
        <v>1</v>
      </c>
      <c r="P153" s="271">
        <v>6</v>
      </c>
      <c r="Q153" s="277">
        <v>1010</v>
      </c>
      <c r="R153" s="295">
        <v>4.4000000000000004</v>
      </c>
      <c r="S153" s="295">
        <v>3.7</v>
      </c>
      <c r="T153" s="600">
        <v>1.1000000000000001</v>
      </c>
      <c r="U153" s="274">
        <f t="shared" si="41"/>
        <v>1.6500000000000001</v>
      </c>
    </row>
    <row r="154" spans="1:24" x14ac:dyDescent="0.25">
      <c r="A154" s="829"/>
      <c r="B154" s="271">
        <v>7</v>
      </c>
      <c r="C154" s="277">
        <v>40</v>
      </c>
      <c r="D154" s="295">
        <v>0.4</v>
      </c>
      <c r="E154" s="295">
        <v>-0.8</v>
      </c>
      <c r="F154" s="600">
        <v>-1.1000000000000001</v>
      </c>
      <c r="G154" s="274">
        <f t="shared" si="39"/>
        <v>0.75</v>
      </c>
      <c r="I154" s="271">
        <v>7</v>
      </c>
      <c r="J154" s="277">
        <v>90</v>
      </c>
      <c r="K154" s="295">
        <v>1.9</v>
      </c>
      <c r="L154" s="295">
        <v>1.5</v>
      </c>
      <c r="M154" s="600">
        <v>-0.8</v>
      </c>
      <c r="N154" s="274">
        <f t="shared" si="40"/>
        <v>1.35</v>
      </c>
      <c r="P154" s="271">
        <v>7</v>
      </c>
      <c r="Q154" s="277">
        <v>1020</v>
      </c>
      <c r="R154" s="295">
        <v>4.4000000000000004</v>
      </c>
      <c r="S154" s="295">
        <v>9.9999999999999995E-7</v>
      </c>
      <c r="T154" s="600">
        <v>9.9999999999999995E-7</v>
      </c>
      <c r="U154" s="274">
        <f t="shared" si="41"/>
        <v>2.1999995000000001</v>
      </c>
    </row>
    <row r="155" spans="1:24" ht="13.8" thickBot="1" x14ac:dyDescent="0.3">
      <c r="A155" s="290"/>
      <c r="C155" s="282"/>
      <c r="D155" s="282"/>
      <c r="E155" s="291"/>
      <c r="F155" s="282"/>
      <c r="J155" s="282"/>
      <c r="K155" s="282"/>
      <c r="L155" s="291"/>
      <c r="M155" s="282"/>
      <c r="Q155" s="282"/>
      <c r="R155" s="291"/>
      <c r="S155" s="291"/>
      <c r="T155" s="282"/>
    </row>
    <row r="156" spans="1:24" x14ac:dyDescent="0.25">
      <c r="A156" s="829">
        <v>15</v>
      </c>
      <c r="B156" s="814" t="s">
        <v>171</v>
      </c>
      <c r="C156" s="814"/>
      <c r="D156" s="814"/>
      <c r="E156" s="814"/>
      <c r="F156" s="814"/>
      <c r="G156" s="814"/>
      <c r="I156" s="814" t="str">
        <f>B156</f>
        <v>KOREKSI EXTECH A.100611</v>
      </c>
      <c r="J156" s="814"/>
      <c r="K156" s="814"/>
      <c r="L156" s="814"/>
      <c r="M156" s="814"/>
      <c r="N156" s="814"/>
      <c r="P156" s="814" t="str">
        <f>I156</f>
        <v>KOREKSI EXTECH A.100611</v>
      </c>
      <c r="Q156" s="814"/>
      <c r="R156" s="814"/>
      <c r="S156" s="814"/>
      <c r="T156" s="814"/>
      <c r="U156" s="814"/>
      <c r="W156" s="820" t="s">
        <v>152</v>
      </c>
      <c r="X156" s="821"/>
    </row>
    <row r="157" spans="1:24" x14ac:dyDescent="0.25">
      <c r="A157" s="829"/>
      <c r="B157" s="822" t="s">
        <v>153</v>
      </c>
      <c r="C157" s="822"/>
      <c r="D157" s="822" t="s">
        <v>154</v>
      </c>
      <c r="E157" s="822"/>
      <c r="F157" s="822"/>
      <c r="G157" s="822" t="s">
        <v>155</v>
      </c>
      <c r="I157" s="822" t="s">
        <v>18</v>
      </c>
      <c r="J157" s="822"/>
      <c r="K157" s="822" t="s">
        <v>154</v>
      </c>
      <c r="L157" s="822"/>
      <c r="M157" s="822"/>
      <c r="N157" s="822" t="s">
        <v>155</v>
      </c>
      <c r="P157" s="822" t="s">
        <v>156</v>
      </c>
      <c r="Q157" s="822"/>
      <c r="R157" s="822" t="s">
        <v>154</v>
      </c>
      <c r="S157" s="822"/>
      <c r="T157" s="822"/>
      <c r="U157" s="822" t="s">
        <v>155</v>
      </c>
      <c r="W157" s="266" t="s">
        <v>153</v>
      </c>
      <c r="X157" s="267">
        <v>0.5</v>
      </c>
    </row>
    <row r="158" spans="1:24" ht="14.4" x14ac:dyDescent="0.25">
      <c r="A158" s="829"/>
      <c r="B158" s="824" t="s">
        <v>157</v>
      </c>
      <c r="C158" s="824"/>
      <c r="D158" s="269">
        <v>2023</v>
      </c>
      <c r="E158" s="269">
        <v>2022</v>
      </c>
      <c r="F158" s="269">
        <v>2020</v>
      </c>
      <c r="G158" s="822"/>
      <c r="I158" s="823" t="s">
        <v>19</v>
      </c>
      <c r="J158" s="824"/>
      <c r="K158" s="270">
        <f>D158</f>
        <v>2023</v>
      </c>
      <c r="L158" s="270">
        <f>E158</f>
        <v>2022</v>
      </c>
      <c r="M158" s="270">
        <f>F158</f>
        <v>2020</v>
      </c>
      <c r="N158" s="822"/>
      <c r="P158" s="823" t="s">
        <v>21</v>
      </c>
      <c r="Q158" s="824"/>
      <c r="R158" s="270">
        <f>K158</f>
        <v>2023</v>
      </c>
      <c r="S158" s="270">
        <f>L158</f>
        <v>2022</v>
      </c>
      <c r="T158" s="270">
        <f>M158</f>
        <v>2020</v>
      </c>
      <c r="U158" s="822"/>
      <c r="W158" s="266" t="s">
        <v>19</v>
      </c>
      <c r="X158" s="267">
        <v>2.2999999999999998</v>
      </c>
    </row>
    <row r="159" spans="1:24" ht="13.8" thickBot="1" x14ac:dyDescent="0.3">
      <c r="A159" s="829"/>
      <c r="B159" s="271">
        <v>1</v>
      </c>
      <c r="C159" s="272">
        <v>15</v>
      </c>
      <c r="D159" s="293">
        <v>0.1</v>
      </c>
      <c r="E159" s="293">
        <v>0.6</v>
      </c>
      <c r="F159" s="293">
        <v>-0.6</v>
      </c>
      <c r="G159" s="274">
        <f>0.5*(MAX(D159:F159)-MIN(D159:F159))</f>
        <v>0.6</v>
      </c>
      <c r="I159" s="271">
        <v>1</v>
      </c>
      <c r="J159" s="272">
        <v>30</v>
      </c>
      <c r="K159" s="293">
        <v>-4.0999999999999996</v>
      </c>
      <c r="L159" s="293">
        <v>-2</v>
      </c>
      <c r="M159" s="293">
        <v>-0.4</v>
      </c>
      <c r="N159" s="274">
        <f>0.5*(MAX(K159:M159)-MIN(K159:M159))</f>
        <v>1.8499999999999999</v>
      </c>
      <c r="P159" s="271">
        <v>1</v>
      </c>
      <c r="Q159" s="272">
        <v>985</v>
      </c>
      <c r="R159" s="293">
        <v>4.0999999999999996</v>
      </c>
      <c r="S159" s="293">
        <v>4.3</v>
      </c>
      <c r="T159" s="293">
        <v>0.9</v>
      </c>
      <c r="U159" s="274">
        <f>0.5*(MAX(R159:T159)-MIN(R159:T159))</f>
        <v>1.7</v>
      </c>
      <c r="W159" s="275" t="s">
        <v>21</v>
      </c>
      <c r="X159" s="276">
        <v>2.2999999999999998</v>
      </c>
    </row>
    <row r="160" spans="1:24" x14ac:dyDescent="0.25">
      <c r="A160" s="829"/>
      <c r="B160" s="271">
        <v>2</v>
      </c>
      <c r="C160" s="272">
        <v>20</v>
      </c>
      <c r="D160" s="293">
        <v>0.2</v>
      </c>
      <c r="E160" s="293">
        <v>0.3</v>
      </c>
      <c r="F160" s="293">
        <v>-0.5</v>
      </c>
      <c r="G160" s="274">
        <f t="shared" ref="G160:G165" si="42">0.5*(MAX(D160:F160)-MIN(D160:F160))</f>
        <v>0.4</v>
      </c>
      <c r="I160" s="271">
        <v>2</v>
      </c>
      <c r="J160" s="272">
        <v>40</v>
      </c>
      <c r="K160" s="293">
        <v>-3.8</v>
      </c>
      <c r="L160" s="293">
        <v>-1.7</v>
      </c>
      <c r="M160" s="293">
        <v>-0.3</v>
      </c>
      <c r="N160" s="274">
        <f t="shared" ref="N160:N165" si="43">0.5*(MAX(K160:M160)-MIN(K160:M160))</f>
        <v>1.75</v>
      </c>
      <c r="P160" s="271">
        <v>2</v>
      </c>
      <c r="Q160" s="272">
        <v>990</v>
      </c>
      <c r="R160" s="293">
        <v>4.3</v>
      </c>
      <c r="S160" s="293">
        <v>4.2</v>
      </c>
      <c r="T160" s="293">
        <v>1</v>
      </c>
      <c r="U160" s="274">
        <f t="shared" ref="U160:U165" si="44">0.5*(MAX(R160:T160)-MIN(R160:T160))</f>
        <v>1.65</v>
      </c>
    </row>
    <row r="161" spans="1:24" x14ac:dyDescent="0.25">
      <c r="A161" s="829"/>
      <c r="B161" s="271">
        <v>3</v>
      </c>
      <c r="C161" s="272">
        <v>25</v>
      </c>
      <c r="D161" s="293">
        <v>0.3</v>
      </c>
      <c r="E161" s="293">
        <v>0.2</v>
      </c>
      <c r="F161" s="293">
        <v>-0.4</v>
      </c>
      <c r="G161" s="274">
        <f t="shared" si="42"/>
        <v>0.35</v>
      </c>
      <c r="I161" s="271">
        <v>3</v>
      </c>
      <c r="J161" s="272">
        <v>50</v>
      </c>
      <c r="K161" s="293">
        <v>-3.1</v>
      </c>
      <c r="L161" s="293">
        <v>-1.4</v>
      </c>
      <c r="M161" s="293">
        <v>-0.3</v>
      </c>
      <c r="N161" s="274">
        <f t="shared" si="43"/>
        <v>1.4000000000000001</v>
      </c>
      <c r="P161" s="271">
        <v>3</v>
      </c>
      <c r="Q161" s="272">
        <v>995</v>
      </c>
      <c r="R161" s="293">
        <v>4.3</v>
      </c>
      <c r="S161" s="293">
        <v>4.0999999999999996</v>
      </c>
      <c r="T161" s="293">
        <v>1</v>
      </c>
      <c r="U161" s="274">
        <f t="shared" si="44"/>
        <v>1.65</v>
      </c>
    </row>
    <row r="162" spans="1:24" x14ac:dyDescent="0.25">
      <c r="A162" s="829"/>
      <c r="B162" s="271">
        <v>4</v>
      </c>
      <c r="C162" s="277">
        <v>30</v>
      </c>
      <c r="D162" s="295">
        <v>0.4</v>
      </c>
      <c r="E162" s="295">
        <v>0.4</v>
      </c>
      <c r="F162" s="600">
        <v>-0.2</v>
      </c>
      <c r="G162" s="274">
        <f t="shared" si="42"/>
        <v>0.30000000000000004</v>
      </c>
      <c r="I162" s="271">
        <v>4</v>
      </c>
      <c r="J162" s="277">
        <v>60</v>
      </c>
      <c r="K162" s="295">
        <v>-2.2999999999999998</v>
      </c>
      <c r="L162" s="295">
        <v>-1.1000000000000001</v>
      </c>
      <c r="M162" s="600">
        <v>-0.5</v>
      </c>
      <c r="N162" s="274">
        <f t="shared" si="43"/>
        <v>0.89999999999999991</v>
      </c>
      <c r="P162" s="271">
        <v>4</v>
      </c>
      <c r="Q162" s="277">
        <v>1000</v>
      </c>
      <c r="R162" s="295">
        <v>4.4000000000000004</v>
      </c>
      <c r="S162" s="295">
        <v>4.0999999999999996</v>
      </c>
      <c r="T162" s="600">
        <v>1.1000000000000001</v>
      </c>
      <c r="U162" s="274">
        <f t="shared" si="44"/>
        <v>1.6500000000000001</v>
      </c>
    </row>
    <row r="163" spans="1:24" x14ac:dyDescent="0.25">
      <c r="A163" s="829"/>
      <c r="B163" s="271">
        <v>5</v>
      </c>
      <c r="C163" s="277">
        <v>35</v>
      </c>
      <c r="D163" s="295">
        <v>0.5</v>
      </c>
      <c r="E163" s="295">
        <v>0.8</v>
      </c>
      <c r="F163" s="600">
        <v>-0.1</v>
      </c>
      <c r="G163" s="274">
        <f t="shared" si="42"/>
        <v>0.45</v>
      </c>
      <c r="I163" s="271">
        <v>5</v>
      </c>
      <c r="J163" s="277">
        <v>70</v>
      </c>
      <c r="K163" s="295">
        <v>-1.6</v>
      </c>
      <c r="L163" s="295">
        <v>-0.7</v>
      </c>
      <c r="M163" s="600">
        <v>-0.8</v>
      </c>
      <c r="N163" s="274">
        <f t="shared" si="43"/>
        <v>0.45000000000000007</v>
      </c>
      <c r="P163" s="271">
        <v>5</v>
      </c>
      <c r="Q163" s="277">
        <v>1005</v>
      </c>
      <c r="R163" s="295">
        <v>4.4000000000000004</v>
      </c>
      <c r="S163" s="295">
        <v>4</v>
      </c>
      <c r="T163" s="600">
        <v>1.1000000000000001</v>
      </c>
      <c r="U163" s="274">
        <f t="shared" si="44"/>
        <v>1.6500000000000001</v>
      </c>
    </row>
    <row r="164" spans="1:24" x14ac:dyDescent="0.25">
      <c r="A164" s="829"/>
      <c r="B164" s="271">
        <v>6</v>
      </c>
      <c r="C164" s="277">
        <v>37</v>
      </c>
      <c r="D164" s="295">
        <v>0.5</v>
      </c>
      <c r="E164" s="295">
        <v>1</v>
      </c>
      <c r="F164" s="600">
        <v>-0.1</v>
      </c>
      <c r="G164" s="274">
        <f t="shared" si="42"/>
        <v>0.55000000000000004</v>
      </c>
      <c r="I164" s="271">
        <v>6</v>
      </c>
      <c r="J164" s="277">
        <v>80</v>
      </c>
      <c r="K164" s="295">
        <v>-0.7</v>
      </c>
      <c r="L164" s="295">
        <v>-0.4</v>
      </c>
      <c r="M164" s="600">
        <v>-1.3</v>
      </c>
      <c r="N164" s="274">
        <f t="shared" si="43"/>
        <v>0.45</v>
      </c>
      <c r="P164" s="271">
        <v>6</v>
      </c>
      <c r="Q164" s="277">
        <v>1010</v>
      </c>
      <c r="R164" s="295">
        <v>4.5999999999999996</v>
      </c>
      <c r="S164" s="295">
        <v>3.9</v>
      </c>
      <c r="T164" s="600">
        <v>1.1000000000000001</v>
      </c>
      <c r="U164" s="274">
        <f t="shared" si="44"/>
        <v>1.7499999999999998</v>
      </c>
    </row>
    <row r="165" spans="1:24" x14ac:dyDescent="0.25">
      <c r="A165" s="829"/>
      <c r="B165" s="271">
        <v>7</v>
      </c>
      <c r="C165" s="277">
        <v>40</v>
      </c>
      <c r="D165" s="295">
        <v>0.6</v>
      </c>
      <c r="E165" s="295">
        <v>1.4</v>
      </c>
      <c r="F165" s="600">
        <v>9.9999999999999995E-7</v>
      </c>
      <c r="G165" s="274">
        <f t="shared" si="42"/>
        <v>0.6999995</v>
      </c>
      <c r="I165" s="271">
        <v>7</v>
      </c>
      <c r="J165" s="277">
        <v>90</v>
      </c>
      <c r="K165" s="295">
        <v>0.1</v>
      </c>
      <c r="L165" s="295">
        <v>-0.1</v>
      </c>
      <c r="M165" s="600">
        <v>-2</v>
      </c>
      <c r="N165" s="274">
        <f t="shared" si="43"/>
        <v>1.05</v>
      </c>
      <c r="P165" s="271">
        <v>7</v>
      </c>
      <c r="Q165" s="277">
        <v>1020</v>
      </c>
      <c r="R165" s="295">
        <v>4.5999999999999996</v>
      </c>
      <c r="S165" s="295">
        <v>9.9999999999999995E-7</v>
      </c>
      <c r="T165" s="600">
        <v>9.9999999999999995E-7</v>
      </c>
      <c r="U165" s="274">
        <f t="shared" si="44"/>
        <v>2.2999994999999998</v>
      </c>
    </row>
    <row r="166" spans="1:24" ht="13.8" thickBot="1" x14ac:dyDescent="0.3">
      <c r="A166" s="290"/>
      <c r="C166" s="282"/>
      <c r="D166" s="282"/>
      <c r="E166" s="291"/>
      <c r="F166" s="282"/>
      <c r="I166" s="282"/>
      <c r="J166" s="282"/>
      <c r="K166" s="291"/>
      <c r="L166" s="282"/>
      <c r="O166" s="282"/>
      <c r="P166" s="291"/>
      <c r="Q166" s="291"/>
      <c r="R166" s="282"/>
    </row>
    <row r="167" spans="1:24" x14ac:dyDescent="0.25">
      <c r="A167" s="829">
        <v>16</v>
      </c>
      <c r="B167" s="814" t="s">
        <v>172</v>
      </c>
      <c r="C167" s="814"/>
      <c r="D167" s="814"/>
      <c r="E167" s="814"/>
      <c r="F167" s="814"/>
      <c r="G167" s="814"/>
      <c r="I167" s="814" t="str">
        <f>B167</f>
        <v>KOREKSI EXTECH A.100616</v>
      </c>
      <c r="J167" s="814"/>
      <c r="K167" s="814"/>
      <c r="L167" s="814"/>
      <c r="M167" s="814"/>
      <c r="N167" s="814"/>
      <c r="P167" s="814" t="str">
        <f>I167</f>
        <v>KOREKSI EXTECH A.100616</v>
      </c>
      <c r="Q167" s="814"/>
      <c r="R167" s="814"/>
      <c r="S167" s="814"/>
      <c r="T167" s="814"/>
      <c r="U167" s="814"/>
      <c r="W167" s="820" t="s">
        <v>152</v>
      </c>
      <c r="X167" s="821"/>
    </row>
    <row r="168" spans="1:24" x14ac:dyDescent="0.25">
      <c r="A168" s="829"/>
      <c r="B168" s="822" t="s">
        <v>153</v>
      </c>
      <c r="C168" s="822"/>
      <c r="D168" s="822" t="s">
        <v>154</v>
      </c>
      <c r="E168" s="822"/>
      <c r="F168" s="822"/>
      <c r="G168" s="822" t="s">
        <v>155</v>
      </c>
      <c r="I168" s="822" t="s">
        <v>18</v>
      </c>
      <c r="J168" s="822"/>
      <c r="K168" s="822" t="s">
        <v>154</v>
      </c>
      <c r="L168" s="822"/>
      <c r="M168" s="822"/>
      <c r="N168" s="822" t="s">
        <v>155</v>
      </c>
      <c r="P168" s="822" t="s">
        <v>156</v>
      </c>
      <c r="Q168" s="822"/>
      <c r="R168" s="822" t="s">
        <v>154</v>
      </c>
      <c r="S168" s="822"/>
      <c r="T168" s="822"/>
      <c r="U168" s="822" t="s">
        <v>155</v>
      </c>
      <c r="W168" s="266" t="s">
        <v>153</v>
      </c>
      <c r="X168" s="267">
        <v>0.4</v>
      </c>
    </row>
    <row r="169" spans="1:24" ht="14.4" x14ac:dyDescent="0.25">
      <c r="A169" s="829"/>
      <c r="B169" s="824" t="s">
        <v>157</v>
      </c>
      <c r="C169" s="824"/>
      <c r="D169" s="269">
        <v>2020</v>
      </c>
      <c r="E169" s="288" t="s">
        <v>82</v>
      </c>
      <c r="F169" s="269" t="s">
        <v>82</v>
      </c>
      <c r="G169" s="822"/>
      <c r="I169" s="823" t="s">
        <v>19</v>
      </c>
      <c r="J169" s="824"/>
      <c r="K169" s="270">
        <f>D169</f>
        <v>2020</v>
      </c>
      <c r="L169" s="270" t="str">
        <f>E169</f>
        <v>-</v>
      </c>
      <c r="M169" s="270" t="str">
        <f>F169</f>
        <v>-</v>
      </c>
      <c r="N169" s="822"/>
      <c r="P169" s="823" t="s">
        <v>21</v>
      </c>
      <c r="Q169" s="824"/>
      <c r="R169" s="270">
        <f>K169</f>
        <v>2020</v>
      </c>
      <c r="S169" s="270" t="str">
        <f>L169</f>
        <v>-</v>
      </c>
      <c r="T169" s="270" t="str">
        <f>M169</f>
        <v>-</v>
      </c>
      <c r="U169" s="822"/>
      <c r="W169" s="266" t="s">
        <v>19</v>
      </c>
      <c r="X169" s="267">
        <v>2.2000000000000002</v>
      </c>
    </row>
    <row r="170" spans="1:24" ht="13.8" thickBot="1" x14ac:dyDescent="0.3">
      <c r="A170" s="829"/>
      <c r="B170" s="271">
        <v>1</v>
      </c>
      <c r="C170" s="272">
        <v>15</v>
      </c>
      <c r="D170" s="273">
        <v>0.1</v>
      </c>
      <c r="E170" s="273" t="s">
        <v>82</v>
      </c>
      <c r="F170" s="273" t="s">
        <v>82</v>
      </c>
      <c r="G170" s="274">
        <f>0.5*(MAX(D170:F170)-MIN(D170:F170))</f>
        <v>0</v>
      </c>
      <c r="I170" s="271">
        <v>1</v>
      </c>
      <c r="J170" s="272">
        <v>30</v>
      </c>
      <c r="K170" s="273">
        <v>-1.6</v>
      </c>
      <c r="L170" s="273" t="s">
        <v>82</v>
      </c>
      <c r="M170" s="273" t="s">
        <v>82</v>
      </c>
      <c r="N170" s="274">
        <f>0.5*(MAX(K170:M170)-MIN(K170:M170))</f>
        <v>0</v>
      </c>
      <c r="P170" s="271">
        <v>1</v>
      </c>
      <c r="Q170" s="272">
        <v>800</v>
      </c>
      <c r="R170" s="273">
        <v>-2.9</v>
      </c>
      <c r="S170" s="273" t="s">
        <v>82</v>
      </c>
      <c r="T170" s="273" t="s">
        <v>82</v>
      </c>
      <c r="U170" s="274">
        <f>0.5*(MAX(R170:T170)-MIN(R170:T170))</f>
        <v>0</v>
      </c>
      <c r="W170" s="275" t="s">
        <v>21</v>
      </c>
      <c r="X170" s="276">
        <v>2.2999999999999998</v>
      </c>
    </row>
    <row r="171" spans="1:24" x14ac:dyDescent="0.25">
      <c r="A171" s="829"/>
      <c r="B171" s="271">
        <v>2</v>
      </c>
      <c r="C171" s="272">
        <v>20</v>
      </c>
      <c r="D171" s="273">
        <v>0.2</v>
      </c>
      <c r="E171" s="273" t="s">
        <v>82</v>
      </c>
      <c r="F171" s="273" t="s">
        <v>82</v>
      </c>
      <c r="G171" s="274">
        <f t="shared" ref="G171:G176" si="45">0.5*(MAX(D171:F171)-MIN(D171:F171))</f>
        <v>0</v>
      </c>
      <c r="I171" s="271">
        <v>2</v>
      </c>
      <c r="J171" s="272">
        <v>40</v>
      </c>
      <c r="K171" s="273">
        <v>-1.4</v>
      </c>
      <c r="L171" s="273" t="s">
        <v>82</v>
      </c>
      <c r="M171" s="273" t="s">
        <v>82</v>
      </c>
      <c r="N171" s="274">
        <f t="shared" ref="N171:N176" si="46">0.5*(MAX(K171:M171)-MIN(K171:M171))</f>
        <v>0</v>
      </c>
      <c r="P171" s="271">
        <v>2</v>
      </c>
      <c r="Q171" s="272">
        <v>850</v>
      </c>
      <c r="R171" s="273">
        <v>-2.2999999999999998</v>
      </c>
      <c r="S171" s="273" t="s">
        <v>82</v>
      </c>
      <c r="T171" s="273" t="s">
        <v>82</v>
      </c>
      <c r="U171" s="274">
        <f t="shared" ref="U171:U176" si="47">0.5*(MAX(R171:T171)-MIN(R171:T171))</f>
        <v>0</v>
      </c>
    </row>
    <row r="172" spans="1:24" x14ac:dyDescent="0.25">
      <c r="A172" s="829"/>
      <c r="B172" s="271">
        <v>3</v>
      </c>
      <c r="C172" s="272">
        <v>25</v>
      </c>
      <c r="D172" s="273">
        <v>0.2</v>
      </c>
      <c r="E172" s="273" t="s">
        <v>82</v>
      </c>
      <c r="F172" s="273" t="s">
        <v>82</v>
      </c>
      <c r="G172" s="274">
        <f t="shared" si="45"/>
        <v>0</v>
      </c>
      <c r="I172" s="271">
        <v>3</v>
      </c>
      <c r="J172" s="272">
        <v>50</v>
      </c>
      <c r="K172" s="273">
        <v>-1.4</v>
      </c>
      <c r="L172" s="273" t="s">
        <v>82</v>
      </c>
      <c r="M172" s="273" t="s">
        <v>82</v>
      </c>
      <c r="N172" s="274">
        <f t="shared" si="46"/>
        <v>0</v>
      </c>
      <c r="P172" s="271">
        <v>3</v>
      </c>
      <c r="Q172" s="272">
        <v>900</v>
      </c>
      <c r="R172" s="273">
        <v>-1.7</v>
      </c>
      <c r="S172" s="273" t="s">
        <v>82</v>
      </c>
      <c r="T172" s="273" t="s">
        <v>82</v>
      </c>
      <c r="U172" s="274">
        <f t="shared" si="47"/>
        <v>0</v>
      </c>
    </row>
    <row r="173" spans="1:24" x14ac:dyDescent="0.25">
      <c r="A173" s="829"/>
      <c r="B173" s="271">
        <v>4</v>
      </c>
      <c r="C173" s="277">
        <v>30</v>
      </c>
      <c r="D173" s="278">
        <v>0.2</v>
      </c>
      <c r="E173" s="279" t="s">
        <v>82</v>
      </c>
      <c r="F173" s="273" t="s">
        <v>82</v>
      </c>
      <c r="G173" s="274">
        <f t="shared" si="45"/>
        <v>0</v>
      </c>
      <c r="I173" s="271">
        <v>4</v>
      </c>
      <c r="J173" s="277">
        <v>60</v>
      </c>
      <c r="K173" s="278">
        <v>-1.5</v>
      </c>
      <c r="L173" s="279" t="s">
        <v>82</v>
      </c>
      <c r="M173" s="273" t="s">
        <v>82</v>
      </c>
      <c r="N173" s="274">
        <f t="shared" si="46"/>
        <v>0</v>
      </c>
      <c r="P173" s="271">
        <v>4</v>
      </c>
      <c r="Q173" s="277">
        <v>950</v>
      </c>
      <c r="R173" s="278">
        <v>-1.1000000000000001</v>
      </c>
      <c r="S173" s="279" t="s">
        <v>82</v>
      </c>
      <c r="T173" s="273" t="s">
        <v>82</v>
      </c>
      <c r="U173" s="274">
        <f t="shared" si="47"/>
        <v>0</v>
      </c>
    </row>
    <row r="174" spans="1:24" x14ac:dyDescent="0.25">
      <c r="A174" s="829"/>
      <c r="B174" s="271">
        <v>5</v>
      </c>
      <c r="C174" s="277">
        <v>35</v>
      </c>
      <c r="D174" s="278">
        <v>0.1</v>
      </c>
      <c r="E174" s="279" t="s">
        <v>82</v>
      </c>
      <c r="F174" s="273" t="s">
        <v>82</v>
      </c>
      <c r="G174" s="274">
        <f t="shared" si="45"/>
        <v>0</v>
      </c>
      <c r="I174" s="271">
        <v>5</v>
      </c>
      <c r="J174" s="277">
        <v>70</v>
      </c>
      <c r="K174" s="278">
        <v>-1.8</v>
      </c>
      <c r="L174" s="279" t="s">
        <v>82</v>
      </c>
      <c r="M174" s="273" t="s">
        <v>82</v>
      </c>
      <c r="N174" s="274">
        <f t="shared" si="46"/>
        <v>0</v>
      </c>
      <c r="P174" s="271">
        <v>5</v>
      </c>
      <c r="Q174" s="277">
        <v>1000</v>
      </c>
      <c r="R174" s="278">
        <v>-0.4</v>
      </c>
      <c r="S174" s="279" t="s">
        <v>82</v>
      </c>
      <c r="T174" s="273" t="s">
        <v>82</v>
      </c>
      <c r="U174" s="274">
        <f t="shared" si="47"/>
        <v>0</v>
      </c>
    </row>
    <row r="175" spans="1:24" x14ac:dyDescent="0.25">
      <c r="A175" s="829"/>
      <c r="B175" s="271">
        <v>6</v>
      </c>
      <c r="C175" s="277">
        <v>37</v>
      </c>
      <c r="D175" s="278">
        <v>9.9999999999999995E-7</v>
      </c>
      <c r="E175" s="279" t="s">
        <v>82</v>
      </c>
      <c r="F175" s="273" t="s">
        <v>82</v>
      </c>
      <c r="G175" s="274">
        <f t="shared" si="45"/>
        <v>0</v>
      </c>
      <c r="I175" s="271">
        <v>6</v>
      </c>
      <c r="J175" s="277">
        <v>80</v>
      </c>
      <c r="K175" s="278">
        <v>-2.2999999999999998</v>
      </c>
      <c r="L175" s="279" t="s">
        <v>82</v>
      </c>
      <c r="M175" s="273" t="s">
        <v>82</v>
      </c>
      <c r="N175" s="274">
        <f t="shared" si="46"/>
        <v>0</v>
      </c>
      <c r="P175" s="271">
        <v>6</v>
      </c>
      <c r="Q175" s="277">
        <v>1005</v>
      </c>
      <c r="R175" s="278">
        <v>-0.4</v>
      </c>
      <c r="S175" s="279" t="s">
        <v>82</v>
      </c>
      <c r="T175" s="273" t="s">
        <v>82</v>
      </c>
      <c r="U175" s="274">
        <f t="shared" si="47"/>
        <v>0</v>
      </c>
    </row>
    <row r="176" spans="1:24" x14ac:dyDescent="0.25">
      <c r="A176" s="829"/>
      <c r="B176" s="271">
        <v>7</v>
      </c>
      <c r="C176" s="277">
        <v>40</v>
      </c>
      <c r="D176" s="278">
        <v>9.9999999999999995E-7</v>
      </c>
      <c r="E176" s="279" t="s">
        <v>82</v>
      </c>
      <c r="F176" s="273" t="s">
        <v>82</v>
      </c>
      <c r="G176" s="274">
        <f t="shared" si="45"/>
        <v>0</v>
      </c>
      <c r="I176" s="271">
        <v>7</v>
      </c>
      <c r="J176" s="277">
        <v>90</v>
      </c>
      <c r="K176" s="278">
        <v>-3</v>
      </c>
      <c r="L176" s="279" t="s">
        <v>82</v>
      </c>
      <c r="M176" s="273" t="s">
        <v>82</v>
      </c>
      <c r="N176" s="274">
        <f t="shared" si="46"/>
        <v>0</v>
      </c>
      <c r="P176" s="271">
        <v>7</v>
      </c>
      <c r="Q176" s="277">
        <v>1020</v>
      </c>
      <c r="R176" s="278">
        <v>9.9999999999999995E-7</v>
      </c>
      <c r="S176" s="279" t="s">
        <v>82</v>
      </c>
      <c r="T176" s="273" t="s">
        <v>82</v>
      </c>
      <c r="U176" s="274">
        <f t="shared" si="47"/>
        <v>0</v>
      </c>
    </row>
    <row r="177" spans="1:24" ht="13.8" thickBot="1" x14ac:dyDescent="0.3">
      <c r="A177" s="290"/>
      <c r="C177" s="282"/>
      <c r="D177" s="282"/>
      <c r="E177" s="291"/>
      <c r="F177" s="282"/>
      <c r="J177" s="282"/>
      <c r="K177" s="282"/>
      <c r="L177" s="291"/>
      <c r="M177" s="282"/>
      <c r="Q177" s="282"/>
      <c r="R177" s="291"/>
      <c r="S177" s="291"/>
      <c r="T177" s="282"/>
    </row>
    <row r="178" spans="1:24" x14ac:dyDescent="0.25">
      <c r="A178" s="829">
        <v>17</v>
      </c>
      <c r="B178" s="814" t="s">
        <v>173</v>
      </c>
      <c r="C178" s="814"/>
      <c r="D178" s="814"/>
      <c r="E178" s="814"/>
      <c r="F178" s="814"/>
      <c r="G178" s="814"/>
      <c r="I178" s="814" t="str">
        <f>B178</f>
        <v>KOREKSI EXTECH A.100617</v>
      </c>
      <c r="J178" s="814"/>
      <c r="K178" s="814"/>
      <c r="L178" s="814"/>
      <c r="M178" s="814"/>
      <c r="N178" s="814"/>
      <c r="P178" s="814" t="str">
        <f>I178</f>
        <v>KOREKSI EXTECH A.100617</v>
      </c>
      <c r="Q178" s="814"/>
      <c r="R178" s="814"/>
      <c r="S178" s="814"/>
      <c r="T178" s="814"/>
      <c r="U178" s="814"/>
      <c r="W178" s="820" t="s">
        <v>152</v>
      </c>
      <c r="X178" s="821"/>
    </row>
    <row r="179" spans="1:24" x14ac:dyDescent="0.25">
      <c r="A179" s="829"/>
      <c r="B179" s="822" t="s">
        <v>153</v>
      </c>
      <c r="C179" s="822"/>
      <c r="D179" s="822" t="s">
        <v>154</v>
      </c>
      <c r="E179" s="822"/>
      <c r="F179" s="822"/>
      <c r="G179" s="822" t="s">
        <v>155</v>
      </c>
      <c r="I179" s="822" t="s">
        <v>18</v>
      </c>
      <c r="J179" s="822"/>
      <c r="K179" s="822" t="s">
        <v>154</v>
      </c>
      <c r="L179" s="822"/>
      <c r="M179" s="822"/>
      <c r="N179" s="822" t="s">
        <v>155</v>
      </c>
      <c r="P179" s="822" t="s">
        <v>156</v>
      </c>
      <c r="Q179" s="822"/>
      <c r="R179" s="822" t="s">
        <v>154</v>
      </c>
      <c r="S179" s="822"/>
      <c r="T179" s="822"/>
      <c r="U179" s="822" t="s">
        <v>155</v>
      </c>
      <c r="W179" s="266" t="s">
        <v>153</v>
      </c>
      <c r="X179" s="267">
        <v>0.3</v>
      </c>
    </row>
    <row r="180" spans="1:24" ht="14.4" x14ac:dyDescent="0.25">
      <c r="A180" s="829"/>
      <c r="B180" s="824" t="s">
        <v>157</v>
      </c>
      <c r="C180" s="824"/>
      <c r="D180" s="269">
        <v>2020</v>
      </c>
      <c r="E180" s="288" t="s">
        <v>82</v>
      </c>
      <c r="F180" s="269" t="s">
        <v>82</v>
      </c>
      <c r="G180" s="822"/>
      <c r="I180" s="823" t="s">
        <v>19</v>
      </c>
      <c r="J180" s="824"/>
      <c r="K180" s="270">
        <f>D180</f>
        <v>2020</v>
      </c>
      <c r="L180" s="270" t="str">
        <f>E180</f>
        <v>-</v>
      </c>
      <c r="M180" s="270" t="str">
        <f>F180</f>
        <v>-</v>
      </c>
      <c r="N180" s="822"/>
      <c r="P180" s="823" t="s">
        <v>21</v>
      </c>
      <c r="Q180" s="824"/>
      <c r="R180" s="270">
        <f>K180</f>
        <v>2020</v>
      </c>
      <c r="S180" s="270" t="str">
        <f>L180</f>
        <v>-</v>
      </c>
      <c r="T180" s="270" t="str">
        <f>M180</f>
        <v>-</v>
      </c>
      <c r="U180" s="822"/>
      <c r="W180" s="266" t="s">
        <v>19</v>
      </c>
      <c r="X180" s="267">
        <v>2.8</v>
      </c>
    </row>
    <row r="181" spans="1:24" ht="13.8" thickBot="1" x14ac:dyDescent="0.3">
      <c r="A181" s="829"/>
      <c r="B181" s="292">
        <v>1</v>
      </c>
      <c r="C181" s="293">
        <v>15</v>
      </c>
      <c r="D181" s="273">
        <v>0.1</v>
      </c>
      <c r="E181" s="273" t="s">
        <v>82</v>
      </c>
      <c r="F181" s="273" t="s">
        <v>82</v>
      </c>
      <c r="G181" s="274">
        <f>0.5*(MAX(D181:F181)-MIN(D181:F181))</f>
        <v>0</v>
      </c>
      <c r="I181" s="271">
        <v>1</v>
      </c>
      <c r="J181" s="272">
        <v>30</v>
      </c>
      <c r="K181" s="273">
        <v>0.1</v>
      </c>
      <c r="L181" s="273" t="s">
        <v>82</v>
      </c>
      <c r="M181" s="273" t="s">
        <v>82</v>
      </c>
      <c r="N181" s="274">
        <f>0.5*(MAX(K181:M181)-MIN(K181:M181))</f>
        <v>0</v>
      </c>
      <c r="P181" s="271">
        <v>1</v>
      </c>
      <c r="Q181" s="272">
        <v>960</v>
      </c>
      <c r="R181" s="294">
        <v>-0.6</v>
      </c>
      <c r="S181" s="273" t="s">
        <v>82</v>
      </c>
      <c r="T181" s="273" t="s">
        <v>82</v>
      </c>
      <c r="U181" s="274">
        <f>0.5*(MAX(R181:T181)-MIN(R181:T181))</f>
        <v>0</v>
      </c>
      <c r="W181" s="275" t="s">
        <v>21</v>
      </c>
      <c r="X181" s="276">
        <v>2.1</v>
      </c>
    </row>
    <row r="182" spans="1:24" x14ac:dyDescent="0.25">
      <c r="A182" s="829"/>
      <c r="B182" s="292">
        <v>2</v>
      </c>
      <c r="C182" s="293">
        <v>20</v>
      </c>
      <c r="D182" s="273">
        <v>0.1</v>
      </c>
      <c r="E182" s="273" t="s">
        <v>82</v>
      </c>
      <c r="F182" s="273" t="s">
        <v>82</v>
      </c>
      <c r="G182" s="274">
        <f t="shared" ref="G182:G187" si="48">0.5*(MAX(D182:F182)-MIN(D182:F182))</f>
        <v>0</v>
      </c>
      <c r="I182" s="271">
        <v>2</v>
      </c>
      <c r="J182" s="272">
        <v>40</v>
      </c>
      <c r="K182" s="273">
        <v>0.2</v>
      </c>
      <c r="L182" s="273" t="s">
        <v>82</v>
      </c>
      <c r="M182" s="273" t="s">
        <v>82</v>
      </c>
      <c r="N182" s="274">
        <f t="shared" ref="N182:N187" si="49">0.5*(MAX(K182:M182)-MIN(K182:M182))</f>
        <v>0</v>
      </c>
      <c r="P182" s="271">
        <v>2</v>
      </c>
      <c r="Q182" s="272">
        <v>970</v>
      </c>
      <c r="R182" s="294">
        <v>-0.6</v>
      </c>
      <c r="S182" s="273" t="s">
        <v>82</v>
      </c>
      <c r="T182" s="273" t="s">
        <v>82</v>
      </c>
      <c r="U182" s="274">
        <f t="shared" ref="U182:U187" si="50">0.5*(MAX(R182:T182)-MIN(R182:T182))</f>
        <v>0</v>
      </c>
    </row>
    <row r="183" spans="1:24" x14ac:dyDescent="0.25">
      <c r="A183" s="829"/>
      <c r="B183" s="292">
        <v>3</v>
      </c>
      <c r="C183" s="293">
        <v>25</v>
      </c>
      <c r="D183" s="273">
        <v>9.9999999999999995E-7</v>
      </c>
      <c r="E183" s="273" t="s">
        <v>82</v>
      </c>
      <c r="F183" s="273" t="s">
        <v>82</v>
      </c>
      <c r="G183" s="274">
        <f t="shared" si="48"/>
        <v>0</v>
      </c>
      <c r="I183" s="271">
        <v>3</v>
      </c>
      <c r="J183" s="272">
        <v>50</v>
      </c>
      <c r="K183" s="273">
        <v>0.2</v>
      </c>
      <c r="L183" s="273" t="s">
        <v>82</v>
      </c>
      <c r="M183" s="273" t="s">
        <v>82</v>
      </c>
      <c r="N183" s="274">
        <f t="shared" si="49"/>
        <v>0</v>
      </c>
      <c r="P183" s="271">
        <v>3</v>
      </c>
      <c r="Q183" s="277">
        <v>980</v>
      </c>
      <c r="R183" s="279">
        <v>-0.6</v>
      </c>
      <c r="S183" s="273" t="s">
        <v>82</v>
      </c>
      <c r="T183" s="273" t="s">
        <v>82</v>
      </c>
      <c r="U183" s="274">
        <f t="shared" si="50"/>
        <v>0</v>
      </c>
    </row>
    <row r="184" spans="1:24" x14ac:dyDescent="0.25">
      <c r="A184" s="829"/>
      <c r="B184" s="292">
        <v>4</v>
      </c>
      <c r="C184" s="295">
        <v>30</v>
      </c>
      <c r="D184" s="278">
        <v>-0.2</v>
      </c>
      <c r="E184" s="279" t="s">
        <v>82</v>
      </c>
      <c r="F184" s="273" t="s">
        <v>82</v>
      </c>
      <c r="G184" s="274">
        <f t="shared" si="48"/>
        <v>0</v>
      </c>
      <c r="I184" s="271">
        <v>4</v>
      </c>
      <c r="J184" s="277">
        <v>60</v>
      </c>
      <c r="K184" s="278">
        <v>9.9999999999999995E-7</v>
      </c>
      <c r="L184" s="279" t="s">
        <v>82</v>
      </c>
      <c r="M184" s="273" t="s">
        <v>82</v>
      </c>
      <c r="N184" s="274">
        <f t="shared" si="49"/>
        <v>0</v>
      </c>
      <c r="P184" s="271">
        <v>4</v>
      </c>
      <c r="Q184" s="277">
        <v>990</v>
      </c>
      <c r="R184" s="279">
        <v>-0.6</v>
      </c>
      <c r="S184" s="279" t="s">
        <v>82</v>
      </c>
      <c r="T184" s="273" t="s">
        <v>82</v>
      </c>
      <c r="U184" s="274">
        <f t="shared" si="50"/>
        <v>0</v>
      </c>
    </row>
    <row r="185" spans="1:24" x14ac:dyDescent="0.25">
      <c r="A185" s="829"/>
      <c r="B185" s="292">
        <v>5</v>
      </c>
      <c r="C185" s="295">
        <v>35</v>
      </c>
      <c r="D185" s="278">
        <v>-0.5</v>
      </c>
      <c r="E185" s="279" t="s">
        <v>82</v>
      </c>
      <c r="F185" s="273" t="s">
        <v>82</v>
      </c>
      <c r="G185" s="274">
        <f t="shared" si="48"/>
        <v>0</v>
      </c>
      <c r="I185" s="271">
        <v>5</v>
      </c>
      <c r="J185" s="277">
        <v>70</v>
      </c>
      <c r="K185" s="278">
        <v>-0.3</v>
      </c>
      <c r="L185" s="279" t="s">
        <v>82</v>
      </c>
      <c r="M185" s="273" t="s">
        <v>82</v>
      </c>
      <c r="N185" s="274">
        <f t="shared" si="49"/>
        <v>0</v>
      </c>
      <c r="P185" s="271">
        <v>5</v>
      </c>
      <c r="Q185" s="277">
        <v>1000</v>
      </c>
      <c r="R185" s="279">
        <v>-0.6</v>
      </c>
      <c r="S185" s="279" t="s">
        <v>82</v>
      </c>
      <c r="T185" s="273" t="s">
        <v>82</v>
      </c>
      <c r="U185" s="274">
        <f t="shared" si="50"/>
        <v>0</v>
      </c>
    </row>
    <row r="186" spans="1:24" x14ac:dyDescent="0.25">
      <c r="A186" s="829"/>
      <c r="B186" s="292">
        <v>6</v>
      </c>
      <c r="C186" s="295">
        <v>37</v>
      </c>
      <c r="D186" s="278">
        <v>-0.6</v>
      </c>
      <c r="E186" s="279" t="s">
        <v>82</v>
      </c>
      <c r="F186" s="273" t="s">
        <v>82</v>
      </c>
      <c r="G186" s="274">
        <f t="shared" si="48"/>
        <v>0</v>
      </c>
      <c r="I186" s="271">
        <v>6</v>
      </c>
      <c r="J186" s="277">
        <v>80</v>
      </c>
      <c r="K186" s="278">
        <v>-0.8</v>
      </c>
      <c r="L186" s="279" t="s">
        <v>82</v>
      </c>
      <c r="M186" s="273" t="s">
        <v>82</v>
      </c>
      <c r="N186" s="274">
        <f t="shared" si="49"/>
        <v>0</v>
      </c>
      <c r="P186" s="271">
        <v>6</v>
      </c>
      <c r="Q186" s="277">
        <v>1005</v>
      </c>
      <c r="R186" s="279">
        <v>-0.6</v>
      </c>
      <c r="S186" s="279" t="s">
        <v>82</v>
      </c>
      <c r="T186" s="273" t="s">
        <v>82</v>
      </c>
      <c r="U186" s="274">
        <f t="shared" si="50"/>
        <v>0</v>
      </c>
    </row>
    <row r="187" spans="1:24" x14ac:dyDescent="0.25">
      <c r="A187" s="829"/>
      <c r="B187" s="292">
        <v>7</v>
      </c>
      <c r="C187" s="295">
        <v>40</v>
      </c>
      <c r="D187" s="278">
        <v>-0.8</v>
      </c>
      <c r="E187" s="279" t="s">
        <v>82</v>
      </c>
      <c r="F187" s="273" t="s">
        <v>82</v>
      </c>
      <c r="G187" s="274">
        <f t="shared" si="48"/>
        <v>0</v>
      </c>
      <c r="I187" s="271">
        <v>7</v>
      </c>
      <c r="J187" s="277">
        <v>90</v>
      </c>
      <c r="K187" s="278">
        <v>-1.4</v>
      </c>
      <c r="L187" s="279" t="s">
        <v>82</v>
      </c>
      <c r="M187" s="273" t="s">
        <v>82</v>
      </c>
      <c r="N187" s="274">
        <f t="shared" si="49"/>
        <v>0</v>
      </c>
      <c r="P187" s="271">
        <v>7</v>
      </c>
      <c r="Q187" s="277">
        <v>1020</v>
      </c>
      <c r="R187" s="279">
        <v>9.9999999999999995E-7</v>
      </c>
      <c r="S187" s="279" t="s">
        <v>82</v>
      </c>
      <c r="T187" s="273" t="s">
        <v>82</v>
      </c>
      <c r="U187" s="274">
        <f t="shared" si="50"/>
        <v>0</v>
      </c>
    </row>
    <row r="188" spans="1:24" ht="13.8" thickBot="1" x14ac:dyDescent="0.3">
      <c r="A188" s="290"/>
      <c r="C188" s="282"/>
      <c r="D188" s="282"/>
      <c r="E188" s="291"/>
      <c r="F188" s="282"/>
      <c r="J188" s="282"/>
      <c r="K188" s="282"/>
      <c r="L188" s="291"/>
      <c r="M188" s="282"/>
      <c r="Q188" s="282"/>
      <c r="R188" s="291"/>
      <c r="S188" s="291"/>
      <c r="T188" s="282"/>
    </row>
    <row r="189" spans="1:24" x14ac:dyDescent="0.25">
      <c r="A189" s="829">
        <v>18</v>
      </c>
      <c r="B189" s="814" t="s">
        <v>174</v>
      </c>
      <c r="C189" s="814"/>
      <c r="D189" s="814"/>
      <c r="E189" s="814"/>
      <c r="F189" s="814"/>
      <c r="G189" s="814"/>
      <c r="I189" s="814" t="str">
        <f>B189</f>
        <v>KOREKSI EXTECH A.100618</v>
      </c>
      <c r="J189" s="814"/>
      <c r="K189" s="814"/>
      <c r="L189" s="814"/>
      <c r="M189" s="814"/>
      <c r="N189" s="814"/>
      <c r="P189" s="814" t="str">
        <f>I189</f>
        <v>KOREKSI EXTECH A.100618</v>
      </c>
      <c r="Q189" s="814"/>
      <c r="R189" s="814"/>
      <c r="S189" s="814"/>
      <c r="T189" s="814"/>
      <c r="U189" s="814"/>
      <c r="W189" s="820" t="s">
        <v>152</v>
      </c>
      <c r="X189" s="821"/>
    </row>
    <row r="190" spans="1:24" x14ac:dyDescent="0.25">
      <c r="A190" s="829"/>
      <c r="B190" s="822" t="s">
        <v>153</v>
      </c>
      <c r="C190" s="822"/>
      <c r="D190" s="822" t="s">
        <v>154</v>
      </c>
      <c r="E190" s="822"/>
      <c r="F190" s="822"/>
      <c r="G190" s="822" t="s">
        <v>155</v>
      </c>
      <c r="I190" s="822" t="s">
        <v>18</v>
      </c>
      <c r="J190" s="822"/>
      <c r="K190" s="822" t="s">
        <v>154</v>
      </c>
      <c r="L190" s="822"/>
      <c r="M190" s="822"/>
      <c r="N190" s="822" t="s">
        <v>155</v>
      </c>
      <c r="P190" s="822" t="s">
        <v>156</v>
      </c>
      <c r="Q190" s="822"/>
      <c r="R190" s="822" t="s">
        <v>154</v>
      </c>
      <c r="S190" s="822"/>
      <c r="T190" s="822"/>
      <c r="U190" s="822" t="s">
        <v>155</v>
      </c>
      <c r="W190" s="266" t="s">
        <v>153</v>
      </c>
      <c r="X190" s="267">
        <v>0.3</v>
      </c>
    </row>
    <row r="191" spans="1:24" ht="14.4" x14ac:dyDescent="0.25">
      <c r="A191" s="829"/>
      <c r="B191" s="824" t="s">
        <v>157</v>
      </c>
      <c r="C191" s="824"/>
      <c r="D191" s="269">
        <v>2020</v>
      </c>
      <c r="E191" s="288" t="s">
        <v>82</v>
      </c>
      <c r="F191" s="269" t="s">
        <v>82</v>
      </c>
      <c r="G191" s="822"/>
      <c r="I191" s="823" t="s">
        <v>19</v>
      </c>
      <c r="J191" s="824"/>
      <c r="K191" s="270">
        <f>D191</f>
        <v>2020</v>
      </c>
      <c r="L191" s="270" t="str">
        <f>E191</f>
        <v>-</v>
      </c>
      <c r="M191" s="270" t="str">
        <f>F191</f>
        <v>-</v>
      </c>
      <c r="N191" s="822"/>
      <c r="P191" s="823" t="s">
        <v>21</v>
      </c>
      <c r="Q191" s="824"/>
      <c r="R191" s="270">
        <f>K191</f>
        <v>2020</v>
      </c>
      <c r="S191" s="270" t="str">
        <f>L191</f>
        <v>-</v>
      </c>
      <c r="T191" s="270" t="str">
        <f>M191</f>
        <v>-</v>
      </c>
      <c r="U191" s="822"/>
      <c r="W191" s="266" t="s">
        <v>19</v>
      </c>
      <c r="X191" s="267">
        <v>1.6</v>
      </c>
    </row>
    <row r="192" spans="1:24" ht="13.8" thickBot="1" x14ac:dyDescent="0.3">
      <c r="A192" s="829"/>
      <c r="B192" s="271">
        <v>1</v>
      </c>
      <c r="C192" s="272">
        <v>15</v>
      </c>
      <c r="D192" s="273">
        <v>9.9999999999999995E-7</v>
      </c>
      <c r="E192" s="273" t="s">
        <v>82</v>
      </c>
      <c r="F192" s="273" t="s">
        <v>82</v>
      </c>
      <c r="G192" s="274">
        <f>0.5*(MAX(D192:F192)-MIN(D192:F192))</f>
        <v>0</v>
      </c>
      <c r="I192" s="271">
        <v>1</v>
      </c>
      <c r="J192" s="272">
        <v>30</v>
      </c>
      <c r="K192" s="273">
        <v>-0.4</v>
      </c>
      <c r="L192" s="273" t="s">
        <v>82</v>
      </c>
      <c r="M192" s="273" t="s">
        <v>82</v>
      </c>
      <c r="N192" s="274">
        <f>0.5*(MAX(K192:M192)-MIN(K192:M192))</f>
        <v>0</v>
      </c>
      <c r="P192" s="271">
        <v>1</v>
      </c>
      <c r="Q192" s="272">
        <v>800</v>
      </c>
      <c r="R192" s="294">
        <v>-1.5</v>
      </c>
      <c r="S192" s="273" t="s">
        <v>82</v>
      </c>
      <c r="T192" s="273" t="s">
        <v>82</v>
      </c>
      <c r="U192" s="274">
        <f>0.5*(MAX(R192:T192)-MIN(R192:T192))</f>
        <v>0</v>
      </c>
      <c r="W192" s="275" t="s">
        <v>21</v>
      </c>
      <c r="X192" s="276">
        <v>2.4</v>
      </c>
    </row>
    <row r="193" spans="1:24" x14ac:dyDescent="0.25">
      <c r="A193" s="829"/>
      <c r="B193" s="271">
        <v>2</v>
      </c>
      <c r="C193" s="272">
        <v>20</v>
      </c>
      <c r="D193" s="273">
        <v>-0.1</v>
      </c>
      <c r="E193" s="273" t="s">
        <v>82</v>
      </c>
      <c r="F193" s="273" t="s">
        <v>82</v>
      </c>
      <c r="G193" s="274">
        <f t="shared" ref="G193:G198" si="51">0.5*(MAX(D193:F193)-MIN(D193:F193))</f>
        <v>0</v>
      </c>
      <c r="I193" s="271">
        <v>2</v>
      </c>
      <c r="J193" s="272">
        <v>40</v>
      </c>
      <c r="K193" s="273">
        <v>-0.2</v>
      </c>
      <c r="L193" s="273" t="s">
        <v>82</v>
      </c>
      <c r="M193" s="273" t="s">
        <v>82</v>
      </c>
      <c r="N193" s="274">
        <f t="shared" ref="N193:N198" si="52">0.5*(MAX(K193:M193)-MIN(K193:M193))</f>
        <v>0</v>
      </c>
      <c r="P193" s="271">
        <v>2</v>
      </c>
      <c r="Q193" s="272">
        <v>850</v>
      </c>
      <c r="R193" s="294">
        <v>-1.3</v>
      </c>
      <c r="S193" s="273" t="s">
        <v>82</v>
      </c>
      <c r="T193" s="273" t="s">
        <v>82</v>
      </c>
      <c r="U193" s="274">
        <f t="shared" ref="U193:U198" si="53">0.5*(MAX(R193:T193)-MIN(R193:T193))</f>
        <v>0</v>
      </c>
    </row>
    <row r="194" spans="1:24" x14ac:dyDescent="0.25">
      <c r="A194" s="829"/>
      <c r="B194" s="271">
        <v>3</v>
      </c>
      <c r="C194" s="272">
        <v>25</v>
      </c>
      <c r="D194" s="273">
        <v>-0.2</v>
      </c>
      <c r="E194" s="273" t="s">
        <v>82</v>
      </c>
      <c r="F194" s="273" t="s">
        <v>82</v>
      </c>
      <c r="G194" s="274">
        <f t="shared" si="51"/>
        <v>0</v>
      </c>
      <c r="I194" s="271">
        <v>3</v>
      </c>
      <c r="J194" s="272">
        <v>50</v>
      </c>
      <c r="K194" s="273">
        <v>-0.2</v>
      </c>
      <c r="L194" s="273" t="s">
        <v>82</v>
      </c>
      <c r="M194" s="273" t="s">
        <v>82</v>
      </c>
      <c r="N194" s="274">
        <f t="shared" si="52"/>
        <v>0</v>
      </c>
      <c r="P194" s="271">
        <v>3</v>
      </c>
      <c r="Q194" s="277">
        <v>900</v>
      </c>
      <c r="R194" s="279">
        <v>-1.1000000000000001</v>
      </c>
      <c r="S194" s="273" t="s">
        <v>82</v>
      </c>
      <c r="T194" s="273" t="s">
        <v>82</v>
      </c>
      <c r="U194" s="274">
        <f t="shared" si="53"/>
        <v>0</v>
      </c>
    </row>
    <row r="195" spans="1:24" x14ac:dyDescent="0.25">
      <c r="A195" s="829"/>
      <c r="B195" s="271">
        <v>4</v>
      </c>
      <c r="C195" s="277">
        <v>30</v>
      </c>
      <c r="D195" s="278">
        <v>-0.2</v>
      </c>
      <c r="E195" s="279" t="s">
        <v>82</v>
      </c>
      <c r="F195" s="273" t="s">
        <v>82</v>
      </c>
      <c r="G195" s="274">
        <f t="shared" si="51"/>
        <v>0</v>
      </c>
      <c r="I195" s="271">
        <v>4</v>
      </c>
      <c r="J195" s="277">
        <v>60</v>
      </c>
      <c r="K195" s="278">
        <v>-0.2</v>
      </c>
      <c r="L195" s="279" t="s">
        <v>82</v>
      </c>
      <c r="M195" s="273" t="s">
        <v>82</v>
      </c>
      <c r="N195" s="274">
        <f t="shared" si="52"/>
        <v>0</v>
      </c>
      <c r="P195" s="271">
        <v>4</v>
      </c>
      <c r="Q195" s="277">
        <v>950</v>
      </c>
      <c r="R195" s="279">
        <v>-0.9</v>
      </c>
      <c r="S195" s="279" t="s">
        <v>82</v>
      </c>
      <c r="T195" s="273" t="s">
        <v>82</v>
      </c>
      <c r="U195" s="274">
        <f t="shared" si="53"/>
        <v>0</v>
      </c>
    </row>
    <row r="196" spans="1:24" x14ac:dyDescent="0.25">
      <c r="A196" s="829"/>
      <c r="B196" s="271">
        <v>5</v>
      </c>
      <c r="C196" s="277">
        <v>35</v>
      </c>
      <c r="D196" s="278">
        <v>-0.3</v>
      </c>
      <c r="E196" s="279" t="s">
        <v>82</v>
      </c>
      <c r="F196" s="273" t="s">
        <v>82</v>
      </c>
      <c r="G196" s="274">
        <f t="shared" si="51"/>
        <v>0</v>
      </c>
      <c r="I196" s="271">
        <v>5</v>
      </c>
      <c r="J196" s="277">
        <v>70</v>
      </c>
      <c r="K196" s="278">
        <v>-0.3</v>
      </c>
      <c r="L196" s="279" t="s">
        <v>82</v>
      </c>
      <c r="M196" s="273" t="s">
        <v>82</v>
      </c>
      <c r="N196" s="274">
        <f t="shared" si="52"/>
        <v>0</v>
      </c>
      <c r="P196" s="271">
        <v>5</v>
      </c>
      <c r="Q196" s="277">
        <v>1000</v>
      </c>
      <c r="R196" s="279">
        <v>-0.8</v>
      </c>
      <c r="S196" s="279" t="s">
        <v>82</v>
      </c>
      <c r="T196" s="273" t="s">
        <v>82</v>
      </c>
      <c r="U196" s="274">
        <f t="shared" si="53"/>
        <v>0</v>
      </c>
    </row>
    <row r="197" spans="1:24" x14ac:dyDescent="0.25">
      <c r="A197" s="829"/>
      <c r="B197" s="271">
        <v>6</v>
      </c>
      <c r="C197" s="277">
        <v>37</v>
      </c>
      <c r="D197" s="278">
        <v>-0.3</v>
      </c>
      <c r="E197" s="279" t="s">
        <v>82</v>
      </c>
      <c r="F197" s="273" t="s">
        <v>82</v>
      </c>
      <c r="G197" s="274">
        <f t="shared" si="51"/>
        <v>0</v>
      </c>
      <c r="I197" s="271">
        <v>6</v>
      </c>
      <c r="J197" s="277">
        <v>80</v>
      </c>
      <c r="K197" s="278">
        <v>-0.5</v>
      </c>
      <c r="L197" s="279" t="s">
        <v>82</v>
      </c>
      <c r="M197" s="273" t="s">
        <v>82</v>
      </c>
      <c r="N197" s="274">
        <f t="shared" si="52"/>
        <v>0</v>
      </c>
      <c r="P197" s="271">
        <v>6</v>
      </c>
      <c r="Q197" s="277">
        <v>1005</v>
      </c>
      <c r="R197" s="279">
        <v>-0.7</v>
      </c>
      <c r="S197" s="279" t="s">
        <v>82</v>
      </c>
      <c r="T197" s="273" t="s">
        <v>82</v>
      </c>
      <c r="U197" s="274">
        <f t="shared" si="53"/>
        <v>0</v>
      </c>
    </row>
    <row r="198" spans="1:24" x14ac:dyDescent="0.25">
      <c r="A198" s="829"/>
      <c r="B198" s="271">
        <v>7</v>
      </c>
      <c r="C198" s="277">
        <v>40</v>
      </c>
      <c r="D198" s="278">
        <v>-0.4</v>
      </c>
      <c r="E198" s="279" t="s">
        <v>82</v>
      </c>
      <c r="F198" s="273" t="s">
        <v>82</v>
      </c>
      <c r="G198" s="274">
        <f t="shared" si="51"/>
        <v>0</v>
      </c>
      <c r="I198" s="271">
        <v>7</v>
      </c>
      <c r="J198" s="277">
        <v>90</v>
      </c>
      <c r="K198" s="278">
        <v>-0.8</v>
      </c>
      <c r="L198" s="279" t="s">
        <v>82</v>
      </c>
      <c r="M198" s="273" t="s">
        <v>82</v>
      </c>
      <c r="N198" s="274">
        <f t="shared" si="52"/>
        <v>0</v>
      </c>
      <c r="P198" s="271">
        <v>7</v>
      </c>
      <c r="Q198" s="277">
        <v>1020</v>
      </c>
      <c r="R198" s="279">
        <v>9.9999999999999995E-7</v>
      </c>
      <c r="S198" s="279" t="s">
        <v>82</v>
      </c>
      <c r="T198" s="273" t="s">
        <v>82</v>
      </c>
      <c r="U198" s="274">
        <f t="shared" si="53"/>
        <v>0</v>
      </c>
    </row>
    <row r="199" spans="1:24" ht="13.8" thickBot="1" x14ac:dyDescent="0.3">
      <c r="A199" s="290"/>
      <c r="C199" s="282"/>
      <c r="D199" s="282"/>
      <c r="E199" s="291"/>
      <c r="F199" s="282"/>
      <c r="I199" s="282"/>
      <c r="J199" s="282"/>
      <c r="K199" s="291"/>
      <c r="L199" s="282"/>
      <c r="O199" s="282"/>
      <c r="P199" s="291"/>
      <c r="Q199" s="291"/>
      <c r="R199" s="282"/>
    </row>
    <row r="200" spans="1:24" x14ac:dyDescent="0.25">
      <c r="A200" s="829">
        <v>19</v>
      </c>
      <c r="B200" s="814" t="s">
        <v>175</v>
      </c>
      <c r="C200" s="814"/>
      <c r="D200" s="814"/>
      <c r="E200" s="814"/>
      <c r="F200" s="814"/>
      <c r="G200" s="814"/>
      <c r="I200" s="814" t="str">
        <f>B200</f>
        <v>KOREKSI EXTECH A.100615</v>
      </c>
      <c r="J200" s="814"/>
      <c r="K200" s="814"/>
      <c r="L200" s="814"/>
      <c r="M200" s="814"/>
      <c r="N200" s="814"/>
      <c r="P200" s="814" t="str">
        <f>I200</f>
        <v>KOREKSI EXTECH A.100615</v>
      </c>
      <c r="Q200" s="814"/>
      <c r="R200" s="814"/>
      <c r="S200" s="814"/>
      <c r="T200" s="814"/>
      <c r="U200" s="814"/>
      <c r="W200" s="820" t="s">
        <v>152</v>
      </c>
      <c r="X200" s="821"/>
    </row>
    <row r="201" spans="1:24" x14ac:dyDescent="0.25">
      <c r="A201" s="829"/>
      <c r="B201" s="822" t="s">
        <v>153</v>
      </c>
      <c r="C201" s="822"/>
      <c r="D201" s="822" t="s">
        <v>154</v>
      </c>
      <c r="E201" s="822"/>
      <c r="F201" s="822"/>
      <c r="G201" s="822" t="s">
        <v>155</v>
      </c>
      <c r="I201" s="822" t="s">
        <v>18</v>
      </c>
      <c r="J201" s="822"/>
      <c r="K201" s="822" t="s">
        <v>154</v>
      </c>
      <c r="L201" s="822"/>
      <c r="M201" s="822"/>
      <c r="N201" s="822" t="s">
        <v>155</v>
      </c>
      <c r="P201" s="822" t="s">
        <v>156</v>
      </c>
      <c r="Q201" s="822"/>
      <c r="R201" s="822" t="s">
        <v>154</v>
      </c>
      <c r="S201" s="822"/>
      <c r="T201" s="822"/>
      <c r="U201" s="822" t="s">
        <v>155</v>
      </c>
      <c r="W201" s="266" t="s">
        <v>153</v>
      </c>
      <c r="X201" s="267">
        <v>0.1</v>
      </c>
    </row>
    <row r="202" spans="1:24" ht="14.4" x14ac:dyDescent="0.25">
      <c r="A202" s="829"/>
      <c r="B202" s="824" t="s">
        <v>157</v>
      </c>
      <c r="C202" s="824"/>
      <c r="D202" s="269">
        <v>2021</v>
      </c>
      <c r="E202" s="288" t="s">
        <v>82</v>
      </c>
      <c r="F202" s="269" t="s">
        <v>82</v>
      </c>
      <c r="G202" s="822"/>
      <c r="I202" s="823" t="s">
        <v>19</v>
      </c>
      <c r="J202" s="824"/>
      <c r="K202" s="270">
        <f>D202</f>
        <v>2021</v>
      </c>
      <c r="L202" s="270" t="str">
        <f>E202</f>
        <v>-</v>
      </c>
      <c r="M202" s="270" t="str">
        <f>F202</f>
        <v>-</v>
      </c>
      <c r="N202" s="822"/>
      <c r="P202" s="823" t="s">
        <v>21</v>
      </c>
      <c r="Q202" s="824"/>
      <c r="R202" s="270">
        <f>K202</f>
        <v>2021</v>
      </c>
      <c r="S202" s="270" t="str">
        <f>L202</f>
        <v>-</v>
      </c>
      <c r="T202" s="270" t="str">
        <f>M202</f>
        <v>-</v>
      </c>
      <c r="U202" s="822"/>
      <c r="W202" s="266" t="s">
        <v>19</v>
      </c>
      <c r="X202" s="267">
        <v>1.5</v>
      </c>
    </row>
    <row r="203" spans="1:24" ht="13.8" thickBot="1" x14ac:dyDescent="0.3">
      <c r="A203" s="829"/>
      <c r="B203" s="271">
        <v>1</v>
      </c>
      <c r="C203" s="272">
        <v>15</v>
      </c>
      <c r="D203" s="273">
        <v>9.9999999999999995E-7</v>
      </c>
      <c r="E203" s="273" t="s">
        <v>82</v>
      </c>
      <c r="F203" s="273" t="s">
        <v>82</v>
      </c>
      <c r="G203" s="274">
        <f>0.5*(MAX(D203:F203)-MIN(D203:F203))</f>
        <v>0</v>
      </c>
      <c r="I203" s="271">
        <v>1</v>
      </c>
      <c r="J203" s="272">
        <v>30</v>
      </c>
      <c r="K203" s="273">
        <v>-1.5</v>
      </c>
      <c r="L203" s="273" t="s">
        <v>82</v>
      </c>
      <c r="M203" s="273" t="s">
        <v>82</v>
      </c>
      <c r="N203" s="274">
        <f>0.5*(MAX(K203:M203)-MIN(K203:M203))</f>
        <v>0</v>
      </c>
      <c r="P203" s="271">
        <v>1</v>
      </c>
      <c r="Q203" s="272">
        <v>750</v>
      </c>
      <c r="R203" s="294">
        <v>2.5</v>
      </c>
      <c r="S203" s="273" t="s">
        <v>82</v>
      </c>
      <c r="T203" s="273" t="s">
        <v>82</v>
      </c>
      <c r="U203" s="274">
        <f>0.5*(MAX(R203:T203)-MIN(R203:T203))</f>
        <v>0</v>
      </c>
      <c r="W203" s="275" t="s">
        <v>21</v>
      </c>
      <c r="X203" s="276">
        <v>0.4</v>
      </c>
    </row>
    <row r="204" spans="1:24" x14ac:dyDescent="0.25">
      <c r="A204" s="829"/>
      <c r="B204" s="271">
        <v>2</v>
      </c>
      <c r="C204" s="272">
        <v>20</v>
      </c>
      <c r="D204" s="273">
        <v>0.1</v>
      </c>
      <c r="E204" s="273" t="s">
        <v>82</v>
      </c>
      <c r="F204" s="273" t="s">
        <v>82</v>
      </c>
      <c r="G204" s="274">
        <f t="shared" ref="G204:G209" si="54">0.5*(MAX(D204:F204)-MIN(D204:F204))</f>
        <v>0</v>
      </c>
      <c r="I204" s="271">
        <v>2</v>
      </c>
      <c r="J204" s="272">
        <v>40</v>
      </c>
      <c r="K204" s="273">
        <v>-0.8</v>
      </c>
      <c r="L204" s="273" t="s">
        <v>82</v>
      </c>
      <c r="M204" s="273" t="s">
        <v>82</v>
      </c>
      <c r="N204" s="274">
        <f t="shared" ref="N204:N209" si="55">0.5*(MAX(K204:M204)-MIN(K204:M204))</f>
        <v>0</v>
      </c>
      <c r="P204" s="271">
        <v>2</v>
      </c>
      <c r="Q204" s="272">
        <v>800</v>
      </c>
      <c r="R204" s="294">
        <v>2.5</v>
      </c>
      <c r="S204" s="273" t="s">
        <v>82</v>
      </c>
      <c r="T204" s="273" t="s">
        <v>82</v>
      </c>
      <c r="U204" s="274">
        <f t="shared" ref="U204:U209" si="56">0.5*(MAX(R204:T204)-MIN(R204:T204))</f>
        <v>0</v>
      </c>
    </row>
    <row r="205" spans="1:24" x14ac:dyDescent="0.25">
      <c r="A205" s="829"/>
      <c r="B205" s="271">
        <v>3</v>
      </c>
      <c r="C205" s="272">
        <v>25</v>
      </c>
      <c r="D205" s="273">
        <v>9.9999999999999995E-7</v>
      </c>
      <c r="E205" s="273" t="s">
        <v>82</v>
      </c>
      <c r="F205" s="273" t="s">
        <v>82</v>
      </c>
      <c r="G205" s="274">
        <f t="shared" si="54"/>
        <v>0</v>
      </c>
      <c r="I205" s="271">
        <v>3</v>
      </c>
      <c r="J205" s="272">
        <v>50</v>
      </c>
      <c r="K205" s="273">
        <v>-0.2</v>
      </c>
      <c r="L205" s="273" t="s">
        <v>82</v>
      </c>
      <c r="M205" s="273" t="s">
        <v>82</v>
      </c>
      <c r="N205" s="274">
        <f t="shared" si="55"/>
        <v>0</v>
      </c>
      <c r="P205" s="271">
        <v>3</v>
      </c>
      <c r="Q205" s="272">
        <v>850</v>
      </c>
      <c r="R205" s="294">
        <v>2.4</v>
      </c>
      <c r="S205" s="273" t="s">
        <v>82</v>
      </c>
      <c r="T205" s="273" t="s">
        <v>82</v>
      </c>
      <c r="U205" s="274">
        <f t="shared" si="56"/>
        <v>0</v>
      </c>
    </row>
    <row r="206" spans="1:24" x14ac:dyDescent="0.25">
      <c r="A206" s="829"/>
      <c r="B206" s="271">
        <v>4</v>
      </c>
      <c r="C206" s="277">
        <v>30</v>
      </c>
      <c r="D206" s="278">
        <v>-0.1</v>
      </c>
      <c r="E206" s="279" t="s">
        <v>82</v>
      </c>
      <c r="F206" s="273" t="s">
        <v>82</v>
      </c>
      <c r="G206" s="274">
        <f t="shared" si="54"/>
        <v>0</v>
      </c>
      <c r="I206" s="271">
        <v>4</v>
      </c>
      <c r="J206" s="277">
        <v>60</v>
      </c>
      <c r="K206" s="278">
        <v>0.4</v>
      </c>
      <c r="L206" s="279" t="s">
        <v>82</v>
      </c>
      <c r="M206" s="273" t="s">
        <v>82</v>
      </c>
      <c r="N206" s="274">
        <f t="shared" si="55"/>
        <v>0</v>
      </c>
      <c r="P206" s="271">
        <v>4</v>
      </c>
      <c r="Q206" s="277">
        <v>900</v>
      </c>
      <c r="R206" s="279">
        <v>2.2999999999999998</v>
      </c>
      <c r="S206" s="279" t="s">
        <v>82</v>
      </c>
      <c r="T206" s="273" t="s">
        <v>82</v>
      </c>
      <c r="U206" s="274">
        <f t="shared" si="56"/>
        <v>0</v>
      </c>
    </row>
    <row r="207" spans="1:24" x14ac:dyDescent="0.25">
      <c r="A207" s="829"/>
      <c r="B207" s="271">
        <v>5</v>
      </c>
      <c r="C207" s="277">
        <v>35</v>
      </c>
      <c r="D207" s="278">
        <v>-0.1</v>
      </c>
      <c r="E207" s="279" t="s">
        <v>82</v>
      </c>
      <c r="F207" s="273" t="s">
        <v>82</v>
      </c>
      <c r="G207" s="274">
        <f t="shared" si="54"/>
        <v>0</v>
      </c>
      <c r="I207" s="271">
        <v>5</v>
      </c>
      <c r="J207" s="277">
        <v>70</v>
      </c>
      <c r="K207" s="278">
        <v>-0.7</v>
      </c>
      <c r="L207" s="279" t="s">
        <v>82</v>
      </c>
      <c r="M207" s="273" t="s">
        <v>82</v>
      </c>
      <c r="N207" s="274">
        <f t="shared" si="55"/>
        <v>0</v>
      </c>
      <c r="P207" s="271">
        <v>5</v>
      </c>
      <c r="Q207" s="277">
        <v>1000</v>
      </c>
      <c r="R207" s="279">
        <v>2.2000000000000002</v>
      </c>
      <c r="S207" s="279" t="s">
        <v>82</v>
      </c>
      <c r="T207" s="273" t="s">
        <v>82</v>
      </c>
      <c r="U207" s="274">
        <f t="shared" si="56"/>
        <v>0</v>
      </c>
    </row>
    <row r="208" spans="1:24" x14ac:dyDescent="0.25">
      <c r="A208" s="829"/>
      <c r="B208" s="271">
        <v>6</v>
      </c>
      <c r="C208" s="277">
        <v>37</v>
      </c>
      <c r="D208" s="278">
        <v>9.9999999999999995E-7</v>
      </c>
      <c r="E208" s="279" t="s">
        <v>82</v>
      </c>
      <c r="F208" s="273" t="s">
        <v>82</v>
      </c>
      <c r="G208" s="274">
        <f t="shared" si="54"/>
        <v>0</v>
      </c>
      <c r="I208" s="271">
        <v>6</v>
      </c>
      <c r="J208" s="277">
        <v>80</v>
      </c>
      <c r="K208" s="278">
        <v>-0.9</v>
      </c>
      <c r="L208" s="279" t="s">
        <v>82</v>
      </c>
      <c r="M208" s="273" t="s">
        <v>82</v>
      </c>
      <c r="N208" s="274">
        <f t="shared" si="55"/>
        <v>0</v>
      </c>
      <c r="P208" s="271">
        <v>6</v>
      </c>
      <c r="Q208" s="277">
        <v>1005</v>
      </c>
      <c r="R208" s="279">
        <v>2.2000000000000002</v>
      </c>
      <c r="S208" s="279" t="s">
        <v>82</v>
      </c>
      <c r="T208" s="273" t="s">
        <v>82</v>
      </c>
      <c r="U208" s="274">
        <f t="shared" si="56"/>
        <v>0</v>
      </c>
    </row>
    <row r="209" spans="1:31" x14ac:dyDescent="0.25">
      <c r="A209" s="829"/>
      <c r="B209" s="271">
        <v>7</v>
      </c>
      <c r="C209" s="277">
        <v>40</v>
      </c>
      <c r="D209" s="278">
        <v>0.2</v>
      </c>
      <c r="E209" s="279" t="s">
        <v>82</v>
      </c>
      <c r="F209" s="273" t="s">
        <v>82</v>
      </c>
      <c r="G209" s="274">
        <f t="shared" si="54"/>
        <v>0</v>
      </c>
      <c r="I209" s="271">
        <v>7</v>
      </c>
      <c r="J209" s="277">
        <v>90</v>
      </c>
      <c r="K209" s="278">
        <v>-0.6</v>
      </c>
      <c r="L209" s="279" t="s">
        <v>82</v>
      </c>
      <c r="M209" s="273" t="s">
        <v>82</v>
      </c>
      <c r="N209" s="274">
        <f t="shared" si="55"/>
        <v>0</v>
      </c>
      <c r="P209" s="271">
        <v>7</v>
      </c>
      <c r="Q209" s="277">
        <v>1020</v>
      </c>
      <c r="R209" s="279">
        <v>2.2999999999999998</v>
      </c>
      <c r="S209" s="279" t="s">
        <v>82</v>
      </c>
      <c r="T209" s="273" t="s">
        <v>82</v>
      </c>
      <c r="U209" s="274">
        <f t="shared" si="56"/>
        <v>0</v>
      </c>
    </row>
    <row r="210" spans="1:31" ht="13.8" thickBot="1" x14ac:dyDescent="0.3">
      <c r="A210" s="290"/>
      <c r="C210" s="282"/>
      <c r="D210" s="282"/>
      <c r="E210" s="291"/>
      <c r="F210" s="282"/>
      <c r="J210" s="282"/>
      <c r="K210" s="282"/>
      <c r="L210" s="291"/>
      <c r="M210" s="282"/>
      <c r="Q210" s="282"/>
      <c r="R210" s="291"/>
      <c r="S210" s="291"/>
      <c r="T210" s="282"/>
    </row>
    <row r="211" spans="1:31" x14ac:dyDescent="0.25">
      <c r="A211" s="830">
        <v>20</v>
      </c>
      <c r="B211" s="825">
        <v>20</v>
      </c>
      <c r="C211" s="825"/>
      <c r="D211" s="825"/>
      <c r="E211" s="825"/>
      <c r="F211" s="825"/>
      <c r="G211" s="825"/>
      <c r="H211" s="280"/>
      <c r="I211" s="825">
        <f>B211</f>
        <v>20</v>
      </c>
      <c r="J211" s="825"/>
      <c r="K211" s="825"/>
      <c r="L211" s="825"/>
      <c r="M211" s="825"/>
      <c r="N211" s="825"/>
      <c r="O211" s="280"/>
      <c r="P211" s="825">
        <f>I211</f>
        <v>20</v>
      </c>
      <c r="Q211" s="825"/>
      <c r="R211" s="825"/>
      <c r="S211" s="825"/>
      <c r="T211" s="825"/>
      <c r="U211" s="825"/>
      <c r="W211" s="820" t="s">
        <v>152</v>
      </c>
      <c r="X211" s="821"/>
    </row>
    <row r="212" spans="1:31" x14ac:dyDescent="0.25">
      <c r="A212" s="830"/>
      <c r="B212" s="822" t="s">
        <v>153</v>
      </c>
      <c r="C212" s="822"/>
      <c r="D212" s="822" t="s">
        <v>154</v>
      </c>
      <c r="E212" s="822"/>
      <c r="F212" s="822"/>
      <c r="G212" s="822" t="s">
        <v>155</v>
      </c>
      <c r="I212" s="822" t="s">
        <v>18</v>
      </c>
      <c r="J212" s="822"/>
      <c r="K212" s="822" t="s">
        <v>154</v>
      </c>
      <c r="L212" s="822"/>
      <c r="M212" s="822"/>
      <c r="N212" s="822" t="s">
        <v>155</v>
      </c>
      <c r="P212" s="822" t="s">
        <v>156</v>
      </c>
      <c r="Q212" s="822"/>
      <c r="R212" s="822" t="s">
        <v>154</v>
      </c>
      <c r="S212" s="822"/>
      <c r="T212" s="822"/>
      <c r="U212" s="822" t="s">
        <v>155</v>
      </c>
      <c r="W212" s="266" t="s">
        <v>153</v>
      </c>
      <c r="X212" s="267">
        <v>0</v>
      </c>
    </row>
    <row r="213" spans="1:31" ht="14.4" x14ac:dyDescent="0.25">
      <c r="A213" s="830"/>
      <c r="B213" s="824" t="s">
        <v>157</v>
      </c>
      <c r="C213" s="824"/>
      <c r="D213" s="269">
        <v>2017</v>
      </c>
      <c r="E213" s="288" t="s">
        <v>82</v>
      </c>
      <c r="F213" s="269" t="s">
        <v>82</v>
      </c>
      <c r="G213" s="822"/>
      <c r="I213" s="823" t="s">
        <v>19</v>
      </c>
      <c r="J213" s="824"/>
      <c r="K213" s="270">
        <f>D213</f>
        <v>2017</v>
      </c>
      <c r="L213" s="270" t="str">
        <f>E213</f>
        <v>-</v>
      </c>
      <c r="M213" s="270" t="str">
        <f>F213</f>
        <v>-</v>
      </c>
      <c r="N213" s="822"/>
      <c r="P213" s="823" t="s">
        <v>21</v>
      </c>
      <c r="Q213" s="824"/>
      <c r="R213" s="270">
        <f>K213</f>
        <v>2017</v>
      </c>
      <c r="S213" s="270" t="str">
        <f>L213</f>
        <v>-</v>
      </c>
      <c r="T213" s="270" t="str">
        <f>M213</f>
        <v>-</v>
      </c>
      <c r="U213" s="822"/>
      <c r="W213" s="266" t="s">
        <v>19</v>
      </c>
      <c r="X213" s="267">
        <v>0</v>
      </c>
    </row>
    <row r="214" spans="1:31" ht="13.8" thickBot="1" x14ac:dyDescent="0.3">
      <c r="A214" s="830"/>
      <c r="B214" s="271">
        <v>1</v>
      </c>
      <c r="C214" s="272">
        <v>14.8</v>
      </c>
      <c r="D214" s="273" t="s">
        <v>82</v>
      </c>
      <c r="E214" s="273" t="s">
        <v>82</v>
      </c>
      <c r="F214" s="273" t="s">
        <v>82</v>
      </c>
      <c r="G214" s="274">
        <f>0.5*(MAX(D214:F214)-MIN(D214:F214))</f>
        <v>0</v>
      </c>
      <c r="I214" s="271">
        <v>1</v>
      </c>
      <c r="J214" s="272">
        <v>45.7</v>
      </c>
      <c r="K214" s="273" t="s">
        <v>82</v>
      </c>
      <c r="L214" s="273" t="s">
        <v>82</v>
      </c>
      <c r="M214" s="273" t="s">
        <v>82</v>
      </c>
      <c r="N214" s="274">
        <f>0.5*(MAX(K214:M214)-MIN(K214:M214))</f>
        <v>0</v>
      </c>
      <c r="P214" s="271">
        <v>1</v>
      </c>
      <c r="Q214" s="272">
        <v>750</v>
      </c>
      <c r="R214" s="273" t="s">
        <v>82</v>
      </c>
      <c r="S214" s="273" t="s">
        <v>82</v>
      </c>
      <c r="T214" s="273" t="s">
        <v>82</v>
      </c>
      <c r="U214" s="274">
        <f>0.5*(MAX(R214:T214)-MIN(R214:T214))</f>
        <v>0</v>
      </c>
      <c r="W214" s="275" t="s">
        <v>21</v>
      </c>
      <c r="X214" s="276">
        <v>0</v>
      </c>
    </row>
    <row r="215" spans="1:31" x14ac:dyDescent="0.25">
      <c r="A215" s="830"/>
      <c r="B215" s="271">
        <v>2</v>
      </c>
      <c r="C215" s="272">
        <v>19.7</v>
      </c>
      <c r="D215" s="273" t="s">
        <v>82</v>
      </c>
      <c r="E215" s="273" t="s">
        <v>82</v>
      </c>
      <c r="F215" s="273" t="s">
        <v>82</v>
      </c>
      <c r="G215" s="274">
        <f t="shared" ref="G215:G220" si="57">0.5*(MAX(D215:F215)-MIN(D215:F215))</f>
        <v>0</v>
      </c>
      <c r="I215" s="271">
        <v>2</v>
      </c>
      <c r="J215" s="272">
        <v>54.3</v>
      </c>
      <c r="K215" s="273" t="s">
        <v>82</v>
      </c>
      <c r="L215" s="273" t="s">
        <v>82</v>
      </c>
      <c r="M215" s="273" t="s">
        <v>82</v>
      </c>
      <c r="N215" s="274">
        <f t="shared" ref="N215:N220" si="58">0.5*(MAX(K215:M215)-MIN(K215:M215))</f>
        <v>0</v>
      </c>
      <c r="P215" s="271">
        <v>2</v>
      </c>
      <c r="Q215" s="272">
        <v>800</v>
      </c>
      <c r="R215" s="273" t="s">
        <v>82</v>
      </c>
      <c r="S215" s="273" t="s">
        <v>82</v>
      </c>
      <c r="T215" s="273" t="s">
        <v>82</v>
      </c>
      <c r="U215" s="274">
        <f t="shared" ref="U215:U220" si="59">0.5*(MAX(R215:T215)-MIN(R215:T215))</f>
        <v>0</v>
      </c>
    </row>
    <row r="216" spans="1:31" x14ac:dyDescent="0.25">
      <c r="A216" s="830"/>
      <c r="B216" s="271">
        <v>3</v>
      </c>
      <c r="C216" s="272">
        <v>24.6</v>
      </c>
      <c r="D216" s="273" t="s">
        <v>82</v>
      </c>
      <c r="E216" s="273" t="s">
        <v>82</v>
      </c>
      <c r="F216" s="273" t="s">
        <v>82</v>
      </c>
      <c r="G216" s="274">
        <f t="shared" si="57"/>
        <v>0</v>
      </c>
      <c r="I216" s="271">
        <v>3</v>
      </c>
      <c r="J216" s="272">
        <v>62.5</v>
      </c>
      <c r="K216" s="273" t="s">
        <v>82</v>
      </c>
      <c r="L216" s="273" t="s">
        <v>82</v>
      </c>
      <c r="M216" s="273" t="s">
        <v>82</v>
      </c>
      <c r="N216" s="274">
        <f t="shared" si="58"/>
        <v>0</v>
      </c>
      <c r="P216" s="271">
        <v>3</v>
      </c>
      <c r="Q216" s="272">
        <v>850</v>
      </c>
      <c r="R216" s="273" t="s">
        <v>82</v>
      </c>
      <c r="S216" s="273" t="s">
        <v>82</v>
      </c>
      <c r="T216" s="273" t="s">
        <v>82</v>
      </c>
      <c r="U216" s="274">
        <f t="shared" si="59"/>
        <v>0</v>
      </c>
    </row>
    <row r="217" spans="1:31" x14ac:dyDescent="0.25">
      <c r="A217" s="830"/>
      <c r="B217" s="271">
        <v>4</v>
      </c>
      <c r="C217" s="277">
        <v>29.5</v>
      </c>
      <c r="D217" s="273" t="s">
        <v>82</v>
      </c>
      <c r="E217" s="279" t="s">
        <v>82</v>
      </c>
      <c r="F217" s="273" t="s">
        <v>82</v>
      </c>
      <c r="G217" s="274">
        <f t="shared" si="57"/>
        <v>0</v>
      </c>
      <c r="I217" s="271">
        <v>4</v>
      </c>
      <c r="J217" s="277">
        <v>71.5</v>
      </c>
      <c r="K217" s="273" t="s">
        <v>82</v>
      </c>
      <c r="L217" s="279" t="s">
        <v>82</v>
      </c>
      <c r="M217" s="273" t="s">
        <v>82</v>
      </c>
      <c r="N217" s="274">
        <f t="shared" si="58"/>
        <v>0</v>
      </c>
      <c r="P217" s="271">
        <v>4</v>
      </c>
      <c r="Q217" s="277">
        <v>900</v>
      </c>
      <c r="R217" s="273" t="s">
        <v>82</v>
      </c>
      <c r="S217" s="279" t="s">
        <v>82</v>
      </c>
      <c r="T217" s="273" t="s">
        <v>82</v>
      </c>
      <c r="U217" s="274">
        <f t="shared" si="59"/>
        <v>0</v>
      </c>
    </row>
    <row r="218" spans="1:31" x14ac:dyDescent="0.25">
      <c r="A218" s="830"/>
      <c r="B218" s="271">
        <v>5</v>
      </c>
      <c r="C218" s="277">
        <v>34.5</v>
      </c>
      <c r="D218" s="273" t="s">
        <v>82</v>
      </c>
      <c r="E218" s="279" t="s">
        <v>82</v>
      </c>
      <c r="F218" s="273" t="s">
        <v>82</v>
      </c>
      <c r="G218" s="274">
        <f t="shared" si="57"/>
        <v>0</v>
      </c>
      <c r="I218" s="271">
        <v>5</v>
      </c>
      <c r="J218" s="277">
        <v>80.8</v>
      </c>
      <c r="K218" s="273" t="s">
        <v>82</v>
      </c>
      <c r="L218" s="279" t="s">
        <v>82</v>
      </c>
      <c r="M218" s="273" t="s">
        <v>82</v>
      </c>
      <c r="N218" s="274">
        <f t="shared" si="58"/>
        <v>0</v>
      </c>
      <c r="P218" s="271">
        <v>5</v>
      </c>
      <c r="Q218" s="277">
        <v>1000</v>
      </c>
      <c r="R218" s="273" t="s">
        <v>82</v>
      </c>
      <c r="S218" s="279" t="s">
        <v>82</v>
      </c>
      <c r="T218" s="273" t="s">
        <v>82</v>
      </c>
      <c r="U218" s="274">
        <f t="shared" si="59"/>
        <v>0</v>
      </c>
    </row>
    <row r="219" spans="1:31" x14ac:dyDescent="0.25">
      <c r="A219" s="830"/>
      <c r="B219" s="271">
        <v>6</v>
      </c>
      <c r="C219" s="277">
        <v>39.5</v>
      </c>
      <c r="D219" s="273" t="s">
        <v>82</v>
      </c>
      <c r="E219" s="279" t="s">
        <v>82</v>
      </c>
      <c r="F219" s="273" t="s">
        <v>82</v>
      </c>
      <c r="G219" s="274">
        <f t="shared" si="57"/>
        <v>0</v>
      </c>
      <c r="I219" s="271">
        <v>6</v>
      </c>
      <c r="J219" s="277">
        <v>88.7</v>
      </c>
      <c r="K219" s="273" t="s">
        <v>82</v>
      </c>
      <c r="L219" s="279" t="s">
        <v>82</v>
      </c>
      <c r="M219" s="273" t="s">
        <v>82</v>
      </c>
      <c r="N219" s="274">
        <f t="shared" si="58"/>
        <v>0</v>
      </c>
      <c r="P219" s="271">
        <v>6</v>
      </c>
      <c r="Q219" s="277">
        <v>1005</v>
      </c>
      <c r="R219" s="273" t="s">
        <v>82</v>
      </c>
      <c r="S219" s="279" t="s">
        <v>82</v>
      </c>
      <c r="T219" s="273" t="s">
        <v>82</v>
      </c>
      <c r="U219" s="274">
        <f t="shared" si="59"/>
        <v>0</v>
      </c>
    </row>
    <row r="220" spans="1:31" x14ac:dyDescent="0.25">
      <c r="A220" s="830"/>
      <c r="B220" s="271">
        <v>7</v>
      </c>
      <c r="C220" s="277">
        <v>40</v>
      </c>
      <c r="D220" s="273" t="s">
        <v>82</v>
      </c>
      <c r="E220" s="279" t="s">
        <v>82</v>
      </c>
      <c r="F220" s="273" t="s">
        <v>82</v>
      </c>
      <c r="G220" s="274">
        <f t="shared" si="57"/>
        <v>0</v>
      </c>
      <c r="I220" s="271">
        <v>7</v>
      </c>
      <c r="J220" s="277">
        <v>90</v>
      </c>
      <c r="K220" s="273" t="s">
        <v>82</v>
      </c>
      <c r="L220" s="279" t="s">
        <v>82</v>
      </c>
      <c r="M220" s="273" t="s">
        <v>82</v>
      </c>
      <c r="N220" s="274">
        <f t="shared" si="58"/>
        <v>0</v>
      </c>
      <c r="P220" s="271">
        <v>7</v>
      </c>
      <c r="Q220" s="277">
        <v>1020</v>
      </c>
      <c r="R220" s="273" t="s">
        <v>82</v>
      </c>
      <c r="S220" s="279" t="s">
        <v>82</v>
      </c>
      <c r="T220" s="273" t="s">
        <v>82</v>
      </c>
      <c r="U220" s="274">
        <f t="shared" si="59"/>
        <v>0</v>
      </c>
    </row>
    <row r="221" spans="1:31" ht="13.8" thickBot="1" x14ac:dyDescent="0.3">
      <c r="A221" s="296"/>
      <c r="B221" s="831"/>
      <c r="C221" s="831"/>
      <c r="D221" s="831"/>
      <c r="E221" s="831"/>
      <c r="F221" s="831"/>
      <c r="G221" s="831"/>
      <c r="H221" s="831"/>
      <c r="I221" s="831"/>
      <c r="J221" s="831"/>
      <c r="K221" s="831"/>
      <c r="L221" s="831"/>
      <c r="M221" s="831"/>
      <c r="N221" s="831"/>
      <c r="O221" s="831"/>
      <c r="P221" s="831"/>
      <c r="Q221" s="831"/>
      <c r="R221" s="831"/>
      <c r="S221" s="831"/>
      <c r="T221" s="831"/>
      <c r="U221" s="831"/>
    </row>
    <row r="222" spans="1:31" ht="13.8" hidden="1" thickBot="1" x14ac:dyDescent="0.3">
      <c r="A222" s="281"/>
      <c r="B222" s="281"/>
      <c r="C222" s="281"/>
      <c r="D222" s="281"/>
      <c r="E222" s="281"/>
      <c r="F222" s="281"/>
      <c r="G222" s="281"/>
      <c r="H222" s="281"/>
      <c r="I222" s="281"/>
      <c r="J222" s="281"/>
      <c r="K222" s="281"/>
      <c r="L222" s="281"/>
      <c r="M222" s="281"/>
      <c r="N222" s="281"/>
      <c r="O222" s="281"/>
      <c r="P222" s="281"/>
    </row>
    <row r="223" spans="1:31" ht="12.75" hidden="1" customHeight="1" x14ac:dyDescent="0.25">
      <c r="A223" s="816" t="s">
        <v>30</v>
      </c>
      <c r="B223" s="813" t="s">
        <v>176</v>
      </c>
      <c r="C223" s="814" t="s">
        <v>177</v>
      </c>
      <c r="D223" s="814"/>
      <c r="E223" s="814"/>
      <c r="F223" s="814"/>
      <c r="G223" s="297"/>
      <c r="I223" s="816" t="s">
        <v>30</v>
      </c>
      <c r="J223" s="813" t="s">
        <v>176</v>
      </c>
      <c r="K223" s="814" t="s">
        <v>177</v>
      </c>
      <c r="L223" s="814"/>
      <c r="M223" s="814"/>
      <c r="N223" s="814"/>
      <c r="O223" s="298"/>
      <c r="Q223" s="815" t="s">
        <v>30</v>
      </c>
      <c r="R223" s="817" t="s">
        <v>176</v>
      </c>
      <c r="S223" s="818" t="s">
        <v>177</v>
      </c>
      <c r="T223" s="818"/>
      <c r="U223" s="818"/>
      <c r="V223" s="819"/>
      <c r="Y223" s="803" t="s">
        <v>152</v>
      </c>
      <c r="Z223" s="804"/>
      <c r="AE223" s="299"/>
    </row>
    <row r="224" spans="1:31" ht="13.8" hidden="1" x14ac:dyDescent="0.25">
      <c r="A224" s="816"/>
      <c r="B224" s="813"/>
      <c r="C224" s="300" t="s">
        <v>153</v>
      </c>
      <c r="D224" s="807" t="s">
        <v>154</v>
      </c>
      <c r="E224" s="807"/>
      <c r="F224" s="807"/>
      <c r="G224" s="807" t="s">
        <v>155</v>
      </c>
      <c r="I224" s="816"/>
      <c r="J224" s="813"/>
      <c r="K224" s="300" t="s">
        <v>18</v>
      </c>
      <c r="L224" s="807" t="s">
        <v>154</v>
      </c>
      <c r="M224" s="807"/>
      <c r="N224" s="807"/>
      <c r="O224" s="807" t="s">
        <v>155</v>
      </c>
      <c r="Q224" s="816"/>
      <c r="R224" s="813"/>
      <c r="S224" s="300" t="s">
        <v>156</v>
      </c>
      <c r="T224" s="808" t="s">
        <v>154</v>
      </c>
      <c r="U224" s="809"/>
      <c r="V224" s="810"/>
      <c r="W224" s="811" t="s">
        <v>155</v>
      </c>
      <c r="Y224" s="805" t="s">
        <v>153</v>
      </c>
      <c r="Z224" s="806"/>
      <c r="AE224" s="281"/>
    </row>
    <row r="225" spans="1:38" ht="14.4" hidden="1" x14ac:dyDescent="0.25">
      <c r="A225" s="816"/>
      <c r="B225" s="813"/>
      <c r="C225" s="268" t="s">
        <v>178</v>
      </c>
      <c r="D225" s="300"/>
      <c r="E225" s="300"/>
      <c r="F225" s="298"/>
      <c r="G225" s="807"/>
      <c r="I225" s="816"/>
      <c r="J225" s="813"/>
      <c r="K225" s="268" t="s">
        <v>19</v>
      </c>
      <c r="L225" s="300"/>
      <c r="M225" s="300"/>
      <c r="N225" s="298"/>
      <c r="O225" s="807"/>
      <c r="Q225" s="816"/>
      <c r="R225" s="813"/>
      <c r="S225" s="268" t="s">
        <v>21</v>
      </c>
      <c r="T225" s="300"/>
      <c r="U225" s="300"/>
      <c r="W225" s="811"/>
      <c r="Y225" s="301">
        <v>1</v>
      </c>
      <c r="Z225" s="302">
        <f>X3</f>
        <v>0.5</v>
      </c>
      <c r="AE225" s="281"/>
    </row>
    <row r="226" spans="1:38" hidden="1" x14ac:dyDescent="0.25">
      <c r="A226" s="792">
        <v>1</v>
      </c>
      <c r="B226" s="303">
        <v>1</v>
      </c>
      <c r="C226" s="303">
        <f>C5</f>
        <v>15</v>
      </c>
      <c r="D226" s="303">
        <f t="shared" ref="D226:F226" si="60">D5</f>
        <v>0.3</v>
      </c>
      <c r="E226" s="303">
        <f t="shared" si="60"/>
        <v>-0.5</v>
      </c>
      <c r="F226" s="303">
        <f t="shared" si="60"/>
        <v>0.3</v>
      </c>
      <c r="G226" s="303">
        <f>G5</f>
        <v>0.4</v>
      </c>
      <c r="I226" s="792">
        <v>1</v>
      </c>
      <c r="J226" s="303">
        <v>1</v>
      </c>
      <c r="K226" s="303">
        <f>J5</f>
        <v>35</v>
      </c>
      <c r="L226" s="303">
        <f>K5</f>
        <v>-5</v>
      </c>
      <c r="M226" s="303">
        <f>L5</f>
        <v>-6</v>
      </c>
      <c r="N226" s="303">
        <f>M5</f>
        <v>-9.4</v>
      </c>
      <c r="O226" s="303">
        <f>N5</f>
        <v>2.2000000000000002</v>
      </c>
      <c r="Q226" s="812">
        <v>1</v>
      </c>
      <c r="R226" s="303">
        <v>1</v>
      </c>
      <c r="S226" s="303">
        <f>Q5</f>
        <v>750</v>
      </c>
      <c r="T226" s="303" t="str">
        <f>R5</f>
        <v>-</v>
      </c>
      <c r="U226" s="303" t="str">
        <f>S5</f>
        <v>-</v>
      </c>
      <c r="V226" s="303" t="str">
        <f>T5</f>
        <v>-</v>
      </c>
      <c r="W226" s="305">
        <f>U5</f>
        <v>0</v>
      </c>
      <c r="Y226" s="306">
        <v>2</v>
      </c>
      <c r="Z226" s="302">
        <f>X14</f>
        <v>0.8</v>
      </c>
      <c r="AE226" s="281"/>
    </row>
    <row r="227" spans="1:38" hidden="1" x14ac:dyDescent="0.25">
      <c r="A227" s="792"/>
      <c r="B227" s="303">
        <v>2</v>
      </c>
      <c r="C227" s="303">
        <f>C16</f>
        <v>15</v>
      </c>
      <c r="D227" s="303">
        <f t="shared" ref="D227:F227" si="61">D16</f>
        <v>0.4</v>
      </c>
      <c r="E227" s="303">
        <f t="shared" si="61"/>
        <v>9.9999999999999995E-7</v>
      </c>
      <c r="F227" s="303" t="str">
        <f t="shared" si="61"/>
        <v>-</v>
      </c>
      <c r="G227" s="303">
        <f>G16</f>
        <v>0.19999950000000002</v>
      </c>
      <c r="I227" s="792"/>
      <c r="J227" s="303">
        <v>2</v>
      </c>
      <c r="K227" s="303">
        <f>J16</f>
        <v>35</v>
      </c>
      <c r="L227" s="303">
        <f>K16</f>
        <v>-6.9</v>
      </c>
      <c r="M227" s="303">
        <f>L16</f>
        <v>-1.6</v>
      </c>
      <c r="N227" s="303" t="str">
        <f>M16</f>
        <v>-</v>
      </c>
      <c r="O227" s="303">
        <f>N16</f>
        <v>2.6500000000000004</v>
      </c>
      <c r="Q227" s="795"/>
      <c r="R227" s="303">
        <v>2</v>
      </c>
      <c r="S227" s="303">
        <f>Q16</f>
        <v>750</v>
      </c>
      <c r="T227" s="303" t="str">
        <f>R16</f>
        <v>-</v>
      </c>
      <c r="U227" s="303" t="str">
        <f>S16</f>
        <v>-</v>
      </c>
      <c r="V227" s="303" t="str">
        <f>T16</f>
        <v>-</v>
      </c>
      <c r="W227" s="305">
        <f>U16</f>
        <v>0</v>
      </c>
      <c r="Y227" s="306">
        <v>3</v>
      </c>
      <c r="Z227" s="307">
        <f>X25</f>
        <v>0.5</v>
      </c>
      <c r="AE227" s="281"/>
    </row>
    <row r="228" spans="1:38" hidden="1" x14ac:dyDescent="0.25">
      <c r="A228" s="792"/>
      <c r="B228" s="303">
        <v>3</v>
      </c>
      <c r="C228" s="303">
        <f>C27</f>
        <v>15</v>
      </c>
      <c r="D228" s="303">
        <f t="shared" ref="D228:F228" si="62">D27</f>
        <v>0.4</v>
      </c>
      <c r="E228" s="303">
        <f t="shared" si="62"/>
        <v>9.9999999999999995E-7</v>
      </c>
      <c r="F228" s="303" t="str">
        <f t="shared" si="62"/>
        <v>-</v>
      </c>
      <c r="G228" s="303">
        <f>G27</f>
        <v>0.19999950000000002</v>
      </c>
      <c r="I228" s="792"/>
      <c r="J228" s="303">
        <v>3</v>
      </c>
      <c r="K228" s="303">
        <f>J27</f>
        <v>30</v>
      </c>
      <c r="L228" s="303">
        <f>K27</f>
        <v>-7.3</v>
      </c>
      <c r="M228" s="303">
        <f>L27</f>
        <v>-5.7</v>
      </c>
      <c r="N228" s="303">
        <f>M27</f>
        <v>0</v>
      </c>
      <c r="O228" s="303">
        <f>N27</f>
        <v>0.79999999999999982</v>
      </c>
      <c r="Q228" s="795"/>
      <c r="R228" s="303">
        <v>3</v>
      </c>
      <c r="S228" s="303">
        <f>Q27</f>
        <v>750</v>
      </c>
      <c r="T228" s="303" t="str">
        <f>R27</f>
        <v>-</v>
      </c>
      <c r="U228" s="303" t="str">
        <f>S27</f>
        <v>-</v>
      </c>
      <c r="V228" s="303" t="str">
        <f>T27</f>
        <v>-</v>
      </c>
      <c r="W228" s="305">
        <f>U27</f>
        <v>0</v>
      </c>
      <c r="Y228" s="306">
        <v>4</v>
      </c>
      <c r="Z228" s="307">
        <f>X36</f>
        <v>0.3</v>
      </c>
      <c r="AE228" s="281"/>
    </row>
    <row r="229" spans="1:38" hidden="1" x14ac:dyDescent="0.25">
      <c r="A229" s="792"/>
      <c r="B229" s="303">
        <v>4</v>
      </c>
      <c r="C229" s="308">
        <f>C38</f>
        <v>15</v>
      </c>
      <c r="D229" s="308">
        <f t="shared" ref="D229:F229" si="63">D38</f>
        <v>-0.2</v>
      </c>
      <c r="E229" s="308">
        <f t="shared" si="63"/>
        <v>-0.1</v>
      </c>
      <c r="F229" s="308" t="str">
        <f t="shared" si="63"/>
        <v>-</v>
      </c>
      <c r="G229" s="308">
        <f>G38</f>
        <v>0.05</v>
      </c>
      <c r="I229" s="792"/>
      <c r="J229" s="303">
        <v>4</v>
      </c>
      <c r="K229" s="308">
        <f>J38</f>
        <v>35</v>
      </c>
      <c r="L229" s="308">
        <f>K38</f>
        <v>-4.5</v>
      </c>
      <c r="M229" s="308">
        <f>L38</f>
        <v>-1.7</v>
      </c>
      <c r="N229" s="308" t="str">
        <f>M38</f>
        <v>-</v>
      </c>
      <c r="O229" s="308">
        <f>N38</f>
        <v>1.4</v>
      </c>
      <c r="Q229" s="795"/>
      <c r="R229" s="303">
        <v>4</v>
      </c>
      <c r="S229" s="308">
        <f>Q38</f>
        <v>750</v>
      </c>
      <c r="T229" s="308" t="str">
        <f>R38</f>
        <v>-</v>
      </c>
      <c r="U229" s="308" t="str">
        <f>S38</f>
        <v>-</v>
      </c>
      <c r="V229" s="308" t="str">
        <f>T38</f>
        <v>-</v>
      </c>
      <c r="W229" s="309">
        <f>U38</f>
        <v>0</v>
      </c>
      <c r="Y229" s="306">
        <v>5</v>
      </c>
      <c r="Z229" s="307">
        <f>X47</f>
        <v>0.4</v>
      </c>
      <c r="AE229" s="281"/>
    </row>
    <row r="230" spans="1:38" hidden="1" x14ac:dyDescent="0.25">
      <c r="A230" s="792"/>
      <c r="B230" s="303">
        <v>5</v>
      </c>
      <c r="C230" s="308">
        <f>C49</f>
        <v>15</v>
      </c>
      <c r="D230" s="308">
        <f t="shared" ref="D230:F230" si="64">D49</f>
        <v>-0.3</v>
      </c>
      <c r="E230" s="308">
        <f t="shared" si="64"/>
        <v>0.3</v>
      </c>
      <c r="F230" s="308" t="str">
        <f t="shared" si="64"/>
        <v>-</v>
      </c>
      <c r="G230" s="308">
        <f>G49</f>
        <v>0.3</v>
      </c>
      <c r="I230" s="792"/>
      <c r="J230" s="303">
        <v>5</v>
      </c>
      <c r="K230" s="308">
        <f>J49</f>
        <v>35</v>
      </c>
      <c r="L230" s="308">
        <f>K49</f>
        <v>-7.7</v>
      </c>
      <c r="M230" s="308">
        <f>L49</f>
        <v>-9.6</v>
      </c>
      <c r="N230" s="308" t="str">
        <f>M49</f>
        <v>-</v>
      </c>
      <c r="O230" s="308">
        <f>N49</f>
        <v>0.94999999999999973</v>
      </c>
      <c r="Q230" s="795"/>
      <c r="R230" s="303">
        <v>5</v>
      </c>
      <c r="S230" s="308">
        <f>Q49</f>
        <v>750</v>
      </c>
      <c r="T230" s="308" t="str">
        <f>R49</f>
        <v>-</v>
      </c>
      <c r="U230" s="308" t="str">
        <f>S49</f>
        <v>-</v>
      </c>
      <c r="V230" s="308" t="str">
        <f>T49</f>
        <v>-</v>
      </c>
      <c r="W230" s="309">
        <f>U49</f>
        <v>0</v>
      </c>
      <c r="Y230" s="301">
        <v>6</v>
      </c>
      <c r="Z230" s="302">
        <f>X58</f>
        <v>0.8</v>
      </c>
      <c r="AE230" s="281"/>
    </row>
    <row r="231" spans="1:38" hidden="1" x14ac:dyDescent="0.25">
      <c r="A231" s="792"/>
      <c r="B231" s="303">
        <v>6</v>
      </c>
      <c r="C231" s="308">
        <f>C60</f>
        <v>15</v>
      </c>
      <c r="D231" s="308">
        <f t="shared" ref="D231:F231" si="65">D60</f>
        <v>0.4</v>
      </c>
      <c r="E231" s="308">
        <f t="shared" si="65"/>
        <v>0.4</v>
      </c>
      <c r="F231" s="308" t="str">
        <f t="shared" si="65"/>
        <v>-</v>
      </c>
      <c r="G231" s="308">
        <f>G60</f>
        <v>0</v>
      </c>
      <c r="I231" s="792"/>
      <c r="J231" s="303">
        <v>6</v>
      </c>
      <c r="K231" s="308">
        <f>J60</f>
        <v>30</v>
      </c>
      <c r="L231" s="308">
        <f>K60</f>
        <v>-1.5</v>
      </c>
      <c r="M231" s="308">
        <f>L60</f>
        <v>1.7</v>
      </c>
      <c r="N231" s="308" t="str">
        <f>M60</f>
        <v>-</v>
      </c>
      <c r="O231" s="308">
        <f>N60</f>
        <v>1.6</v>
      </c>
      <c r="Q231" s="795"/>
      <c r="R231" s="303">
        <v>6</v>
      </c>
      <c r="S231" s="308">
        <f>Q60</f>
        <v>750</v>
      </c>
      <c r="T231" s="308">
        <f>R60</f>
        <v>0.9</v>
      </c>
      <c r="U231" s="308">
        <f>S60</f>
        <v>2.1</v>
      </c>
      <c r="V231" s="308" t="str">
        <f>T60</f>
        <v>-</v>
      </c>
      <c r="W231" s="309">
        <f>U60</f>
        <v>0.60000000000000009</v>
      </c>
      <c r="Y231" s="301">
        <v>7</v>
      </c>
      <c r="Z231" s="302">
        <f>X69</f>
        <v>0.2</v>
      </c>
      <c r="AE231" s="281"/>
    </row>
    <row r="232" spans="1:38" hidden="1" x14ac:dyDescent="0.25">
      <c r="A232" s="792"/>
      <c r="B232" s="303">
        <v>7</v>
      </c>
      <c r="C232" s="308">
        <f>C71</f>
        <v>15</v>
      </c>
      <c r="D232" s="308">
        <f t="shared" ref="D232:F232" si="66">D71</f>
        <v>0.1</v>
      </c>
      <c r="E232" s="308">
        <f t="shared" si="66"/>
        <v>0.3</v>
      </c>
      <c r="F232" s="308" t="str">
        <f t="shared" si="66"/>
        <v>-</v>
      </c>
      <c r="G232" s="308">
        <f>G71</f>
        <v>9.9999999999999992E-2</v>
      </c>
      <c r="I232" s="792"/>
      <c r="J232" s="303">
        <v>7</v>
      </c>
      <c r="K232" s="308">
        <f>J71</f>
        <v>30</v>
      </c>
      <c r="L232" s="308">
        <f>K71</f>
        <v>-1.9</v>
      </c>
      <c r="M232" s="308">
        <f>L71</f>
        <v>1.8</v>
      </c>
      <c r="N232" s="308" t="str">
        <f>M71</f>
        <v>-</v>
      </c>
      <c r="O232" s="308">
        <f>N71</f>
        <v>1.85</v>
      </c>
      <c r="Q232" s="795"/>
      <c r="R232" s="303">
        <v>7</v>
      </c>
      <c r="S232" s="308">
        <f>Q71</f>
        <v>750</v>
      </c>
      <c r="T232" s="308">
        <f>R71</f>
        <v>9.9999999999999995E-7</v>
      </c>
      <c r="U232" s="308">
        <f>S71</f>
        <v>3.2</v>
      </c>
      <c r="V232" s="308" t="str">
        <f>T71</f>
        <v>-</v>
      </c>
      <c r="W232" s="309">
        <f>U71</f>
        <v>1.5999995</v>
      </c>
      <c r="Y232" s="301">
        <v>8</v>
      </c>
      <c r="Z232" s="302">
        <f>X80</f>
        <v>0.8</v>
      </c>
      <c r="AE232" s="281"/>
    </row>
    <row r="233" spans="1:38" hidden="1" x14ac:dyDescent="0.25">
      <c r="A233" s="792"/>
      <c r="B233" s="303">
        <v>8</v>
      </c>
      <c r="C233" s="308">
        <f>C82</f>
        <v>15</v>
      </c>
      <c r="D233" s="308">
        <f t="shared" ref="D233:F233" si="67">D82</f>
        <v>0.4</v>
      </c>
      <c r="E233" s="308">
        <f t="shared" si="67"/>
        <v>0.1</v>
      </c>
      <c r="F233" s="308">
        <f t="shared" si="67"/>
        <v>9.9999999999999995E-7</v>
      </c>
      <c r="G233" s="308">
        <f>G82</f>
        <v>0.19999950000000002</v>
      </c>
      <c r="I233" s="792"/>
      <c r="J233" s="303">
        <v>8</v>
      </c>
      <c r="K233" s="308">
        <f>J82</f>
        <v>30</v>
      </c>
      <c r="L233" s="308">
        <f>K82</f>
        <v>-4.5999999999999996</v>
      </c>
      <c r="M233" s="308">
        <f>L82</f>
        <v>-4</v>
      </c>
      <c r="N233" s="308">
        <f>M82</f>
        <v>-1.4</v>
      </c>
      <c r="O233" s="308">
        <f>N82</f>
        <v>1.5999999999999999</v>
      </c>
      <c r="Q233" s="795"/>
      <c r="R233" s="303">
        <v>8</v>
      </c>
      <c r="S233" s="308">
        <f>Q82</f>
        <v>960</v>
      </c>
      <c r="T233" s="308">
        <f>R82</f>
        <v>-1.5</v>
      </c>
      <c r="U233" s="308">
        <f>S82</f>
        <v>9.9999999999999995E-7</v>
      </c>
      <c r="V233" s="308">
        <f>T82</f>
        <v>9.9999999999999995E-7</v>
      </c>
      <c r="W233" s="309">
        <f>U82</f>
        <v>0.75000049999999996</v>
      </c>
      <c r="Y233" s="301">
        <v>9</v>
      </c>
      <c r="Z233" s="302">
        <f>X91</f>
        <v>0.3</v>
      </c>
      <c r="AE233" s="281"/>
    </row>
    <row r="234" spans="1:38" hidden="1" x14ac:dyDescent="0.25">
      <c r="A234" s="792"/>
      <c r="B234" s="303">
        <v>9</v>
      </c>
      <c r="C234" s="308">
        <f>C93</f>
        <v>15</v>
      </c>
      <c r="D234" s="308">
        <f t="shared" ref="D234:F234" si="68">D93</f>
        <v>9.9999999999999995E-7</v>
      </c>
      <c r="E234" s="308" t="str">
        <f t="shared" si="68"/>
        <v>-</v>
      </c>
      <c r="F234" s="308" t="str">
        <f t="shared" si="68"/>
        <v>-</v>
      </c>
      <c r="G234" s="308">
        <f>G93</f>
        <v>0</v>
      </c>
      <c r="I234" s="792"/>
      <c r="J234" s="303">
        <v>9</v>
      </c>
      <c r="K234" s="308">
        <f>J93</f>
        <v>30</v>
      </c>
      <c r="L234" s="308">
        <f>K93</f>
        <v>-1.2</v>
      </c>
      <c r="M234" s="308" t="str">
        <f>L93</f>
        <v>-</v>
      </c>
      <c r="N234" s="308" t="str">
        <f>M93</f>
        <v>-</v>
      </c>
      <c r="O234" s="308">
        <f>N93</f>
        <v>0</v>
      </c>
      <c r="Q234" s="795"/>
      <c r="R234" s="303">
        <v>9</v>
      </c>
      <c r="S234" s="308">
        <f>Q93</f>
        <v>750</v>
      </c>
      <c r="T234" s="308">
        <f>R93</f>
        <v>9.9999999999999995E-7</v>
      </c>
      <c r="U234" s="308" t="str">
        <f>S93</f>
        <v>-</v>
      </c>
      <c r="V234" s="308" t="str">
        <f>T93</f>
        <v>-</v>
      </c>
      <c r="W234" s="309">
        <f>U93</f>
        <v>0</v>
      </c>
      <c r="Y234" s="301">
        <v>10</v>
      </c>
      <c r="Z234" s="302">
        <f>X102</f>
        <v>0.3</v>
      </c>
      <c r="AE234" s="281"/>
    </row>
    <row r="235" spans="1:38" hidden="1" x14ac:dyDescent="0.25">
      <c r="A235" s="792"/>
      <c r="B235" s="303">
        <v>10</v>
      </c>
      <c r="C235" s="308">
        <f>C104</f>
        <v>15</v>
      </c>
      <c r="D235" s="308">
        <f t="shared" ref="D235:F235" si="69">D104</f>
        <v>0.2</v>
      </c>
      <c r="E235" s="308">
        <f t="shared" si="69"/>
        <v>0.2</v>
      </c>
      <c r="F235" s="308" t="str">
        <f t="shared" si="69"/>
        <v>-</v>
      </c>
      <c r="G235" s="308">
        <f>G104</f>
        <v>0</v>
      </c>
      <c r="I235" s="792"/>
      <c r="J235" s="303">
        <v>10</v>
      </c>
      <c r="K235" s="308">
        <f>J104</f>
        <v>30</v>
      </c>
      <c r="L235" s="308">
        <f>K104</f>
        <v>-2.9</v>
      </c>
      <c r="M235" s="308">
        <f>L104</f>
        <v>-5.8</v>
      </c>
      <c r="N235" s="308" t="str">
        <f>M104</f>
        <v>-</v>
      </c>
      <c r="O235" s="308">
        <f>N104</f>
        <v>1.45</v>
      </c>
      <c r="Q235" s="795"/>
      <c r="R235" s="303">
        <v>10</v>
      </c>
      <c r="S235" s="308">
        <f>Q104</f>
        <v>750</v>
      </c>
      <c r="T235" s="308" t="str">
        <f>R104</f>
        <v>-</v>
      </c>
      <c r="U235" s="308" t="str">
        <f>S104</f>
        <v>-</v>
      </c>
      <c r="V235" s="308" t="str">
        <f>T104</f>
        <v>-</v>
      </c>
      <c r="W235" s="309">
        <f>U104</f>
        <v>0</v>
      </c>
      <c r="Y235" s="301">
        <v>11</v>
      </c>
      <c r="Z235" s="302">
        <f>X113</f>
        <v>0.3</v>
      </c>
      <c r="AE235" s="281"/>
    </row>
    <row r="236" spans="1:38" hidden="1" x14ac:dyDescent="0.25">
      <c r="A236" s="792"/>
      <c r="B236" s="303">
        <v>11</v>
      </c>
      <c r="C236" s="308">
        <f>C115</f>
        <v>15</v>
      </c>
      <c r="D236" s="308">
        <f t="shared" ref="D236:F236" si="70">D115</f>
        <v>0.3</v>
      </c>
      <c r="E236" s="308">
        <f t="shared" si="70"/>
        <v>0.3</v>
      </c>
      <c r="F236" s="308" t="str">
        <f t="shared" si="70"/>
        <v>-</v>
      </c>
      <c r="G236" s="308">
        <f>G115</f>
        <v>0</v>
      </c>
      <c r="I236" s="792"/>
      <c r="J236" s="303">
        <v>11</v>
      </c>
      <c r="K236" s="308">
        <f>J115</f>
        <v>30</v>
      </c>
      <c r="L236" s="308">
        <f>K115</f>
        <v>-5.2</v>
      </c>
      <c r="M236" s="308">
        <f>L115</f>
        <v>-6.4</v>
      </c>
      <c r="N236" s="308" t="str">
        <f>M115</f>
        <v>-</v>
      </c>
      <c r="O236" s="308">
        <f>N115</f>
        <v>0.60000000000000009</v>
      </c>
      <c r="Q236" s="795"/>
      <c r="R236" s="303">
        <v>11</v>
      </c>
      <c r="S236" s="308">
        <f>Q115</f>
        <v>750</v>
      </c>
      <c r="T236" s="308" t="str">
        <f>R115</f>
        <v>-</v>
      </c>
      <c r="U236" s="308" t="str">
        <f>S115</f>
        <v>-</v>
      </c>
      <c r="V236" s="308" t="str">
        <f>T115</f>
        <v>-</v>
      </c>
      <c r="W236" s="309">
        <f>U115</f>
        <v>0</v>
      </c>
      <c r="Y236" s="301">
        <v>12</v>
      </c>
      <c r="Z236" s="302">
        <f>X124</f>
        <v>0.3</v>
      </c>
      <c r="AE236" s="281"/>
    </row>
    <row r="237" spans="1:38" hidden="1" x14ac:dyDescent="0.25">
      <c r="A237" s="792"/>
      <c r="B237" s="303">
        <v>12</v>
      </c>
      <c r="C237" s="308">
        <f>C126</f>
        <v>15</v>
      </c>
      <c r="D237" s="308">
        <f t="shared" ref="D237:F237" si="71">D126</f>
        <v>9.9999999999999995E-7</v>
      </c>
      <c r="E237" s="308" t="str">
        <f t="shared" si="71"/>
        <v>-</v>
      </c>
      <c r="F237" s="308" t="str">
        <f t="shared" si="71"/>
        <v>-</v>
      </c>
      <c r="G237" s="308">
        <f>G126</f>
        <v>0</v>
      </c>
      <c r="I237" s="792"/>
      <c r="J237" s="303">
        <v>12</v>
      </c>
      <c r="K237" s="308">
        <f>J126</f>
        <v>30</v>
      </c>
      <c r="L237" s="308">
        <f>K126</f>
        <v>-0.4</v>
      </c>
      <c r="M237" s="308" t="str">
        <f>L126</f>
        <v>-</v>
      </c>
      <c r="N237" s="308" t="str">
        <f>M126</f>
        <v>-</v>
      </c>
      <c r="O237" s="308">
        <f>N126</f>
        <v>0</v>
      </c>
      <c r="Q237" s="795"/>
      <c r="R237" s="303">
        <v>12</v>
      </c>
      <c r="S237" s="308">
        <f>Q126</f>
        <v>800</v>
      </c>
      <c r="T237" s="308">
        <f>R126</f>
        <v>-0.4</v>
      </c>
      <c r="U237" s="308" t="str">
        <f>S126</f>
        <v>-</v>
      </c>
      <c r="V237" s="308" t="str">
        <f>T126</f>
        <v>-</v>
      </c>
      <c r="W237" s="309">
        <f>U126</f>
        <v>0</v>
      </c>
      <c r="Y237" s="301">
        <v>13</v>
      </c>
      <c r="Z237" s="310">
        <f>X135</f>
        <v>0.5</v>
      </c>
      <c r="AE237" s="281"/>
      <c r="AL237" s="281"/>
    </row>
    <row r="238" spans="1:38" hidden="1" x14ac:dyDescent="0.25">
      <c r="A238" s="792"/>
      <c r="B238" s="303">
        <v>13</v>
      </c>
      <c r="C238" s="308">
        <f>C137</f>
        <v>15</v>
      </c>
      <c r="D238" s="308">
        <f t="shared" ref="D238:F238" si="72">D137</f>
        <v>0.1</v>
      </c>
      <c r="E238" s="308">
        <f t="shared" si="72"/>
        <v>0.5</v>
      </c>
      <c r="F238" s="308">
        <f t="shared" si="72"/>
        <v>-0.7</v>
      </c>
      <c r="G238" s="308">
        <f>G137</f>
        <v>0.6</v>
      </c>
      <c r="I238" s="792"/>
      <c r="J238" s="303">
        <v>13</v>
      </c>
      <c r="K238" s="308">
        <f>J137</f>
        <v>30</v>
      </c>
      <c r="L238" s="308">
        <f>K137</f>
        <v>-4.0999999999999996</v>
      </c>
      <c r="M238" s="308">
        <f>L137</f>
        <v>-2.2000000000000002</v>
      </c>
      <c r="N238" s="308">
        <f>M137</f>
        <v>-1.4</v>
      </c>
      <c r="O238" s="308">
        <f>N137</f>
        <v>1.3499999999999999</v>
      </c>
      <c r="Q238" s="795"/>
      <c r="R238" s="303">
        <v>13</v>
      </c>
      <c r="S238" s="308">
        <f>Q137</f>
        <v>970</v>
      </c>
      <c r="T238" s="308">
        <f>R137</f>
        <v>3.5</v>
      </c>
      <c r="U238" s="308">
        <f>S137</f>
        <v>3.8</v>
      </c>
      <c r="V238" s="308">
        <f>T137</f>
        <v>0.9</v>
      </c>
      <c r="W238" s="309">
        <f>U137</f>
        <v>1.45</v>
      </c>
      <c r="Y238" s="301">
        <v>14</v>
      </c>
      <c r="Z238" s="310">
        <f>X146</f>
        <v>0.6</v>
      </c>
      <c r="AE238" s="281"/>
      <c r="AL238" s="281"/>
    </row>
    <row r="239" spans="1:38" hidden="1" x14ac:dyDescent="0.25">
      <c r="A239" s="792"/>
      <c r="B239" s="303">
        <v>14</v>
      </c>
      <c r="C239" s="308">
        <f>C148</f>
        <v>15</v>
      </c>
      <c r="D239" s="308">
        <f t="shared" ref="D239:F239" si="73">D148</f>
        <v>0.1</v>
      </c>
      <c r="E239" s="308">
        <f t="shared" si="73"/>
        <v>0.5</v>
      </c>
      <c r="F239" s="308">
        <f t="shared" si="73"/>
        <v>-0.2</v>
      </c>
      <c r="G239" s="308">
        <f>G148</f>
        <v>0.35</v>
      </c>
      <c r="I239" s="792"/>
      <c r="J239" s="303">
        <v>14</v>
      </c>
      <c r="K239" s="308">
        <f>J148</f>
        <v>30</v>
      </c>
      <c r="L239" s="308">
        <f>K148</f>
        <v>-4.2</v>
      </c>
      <c r="M239" s="308">
        <f>L148</f>
        <v>-0.8</v>
      </c>
      <c r="N239" s="308">
        <f>M148</f>
        <v>0.6</v>
      </c>
      <c r="O239" s="308">
        <f>N148</f>
        <v>2.4</v>
      </c>
      <c r="Q239" s="795"/>
      <c r="R239" s="303">
        <v>14</v>
      </c>
      <c r="S239" s="308">
        <f>Q148</f>
        <v>985</v>
      </c>
      <c r="T239" s="308">
        <f>R148</f>
        <v>3.8</v>
      </c>
      <c r="U239" s="308">
        <f>S148</f>
        <v>3.9</v>
      </c>
      <c r="V239" s="308">
        <f>T148</f>
        <v>0.9</v>
      </c>
      <c r="W239" s="309">
        <f>U148</f>
        <v>1.5</v>
      </c>
      <c r="Y239" s="301">
        <v>15</v>
      </c>
      <c r="Z239" s="310">
        <f>X157</f>
        <v>0.5</v>
      </c>
      <c r="AE239" s="281"/>
      <c r="AL239" s="281"/>
    </row>
    <row r="240" spans="1:38" hidden="1" x14ac:dyDescent="0.25">
      <c r="A240" s="792"/>
      <c r="B240" s="303">
        <v>15</v>
      </c>
      <c r="C240" s="308">
        <f>C159</f>
        <v>15</v>
      </c>
      <c r="D240" s="308">
        <f t="shared" ref="D240:F240" si="74">D159</f>
        <v>0.1</v>
      </c>
      <c r="E240" s="308">
        <f t="shared" si="74"/>
        <v>0.6</v>
      </c>
      <c r="F240" s="308">
        <f t="shared" si="74"/>
        <v>-0.6</v>
      </c>
      <c r="G240" s="308">
        <f>G159</f>
        <v>0.6</v>
      </c>
      <c r="I240" s="792"/>
      <c r="J240" s="303">
        <v>15</v>
      </c>
      <c r="K240" s="308">
        <f>J159</f>
        <v>30</v>
      </c>
      <c r="L240" s="308">
        <f>K159</f>
        <v>-4.0999999999999996</v>
      </c>
      <c r="M240" s="308">
        <f>L159</f>
        <v>-2</v>
      </c>
      <c r="N240" s="308">
        <f>M159</f>
        <v>-0.4</v>
      </c>
      <c r="O240" s="308">
        <f>N159</f>
        <v>1.8499999999999999</v>
      </c>
      <c r="Q240" s="795"/>
      <c r="R240" s="303">
        <v>15</v>
      </c>
      <c r="S240" s="308">
        <f>Q159</f>
        <v>985</v>
      </c>
      <c r="T240" s="308">
        <f>R159</f>
        <v>4.0999999999999996</v>
      </c>
      <c r="U240" s="308">
        <f>S159</f>
        <v>4.3</v>
      </c>
      <c r="V240" s="308">
        <f>T159</f>
        <v>0.9</v>
      </c>
      <c r="W240" s="309">
        <f>U159</f>
        <v>1.7</v>
      </c>
      <c r="Y240" s="301">
        <v>16</v>
      </c>
      <c r="Z240" s="310">
        <f>X168</f>
        <v>0.4</v>
      </c>
      <c r="AE240" s="281"/>
      <c r="AL240" s="281"/>
    </row>
    <row r="241" spans="1:38" hidden="1" x14ac:dyDescent="0.25">
      <c r="A241" s="792"/>
      <c r="B241" s="303">
        <v>16</v>
      </c>
      <c r="C241" s="308">
        <f>C170</f>
        <v>15</v>
      </c>
      <c r="D241" s="308">
        <f t="shared" ref="D241:F241" si="75">D170</f>
        <v>0.1</v>
      </c>
      <c r="E241" s="308" t="str">
        <f t="shared" si="75"/>
        <v>-</v>
      </c>
      <c r="F241" s="308" t="str">
        <f t="shared" si="75"/>
        <v>-</v>
      </c>
      <c r="G241" s="308">
        <f>G170</f>
        <v>0</v>
      </c>
      <c r="I241" s="792"/>
      <c r="J241" s="303">
        <v>16</v>
      </c>
      <c r="K241" s="308">
        <f>J170</f>
        <v>30</v>
      </c>
      <c r="L241" s="308">
        <f>K170</f>
        <v>-1.6</v>
      </c>
      <c r="M241" s="308" t="str">
        <f>L170</f>
        <v>-</v>
      </c>
      <c r="N241" s="308" t="str">
        <f>M170</f>
        <v>-</v>
      </c>
      <c r="O241" s="308">
        <f>N170</f>
        <v>0</v>
      </c>
      <c r="Q241" s="795"/>
      <c r="R241" s="303">
        <v>16</v>
      </c>
      <c r="S241" s="308">
        <f>Q170</f>
        <v>800</v>
      </c>
      <c r="T241" s="308">
        <f>R170</f>
        <v>-2.9</v>
      </c>
      <c r="U241" s="308" t="str">
        <f>S170</f>
        <v>-</v>
      </c>
      <c r="V241" s="308" t="str">
        <f>T170</f>
        <v>-</v>
      </c>
      <c r="W241" s="309">
        <f>U170</f>
        <v>0</v>
      </c>
      <c r="Y241" s="301">
        <v>17</v>
      </c>
      <c r="Z241" s="310">
        <f>X179</f>
        <v>0.3</v>
      </c>
      <c r="AE241" s="281"/>
      <c r="AL241" s="281"/>
    </row>
    <row r="242" spans="1:38" hidden="1" x14ac:dyDescent="0.25">
      <c r="A242" s="792"/>
      <c r="B242" s="303">
        <v>17</v>
      </c>
      <c r="C242" s="308">
        <f>C181</f>
        <v>15</v>
      </c>
      <c r="D242" s="308">
        <f t="shared" ref="D242:F242" si="76">D181</f>
        <v>0.1</v>
      </c>
      <c r="E242" s="308" t="str">
        <f t="shared" si="76"/>
        <v>-</v>
      </c>
      <c r="F242" s="308" t="str">
        <f t="shared" si="76"/>
        <v>-</v>
      </c>
      <c r="G242" s="308">
        <f>G181</f>
        <v>0</v>
      </c>
      <c r="I242" s="792"/>
      <c r="J242" s="303">
        <v>17</v>
      </c>
      <c r="K242" s="308">
        <f>J181</f>
        <v>30</v>
      </c>
      <c r="L242" s="308">
        <f>K181</f>
        <v>0.1</v>
      </c>
      <c r="M242" s="308" t="str">
        <f>L181</f>
        <v>-</v>
      </c>
      <c r="N242" s="308" t="str">
        <f>M181</f>
        <v>-</v>
      </c>
      <c r="O242" s="308">
        <f>N181</f>
        <v>0</v>
      </c>
      <c r="Q242" s="795"/>
      <c r="R242" s="303">
        <v>17</v>
      </c>
      <c r="S242" s="308">
        <f>Q181</f>
        <v>960</v>
      </c>
      <c r="T242" s="308">
        <f>R181</f>
        <v>-0.6</v>
      </c>
      <c r="U242" s="308" t="str">
        <f>S181</f>
        <v>-</v>
      </c>
      <c r="V242" s="308" t="str">
        <f>T181</f>
        <v>-</v>
      </c>
      <c r="W242" s="309">
        <f>U181</f>
        <v>0</v>
      </c>
      <c r="Y242" s="301">
        <v>18</v>
      </c>
      <c r="Z242" s="310">
        <f>X190</f>
        <v>0.3</v>
      </c>
      <c r="AE242" s="281"/>
      <c r="AL242" s="281"/>
    </row>
    <row r="243" spans="1:38" hidden="1" x14ac:dyDescent="0.25">
      <c r="A243" s="792"/>
      <c r="B243" s="303">
        <v>18</v>
      </c>
      <c r="C243" s="308">
        <f>C192</f>
        <v>15</v>
      </c>
      <c r="D243" s="308">
        <f t="shared" ref="D243:F243" si="77">D192</f>
        <v>9.9999999999999995E-7</v>
      </c>
      <c r="E243" s="308" t="str">
        <f t="shared" si="77"/>
        <v>-</v>
      </c>
      <c r="F243" s="308" t="str">
        <f t="shared" si="77"/>
        <v>-</v>
      </c>
      <c r="G243" s="308">
        <f>G192</f>
        <v>0</v>
      </c>
      <c r="I243" s="792"/>
      <c r="J243" s="303">
        <v>18</v>
      </c>
      <c r="K243" s="308">
        <f>J192</f>
        <v>30</v>
      </c>
      <c r="L243" s="308">
        <f>K192</f>
        <v>-0.4</v>
      </c>
      <c r="M243" s="308" t="str">
        <f>L192</f>
        <v>-</v>
      </c>
      <c r="N243" s="308" t="str">
        <f>M192</f>
        <v>-</v>
      </c>
      <c r="O243" s="308">
        <f>N192</f>
        <v>0</v>
      </c>
      <c r="Q243" s="795"/>
      <c r="R243" s="303">
        <v>18</v>
      </c>
      <c r="S243" s="308">
        <f>Q192</f>
        <v>800</v>
      </c>
      <c r="T243" s="308">
        <f>R192</f>
        <v>-1.5</v>
      </c>
      <c r="U243" s="308" t="str">
        <f>S192</f>
        <v>-</v>
      </c>
      <c r="V243" s="308" t="str">
        <f>T192</f>
        <v>-</v>
      </c>
      <c r="W243" s="309">
        <f>U192</f>
        <v>0</v>
      </c>
      <c r="Y243" s="301">
        <v>19</v>
      </c>
      <c r="Z243" s="310">
        <f>X201</f>
        <v>0.1</v>
      </c>
      <c r="AE243" s="281"/>
      <c r="AL243" s="281"/>
    </row>
    <row r="244" spans="1:38" ht="13.8" hidden="1" thickBot="1" x14ac:dyDescent="0.3">
      <c r="A244" s="792"/>
      <c r="B244" s="303">
        <v>19</v>
      </c>
      <c r="C244" s="308">
        <f>C203</f>
        <v>15</v>
      </c>
      <c r="D244" s="308">
        <f t="shared" ref="D244:F244" si="78">D203</f>
        <v>9.9999999999999995E-7</v>
      </c>
      <c r="E244" s="308" t="str">
        <f t="shared" si="78"/>
        <v>-</v>
      </c>
      <c r="F244" s="308" t="str">
        <f t="shared" si="78"/>
        <v>-</v>
      </c>
      <c r="G244" s="308">
        <f>G203</f>
        <v>0</v>
      </c>
      <c r="I244" s="792"/>
      <c r="J244" s="303">
        <v>19</v>
      </c>
      <c r="K244" s="308">
        <f>J203</f>
        <v>30</v>
      </c>
      <c r="L244" s="308">
        <f>K203</f>
        <v>-1.5</v>
      </c>
      <c r="M244" s="308" t="str">
        <f>L203</f>
        <v>-</v>
      </c>
      <c r="N244" s="308" t="str">
        <f>M203</f>
        <v>-</v>
      </c>
      <c r="O244" s="308">
        <f>N203</f>
        <v>0</v>
      </c>
      <c r="Q244" s="795"/>
      <c r="R244" s="303">
        <v>19</v>
      </c>
      <c r="S244" s="308">
        <f>Q203</f>
        <v>750</v>
      </c>
      <c r="T244" s="308">
        <f>R203</f>
        <v>2.5</v>
      </c>
      <c r="U244" s="308" t="str">
        <f>S203</f>
        <v>-</v>
      </c>
      <c r="V244" s="308" t="str">
        <f>T203</f>
        <v>-</v>
      </c>
      <c r="W244" s="309">
        <f>U203</f>
        <v>0</v>
      </c>
      <c r="Y244" s="311">
        <v>20</v>
      </c>
      <c r="Z244" s="312">
        <f>X212</f>
        <v>0</v>
      </c>
      <c r="AE244" s="281"/>
      <c r="AL244" s="281"/>
    </row>
    <row r="245" spans="1:38" ht="13.8" hidden="1" thickBot="1" x14ac:dyDescent="0.3">
      <c r="A245" s="792"/>
      <c r="B245" s="303">
        <v>20</v>
      </c>
      <c r="C245" s="308">
        <f>C214</f>
        <v>14.8</v>
      </c>
      <c r="D245" s="308" t="str">
        <f t="shared" ref="D245:F245" si="79">D214</f>
        <v>-</v>
      </c>
      <c r="E245" s="308" t="str">
        <f t="shared" si="79"/>
        <v>-</v>
      </c>
      <c r="F245" s="308" t="str">
        <f t="shared" si="79"/>
        <v>-</v>
      </c>
      <c r="G245" s="308">
        <f>G214</f>
        <v>0</v>
      </c>
      <c r="I245" s="792"/>
      <c r="J245" s="303">
        <v>20</v>
      </c>
      <c r="K245" s="308">
        <f>J214</f>
        <v>45.7</v>
      </c>
      <c r="L245" s="308" t="str">
        <f>K214</f>
        <v>-</v>
      </c>
      <c r="M245" s="308" t="str">
        <f>L214</f>
        <v>-</v>
      </c>
      <c r="N245" s="308" t="str">
        <f>M214</f>
        <v>-</v>
      </c>
      <c r="O245" s="308">
        <f>N214</f>
        <v>0</v>
      </c>
      <c r="Q245" s="796"/>
      <c r="R245" s="313">
        <v>20</v>
      </c>
      <c r="S245" s="314">
        <f>Q214</f>
        <v>750</v>
      </c>
      <c r="T245" s="314" t="str">
        <f>R214</f>
        <v>-</v>
      </c>
      <c r="U245" s="314" t="str">
        <f>S214</f>
        <v>-</v>
      </c>
      <c r="V245" s="314" t="str">
        <f>T214</f>
        <v>-</v>
      </c>
      <c r="W245" s="315">
        <f>U214</f>
        <v>0</v>
      </c>
      <c r="Y245" s="316"/>
      <c r="AE245" s="317"/>
      <c r="AL245" s="281"/>
    </row>
    <row r="246" spans="1:38" ht="13.8" hidden="1" thickBot="1" x14ac:dyDescent="0.3">
      <c r="A246" s="40"/>
      <c r="B246" s="40"/>
      <c r="C246" s="318"/>
      <c r="D246" s="318"/>
      <c r="E246" s="318"/>
      <c r="F246" s="298"/>
      <c r="G246" s="318"/>
      <c r="I246" s="40"/>
      <c r="J246" s="40"/>
      <c r="K246" s="318"/>
      <c r="L246" s="318"/>
      <c r="M246" s="318"/>
      <c r="N246" s="298"/>
      <c r="O246" s="318"/>
      <c r="Q246" s="319"/>
      <c r="R246" s="319"/>
      <c r="S246" s="320"/>
      <c r="T246" s="320"/>
      <c r="U246" s="320"/>
      <c r="W246" s="321"/>
      <c r="Y246" s="322"/>
      <c r="AE246" s="322"/>
      <c r="AL246" s="322"/>
    </row>
    <row r="247" spans="1:38" hidden="1" x14ac:dyDescent="0.25">
      <c r="A247" s="792">
        <v>2</v>
      </c>
      <c r="B247" s="303">
        <v>1</v>
      </c>
      <c r="C247" s="308">
        <f>C6</f>
        <v>20</v>
      </c>
      <c r="D247" s="308">
        <f t="shared" ref="D247:F247" si="80">D6</f>
        <v>0</v>
      </c>
      <c r="E247" s="308">
        <f t="shared" si="80"/>
        <v>-0.2</v>
      </c>
      <c r="F247" s="308">
        <f t="shared" si="80"/>
        <v>0.2</v>
      </c>
      <c r="G247" s="308">
        <f>G6</f>
        <v>0.2</v>
      </c>
      <c r="I247" s="792">
        <v>2</v>
      </c>
      <c r="J247" s="303">
        <v>1</v>
      </c>
      <c r="K247" s="308">
        <f>J6</f>
        <v>40</v>
      </c>
      <c r="L247" s="308">
        <f>K6</f>
        <v>-5.9</v>
      </c>
      <c r="M247" s="308">
        <f>L6</f>
        <v>-6</v>
      </c>
      <c r="N247" s="308">
        <f>M6</f>
        <v>-8.6</v>
      </c>
      <c r="O247" s="308">
        <f>N6</f>
        <v>1.3499999999999996</v>
      </c>
      <c r="Q247" s="791">
        <v>2</v>
      </c>
      <c r="R247" s="323">
        <v>1</v>
      </c>
      <c r="S247" s="324">
        <f>Q6</f>
        <v>800</v>
      </c>
      <c r="T247" s="324" t="str">
        <f>R6</f>
        <v>-</v>
      </c>
      <c r="U247" s="324" t="str">
        <f>S6</f>
        <v>-</v>
      </c>
      <c r="V247" s="324" t="str">
        <f>T6</f>
        <v>-</v>
      </c>
      <c r="W247" s="325">
        <f>U6</f>
        <v>0</v>
      </c>
      <c r="Y247" s="803" t="s">
        <v>152</v>
      </c>
      <c r="Z247" s="804"/>
      <c r="AE247" s="326"/>
    </row>
    <row r="248" spans="1:38" hidden="1" x14ac:dyDescent="0.25">
      <c r="A248" s="792"/>
      <c r="B248" s="303">
        <v>2</v>
      </c>
      <c r="C248" s="308">
        <f>C17</f>
        <v>20</v>
      </c>
      <c r="D248" s="308">
        <f t="shared" ref="D248:F248" si="81">D17</f>
        <v>0.7</v>
      </c>
      <c r="E248" s="308">
        <f t="shared" si="81"/>
        <v>-0.1</v>
      </c>
      <c r="F248" s="308" t="str">
        <f t="shared" si="81"/>
        <v>-</v>
      </c>
      <c r="G248" s="308">
        <f>G17</f>
        <v>0.39999999999999997</v>
      </c>
      <c r="I248" s="792"/>
      <c r="J248" s="303">
        <v>2</v>
      </c>
      <c r="K248" s="308">
        <f>J17</f>
        <v>40</v>
      </c>
      <c r="L248" s="308">
        <f>K17</f>
        <v>-6.2</v>
      </c>
      <c r="M248" s="308">
        <f>L17</f>
        <v>-1.6</v>
      </c>
      <c r="N248" s="308" t="str">
        <f>M17</f>
        <v>-</v>
      </c>
      <c r="O248" s="308">
        <f>N17</f>
        <v>2.2999999999999998</v>
      </c>
      <c r="Q248" s="792"/>
      <c r="R248" s="303">
        <v>2</v>
      </c>
      <c r="S248" s="308">
        <f>Q17</f>
        <v>800</v>
      </c>
      <c r="T248" s="308" t="str">
        <f>R17</f>
        <v>-</v>
      </c>
      <c r="U248" s="308" t="str">
        <f>S17</f>
        <v>-</v>
      </c>
      <c r="V248" s="308" t="str">
        <f>T17</f>
        <v>-</v>
      </c>
      <c r="W248" s="309">
        <f>U17</f>
        <v>0</v>
      </c>
      <c r="Y248" s="805" t="s">
        <v>18</v>
      </c>
      <c r="Z248" s="806"/>
      <c r="AE248" s="281"/>
    </row>
    <row r="249" spans="1:38" hidden="1" x14ac:dyDescent="0.25">
      <c r="A249" s="792"/>
      <c r="B249" s="303">
        <v>3</v>
      </c>
      <c r="C249" s="303">
        <f>C28</f>
        <v>20</v>
      </c>
      <c r="D249" s="303">
        <f t="shared" ref="D249:F249" si="82">D28</f>
        <v>1</v>
      </c>
      <c r="E249" s="303">
        <f t="shared" si="82"/>
        <v>9.9999999999999995E-7</v>
      </c>
      <c r="F249" s="303" t="str">
        <f t="shared" si="82"/>
        <v>-</v>
      </c>
      <c r="G249" s="303">
        <f>G28</f>
        <v>0.49999949999999999</v>
      </c>
      <c r="I249" s="792"/>
      <c r="J249" s="303">
        <v>3</v>
      </c>
      <c r="K249" s="303">
        <f>J28</f>
        <v>40</v>
      </c>
      <c r="L249" s="303">
        <f>K28</f>
        <v>-5.9</v>
      </c>
      <c r="M249" s="303">
        <f>L28</f>
        <v>-5.3</v>
      </c>
      <c r="N249" s="303">
        <f>M28</f>
        <v>0</v>
      </c>
      <c r="O249" s="303">
        <f>N28</f>
        <v>0.30000000000000027</v>
      </c>
      <c r="Q249" s="792"/>
      <c r="R249" s="303">
        <v>3</v>
      </c>
      <c r="S249" s="303">
        <f>Q28</f>
        <v>800</v>
      </c>
      <c r="T249" s="303" t="str">
        <f>R28</f>
        <v>-</v>
      </c>
      <c r="U249" s="303" t="str">
        <f>S28</f>
        <v>-</v>
      </c>
      <c r="V249" s="303" t="str">
        <f>T28</f>
        <v>-</v>
      </c>
      <c r="W249" s="305">
        <f>U28</f>
        <v>0</v>
      </c>
      <c r="Y249" s="301">
        <v>1</v>
      </c>
      <c r="Z249" s="302">
        <f>X4</f>
        <v>2.6</v>
      </c>
      <c r="AE249" s="281"/>
    </row>
    <row r="250" spans="1:38" hidden="1" x14ac:dyDescent="0.25">
      <c r="A250" s="792"/>
      <c r="B250" s="303">
        <v>4</v>
      </c>
      <c r="C250" s="303">
        <f>C39</f>
        <v>20</v>
      </c>
      <c r="D250" s="303">
        <f t="shared" ref="D250:F250" si="83">D39</f>
        <v>-0.1</v>
      </c>
      <c r="E250" s="303">
        <f t="shared" si="83"/>
        <v>-0.3</v>
      </c>
      <c r="F250" s="303" t="str">
        <f t="shared" si="83"/>
        <v>-</v>
      </c>
      <c r="G250" s="303">
        <f>G39</f>
        <v>9.9999999999999992E-2</v>
      </c>
      <c r="I250" s="792"/>
      <c r="J250" s="303">
        <v>4</v>
      </c>
      <c r="K250" s="303">
        <f>J39</f>
        <v>40</v>
      </c>
      <c r="L250" s="303">
        <f>K39</f>
        <v>-4.4000000000000004</v>
      </c>
      <c r="M250" s="303">
        <f>L39</f>
        <v>-1.5</v>
      </c>
      <c r="N250" s="303" t="str">
        <f>M39</f>
        <v>-</v>
      </c>
      <c r="O250" s="303">
        <f>N39</f>
        <v>1.4500000000000002</v>
      </c>
      <c r="Q250" s="792"/>
      <c r="R250" s="303">
        <v>4</v>
      </c>
      <c r="S250" s="303">
        <f>Q39</f>
        <v>800</v>
      </c>
      <c r="T250" s="303" t="str">
        <f>R39</f>
        <v>-</v>
      </c>
      <c r="U250" s="303" t="str">
        <f>S39</f>
        <v>-</v>
      </c>
      <c r="V250" s="303" t="str">
        <f>T39</f>
        <v>-</v>
      </c>
      <c r="W250" s="305">
        <f>U39</f>
        <v>0</v>
      </c>
      <c r="Y250" s="306">
        <v>2</v>
      </c>
      <c r="Z250" s="302">
        <f>X15</f>
        <v>2.2000000000000002</v>
      </c>
      <c r="AE250" s="281"/>
    </row>
    <row r="251" spans="1:38" hidden="1" x14ac:dyDescent="0.25">
      <c r="A251" s="792"/>
      <c r="B251" s="303">
        <v>5</v>
      </c>
      <c r="C251" s="303">
        <f>C50</f>
        <v>20</v>
      </c>
      <c r="D251" s="303">
        <f t="shared" ref="D251:F251" si="84">D50</f>
        <v>0.1</v>
      </c>
      <c r="E251" s="303">
        <f t="shared" si="84"/>
        <v>0.3</v>
      </c>
      <c r="F251" s="303" t="str">
        <f t="shared" si="84"/>
        <v>-</v>
      </c>
      <c r="G251" s="303">
        <f>G50</f>
        <v>9.9999999999999992E-2</v>
      </c>
      <c r="I251" s="792"/>
      <c r="J251" s="303">
        <v>5</v>
      </c>
      <c r="K251" s="303">
        <f>J50</f>
        <v>40</v>
      </c>
      <c r="L251" s="303">
        <f>K50</f>
        <v>-7.2</v>
      </c>
      <c r="M251" s="303">
        <f>L50</f>
        <v>-8</v>
      </c>
      <c r="N251" s="303" t="str">
        <f>M50</f>
        <v>-</v>
      </c>
      <c r="O251" s="303">
        <f>N50</f>
        <v>0.39999999999999991</v>
      </c>
      <c r="Q251" s="792"/>
      <c r="R251" s="303">
        <v>5</v>
      </c>
      <c r="S251" s="303">
        <f>Q50</f>
        <v>800</v>
      </c>
      <c r="T251" s="303" t="str">
        <f>R50</f>
        <v>-</v>
      </c>
      <c r="U251" s="303" t="str">
        <f>S50</f>
        <v>-</v>
      </c>
      <c r="V251" s="303" t="str">
        <f>T50</f>
        <v>-</v>
      </c>
      <c r="W251" s="305">
        <f>U50</f>
        <v>0</v>
      </c>
      <c r="Y251" s="306">
        <v>3</v>
      </c>
      <c r="Z251" s="307">
        <f>X26</f>
        <v>3.1</v>
      </c>
      <c r="AE251" s="281"/>
    </row>
    <row r="252" spans="1:38" hidden="1" x14ac:dyDescent="0.25">
      <c r="A252" s="792"/>
      <c r="B252" s="303">
        <v>6</v>
      </c>
      <c r="C252" s="303">
        <f>C61</f>
        <v>20</v>
      </c>
      <c r="D252" s="303">
        <f t="shared" ref="D252:F252" si="85">D61</f>
        <v>0.3</v>
      </c>
      <c r="E252" s="303">
        <f t="shared" si="85"/>
        <v>0.2</v>
      </c>
      <c r="F252" s="303" t="str">
        <f t="shared" si="85"/>
        <v>-</v>
      </c>
      <c r="G252" s="303">
        <f>G61</f>
        <v>4.9999999999999989E-2</v>
      </c>
      <c r="I252" s="792"/>
      <c r="J252" s="303">
        <v>6</v>
      </c>
      <c r="K252" s="303">
        <f>J61</f>
        <v>40</v>
      </c>
      <c r="L252" s="303">
        <f>K61</f>
        <v>-3.8</v>
      </c>
      <c r="M252" s="303">
        <f>L61</f>
        <v>1.5</v>
      </c>
      <c r="N252" s="303" t="str">
        <f>M61</f>
        <v>-</v>
      </c>
      <c r="O252" s="303">
        <f>N61</f>
        <v>2.65</v>
      </c>
      <c r="Q252" s="792"/>
      <c r="R252" s="303">
        <v>6</v>
      </c>
      <c r="S252" s="303">
        <f>Q61</f>
        <v>800</v>
      </c>
      <c r="T252" s="303">
        <f>R61</f>
        <v>0.9</v>
      </c>
      <c r="U252" s="303">
        <f>S61</f>
        <v>1.6</v>
      </c>
      <c r="V252" s="303" t="str">
        <f>T61</f>
        <v>-</v>
      </c>
      <c r="W252" s="305">
        <f>U61</f>
        <v>0.35000000000000003</v>
      </c>
      <c r="Y252" s="306">
        <v>4</v>
      </c>
      <c r="Z252" s="307">
        <f>X37</f>
        <v>1.3</v>
      </c>
      <c r="AE252" s="281"/>
    </row>
    <row r="253" spans="1:38" hidden="1" x14ac:dyDescent="0.25">
      <c r="A253" s="792"/>
      <c r="B253" s="303">
        <v>7</v>
      </c>
      <c r="C253" s="303">
        <f>C72</f>
        <v>20</v>
      </c>
      <c r="D253" s="303">
        <f t="shared" ref="D253:F253" si="86">D72</f>
        <v>9.9999999999999995E-7</v>
      </c>
      <c r="E253" s="303">
        <f t="shared" si="86"/>
        <v>0.1</v>
      </c>
      <c r="F253" s="303" t="str">
        <f t="shared" si="86"/>
        <v>-</v>
      </c>
      <c r="G253" s="303">
        <f>G72</f>
        <v>4.9999500000000002E-2</v>
      </c>
      <c r="I253" s="792"/>
      <c r="J253" s="303">
        <v>7</v>
      </c>
      <c r="K253" s="303">
        <f>J72</f>
        <v>40</v>
      </c>
      <c r="L253" s="303">
        <f>K72</f>
        <v>-1.9</v>
      </c>
      <c r="M253" s="303">
        <f>L72</f>
        <v>1.2</v>
      </c>
      <c r="N253" s="303" t="str">
        <f>M72</f>
        <v>-</v>
      </c>
      <c r="O253" s="303">
        <f>N72</f>
        <v>1.5499999999999998</v>
      </c>
      <c r="Q253" s="792"/>
      <c r="R253" s="303">
        <v>7</v>
      </c>
      <c r="S253" s="303">
        <f>Q72</f>
        <v>800</v>
      </c>
      <c r="T253" s="303">
        <f>R72</f>
        <v>9.9999999999999995E-7</v>
      </c>
      <c r="U253" s="303">
        <f>S72</f>
        <v>2.5</v>
      </c>
      <c r="V253" s="303" t="str">
        <f>T72</f>
        <v>-</v>
      </c>
      <c r="W253" s="305">
        <f>U72</f>
        <v>1.2499994999999999</v>
      </c>
      <c r="Y253" s="306">
        <v>5</v>
      </c>
      <c r="Z253" s="307">
        <f>X48</f>
        <v>2.8</v>
      </c>
      <c r="AE253" s="281"/>
    </row>
    <row r="254" spans="1:38" hidden="1" x14ac:dyDescent="0.25">
      <c r="A254" s="792"/>
      <c r="B254" s="303">
        <v>8</v>
      </c>
      <c r="C254" s="303">
        <f>C83</f>
        <v>20</v>
      </c>
      <c r="D254" s="303">
        <f t="shared" ref="D254:F254" si="87">D83</f>
        <v>0.2</v>
      </c>
      <c r="E254" s="303">
        <f t="shared" si="87"/>
        <v>9.9999999999999995E-7</v>
      </c>
      <c r="F254" s="303">
        <f t="shared" si="87"/>
        <v>-0.2</v>
      </c>
      <c r="G254" s="303">
        <f>G83</f>
        <v>0.2</v>
      </c>
      <c r="I254" s="792"/>
      <c r="J254" s="303">
        <v>8</v>
      </c>
      <c r="K254" s="303">
        <f>J83</f>
        <v>40</v>
      </c>
      <c r="L254" s="303">
        <f>K83</f>
        <v>-4.5999999999999996</v>
      </c>
      <c r="M254" s="303">
        <f>L83</f>
        <v>-3.8</v>
      </c>
      <c r="N254" s="303">
        <f>M83</f>
        <v>-1.2</v>
      </c>
      <c r="O254" s="303">
        <f>N83</f>
        <v>1.6999999999999997</v>
      </c>
      <c r="Q254" s="792"/>
      <c r="R254" s="303">
        <v>8</v>
      </c>
      <c r="S254" s="303">
        <f>Q83</f>
        <v>970</v>
      </c>
      <c r="T254" s="303">
        <f>R83</f>
        <v>-1</v>
      </c>
      <c r="U254" s="303">
        <f>S83</f>
        <v>9.9999999999999995E-7</v>
      </c>
      <c r="V254" s="303">
        <f>T83</f>
        <v>9.9999999999999995E-7</v>
      </c>
      <c r="W254" s="305">
        <f>U83</f>
        <v>0.50000049999999996</v>
      </c>
      <c r="Y254" s="301">
        <v>6</v>
      </c>
      <c r="Z254" s="302">
        <f>X59</f>
        <v>2.6</v>
      </c>
      <c r="AE254" s="281"/>
    </row>
    <row r="255" spans="1:38" hidden="1" x14ac:dyDescent="0.25">
      <c r="A255" s="792"/>
      <c r="B255" s="303">
        <v>9</v>
      </c>
      <c r="C255" s="303">
        <f>C94</f>
        <v>20</v>
      </c>
      <c r="D255" s="303">
        <f t="shared" ref="D255:F255" si="88">D94</f>
        <v>-0.2</v>
      </c>
      <c r="E255" s="303" t="str">
        <f t="shared" si="88"/>
        <v>-</v>
      </c>
      <c r="F255" s="303" t="str">
        <f t="shared" si="88"/>
        <v>-</v>
      </c>
      <c r="G255" s="303">
        <f>G94</f>
        <v>0</v>
      </c>
      <c r="I255" s="792"/>
      <c r="J255" s="303">
        <v>9</v>
      </c>
      <c r="K255" s="303">
        <f>J94</f>
        <v>40</v>
      </c>
      <c r="L255" s="303">
        <f>K94</f>
        <v>-1</v>
      </c>
      <c r="M255" s="303" t="str">
        <f>L94</f>
        <v>-</v>
      </c>
      <c r="N255" s="303" t="str">
        <f>M94</f>
        <v>-</v>
      </c>
      <c r="O255" s="303">
        <f>N94</f>
        <v>0</v>
      </c>
      <c r="Q255" s="792"/>
      <c r="R255" s="303">
        <v>9</v>
      </c>
      <c r="S255" s="303">
        <f>Q94</f>
        <v>800</v>
      </c>
      <c r="T255" s="303">
        <f>R94</f>
        <v>9.9999999999999995E-7</v>
      </c>
      <c r="U255" s="303" t="str">
        <f>S94</f>
        <v>-</v>
      </c>
      <c r="V255" s="303" t="str">
        <f>T94</f>
        <v>-</v>
      </c>
      <c r="W255" s="305">
        <f>U94</f>
        <v>0</v>
      </c>
      <c r="Y255" s="301">
        <v>7</v>
      </c>
      <c r="Z255" s="302">
        <f>X70</f>
        <v>2.4</v>
      </c>
      <c r="AE255" s="281"/>
    </row>
    <row r="256" spans="1:38" hidden="1" x14ac:dyDescent="0.25">
      <c r="A256" s="792"/>
      <c r="B256" s="303">
        <v>10</v>
      </c>
      <c r="C256" s="303">
        <f>C105</f>
        <v>20</v>
      </c>
      <c r="D256" s="303">
        <f t="shared" ref="D256:F256" si="89">D105</f>
        <v>0.2</v>
      </c>
      <c r="E256" s="303">
        <f t="shared" si="89"/>
        <v>-0.7</v>
      </c>
      <c r="F256" s="303" t="str">
        <f t="shared" si="89"/>
        <v>-</v>
      </c>
      <c r="G256" s="303">
        <f>G105</f>
        <v>0.44999999999999996</v>
      </c>
      <c r="I256" s="792"/>
      <c r="J256" s="303">
        <v>10</v>
      </c>
      <c r="K256" s="303">
        <f>J105</f>
        <v>40</v>
      </c>
      <c r="L256" s="303">
        <f>K105</f>
        <v>-3.3</v>
      </c>
      <c r="M256" s="303">
        <f>L105</f>
        <v>-6.4</v>
      </c>
      <c r="N256" s="303" t="str">
        <f>M105</f>
        <v>-</v>
      </c>
      <c r="O256" s="303">
        <f>N105</f>
        <v>1.5500000000000003</v>
      </c>
      <c r="Q256" s="792"/>
      <c r="R256" s="303">
        <v>10</v>
      </c>
      <c r="S256" s="303">
        <f>Q105</f>
        <v>800</v>
      </c>
      <c r="T256" s="303" t="str">
        <f>R105</f>
        <v>-</v>
      </c>
      <c r="U256" s="303" t="str">
        <f>S105</f>
        <v>-</v>
      </c>
      <c r="V256" s="303" t="str">
        <f>T105</f>
        <v>-</v>
      </c>
      <c r="W256" s="305">
        <f>U105</f>
        <v>0</v>
      </c>
      <c r="Y256" s="301">
        <v>8</v>
      </c>
      <c r="Z256" s="302">
        <f>X81</f>
        <v>2.2999999999999998</v>
      </c>
      <c r="AE256" s="281"/>
    </row>
    <row r="257" spans="1:31" hidden="1" x14ac:dyDescent="0.25">
      <c r="A257" s="792"/>
      <c r="B257" s="303">
        <v>11</v>
      </c>
      <c r="C257" s="303">
        <f>C116</f>
        <v>20</v>
      </c>
      <c r="D257" s="303">
        <f t="shared" ref="D257:F257" si="90">D116</f>
        <v>0.4</v>
      </c>
      <c r="E257" s="303">
        <f t="shared" si="90"/>
        <v>0.5</v>
      </c>
      <c r="F257" s="303" t="str">
        <f t="shared" si="90"/>
        <v>-</v>
      </c>
      <c r="G257" s="303">
        <f>G116</f>
        <v>4.9999999999999989E-2</v>
      </c>
      <c r="I257" s="792"/>
      <c r="J257" s="303">
        <v>11</v>
      </c>
      <c r="K257" s="303">
        <f>J116</f>
        <v>40</v>
      </c>
      <c r="L257" s="303">
        <f>K116</f>
        <v>-5.5</v>
      </c>
      <c r="M257" s="303">
        <f>L116</f>
        <v>-5.9</v>
      </c>
      <c r="N257" s="303" t="str">
        <f>M116</f>
        <v>-</v>
      </c>
      <c r="O257" s="303">
        <f>N116</f>
        <v>0.20000000000000018</v>
      </c>
      <c r="Q257" s="792"/>
      <c r="R257" s="303">
        <v>11</v>
      </c>
      <c r="S257" s="303">
        <f>Q116</f>
        <v>800</v>
      </c>
      <c r="T257" s="303" t="str">
        <f>R116</f>
        <v>-</v>
      </c>
      <c r="U257" s="303" t="str">
        <f>S116</f>
        <v>-</v>
      </c>
      <c r="V257" s="303" t="str">
        <f>T116</f>
        <v>-</v>
      </c>
      <c r="W257" s="305">
        <f>U116</f>
        <v>0</v>
      </c>
      <c r="Y257" s="301">
        <v>9</v>
      </c>
      <c r="Z257" s="302">
        <f>X92</f>
        <v>2.4</v>
      </c>
      <c r="AE257" s="281"/>
    </row>
    <row r="258" spans="1:31" hidden="1" x14ac:dyDescent="0.25">
      <c r="A258" s="792"/>
      <c r="B258" s="303">
        <v>12</v>
      </c>
      <c r="C258" s="303">
        <f>C127</f>
        <v>20</v>
      </c>
      <c r="D258" s="303">
        <f t="shared" ref="D258:F258" si="91">D127</f>
        <v>9.9999999999999995E-7</v>
      </c>
      <c r="E258" s="303" t="str">
        <f t="shared" si="91"/>
        <v>-</v>
      </c>
      <c r="F258" s="303" t="str">
        <f t="shared" si="91"/>
        <v>-</v>
      </c>
      <c r="G258" s="303">
        <f>G127</f>
        <v>0</v>
      </c>
      <c r="I258" s="792"/>
      <c r="J258" s="303">
        <v>12</v>
      </c>
      <c r="K258" s="303">
        <f>J127</f>
        <v>40</v>
      </c>
      <c r="L258" s="303">
        <f>K127</f>
        <v>-0.1</v>
      </c>
      <c r="M258" s="303" t="str">
        <f>L127</f>
        <v>-</v>
      </c>
      <c r="N258" s="303" t="str">
        <f>M127</f>
        <v>-</v>
      </c>
      <c r="O258" s="303">
        <f>N127</f>
        <v>0</v>
      </c>
      <c r="Q258" s="792"/>
      <c r="R258" s="303">
        <v>12</v>
      </c>
      <c r="S258" s="303">
        <f>Q127</f>
        <v>850</v>
      </c>
      <c r="T258" s="303">
        <f>R127</f>
        <v>-0.5</v>
      </c>
      <c r="U258" s="303" t="str">
        <f>S127</f>
        <v>-</v>
      </c>
      <c r="V258" s="303" t="str">
        <f>T127</f>
        <v>-</v>
      </c>
      <c r="W258" s="305">
        <f>U127</f>
        <v>0</v>
      </c>
      <c r="Y258" s="301">
        <v>10</v>
      </c>
      <c r="Z258" s="302">
        <f>X103</f>
        <v>1.5</v>
      </c>
      <c r="AE258" s="281"/>
    </row>
    <row r="259" spans="1:31" hidden="1" x14ac:dyDescent="0.25">
      <c r="A259" s="792"/>
      <c r="B259" s="303">
        <v>13</v>
      </c>
      <c r="C259" s="303">
        <f>C138</f>
        <v>20</v>
      </c>
      <c r="D259" s="303">
        <f t="shared" ref="D259:F259" si="92">D138</f>
        <v>0.2</v>
      </c>
      <c r="E259" s="303">
        <f t="shared" si="92"/>
        <v>0.2</v>
      </c>
      <c r="F259" s="303">
        <f t="shared" si="92"/>
        <v>-0.4</v>
      </c>
      <c r="G259" s="303">
        <f>G138</f>
        <v>0.30000000000000004</v>
      </c>
      <c r="I259" s="792"/>
      <c r="J259" s="303">
        <v>13</v>
      </c>
      <c r="K259" s="303">
        <f>J138</f>
        <v>40</v>
      </c>
      <c r="L259" s="303">
        <f>K138</f>
        <v>-4</v>
      </c>
      <c r="M259" s="303">
        <f>L138</f>
        <v>-2</v>
      </c>
      <c r="N259" s="303">
        <f>M138</f>
        <v>-1.3</v>
      </c>
      <c r="O259" s="303">
        <f>N138</f>
        <v>1.35</v>
      </c>
      <c r="Q259" s="792"/>
      <c r="R259" s="303">
        <v>13</v>
      </c>
      <c r="S259" s="303">
        <f>Q138</f>
        <v>980</v>
      </c>
      <c r="T259" s="303">
        <f>R138</f>
        <v>3.7</v>
      </c>
      <c r="U259" s="303">
        <f>S138</f>
        <v>3.8</v>
      </c>
      <c r="V259" s="303">
        <f>T138</f>
        <v>1</v>
      </c>
      <c r="W259" s="305">
        <f>U138</f>
        <v>1.4</v>
      </c>
      <c r="Y259" s="301">
        <v>11</v>
      </c>
      <c r="Z259" s="302">
        <f>X114</f>
        <v>1.8</v>
      </c>
      <c r="AE259" s="281"/>
    </row>
    <row r="260" spans="1:31" hidden="1" x14ac:dyDescent="0.25">
      <c r="A260" s="792"/>
      <c r="B260" s="303">
        <v>14</v>
      </c>
      <c r="C260" s="303">
        <f>C149</f>
        <v>20</v>
      </c>
      <c r="D260" s="303">
        <f t="shared" ref="D260:F260" si="93">D149</f>
        <v>0.2</v>
      </c>
      <c r="E260" s="303">
        <f t="shared" si="93"/>
        <v>0.2</v>
      </c>
      <c r="F260" s="303">
        <f t="shared" si="93"/>
        <v>-0.1</v>
      </c>
      <c r="G260" s="303">
        <f>G149</f>
        <v>0.15000000000000002</v>
      </c>
      <c r="I260" s="792"/>
      <c r="J260" s="303">
        <v>14</v>
      </c>
      <c r="K260" s="303">
        <f>J149</f>
        <v>40</v>
      </c>
      <c r="L260" s="303">
        <f>K149</f>
        <v>-3.8</v>
      </c>
      <c r="M260" s="303">
        <f>L149</f>
        <v>-0.4</v>
      </c>
      <c r="N260" s="303">
        <f>M149</f>
        <v>0.3</v>
      </c>
      <c r="O260" s="303">
        <f>N149</f>
        <v>2.0499999999999998</v>
      </c>
      <c r="Q260" s="792"/>
      <c r="R260" s="303">
        <v>14</v>
      </c>
      <c r="S260" s="303">
        <f>Q149</f>
        <v>990</v>
      </c>
      <c r="T260" s="303">
        <f>R149</f>
        <v>3.8</v>
      </c>
      <c r="U260" s="303">
        <f>S149</f>
        <v>3.9</v>
      </c>
      <c r="V260" s="303">
        <f>T149</f>
        <v>1</v>
      </c>
      <c r="W260" s="305">
        <f>U149</f>
        <v>1.45</v>
      </c>
      <c r="Y260" s="301">
        <v>12</v>
      </c>
      <c r="Z260" s="327">
        <f>X125</f>
        <v>2</v>
      </c>
      <c r="AE260" s="281"/>
    </row>
    <row r="261" spans="1:31" hidden="1" x14ac:dyDescent="0.25">
      <c r="A261" s="792"/>
      <c r="B261" s="303">
        <v>15</v>
      </c>
      <c r="C261" s="303">
        <f>C160</f>
        <v>20</v>
      </c>
      <c r="D261" s="303">
        <f t="shared" ref="D261:F261" si="94">D160</f>
        <v>0.2</v>
      </c>
      <c r="E261" s="303">
        <f t="shared" si="94"/>
        <v>0.3</v>
      </c>
      <c r="F261" s="303">
        <f t="shared" si="94"/>
        <v>-0.5</v>
      </c>
      <c r="G261" s="303">
        <f>G160</f>
        <v>0.4</v>
      </c>
      <c r="I261" s="792"/>
      <c r="J261" s="303">
        <v>15</v>
      </c>
      <c r="K261" s="303">
        <f>J160</f>
        <v>40</v>
      </c>
      <c r="L261" s="303">
        <f>K160</f>
        <v>-3.8</v>
      </c>
      <c r="M261" s="303">
        <f>L160</f>
        <v>-1.7</v>
      </c>
      <c r="N261" s="303">
        <f>M160</f>
        <v>-0.3</v>
      </c>
      <c r="O261" s="303">
        <f>N160</f>
        <v>1.75</v>
      </c>
      <c r="Q261" s="792"/>
      <c r="R261" s="303">
        <v>15</v>
      </c>
      <c r="S261" s="303">
        <f>Q160</f>
        <v>990</v>
      </c>
      <c r="T261" s="303">
        <f>R160</f>
        <v>4.3</v>
      </c>
      <c r="U261" s="303">
        <f>S160</f>
        <v>4.2</v>
      </c>
      <c r="V261" s="303">
        <f>T160</f>
        <v>1</v>
      </c>
      <c r="W261" s="305">
        <f>U160</f>
        <v>1.65</v>
      </c>
      <c r="Y261" s="301">
        <v>13</v>
      </c>
      <c r="Z261" s="302">
        <f>X136</f>
        <v>2.2999999999999998</v>
      </c>
      <c r="AE261" s="281"/>
    </row>
    <row r="262" spans="1:31" hidden="1" x14ac:dyDescent="0.25">
      <c r="A262" s="792"/>
      <c r="B262" s="303">
        <v>16</v>
      </c>
      <c r="C262" s="303">
        <f>C171</f>
        <v>20</v>
      </c>
      <c r="D262" s="303">
        <f t="shared" ref="D262:F262" si="95">D171</f>
        <v>0.2</v>
      </c>
      <c r="E262" s="303" t="str">
        <f t="shared" si="95"/>
        <v>-</v>
      </c>
      <c r="F262" s="303" t="str">
        <f t="shared" si="95"/>
        <v>-</v>
      </c>
      <c r="G262" s="303">
        <f>G171</f>
        <v>0</v>
      </c>
      <c r="I262" s="792"/>
      <c r="J262" s="303">
        <v>16</v>
      </c>
      <c r="K262" s="303">
        <f>J171</f>
        <v>40</v>
      </c>
      <c r="L262" s="303">
        <f>K171</f>
        <v>-1.4</v>
      </c>
      <c r="M262" s="303" t="str">
        <f>L171</f>
        <v>-</v>
      </c>
      <c r="N262" s="303" t="str">
        <f>M171</f>
        <v>-</v>
      </c>
      <c r="O262" s="303">
        <f>N171</f>
        <v>0</v>
      </c>
      <c r="Q262" s="792"/>
      <c r="R262" s="303">
        <v>16</v>
      </c>
      <c r="S262" s="303">
        <f>Q171</f>
        <v>850</v>
      </c>
      <c r="T262" s="303">
        <f>R171</f>
        <v>-2.2999999999999998</v>
      </c>
      <c r="U262" s="303" t="str">
        <f>S171</f>
        <v>-</v>
      </c>
      <c r="V262" s="303" t="str">
        <f>T171</f>
        <v>-</v>
      </c>
      <c r="W262" s="305">
        <f>U171</f>
        <v>0</v>
      </c>
      <c r="Y262" s="301">
        <v>14</v>
      </c>
      <c r="Z262" s="302">
        <f>X147</f>
        <v>2.2999999999999998</v>
      </c>
      <c r="AE262" s="281"/>
    </row>
    <row r="263" spans="1:31" hidden="1" x14ac:dyDescent="0.25">
      <c r="A263" s="792"/>
      <c r="B263" s="303">
        <v>17</v>
      </c>
      <c r="C263" s="303">
        <f>C182</f>
        <v>20</v>
      </c>
      <c r="D263" s="303">
        <f t="shared" ref="D263:F263" si="96">D182</f>
        <v>0.1</v>
      </c>
      <c r="E263" s="303" t="str">
        <f t="shared" si="96"/>
        <v>-</v>
      </c>
      <c r="F263" s="303" t="str">
        <f t="shared" si="96"/>
        <v>-</v>
      </c>
      <c r="G263" s="303">
        <f>G182</f>
        <v>0</v>
      </c>
      <c r="I263" s="792"/>
      <c r="J263" s="303">
        <v>17</v>
      </c>
      <c r="K263" s="303">
        <f>J182</f>
        <v>40</v>
      </c>
      <c r="L263" s="303">
        <f>K182</f>
        <v>0.2</v>
      </c>
      <c r="M263" s="303" t="str">
        <f>L182</f>
        <v>-</v>
      </c>
      <c r="N263" s="303" t="str">
        <f>M182</f>
        <v>-</v>
      </c>
      <c r="O263" s="303">
        <f>N182</f>
        <v>0</v>
      </c>
      <c r="Q263" s="792"/>
      <c r="R263" s="303">
        <v>17</v>
      </c>
      <c r="S263" s="303">
        <f>Q182</f>
        <v>970</v>
      </c>
      <c r="T263" s="303">
        <f>R182</f>
        <v>-0.6</v>
      </c>
      <c r="U263" s="303" t="str">
        <f>S182</f>
        <v>-</v>
      </c>
      <c r="V263" s="303" t="str">
        <f>T182</f>
        <v>-</v>
      </c>
      <c r="W263" s="305">
        <f>U182</f>
        <v>0</v>
      </c>
      <c r="Y263" s="301">
        <v>15</v>
      </c>
      <c r="Z263" s="302">
        <f>X158</f>
        <v>2.2999999999999998</v>
      </c>
      <c r="AE263" s="281"/>
    </row>
    <row r="264" spans="1:31" hidden="1" x14ac:dyDescent="0.25">
      <c r="A264" s="792"/>
      <c r="B264" s="303">
        <v>18</v>
      </c>
      <c r="C264" s="303">
        <f>C193</f>
        <v>20</v>
      </c>
      <c r="D264" s="303">
        <f t="shared" ref="D264:F264" si="97">D193</f>
        <v>-0.1</v>
      </c>
      <c r="E264" s="303" t="str">
        <f t="shared" si="97"/>
        <v>-</v>
      </c>
      <c r="F264" s="303" t="str">
        <f t="shared" si="97"/>
        <v>-</v>
      </c>
      <c r="G264" s="303">
        <f>G193</f>
        <v>0</v>
      </c>
      <c r="I264" s="792"/>
      <c r="J264" s="303">
        <v>18</v>
      </c>
      <c r="K264" s="303">
        <f>J193</f>
        <v>40</v>
      </c>
      <c r="L264" s="303">
        <f>K193</f>
        <v>-0.2</v>
      </c>
      <c r="M264" s="303" t="str">
        <f>L193</f>
        <v>-</v>
      </c>
      <c r="N264" s="303" t="str">
        <f>M193</f>
        <v>-</v>
      </c>
      <c r="O264" s="303">
        <f>N193</f>
        <v>0</v>
      </c>
      <c r="Q264" s="792"/>
      <c r="R264" s="303">
        <v>18</v>
      </c>
      <c r="S264" s="303">
        <f>Q193</f>
        <v>850</v>
      </c>
      <c r="T264" s="303">
        <f>R193</f>
        <v>-1.3</v>
      </c>
      <c r="U264" s="303" t="str">
        <f>S193</f>
        <v>-</v>
      </c>
      <c r="V264" s="303" t="str">
        <f>T193</f>
        <v>-</v>
      </c>
      <c r="W264" s="305">
        <f>U193</f>
        <v>0</v>
      </c>
      <c r="Y264" s="301">
        <v>16</v>
      </c>
      <c r="Z264" s="302">
        <f>X169</f>
        <v>2.2000000000000002</v>
      </c>
      <c r="AE264" s="281"/>
    </row>
    <row r="265" spans="1:31" hidden="1" x14ac:dyDescent="0.25">
      <c r="A265" s="792"/>
      <c r="B265" s="303">
        <v>19</v>
      </c>
      <c r="C265" s="303">
        <f>C204</f>
        <v>20</v>
      </c>
      <c r="D265" s="303">
        <f t="shared" ref="D265:F265" si="98">D204</f>
        <v>0.1</v>
      </c>
      <c r="E265" s="303" t="str">
        <f t="shared" si="98"/>
        <v>-</v>
      </c>
      <c r="F265" s="303" t="str">
        <f t="shared" si="98"/>
        <v>-</v>
      </c>
      <c r="G265" s="303">
        <f>G204</f>
        <v>0</v>
      </c>
      <c r="I265" s="792"/>
      <c r="J265" s="303">
        <v>19</v>
      </c>
      <c r="K265" s="303">
        <f>J204</f>
        <v>40</v>
      </c>
      <c r="L265" s="303">
        <f>K204</f>
        <v>-0.8</v>
      </c>
      <c r="M265" s="303" t="str">
        <f>L204</f>
        <v>-</v>
      </c>
      <c r="N265" s="303" t="str">
        <f>M204</f>
        <v>-</v>
      </c>
      <c r="O265" s="303">
        <f>N204</f>
        <v>0</v>
      </c>
      <c r="Q265" s="792"/>
      <c r="R265" s="303">
        <v>19</v>
      </c>
      <c r="S265" s="303">
        <f>Q204</f>
        <v>800</v>
      </c>
      <c r="T265" s="303">
        <f>R204</f>
        <v>2.5</v>
      </c>
      <c r="U265" s="303" t="str">
        <f>S204</f>
        <v>-</v>
      </c>
      <c r="V265" s="303" t="str">
        <f>T204</f>
        <v>-</v>
      </c>
      <c r="W265" s="305">
        <f>U204</f>
        <v>0</v>
      </c>
      <c r="Y265" s="301">
        <v>17</v>
      </c>
      <c r="Z265" s="302">
        <f>X180</f>
        <v>2.8</v>
      </c>
      <c r="AE265" s="281"/>
    </row>
    <row r="266" spans="1:31" ht="13.8" hidden="1" thickBot="1" x14ac:dyDescent="0.3">
      <c r="A266" s="792"/>
      <c r="B266" s="303">
        <v>20</v>
      </c>
      <c r="C266" s="303">
        <f>C215</f>
        <v>19.7</v>
      </c>
      <c r="D266" s="303" t="str">
        <f t="shared" ref="D266:F266" si="99">D215</f>
        <v>-</v>
      </c>
      <c r="E266" s="303" t="str">
        <f t="shared" si="99"/>
        <v>-</v>
      </c>
      <c r="F266" s="303" t="str">
        <f t="shared" si="99"/>
        <v>-</v>
      </c>
      <c r="G266" s="303">
        <f>G215</f>
        <v>0</v>
      </c>
      <c r="I266" s="792"/>
      <c r="J266" s="303">
        <v>20</v>
      </c>
      <c r="K266" s="303">
        <f>J215</f>
        <v>54.3</v>
      </c>
      <c r="L266" s="303" t="str">
        <f>K215</f>
        <v>-</v>
      </c>
      <c r="M266" s="303" t="str">
        <f>L215</f>
        <v>-</v>
      </c>
      <c r="N266" s="303" t="str">
        <f>M215</f>
        <v>-</v>
      </c>
      <c r="O266" s="303">
        <f>N215</f>
        <v>0</v>
      </c>
      <c r="Q266" s="793"/>
      <c r="R266" s="313">
        <v>20</v>
      </c>
      <c r="S266" s="313">
        <f>Q215</f>
        <v>800</v>
      </c>
      <c r="T266" s="313" t="str">
        <f>R215</f>
        <v>-</v>
      </c>
      <c r="U266" s="313" t="str">
        <f>S215</f>
        <v>-</v>
      </c>
      <c r="V266" s="313" t="str">
        <f>T215</f>
        <v>-</v>
      </c>
      <c r="W266" s="328">
        <f>U215</f>
        <v>0</v>
      </c>
      <c r="Y266" s="301">
        <v>18</v>
      </c>
      <c r="Z266" s="302">
        <f>X191</f>
        <v>1.6</v>
      </c>
      <c r="AE266" s="317"/>
    </row>
    <row r="267" spans="1:31" ht="13.8" hidden="1" thickBot="1" x14ac:dyDescent="0.3">
      <c r="A267" s="40"/>
      <c r="B267" s="40"/>
      <c r="C267" s="40"/>
      <c r="D267" s="40"/>
      <c r="E267" s="40"/>
      <c r="F267" s="298"/>
      <c r="G267" s="40"/>
      <c r="I267" s="40"/>
      <c r="J267" s="40"/>
      <c r="K267" s="40"/>
      <c r="L267" s="40"/>
      <c r="M267" s="40"/>
      <c r="N267" s="298"/>
      <c r="O267" s="40"/>
      <c r="Q267" s="329"/>
      <c r="R267" s="319"/>
      <c r="S267" s="330"/>
      <c r="T267" s="330"/>
      <c r="U267" s="330"/>
      <c r="W267" s="331"/>
      <c r="Y267" s="301">
        <v>19</v>
      </c>
      <c r="Z267" s="310">
        <f>X202</f>
        <v>1.5</v>
      </c>
      <c r="AE267" s="281"/>
    </row>
    <row r="268" spans="1:31" ht="13.8" hidden="1" thickBot="1" x14ac:dyDescent="0.3">
      <c r="A268" s="792">
        <v>3</v>
      </c>
      <c r="B268" s="303">
        <v>1</v>
      </c>
      <c r="C268" s="303">
        <f>C7</f>
        <v>25</v>
      </c>
      <c r="D268" s="303">
        <f t="shared" ref="D268:F268" si="100">D7</f>
        <v>-0.1</v>
      </c>
      <c r="E268" s="303">
        <f t="shared" si="100"/>
        <v>9.9999999999999995E-7</v>
      </c>
      <c r="F268" s="303">
        <f t="shared" si="100"/>
        <v>0.1</v>
      </c>
      <c r="G268" s="303">
        <f>G7</f>
        <v>0.1</v>
      </c>
      <c r="I268" s="792">
        <v>3</v>
      </c>
      <c r="J268" s="303">
        <v>1</v>
      </c>
      <c r="K268" s="303">
        <f>J7</f>
        <v>50</v>
      </c>
      <c r="L268" s="303">
        <f>K7</f>
        <v>-6.6</v>
      </c>
      <c r="M268" s="303">
        <f>L7</f>
        <v>-5.8</v>
      </c>
      <c r="N268" s="303">
        <f>M7</f>
        <v>-7.2</v>
      </c>
      <c r="O268" s="303">
        <f>N7</f>
        <v>0.70000000000000018</v>
      </c>
      <c r="Q268" s="791">
        <v>3</v>
      </c>
      <c r="R268" s="323">
        <v>1</v>
      </c>
      <c r="S268" s="323">
        <f>Q7</f>
        <v>850</v>
      </c>
      <c r="T268" s="323" t="str">
        <f>R7</f>
        <v>-</v>
      </c>
      <c r="U268" s="323" t="str">
        <f>S7</f>
        <v>-</v>
      </c>
      <c r="V268" s="323" t="str">
        <f>T7</f>
        <v>-</v>
      </c>
      <c r="W268" s="332">
        <f>U7</f>
        <v>0</v>
      </c>
      <c r="Y268" s="311">
        <v>20</v>
      </c>
      <c r="Z268" s="312">
        <f>X213</f>
        <v>0</v>
      </c>
      <c r="AE268" s="326"/>
    </row>
    <row r="269" spans="1:31" hidden="1" x14ac:dyDescent="0.25">
      <c r="A269" s="792"/>
      <c r="B269" s="303">
        <v>2</v>
      </c>
      <c r="C269" s="303">
        <f>C18</f>
        <v>25</v>
      </c>
      <c r="D269" s="303">
        <f t="shared" ref="D269:F269" si="101">D18</f>
        <v>0.5</v>
      </c>
      <c r="E269" s="303">
        <f t="shared" si="101"/>
        <v>-0.2</v>
      </c>
      <c r="F269" s="303" t="str">
        <f t="shared" si="101"/>
        <v>-</v>
      </c>
      <c r="G269" s="303">
        <f>G18</f>
        <v>0.35</v>
      </c>
      <c r="I269" s="792"/>
      <c r="J269" s="303">
        <v>2</v>
      </c>
      <c r="K269" s="303">
        <f>J18</f>
        <v>50</v>
      </c>
      <c r="L269" s="303">
        <f>K18</f>
        <v>-5.3</v>
      </c>
      <c r="M269" s="303">
        <f>L18</f>
        <v>-1.5</v>
      </c>
      <c r="N269" s="303" t="str">
        <f>M18</f>
        <v>-</v>
      </c>
      <c r="O269" s="303">
        <f>N18</f>
        <v>1.9</v>
      </c>
      <c r="Q269" s="792"/>
      <c r="R269" s="303">
        <v>2</v>
      </c>
      <c r="S269" s="303">
        <f>Q18</f>
        <v>850</v>
      </c>
      <c r="T269" s="303" t="str">
        <f>R18</f>
        <v>-</v>
      </c>
      <c r="U269" s="303" t="str">
        <f>S18</f>
        <v>-</v>
      </c>
      <c r="V269" s="303" t="str">
        <f>T18</f>
        <v>-</v>
      </c>
      <c r="W269" s="305">
        <f>U18</f>
        <v>0</v>
      </c>
      <c r="AE269" s="281"/>
    </row>
    <row r="270" spans="1:31" ht="13.8" hidden="1" thickBot="1" x14ac:dyDescent="0.3">
      <c r="A270" s="792"/>
      <c r="B270" s="303">
        <v>3</v>
      </c>
      <c r="C270" s="303">
        <f>C29</f>
        <v>25</v>
      </c>
      <c r="D270" s="303">
        <f t="shared" ref="D270:F270" si="102">D29</f>
        <v>0.7</v>
      </c>
      <c r="E270" s="303">
        <f t="shared" si="102"/>
        <v>-0.1</v>
      </c>
      <c r="F270" s="303" t="str">
        <f t="shared" si="102"/>
        <v>-</v>
      </c>
      <c r="G270" s="303">
        <f>G29</f>
        <v>0.39999999999999997</v>
      </c>
      <c r="I270" s="792"/>
      <c r="J270" s="303">
        <v>3</v>
      </c>
      <c r="K270" s="303">
        <f>J29</f>
        <v>50</v>
      </c>
      <c r="L270" s="303">
        <f>K29</f>
        <v>-4.5</v>
      </c>
      <c r="M270" s="303">
        <f>L29</f>
        <v>-4.9000000000000004</v>
      </c>
      <c r="N270" s="303">
        <f>M29</f>
        <v>0</v>
      </c>
      <c r="O270" s="303">
        <f>N29</f>
        <v>0.20000000000000018</v>
      </c>
      <c r="Q270" s="792"/>
      <c r="R270" s="303">
        <v>3</v>
      </c>
      <c r="S270" s="303">
        <f>Q29</f>
        <v>850</v>
      </c>
      <c r="T270" s="303" t="str">
        <f>R29</f>
        <v>-</v>
      </c>
      <c r="U270" s="303" t="str">
        <f>S29</f>
        <v>-</v>
      </c>
      <c r="V270" s="303" t="str">
        <f>T29</f>
        <v>-</v>
      </c>
      <c r="W270" s="305">
        <f>U29</f>
        <v>0</v>
      </c>
      <c r="AE270" s="281"/>
    </row>
    <row r="271" spans="1:31" hidden="1" x14ac:dyDescent="0.25">
      <c r="A271" s="792"/>
      <c r="B271" s="303">
        <v>4</v>
      </c>
      <c r="C271" s="303">
        <f>C40</f>
        <v>25</v>
      </c>
      <c r="D271" s="303">
        <f t="shared" ref="D271:F271" si="103">D40</f>
        <v>-0.1</v>
      </c>
      <c r="E271" s="303">
        <f t="shared" si="103"/>
        <v>-0.5</v>
      </c>
      <c r="F271" s="303" t="str">
        <f t="shared" si="103"/>
        <v>-</v>
      </c>
      <c r="G271" s="303">
        <f>G40</f>
        <v>0.2</v>
      </c>
      <c r="I271" s="792"/>
      <c r="J271" s="303">
        <v>4</v>
      </c>
      <c r="K271" s="303">
        <f>J40</f>
        <v>50</v>
      </c>
      <c r="L271" s="303">
        <f>K40</f>
        <v>-4.3</v>
      </c>
      <c r="M271" s="303">
        <f>L40</f>
        <v>-1</v>
      </c>
      <c r="N271" s="303" t="str">
        <f>M40</f>
        <v>-</v>
      </c>
      <c r="O271" s="303">
        <f>N40</f>
        <v>1.65</v>
      </c>
      <c r="Q271" s="792"/>
      <c r="R271" s="303">
        <v>4</v>
      </c>
      <c r="S271" s="303">
        <f>Q40</f>
        <v>850</v>
      </c>
      <c r="T271" s="303" t="str">
        <f>R40</f>
        <v>-</v>
      </c>
      <c r="U271" s="303" t="str">
        <f>S40</f>
        <v>-</v>
      </c>
      <c r="V271" s="303" t="str">
        <f>T40</f>
        <v>-</v>
      </c>
      <c r="W271" s="305">
        <f>U40</f>
        <v>0</v>
      </c>
      <c r="Y271" s="803" t="s">
        <v>152</v>
      </c>
      <c r="Z271" s="804"/>
      <c r="AE271" s="281"/>
    </row>
    <row r="272" spans="1:31" hidden="1" x14ac:dyDescent="0.25">
      <c r="A272" s="792"/>
      <c r="B272" s="303">
        <v>5</v>
      </c>
      <c r="C272" s="303">
        <f>C51</f>
        <v>25</v>
      </c>
      <c r="D272" s="303">
        <f t="shared" ref="D272:F272" si="104">D51</f>
        <v>0.4</v>
      </c>
      <c r="E272" s="303">
        <f t="shared" si="104"/>
        <v>0.2</v>
      </c>
      <c r="F272" s="303" t="str">
        <f t="shared" si="104"/>
        <v>-</v>
      </c>
      <c r="G272" s="303">
        <f>G51</f>
        <v>0.1</v>
      </c>
      <c r="I272" s="792"/>
      <c r="J272" s="303">
        <v>5</v>
      </c>
      <c r="K272" s="303">
        <f>J51</f>
        <v>50</v>
      </c>
      <c r="L272" s="303">
        <f>K51</f>
        <v>-6.2</v>
      </c>
      <c r="M272" s="303">
        <f>L51</f>
        <v>-6.2</v>
      </c>
      <c r="N272" s="303" t="str">
        <f>M51</f>
        <v>-</v>
      </c>
      <c r="O272" s="303">
        <f>N51</f>
        <v>0</v>
      </c>
      <c r="Q272" s="792"/>
      <c r="R272" s="303">
        <v>5</v>
      </c>
      <c r="S272" s="303">
        <f>Q51</f>
        <v>850</v>
      </c>
      <c r="T272" s="303" t="str">
        <f>R51</f>
        <v>-</v>
      </c>
      <c r="U272" s="303" t="str">
        <f>S51</f>
        <v>-</v>
      </c>
      <c r="V272" s="303" t="str">
        <f>T51</f>
        <v>-</v>
      </c>
      <c r="W272" s="305">
        <f>U51</f>
        <v>0</v>
      </c>
      <c r="Y272" s="805" t="s">
        <v>156</v>
      </c>
      <c r="Z272" s="806"/>
      <c r="AE272" s="281"/>
    </row>
    <row r="273" spans="1:31" hidden="1" x14ac:dyDescent="0.25">
      <c r="A273" s="792"/>
      <c r="B273" s="303">
        <v>6</v>
      </c>
      <c r="C273" s="303">
        <f>C62</f>
        <v>25</v>
      </c>
      <c r="D273" s="303">
        <f t="shared" ref="D273:F273" si="105">D62</f>
        <v>0.2</v>
      </c>
      <c r="E273" s="303">
        <f t="shared" si="105"/>
        <v>-0.1</v>
      </c>
      <c r="F273" s="303" t="str">
        <f t="shared" si="105"/>
        <v>-</v>
      </c>
      <c r="G273" s="303">
        <f>G62</f>
        <v>0.15000000000000002</v>
      </c>
      <c r="I273" s="792"/>
      <c r="J273" s="303">
        <v>6</v>
      </c>
      <c r="K273" s="303">
        <f>J62</f>
        <v>50</v>
      </c>
      <c r="L273" s="303">
        <f>K62</f>
        <v>-5.4</v>
      </c>
      <c r="M273" s="303">
        <f>L62</f>
        <v>1.2</v>
      </c>
      <c r="N273" s="303" t="str">
        <f>M62</f>
        <v>-</v>
      </c>
      <c r="O273" s="303">
        <f>N62</f>
        <v>3.3000000000000003</v>
      </c>
      <c r="Q273" s="792"/>
      <c r="R273" s="303">
        <v>6</v>
      </c>
      <c r="S273" s="303">
        <f>Q62</f>
        <v>850</v>
      </c>
      <c r="T273" s="303">
        <f>R62</f>
        <v>0.9</v>
      </c>
      <c r="U273" s="303">
        <f>S62</f>
        <v>1.1000000000000001</v>
      </c>
      <c r="V273" s="303" t="str">
        <f>T62</f>
        <v>-</v>
      </c>
      <c r="W273" s="305">
        <f>U62</f>
        <v>0.10000000000000003</v>
      </c>
      <c r="Y273" s="301">
        <v>1</v>
      </c>
      <c r="Z273" s="302">
        <f>X5</f>
        <v>0</v>
      </c>
      <c r="AE273" s="281"/>
    </row>
    <row r="274" spans="1:31" hidden="1" x14ac:dyDescent="0.25">
      <c r="A274" s="792"/>
      <c r="B274" s="303">
        <v>7</v>
      </c>
      <c r="C274" s="303">
        <f>C73</f>
        <v>25</v>
      </c>
      <c r="D274" s="303">
        <f t="shared" ref="D274:F274" si="106">D73</f>
        <v>9.9999999999999995E-7</v>
      </c>
      <c r="E274" s="303">
        <f t="shared" si="106"/>
        <v>-0.2</v>
      </c>
      <c r="F274" s="303" t="str">
        <f t="shared" si="106"/>
        <v>-</v>
      </c>
      <c r="G274" s="303">
        <f>G73</f>
        <v>0.10000050000000001</v>
      </c>
      <c r="I274" s="792"/>
      <c r="J274" s="303">
        <v>7</v>
      </c>
      <c r="K274" s="303">
        <f>J73</f>
        <v>50</v>
      </c>
      <c r="L274" s="303">
        <f>K73</f>
        <v>-1.9</v>
      </c>
      <c r="M274" s="303">
        <f>L73</f>
        <v>0.8</v>
      </c>
      <c r="N274" s="303" t="str">
        <f>M73</f>
        <v>-</v>
      </c>
      <c r="O274" s="303">
        <f>N73</f>
        <v>1.35</v>
      </c>
      <c r="Q274" s="792"/>
      <c r="R274" s="303">
        <v>7</v>
      </c>
      <c r="S274" s="303">
        <f>Q73</f>
        <v>850</v>
      </c>
      <c r="T274" s="303">
        <f>R73</f>
        <v>9.9999999999999995E-7</v>
      </c>
      <c r="U274" s="303">
        <f>S73</f>
        <v>1.7</v>
      </c>
      <c r="V274" s="303" t="str">
        <f>T73</f>
        <v>-</v>
      </c>
      <c r="W274" s="305">
        <f>U73</f>
        <v>0.84999950000000002</v>
      </c>
      <c r="Y274" s="306">
        <v>2</v>
      </c>
      <c r="Z274" s="302">
        <f>X16</f>
        <v>0</v>
      </c>
      <c r="AE274" s="281"/>
    </row>
    <row r="275" spans="1:31" hidden="1" x14ac:dyDescent="0.25">
      <c r="A275" s="792"/>
      <c r="B275" s="303">
        <v>8</v>
      </c>
      <c r="C275" s="303">
        <f>C84</f>
        <v>25</v>
      </c>
      <c r="D275" s="303">
        <f t="shared" ref="D275:F275" si="107">D84</f>
        <v>0</v>
      </c>
      <c r="E275" s="303">
        <f t="shared" si="107"/>
        <v>-0.1</v>
      </c>
      <c r="F275" s="303">
        <f t="shared" si="107"/>
        <v>-0.4</v>
      </c>
      <c r="G275" s="303">
        <f>G84</f>
        <v>0.2</v>
      </c>
      <c r="I275" s="792"/>
      <c r="J275" s="303">
        <v>8</v>
      </c>
      <c r="K275" s="303">
        <f>J84</f>
        <v>50</v>
      </c>
      <c r="L275" s="303">
        <f>K84</f>
        <v>-5</v>
      </c>
      <c r="M275" s="303">
        <f>L84</f>
        <v>-3.8</v>
      </c>
      <c r="N275" s="303">
        <f>M84</f>
        <v>-1.2</v>
      </c>
      <c r="O275" s="303">
        <f>N84</f>
        <v>1.9</v>
      </c>
      <c r="Q275" s="792"/>
      <c r="R275" s="303">
        <v>8</v>
      </c>
      <c r="S275" s="303">
        <f>Q84</f>
        <v>980</v>
      </c>
      <c r="T275" s="303">
        <f>R84</f>
        <v>-0.6</v>
      </c>
      <c r="U275" s="303">
        <f>S84</f>
        <v>9.9999999999999995E-7</v>
      </c>
      <c r="V275" s="303">
        <f>T84</f>
        <v>9.9999999999999995E-7</v>
      </c>
      <c r="W275" s="305">
        <f>U84</f>
        <v>0.3000005</v>
      </c>
      <c r="Y275" s="306">
        <v>3</v>
      </c>
      <c r="Z275" s="307">
        <f>X27</f>
        <v>0</v>
      </c>
      <c r="AE275" s="281"/>
    </row>
    <row r="276" spans="1:31" hidden="1" x14ac:dyDescent="0.25">
      <c r="A276" s="792"/>
      <c r="B276" s="303">
        <v>9</v>
      </c>
      <c r="C276" s="303">
        <f>C95</f>
        <v>25</v>
      </c>
      <c r="D276" s="303">
        <f t="shared" ref="D276:F276" si="108">D95</f>
        <v>-0.4</v>
      </c>
      <c r="E276" s="303" t="str">
        <f t="shared" si="108"/>
        <v>-</v>
      </c>
      <c r="F276" s="303" t="str">
        <f t="shared" si="108"/>
        <v>-</v>
      </c>
      <c r="G276" s="303">
        <f>G95</f>
        <v>0</v>
      </c>
      <c r="I276" s="792"/>
      <c r="J276" s="303">
        <v>9</v>
      </c>
      <c r="K276" s="303">
        <f>J95</f>
        <v>50</v>
      </c>
      <c r="L276" s="303">
        <f>K95</f>
        <v>-0.9</v>
      </c>
      <c r="M276" s="303" t="str">
        <f>L95</f>
        <v>-</v>
      </c>
      <c r="N276" s="303" t="str">
        <f>M95</f>
        <v>-</v>
      </c>
      <c r="O276" s="303">
        <f>N95</f>
        <v>0</v>
      </c>
      <c r="Q276" s="792"/>
      <c r="R276" s="303">
        <v>9</v>
      </c>
      <c r="S276" s="303">
        <f>Q95</f>
        <v>850</v>
      </c>
      <c r="T276" s="303">
        <f>R95</f>
        <v>9.9999999999999995E-7</v>
      </c>
      <c r="U276" s="303" t="str">
        <f>S95</f>
        <v>-</v>
      </c>
      <c r="V276" s="303" t="str">
        <f>T95</f>
        <v>-</v>
      </c>
      <c r="W276" s="305">
        <f>U95</f>
        <v>0</v>
      </c>
      <c r="Y276" s="306">
        <v>4</v>
      </c>
      <c r="Z276" s="307">
        <f>X38</f>
        <v>0</v>
      </c>
      <c r="AE276" s="281"/>
    </row>
    <row r="277" spans="1:31" hidden="1" x14ac:dyDescent="0.25">
      <c r="A277" s="792"/>
      <c r="B277" s="303">
        <v>10</v>
      </c>
      <c r="C277" s="303">
        <f>C106</f>
        <v>25</v>
      </c>
      <c r="D277" s="303">
        <f t="shared" ref="D277:F277" si="109">D106</f>
        <v>0.1</v>
      </c>
      <c r="E277" s="303">
        <f t="shared" si="109"/>
        <v>-0.5</v>
      </c>
      <c r="F277" s="303" t="str">
        <f t="shared" si="109"/>
        <v>-</v>
      </c>
      <c r="G277" s="303">
        <f>G106</f>
        <v>0.3</v>
      </c>
      <c r="I277" s="792"/>
      <c r="J277" s="303">
        <v>10</v>
      </c>
      <c r="K277" s="303">
        <f>J106</f>
        <v>50</v>
      </c>
      <c r="L277" s="303">
        <f>K106</f>
        <v>-3.1</v>
      </c>
      <c r="M277" s="303">
        <f>L106</f>
        <v>-6.1</v>
      </c>
      <c r="N277" s="303" t="str">
        <f>M106</f>
        <v>-</v>
      </c>
      <c r="O277" s="303">
        <f>N106</f>
        <v>1.4999999999999998</v>
      </c>
      <c r="Q277" s="792"/>
      <c r="R277" s="303">
        <v>10</v>
      </c>
      <c r="S277" s="303">
        <f>Q106</f>
        <v>850</v>
      </c>
      <c r="T277" s="303" t="str">
        <f>R106</f>
        <v>-</v>
      </c>
      <c r="U277" s="303" t="str">
        <f>S106</f>
        <v>-</v>
      </c>
      <c r="V277" s="303" t="str">
        <f>T106</f>
        <v>-</v>
      </c>
      <c r="W277" s="305">
        <f>U106</f>
        <v>0</v>
      </c>
      <c r="Y277" s="306">
        <v>5</v>
      </c>
      <c r="Z277" s="307">
        <f>X49</f>
        <v>0</v>
      </c>
      <c r="AE277" s="281"/>
    </row>
    <row r="278" spans="1:31" hidden="1" x14ac:dyDescent="0.25">
      <c r="A278" s="792"/>
      <c r="B278" s="303">
        <v>11</v>
      </c>
      <c r="C278" s="303">
        <f>C117</f>
        <v>25</v>
      </c>
      <c r="D278" s="303">
        <f t="shared" ref="D278:F278" si="110">D117</f>
        <v>0.4</v>
      </c>
      <c r="E278" s="303">
        <f t="shared" si="110"/>
        <v>0.5</v>
      </c>
      <c r="F278" s="303" t="str">
        <f t="shared" si="110"/>
        <v>-</v>
      </c>
      <c r="G278" s="303">
        <f>G117</f>
        <v>4.9999999999999989E-2</v>
      </c>
      <c r="I278" s="792"/>
      <c r="J278" s="303">
        <v>11</v>
      </c>
      <c r="K278" s="303">
        <f>J117</f>
        <v>50</v>
      </c>
      <c r="L278" s="303">
        <f>K117</f>
        <v>-5.5</v>
      </c>
      <c r="M278" s="303">
        <f>L117</f>
        <v>-5.6</v>
      </c>
      <c r="N278" s="303" t="str">
        <f>M117</f>
        <v>-</v>
      </c>
      <c r="O278" s="303">
        <f>N117</f>
        <v>4.9999999999999822E-2</v>
      </c>
      <c r="Q278" s="792"/>
      <c r="R278" s="303">
        <v>11</v>
      </c>
      <c r="S278" s="303">
        <f>Q117</f>
        <v>850</v>
      </c>
      <c r="T278" s="303" t="str">
        <f>R117</f>
        <v>-</v>
      </c>
      <c r="U278" s="303" t="str">
        <f>S117</f>
        <v>-</v>
      </c>
      <c r="V278" s="303" t="str">
        <f>T117</f>
        <v>-</v>
      </c>
      <c r="W278" s="305">
        <f>U117</f>
        <v>0</v>
      </c>
      <c r="Y278" s="301">
        <v>6</v>
      </c>
      <c r="Z278" s="302">
        <f>X60</f>
        <v>1.6</v>
      </c>
      <c r="AE278" s="281"/>
    </row>
    <row r="279" spans="1:31" hidden="1" x14ac:dyDescent="0.25">
      <c r="A279" s="792"/>
      <c r="B279" s="303">
        <v>12</v>
      </c>
      <c r="C279" s="303">
        <f>C128</f>
        <v>25</v>
      </c>
      <c r="D279" s="303">
        <f t="shared" ref="D279:F279" si="111">D128</f>
        <v>9.9999999999999995E-7</v>
      </c>
      <c r="E279" s="303" t="str">
        <f t="shared" si="111"/>
        <v>-</v>
      </c>
      <c r="F279" s="303" t="str">
        <f t="shared" si="111"/>
        <v>-</v>
      </c>
      <c r="G279" s="303">
        <f>G128</f>
        <v>0</v>
      </c>
      <c r="I279" s="792"/>
      <c r="J279" s="303">
        <v>12</v>
      </c>
      <c r="K279" s="303">
        <f>J128</f>
        <v>50</v>
      </c>
      <c r="L279" s="303">
        <f>K128</f>
        <v>9.9999999999999995E-7</v>
      </c>
      <c r="M279" s="303" t="str">
        <f>L128</f>
        <v>-</v>
      </c>
      <c r="N279" s="303" t="str">
        <f>M128</f>
        <v>-</v>
      </c>
      <c r="O279" s="303">
        <f>N128</f>
        <v>0</v>
      </c>
      <c r="Q279" s="792"/>
      <c r="R279" s="303">
        <v>12</v>
      </c>
      <c r="S279" s="303">
        <f>Q128</f>
        <v>900</v>
      </c>
      <c r="T279" s="303">
        <f>R128</f>
        <v>-0.6</v>
      </c>
      <c r="U279" s="303" t="str">
        <f>S128</f>
        <v>-</v>
      </c>
      <c r="V279" s="303" t="str">
        <f>T128</f>
        <v>-</v>
      </c>
      <c r="W279" s="305">
        <f>U128</f>
        <v>0</v>
      </c>
      <c r="Y279" s="301">
        <v>7</v>
      </c>
      <c r="Z279" s="302">
        <f>X71</f>
        <v>2.4</v>
      </c>
      <c r="AE279" s="281"/>
    </row>
    <row r="280" spans="1:31" hidden="1" x14ac:dyDescent="0.25">
      <c r="A280" s="792"/>
      <c r="B280" s="303">
        <v>13</v>
      </c>
      <c r="C280" s="303">
        <f>C139</f>
        <v>25</v>
      </c>
      <c r="D280" s="303">
        <f t="shared" ref="D280:F280" si="112">D139</f>
        <v>0.3</v>
      </c>
      <c r="E280" s="303">
        <f t="shared" si="112"/>
        <v>0.1</v>
      </c>
      <c r="F280" s="303">
        <f t="shared" si="112"/>
        <v>-0.2</v>
      </c>
      <c r="G280" s="303">
        <f>G139</f>
        <v>0.25</v>
      </c>
      <c r="I280" s="792"/>
      <c r="J280" s="303">
        <v>13</v>
      </c>
      <c r="K280" s="303">
        <f>J139</f>
        <v>50</v>
      </c>
      <c r="L280" s="303">
        <f>K139</f>
        <v>-3.6</v>
      </c>
      <c r="M280" s="303">
        <f>L139</f>
        <v>-1.8</v>
      </c>
      <c r="N280" s="303">
        <f>M139</f>
        <v>-1.3</v>
      </c>
      <c r="O280" s="303">
        <f>N139</f>
        <v>1.1499999999999999</v>
      </c>
      <c r="Q280" s="792"/>
      <c r="R280" s="303">
        <v>13</v>
      </c>
      <c r="S280" s="303">
        <f>Q139</f>
        <v>990</v>
      </c>
      <c r="T280" s="303">
        <f>R139</f>
        <v>3.9</v>
      </c>
      <c r="U280" s="303">
        <f>S139</f>
        <v>3.7</v>
      </c>
      <c r="V280" s="303">
        <f>T139</f>
        <v>1</v>
      </c>
      <c r="W280" s="305">
        <f>U139</f>
        <v>1.45</v>
      </c>
      <c r="Y280" s="301">
        <v>8</v>
      </c>
      <c r="Z280" s="302">
        <f>X82</f>
        <v>2.5</v>
      </c>
      <c r="AE280" s="281"/>
    </row>
    <row r="281" spans="1:31" hidden="1" x14ac:dyDescent="0.25">
      <c r="A281" s="792"/>
      <c r="B281" s="303">
        <v>14</v>
      </c>
      <c r="C281" s="303">
        <f>C150</f>
        <v>25</v>
      </c>
      <c r="D281" s="303">
        <f t="shared" ref="D281:F281" si="113">D150</f>
        <v>0.2</v>
      </c>
      <c r="E281" s="303">
        <f t="shared" si="113"/>
        <v>-0.1</v>
      </c>
      <c r="F281" s="303">
        <f t="shared" si="113"/>
        <v>-0.1</v>
      </c>
      <c r="G281" s="303">
        <f>G150</f>
        <v>0.15000000000000002</v>
      </c>
      <c r="I281" s="792"/>
      <c r="J281" s="303">
        <v>14</v>
      </c>
      <c r="K281" s="303">
        <f>J151</f>
        <v>60</v>
      </c>
      <c r="L281" s="303">
        <f>K151</f>
        <v>-1.8</v>
      </c>
      <c r="M281" s="303">
        <f>L151</f>
        <v>0.3</v>
      </c>
      <c r="N281" s="303">
        <f>M151</f>
        <v>-0.6</v>
      </c>
      <c r="O281" s="303">
        <f>N151</f>
        <v>1.05</v>
      </c>
      <c r="Q281" s="792"/>
      <c r="R281" s="303">
        <v>14</v>
      </c>
      <c r="S281" s="303">
        <f>Q150</f>
        <v>995</v>
      </c>
      <c r="T281" s="303">
        <f>R150</f>
        <v>4</v>
      </c>
      <c r="U281" s="303">
        <f>S150</f>
        <v>3.8</v>
      </c>
      <c r="V281" s="303">
        <f>T150</f>
        <v>1</v>
      </c>
      <c r="W281" s="305">
        <f>U150</f>
        <v>1.5</v>
      </c>
      <c r="Y281" s="301">
        <v>9</v>
      </c>
      <c r="Z281" s="302">
        <f>X93</f>
        <v>2.2000000000000002</v>
      </c>
      <c r="AE281" s="281"/>
    </row>
    <row r="282" spans="1:31" hidden="1" x14ac:dyDescent="0.25">
      <c r="A282" s="792"/>
      <c r="B282" s="303">
        <v>15</v>
      </c>
      <c r="C282" s="303">
        <f>C161</f>
        <v>25</v>
      </c>
      <c r="D282" s="303">
        <f t="shared" ref="D282:F282" si="114">D161</f>
        <v>0.3</v>
      </c>
      <c r="E282" s="303">
        <f t="shared" si="114"/>
        <v>0.2</v>
      </c>
      <c r="F282" s="303">
        <f t="shared" si="114"/>
        <v>-0.4</v>
      </c>
      <c r="G282" s="303">
        <f>G161</f>
        <v>0.35</v>
      </c>
      <c r="I282" s="792"/>
      <c r="J282" s="303">
        <v>15</v>
      </c>
      <c r="K282" s="303">
        <f>J161</f>
        <v>50</v>
      </c>
      <c r="L282" s="303">
        <f>K161</f>
        <v>-3.1</v>
      </c>
      <c r="M282" s="303">
        <f>L161</f>
        <v>-1.4</v>
      </c>
      <c r="N282" s="303">
        <f>M161</f>
        <v>-0.3</v>
      </c>
      <c r="O282" s="303">
        <f>N161</f>
        <v>1.4000000000000001</v>
      </c>
      <c r="Q282" s="792"/>
      <c r="R282" s="303">
        <v>15</v>
      </c>
      <c r="S282" s="303">
        <f>Q161</f>
        <v>995</v>
      </c>
      <c r="T282" s="303">
        <f>R161</f>
        <v>4.3</v>
      </c>
      <c r="U282" s="303">
        <f>S161</f>
        <v>4.0999999999999996</v>
      </c>
      <c r="V282" s="303">
        <f>T161</f>
        <v>1</v>
      </c>
      <c r="W282" s="305">
        <f>U161</f>
        <v>1.65</v>
      </c>
      <c r="Y282" s="301">
        <v>10</v>
      </c>
      <c r="Z282" s="302">
        <f>X104</f>
        <v>0</v>
      </c>
      <c r="AE282" s="281"/>
    </row>
    <row r="283" spans="1:31" hidden="1" x14ac:dyDescent="0.25">
      <c r="A283" s="792"/>
      <c r="B283" s="303">
        <v>16</v>
      </c>
      <c r="C283" s="303">
        <f>C172</f>
        <v>25</v>
      </c>
      <c r="D283" s="303">
        <f t="shared" ref="D283:F283" si="115">D172</f>
        <v>0.2</v>
      </c>
      <c r="E283" s="303" t="str">
        <f t="shared" si="115"/>
        <v>-</v>
      </c>
      <c r="F283" s="303" t="str">
        <f t="shared" si="115"/>
        <v>-</v>
      </c>
      <c r="G283" s="303">
        <f>G172</f>
        <v>0</v>
      </c>
      <c r="I283" s="792"/>
      <c r="J283" s="303">
        <v>16</v>
      </c>
      <c r="K283" s="303">
        <f>J172</f>
        <v>50</v>
      </c>
      <c r="L283" s="303">
        <f>K172</f>
        <v>-1.4</v>
      </c>
      <c r="M283" s="303" t="str">
        <f>L172</f>
        <v>-</v>
      </c>
      <c r="N283" s="303" t="str">
        <f>M172</f>
        <v>-</v>
      </c>
      <c r="O283" s="303">
        <f>N172</f>
        <v>0</v>
      </c>
      <c r="Q283" s="792"/>
      <c r="R283" s="303">
        <v>16</v>
      </c>
      <c r="S283" s="303">
        <f>Q172</f>
        <v>900</v>
      </c>
      <c r="T283" s="303">
        <f>R172</f>
        <v>-1.7</v>
      </c>
      <c r="U283" s="303" t="str">
        <f>S172</f>
        <v>-</v>
      </c>
      <c r="V283" s="303" t="str">
        <f>T172</f>
        <v>-</v>
      </c>
      <c r="W283" s="305">
        <f>U172</f>
        <v>0</v>
      </c>
      <c r="Y283" s="301">
        <v>11</v>
      </c>
      <c r="Z283" s="302">
        <f>X115</f>
        <v>0</v>
      </c>
      <c r="AE283" s="281"/>
    </row>
    <row r="284" spans="1:31" hidden="1" x14ac:dyDescent="0.25">
      <c r="A284" s="792"/>
      <c r="B284" s="303">
        <v>17</v>
      </c>
      <c r="C284" s="303">
        <f>C183</f>
        <v>25</v>
      </c>
      <c r="D284" s="303">
        <f t="shared" ref="D284:F284" si="116">D183</f>
        <v>9.9999999999999995E-7</v>
      </c>
      <c r="E284" s="303" t="str">
        <f t="shared" si="116"/>
        <v>-</v>
      </c>
      <c r="F284" s="303" t="str">
        <f t="shared" si="116"/>
        <v>-</v>
      </c>
      <c r="G284" s="303">
        <f>G183</f>
        <v>0</v>
      </c>
      <c r="I284" s="792"/>
      <c r="J284" s="303">
        <v>17</v>
      </c>
      <c r="K284" s="303">
        <f>J183</f>
        <v>50</v>
      </c>
      <c r="L284" s="303">
        <f>K183</f>
        <v>0.2</v>
      </c>
      <c r="M284" s="303" t="str">
        <f>L183</f>
        <v>-</v>
      </c>
      <c r="N284" s="303" t="str">
        <f>M183</f>
        <v>-</v>
      </c>
      <c r="O284" s="303">
        <f>N183</f>
        <v>0</v>
      </c>
      <c r="Q284" s="792"/>
      <c r="R284" s="303">
        <v>17</v>
      </c>
      <c r="S284" s="303">
        <f>Q183</f>
        <v>980</v>
      </c>
      <c r="T284" s="303">
        <f>R183</f>
        <v>-0.6</v>
      </c>
      <c r="U284" s="303" t="str">
        <f>S183</f>
        <v>-</v>
      </c>
      <c r="V284" s="303" t="str">
        <f>T183</f>
        <v>-</v>
      </c>
      <c r="W284" s="305">
        <f>U183</f>
        <v>0</v>
      </c>
      <c r="Y284" s="301">
        <v>12</v>
      </c>
      <c r="Z284" s="327">
        <f>X126</f>
        <v>2.4</v>
      </c>
      <c r="AE284" s="281"/>
    </row>
    <row r="285" spans="1:31" hidden="1" x14ac:dyDescent="0.25">
      <c r="A285" s="792"/>
      <c r="B285" s="303">
        <v>18</v>
      </c>
      <c r="C285" s="303">
        <f>C194</f>
        <v>25</v>
      </c>
      <c r="D285" s="303">
        <f t="shared" ref="D285:F285" si="117">D194</f>
        <v>-0.2</v>
      </c>
      <c r="E285" s="303" t="str">
        <f t="shared" si="117"/>
        <v>-</v>
      </c>
      <c r="F285" s="303" t="str">
        <f t="shared" si="117"/>
        <v>-</v>
      </c>
      <c r="G285" s="303">
        <f>G194</f>
        <v>0</v>
      </c>
      <c r="I285" s="792"/>
      <c r="J285" s="303">
        <v>18</v>
      </c>
      <c r="K285" s="303">
        <f>J194</f>
        <v>50</v>
      </c>
      <c r="L285" s="303">
        <f>K194</f>
        <v>-0.2</v>
      </c>
      <c r="M285" s="303" t="str">
        <f>L194</f>
        <v>-</v>
      </c>
      <c r="N285" s="303" t="str">
        <f>M194</f>
        <v>-</v>
      </c>
      <c r="O285" s="303">
        <f>N194</f>
        <v>0</v>
      </c>
      <c r="Q285" s="792"/>
      <c r="R285" s="303">
        <v>18</v>
      </c>
      <c r="S285" s="303">
        <f>Q194</f>
        <v>900</v>
      </c>
      <c r="T285" s="303">
        <f>R194</f>
        <v>-1.1000000000000001</v>
      </c>
      <c r="U285" s="303" t="str">
        <f>S194</f>
        <v>-</v>
      </c>
      <c r="V285" s="303" t="str">
        <f>T194</f>
        <v>-</v>
      </c>
      <c r="W285" s="305">
        <f>U194</f>
        <v>0</v>
      </c>
      <c r="Y285" s="301">
        <v>13</v>
      </c>
      <c r="Z285" s="302">
        <f>X137</f>
        <v>2.4</v>
      </c>
      <c r="AE285" s="281"/>
    </row>
    <row r="286" spans="1:31" hidden="1" x14ac:dyDescent="0.25">
      <c r="A286" s="792"/>
      <c r="B286" s="303">
        <v>19</v>
      </c>
      <c r="C286" s="303">
        <f>C194</f>
        <v>25</v>
      </c>
      <c r="D286" s="303">
        <f t="shared" ref="D286:F286" si="118">D194</f>
        <v>-0.2</v>
      </c>
      <c r="E286" s="303" t="str">
        <f t="shared" si="118"/>
        <v>-</v>
      </c>
      <c r="F286" s="303" t="str">
        <f t="shared" si="118"/>
        <v>-</v>
      </c>
      <c r="G286" s="303">
        <f>G194</f>
        <v>0</v>
      </c>
      <c r="I286" s="792"/>
      <c r="J286" s="303">
        <v>19</v>
      </c>
      <c r="K286" s="303">
        <f>J205</f>
        <v>50</v>
      </c>
      <c r="L286" s="303">
        <f>K205</f>
        <v>-0.2</v>
      </c>
      <c r="M286" s="303" t="str">
        <f>L205</f>
        <v>-</v>
      </c>
      <c r="N286" s="303" t="str">
        <f>M205</f>
        <v>-</v>
      </c>
      <c r="O286" s="303">
        <f>N205</f>
        <v>0</v>
      </c>
      <c r="Q286" s="792"/>
      <c r="R286" s="303">
        <v>19</v>
      </c>
      <c r="S286" s="303">
        <f>Q205</f>
        <v>850</v>
      </c>
      <c r="T286" s="303">
        <f>R205</f>
        <v>2.4</v>
      </c>
      <c r="U286" s="303" t="str">
        <f>S205</f>
        <v>-</v>
      </c>
      <c r="V286" s="303" t="str">
        <f>T205</f>
        <v>-</v>
      </c>
      <c r="W286" s="305">
        <f>U205</f>
        <v>0</v>
      </c>
      <c r="Y286" s="301">
        <v>14</v>
      </c>
      <c r="Z286" s="302">
        <f>X148</f>
        <v>2.5</v>
      </c>
      <c r="AE286" s="281"/>
    </row>
    <row r="287" spans="1:31" ht="13.8" hidden="1" thickBot="1" x14ac:dyDescent="0.3">
      <c r="A287" s="792"/>
      <c r="B287" s="303">
        <v>20</v>
      </c>
      <c r="C287" s="303">
        <f>C216</f>
        <v>24.6</v>
      </c>
      <c r="D287" s="303" t="str">
        <f t="shared" ref="D287:F287" si="119">D216</f>
        <v>-</v>
      </c>
      <c r="E287" s="303" t="str">
        <f t="shared" si="119"/>
        <v>-</v>
      </c>
      <c r="F287" s="303" t="str">
        <f t="shared" si="119"/>
        <v>-</v>
      </c>
      <c r="G287" s="303">
        <f>G216</f>
        <v>0</v>
      </c>
      <c r="I287" s="792"/>
      <c r="J287" s="303">
        <v>20</v>
      </c>
      <c r="K287" s="303">
        <f>J216</f>
        <v>62.5</v>
      </c>
      <c r="L287" s="303" t="str">
        <f>K216</f>
        <v>-</v>
      </c>
      <c r="M287" s="303" t="str">
        <f>L216</f>
        <v>-</v>
      </c>
      <c r="N287" s="303" t="str">
        <f>M216</f>
        <v>-</v>
      </c>
      <c r="O287" s="303">
        <f>N216</f>
        <v>0</v>
      </c>
      <c r="Q287" s="793"/>
      <c r="R287" s="313">
        <v>20</v>
      </c>
      <c r="S287" s="313">
        <f>Q216</f>
        <v>850</v>
      </c>
      <c r="T287" s="313" t="str">
        <f>R216</f>
        <v>-</v>
      </c>
      <c r="U287" s="313" t="str">
        <f>S216</f>
        <v>-</v>
      </c>
      <c r="V287" s="313" t="str">
        <f>T216</f>
        <v>-</v>
      </c>
      <c r="W287" s="328">
        <f>U216</f>
        <v>0</v>
      </c>
      <c r="Y287" s="301">
        <v>15</v>
      </c>
      <c r="Z287" s="302">
        <f>X159</f>
        <v>2.2999999999999998</v>
      </c>
      <c r="AE287" s="317"/>
    </row>
    <row r="288" spans="1:31" ht="13.8" hidden="1" thickBot="1" x14ac:dyDescent="0.3">
      <c r="A288" s="40"/>
      <c r="B288" s="40"/>
      <c r="C288" s="40"/>
      <c r="D288" s="40"/>
      <c r="E288" s="40"/>
      <c r="F288" s="298"/>
      <c r="G288" s="40"/>
      <c r="I288" s="40"/>
      <c r="J288" s="40"/>
      <c r="K288" s="40"/>
      <c r="L288" s="40"/>
      <c r="M288" s="40"/>
      <c r="N288" s="298"/>
      <c r="O288" s="40"/>
      <c r="Q288" s="329"/>
      <c r="R288" s="333"/>
      <c r="S288" s="330"/>
      <c r="T288" s="330"/>
      <c r="U288" s="330"/>
      <c r="W288" s="331"/>
      <c r="Y288" s="301">
        <v>16</v>
      </c>
      <c r="Z288" s="310">
        <f>X170</f>
        <v>2.2999999999999998</v>
      </c>
      <c r="AE288" s="281"/>
    </row>
    <row r="289" spans="1:31" hidden="1" x14ac:dyDescent="0.25">
      <c r="A289" s="792">
        <v>4</v>
      </c>
      <c r="B289" s="303">
        <v>1</v>
      </c>
      <c r="C289" s="303">
        <f>C8</f>
        <v>30</v>
      </c>
      <c r="D289" s="303">
        <f t="shared" ref="D289:F289" si="120">D8</f>
        <v>-0.1</v>
      </c>
      <c r="E289" s="303">
        <f t="shared" si="120"/>
        <v>9.9999999999999995E-7</v>
      </c>
      <c r="F289" s="303">
        <f t="shared" si="120"/>
        <v>-0.2</v>
      </c>
      <c r="G289" s="303">
        <f>G8</f>
        <v>0.10000050000000001</v>
      </c>
      <c r="I289" s="792">
        <v>4</v>
      </c>
      <c r="J289" s="303">
        <v>1</v>
      </c>
      <c r="K289" s="303">
        <f>J8</f>
        <v>60</v>
      </c>
      <c r="L289" s="303">
        <f>K8</f>
        <v>-6</v>
      </c>
      <c r="M289" s="303">
        <f>L8</f>
        <v>-5.3</v>
      </c>
      <c r="N289" s="303">
        <f>M8</f>
        <v>-5.2</v>
      </c>
      <c r="O289" s="303">
        <f>N8</f>
        <v>0.39999999999999991</v>
      </c>
      <c r="Q289" s="791">
        <v>4</v>
      </c>
      <c r="R289" s="323">
        <v>1</v>
      </c>
      <c r="S289" s="323">
        <f>Q8</f>
        <v>900</v>
      </c>
      <c r="T289" s="323" t="str">
        <f>R8</f>
        <v>-</v>
      </c>
      <c r="U289" s="323" t="str">
        <f>S8</f>
        <v>-</v>
      </c>
      <c r="V289" s="323" t="str">
        <f>T8</f>
        <v>-</v>
      </c>
      <c r="W289" s="332">
        <f>U8</f>
        <v>0</v>
      </c>
      <c r="Y289" s="301">
        <v>17</v>
      </c>
      <c r="Z289" s="310">
        <f>X181</f>
        <v>2.1</v>
      </c>
      <c r="AE289" s="326"/>
    </row>
    <row r="290" spans="1:31" hidden="1" x14ac:dyDescent="0.25">
      <c r="A290" s="792"/>
      <c r="B290" s="303">
        <v>2</v>
      </c>
      <c r="C290" s="303">
        <f>C19</f>
        <v>30</v>
      </c>
      <c r="D290" s="303">
        <f t="shared" ref="D290:F290" si="121">D19</f>
        <v>0.2</v>
      </c>
      <c r="E290" s="303">
        <f t="shared" si="121"/>
        <v>-0.3</v>
      </c>
      <c r="F290" s="303" t="str">
        <f t="shared" si="121"/>
        <v>-</v>
      </c>
      <c r="G290" s="303">
        <f>G19</f>
        <v>0.25</v>
      </c>
      <c r="I290" s="792"/>
      <c r="J290" s="303">
        <v>2</v>
      </c>
      <c r="K290" s="303">
        <f>J19</f>
        <v>60</v>
      </c>
      <c r="L290" s="303">
        <f>K19</f>
        <v>-4</v>
      </c>
      <c r="M290" s="303">
        <f>L19</f>
        <v>-1.3</v>
      </c>
      <c r="N290" s="303" t="str">
        <f>M19</f>
        <v>-</v>
      </c>
      <c r="O290" s="303">
        <f>N19</f>
        <v>1.35</v>
      </c>
      <c r="Q290" s="792"/>
      <c r="R290" s="303">
        <v>2</v>
      </c>
      <c r="S290" s="303">
        <f>Q19</f>
        <v>900</v>
      </c>
      <c r="T290" s="303" t="str">
        <f>R19</f>
        <v>-</v>
      </c>
      <c r="U290" s="303" t="str">
        <f>S19</f>
        <v>-</v>
      </c>
      <c r="V290" s="303" t="str">
        <f>T19</f>
        <v>-</v>
      </c>
      <c r="W290" s="305">
        <f>U19</f>
        <v>0</v>
      </c>
      <c r="Y290" s="301">
        <v>18</v>
      </c>
      <c r="Z290" s="310">
        <f>X192</f>
        <v>2.4</v>
      </c>
      <c r="AE290" s="281"/>
    </row>
    <row r="291" spans="1:31" hidden="1" x14ac:dyDescent="0.25">
      <c r="A291" s="792"/>
      <c r="B291" s="303">
        <v>3</v>
      </c>
      <c r="C291" s="303">
        <f>C30</f>
        <v>30</v>
      </c>
      <c r="D291" s="303">
        <f t="shared" ref="D291:F291" si="122">D30</f>
        <v>9.9999999999999995E-7</v>
      </c>
      <c r="E291" s="303">
        <f t="shared" si="122"/>
        <v>-0.3</v>
      </c>
      <c r="F291" s="303" t="str">
        <f t="shared" si="122"/>
        <v>-</v>
      </c>
      <c r="G291" s="303">
        <f>G30</f>
        <v>0.15000049999999998</v>
      </c>
      <c r="I291" s="792"/>
      <c r="J291" s="303">
        <v>3</v>
      </c>
      <c r="K291" s="303">
        <f>J30</f>
        <v>60</v>
      </c>
      <c r="L291" s="303">
        <f>K30</f>
        <v>-3.2</v>
      </c>
      <c r="M291" s="303">
        <f>L30</f>
        <v>-4.3</v>
      </c>
      <c r="N291" s="303">
        <f>M30</f>
        <v>0</v>
      </c>
      <c r="O291" s="303">
        <f>N30</f>
        <v>0.54999999999999982</v>
      </c>
      <c r="Q291" s="792"/>
      <c r="R291" s="303">
        <v>3</v>
      </c>
      <c r="S291" s="303">
        <f>Q30</f>
        <v>900</v>
      </c>
      <c r="T291" s="303" t="str">
        <f>R30</f>
        <v>-</v>
      </c>
      <c r="U291" s="303" t="str">
        <f>S30</f>
        <v>-</v>
      </c>
      <c r="V291" s="303" t="str">
        <f>T30</f>
        <v>-</v>
      </c>
      <c r="W291" s="305">
        <f>U30</f>
        <v>0</v>
      </c>
      <c r="Y291" s="301">
        <v>19</v>
      </c>
      <c r="Z291" s="310">
        <f>X203</f>
        <v>0.4</v>
      </c>
      <c r="AE291" s="281"/>
    </row>
    <row r="292" spans="1:31" ht="13.8" hidden="1" thickBot="1" x14ac:dyDescent="0.3">
      <c r="A292" s="792"/>
      <c r="B292" s="303">
        <v>4</v>
      </c>
      <c r="C292" s="303">
        <f>C41</f>
        <v>30</v>
      </c>
      <c r="D292" s="303">
        <f t="shared" ref="D292:F292" si="123">D41</f>
        <v>-0.1</v>
      </c>
      <c r="E292" s="303">
        <f t="shared" si="123"/>
        <v>-0.6</v>
      </c>
      <c r="F292" s="303" t="str">
        <f t="shared" si="123"/>
        <v>-</v>
      </c>
      <c r="G292" s="303">
        <f>G41</f>
        <v>0.25</v>
      </c>
      <c r="I292" s="792"/>
      <c r="J292" s="303">
        <v>4</v>
      </c>
      <c r="K292" s="303">
        <f>J41</f>
        <v>60</v>
      </c>
      <c r="L292" s="303">
        <f>K41</f>
        <v>-4.2</v>
      </c>
      <c r="M292" s="303">
        <f>L41</f>
        <v>-0.3</v>
      </c>
      <c r="N292" s="303" t="str">
        <f>M41</f>
        <v>-</v>
      </c>
      <c r="O292" s="303">
        <f>N41</f>
        <v>1.9500000000000002</v>
      </c>
      <c r="Q292" s="792"/>
      <c r="R292" s="303">
        <v>4</v>
      </c>
      <c r="S292" s="303">
        <f>Q41</f>
        <v>900</v>
      </c>
      <c r="T292" s="303" t="str">
        <f>R41</f>
        <v>-</v>
      </c>
      <c r="U292" s="303" t="str">
        <f>S41</f>
        <v>-</v>
      </c>
      <c r="V292" s="303" t="str">
        <f>T41</f>
        <v>-</v>
      </c>
      <c r="W292" s="305">
        <f>U41</f>
        <v>0</v>
      </c>
      <c r="Y292" s="311">
        <v>20</v>
      </c>
      <c r="Z292" s="312">
        <f>X214</f>
        <v>0</v>
      </c>
      <c r="AE292" s="281"/>
    </row>
    <row r="293" spans="1:31" hidden="1" x14ac:dyDescent="0.25">
      <c r="A293" s="792"/>
      <c r="B293" s="303">
        <v>5</v>
      </c>
      <c r="C293" s="303">
        <f>C52</f>
        <v>30</v>
      </c>
      <c r="D293" s="303">
        <f t="shared" ref="D293:F293" si="124">D52</f>
        <v>0.6</v>
      </c>
      <c r="E293" s="303">
        <f t="shared" si="124"/>
        <v>0.1</v>
      </c>
      <c r="F293" s="303" t="str">
        <f t="shared" si="124"/>
        <v>-</v>
      </c>
      <c r="G293" s="303">
        <f>G52</f>
        <v>0.25</v>
      </c>
      <c r="I293" s="792"/>
      <c r="J293" s="303">
        <v>5</v>
      </c>
      <c r="K293" s="303">
        <f>J52</f>
        <v>60</v>
      </c>
      <c r="L293" s="303">
        <f>K52</f>
        <v>-5.2</v>
      </c>
      <c r="M293" s="303">
        <f>L52</f>
        <v>-4.2</v>
      </c>
      <c r="N293" s="303" t="str">
        <f>M52</f>
        <v>-</v>
      </c>
      <c r="O293" s="303">
        <f>N52</f>
        <v>0.5</v>
      </c>
      <c r="Q293" s="792"/>
      <c r="R293" s="303">
        <v>5</v>
      </c>
      <c r="S293" s="303">
        <f>Q52</f>
        <v>900</v>
      </c>
      <c r="T293" s="303" t="str">
        <f>R52</f>
        <v>-</v>
      </c>
      <c r="U293" s="303" t="str">
        <f>S52</f>
        <v>-</v>
      </c>
      <c r="V293" s="303" t="str">
        <f>T52</f>
        <v>-</v>
      </c>
      <c r="W293" s="305">
        <f>U52</f>
        <v>0</v>
      </c>
      <c r="AE293" s="281"/>
    </row>
    <row r="294" spans="1:31" hidden="1" x14ac:dyDescent="0.25">
      <c r="A294" s="792"/>
      <c r="B294" s="303">
        <v>6</v>
      </c>
      <c r="C294" s="303">
        <f>C63</f>
        <v>30</v>
      </c>
      <c r="D294" s="303">
        <f t="shared" ref="D294:F294" si="125">D63</f>
        <v>0.1</v>
      </c>
      <c r="E294" s="303">
        <f t="shared" si="125"/>
        <v>-0.5</v>
      </c>
      <c r="F294" s="303" t="str">
        <f t="shared" si="125"/>
        <v>-</v>
      </c>
      <c r="G294" s="303">
        <f>G63</f>
        <v>0.3</v>
      </c>
      <c r="I294" s="792"/>
      <c r="J294" s="303">
        <v>6</v>
      </c>
      <c r="K294" s="303">
        <f>J63</f>
        <v>60</v>
      </c>
      <c r="L294" s="303">
        <f>K63</f>
        <v>-6.4</v>
      </c>
      <c r="M294" s="303">
        <f>L63</f>
        <v>1.1000000000000001</v>
      </c>
      <c r="N294" s="303" t="str">
        <f>M63</f>
        <v>-</v>
      </c>
      <c r="O294" s="303">
        <f>N63</f>
        <v>3.75</v>
      </c>
      <c r="Q294" s="792"/>
      <c r="R294" s="303">
        <v>6</v>
      </c>
      <c r="S294" s="303">
        <f>Q63</f>
        <v>900</v>
      </c>
      <c r="T294" s="303">
        <f>R63</f>
        <v>0.9</v>
      </c>
      <c r="U294" s="303">
        <f>S63</f>
        <v>0.7</v>
      </c>
      <c r="V294" s="303" t="str">
        <f>T63</f>
        <v>-</v>
      </c>
      <c r="W294" s="305">
        <f>U63</f>
        <v>0.10000000000000003</v>
      </c>
      <c r="AE294" s="281"/>
    </row>
    <row r="295" spans="1:31" hidden="1" x14ac:dyDescent="0.25">
      <c r="A295" s="792"/>
      <c r="B295" s="303">
        <v>7</v>
      </c>
      <c r="C295" s="303">
        <f>C74</f>
        <v>30</v>
      </c>
      <c r="D295" s="303">
        <f t="shared" ref="D295:F295" si="126">D74</f>
        <v>9.9999999999999995E-7</v>
      </c>
      <c r="E295" s="303">
        <f t="shared" si="126"/>
        <v>-0.6</v>
      </c>
      <c r="F295" s="303" t="str">
        <f t="shared" si="126"/>
        <v>-</v>
      </c>
      <c r="G295" s="303">
        <f>G74</f>
        <v>0.3000005</v>
      </c>
      <c r="I295" s="792"/>
      <c r="J295" s="303">
        <v>7</v>
      </c>
      <c r="K295" s="303">
        <f>J74</f>
        <v>60</v>
      </c>
      <c r="L295" s="303">
        <f>K74</f>
        <v>-2.1</v>
      </c>
      <c r="M295" s="303">
        <f>L74</f>
        <v>0.7</v>
      </c>
      <c r="N295" s="303" t="str">
        <f>M74</f>
        <v>-</v>
      </c>
      <c r="O295" s="303">
        <f>N74</f>
        <v>1.4</v>
      </c>
      <c r="Q295" s="792"/>
      <c r="R295" s="303">
        <v>7</v>
      </c>
      <c r="S295" s="303">
        <f>Q74</f>
        <v>900</v>
      </c>
      <c r="T295" s="303">
        <f>R74</f>
        <v>9.9999999999999995E-7</v>
      </c>
      <c r="U295" s="303">
        <f>S74</f>
        <v>1</v>
      </c>
      <c r="V295" s="303" t="str">
        <f>T74</f>
        <v>-</v>
      </c>
      <c r="W295" s="305">
        <f>U74</f>
        <v>0.49999949999999999</v>
      </c>
      <c r="AE295" s="281"/>
    </row>
    <row r="296" spans="1:31" hidden="1" x14ac:dyDescent="0.25">
      <c r="A296" s="792"/>
      <c r="B296" s="303">
        <v>8</v>
      </c>
      <c r="C296" s="303">
        <f>C85</f>
        <v>30</v>
      </c>
      <c r="D296" s="303">
        <f t="shared" ref="D296:F296" si="127">D85</f>
        <v>-0.1</v>
      </c>
      <c r="E296" s="303">
        <f t="shared" si="127"/>
        <v>-0.2</v>
      </c>
      <c r="F296" s="303">
        <f t="shared" si="127"/>
        <v>-0.4</v>
      </c>
      <c r="G296" s="303">
        <f>G85</f>
        <v>0.15000000000000002</v>
      </c>
      <c r="I296" s="792"/>
      <c r="J296" s="303">
        <v>8</v>
      </c>
      <c r="K296" s="303">
        <f>J85</f>
        <v>60</v>
      </c>
      <c r="L296" s="303">
        <f>K85</f>
        <v>-5.6</v>
      </c>
      <c r="M296" s="303">
        <f>L85</f>
        <v>-3.9</v>
      </c>
      <c r="N296" s="303">
        <f>M85</f>
        <v>-1.1000000000000001</v>
      </c>
      <c r="O296" s="303">
        <f>N85</f>
        <v>2.25</v>
      </c>
      <c r="Q296" s="792"/>
      <c r="R296" s="303">
        <v>8</v>
      </c>
      <c r="S296" s="303">
        <f>Q85</f>
        <v>990</v>
      </c>
      <c r="T296" s="303">
        <f>R85</f>
        <v>-0.2</v>
      </c>
      <c r="U296" s="303">
        <f>S85</f>
        <v>-4.4000000000000004</v>
      </c>
      <c r="V296" s="303">
        <f>T85</f>
        <v>9.9999999999999995E-7</v>
      </c>
      <c r="W296" s="305">
        <f>U85</f>
        <v>2.2000005000000002</v>
      </c>
      <c r="AE296" s="281"/>
    </row>
    <row r="297" spans="1:31" hidden="1" x14ac:dyDescent="0.25">
      <c r="A297" s="792"/>
      <c r="B297" s="303">
        <v>9</v>
      </c>
      <c r="C297" s="303">
        <f>C96</f>
        <v>30</v>
      </c>
      <c r="D297" s="303">
        <f t="shared" ref="D297:F297" si="128">D96</f>
        <v>-0.5</v>
      </c>
      <c r="E297" s="303" t="str">
        <f t="shared" si="128"/>
        <v>-</v>
      </c>
      <c r="F297" s="303" t="str">
        <f t="shared" si="128"/>
        <v>-</v>
      </c>
      <c r="G297" s="303">
        <f>G96</f>
        <v>0</v>
      </c>
      <c r="I297" s="792"/>
      <c r="J297" s="303">
        <v>9</v>
      </c>
      <c r="K297" s="303">
        <f>J96</f>
        <v>60</v>
      </c>
      <c r="L297" s="303">
        <f>K96</f>
        <v>-0.8</v>
      </c>
      <c r="M297" s="303" t="str">
        <f>L96</f>
        <v>-</v>
      </c>
      <c r="N297" s="303" t="str">
        <f>M96</f>
        <v>-</v>
      </c>
      <c r="O297" s="303">
        <f>N96</f>
        <v>0</v>
      </c>
      <c r="Q297" s="792"/>
      <c r="R297" s="303">
        <v>9</v>
      </c>
      <c r="S297" s="303">
        <f>Q96</f>
        <v>900</v>
      </c>
      <c r="T297" s="303">
        <f>R96</f>
        <v>9.9999999999999995E-7</v>
      </c>
      <c r="U297" s="303" t="str">
        <f>S96</f>
        <v>-</v>
      </c>
      <c r="V297" s="303" t="str">
        <f>T96</f>
        <v>-</v>
      </c>
      <c r="W297" s="305">
        <f>U96</f>
        <v>0</v>
      </c>
      <c r="AE297" s="281"/>
    </row>
    <row r="298" spans="1:31" hidden="1" x14ac:dyDescent="0.25">
      <c r="A298" s="792"/>
      <c r="B298" s="303">
        <v>10</v>
      </c>
      <c r="C298" s="303">
        <f>C107</f>
        <v>30</v>
      </c>
      <c r="D298" s="303">
        <f t="shared" ref="D298:F298" si="129">D107</f>
        <v>0.1</v>
      </c>
      <c r="E298" s="303">
        <f t="shared" si="129"/>
        <v>0.2</v>
      </c>
      <c r="F298" s="303" t="str">
        <f t="shared" si="129"/>
        <v>-</v>
      </c>
      <c r="G298" s="303">
        <f>G107</f>
        <v>0.05</v>
      </c>
      <c r="I298" s="792"/>
      <c r="J298" s="303">
        <v>10</v>
      </c>
      <c r="K298" s="303">
        <f>J107</f>
        <v>60</v>
      </c>
      <c r="L298" s="303">
        <f>K107</f>
        <v>-2.1</v>
      </c>
      <c r="M298" s="303">
        <f>L107</f>
        <v>-5.6</v>
      </c>
      <c r="N298" s="303" t="str">
        <f>M107</f>
        <v>-</v>
      </c>
      <c r="O298" s="303">
        <f>N107</f>
        <v>1.7499999999999998</v>
      </c>
      <c r="Q298" s="792"/>
      <c r="R298" s="303">
        <v>10</v>
      </c>
      <c r="S298" s="303">
        <f>Q107</f>
        <v>900</v>
      </c>
      <c r="T298" s="303" t="str">
        <f>R107</f>
        <v>-</v>
      </c>
      <c r="U298" s="303" t="str">
        <f>S107</f>
        <v>-</v>
      </c>
      <c r="V298" s="303" t="str">
        <f>T107</f>
        <v>-</v>
      </c>
      <c r="W298" s="305">
        <f>U107</f>
        <v>0</v>
      </c>
      <c r="AE298" s="281"/>
    </row>
    <row r="299" spans="1:31" hidden="1" x14ac:dyDescent="0.25">
      <c r="A299" s="792"/>
      <c r="B299" s="303">
        <v>11</v>
      </c>
      <c r="C299" s="303">
        <f>C118</f>
        <v>30</v>
      </c>
      <c r="D299" s="303">
        <f t="shared" ref="D299:F299" si="130">D118</f>
        <v>0.5</v>
      </c>
      <c r="E299" s="303">
        <f t="shared" si="130"/>
        <v>0.4</v>
      </c>
      <c r="F299" s="303" t="str">
        <f t="shared" si="130"/>
        <v>-</v>
      </c>
      <c r="G299" s="303">
        <f>G118</f>
        <v>4.9999999999999989E-2</v>
      </c>
      <c r="I299" s="792"/>
      <c r="J299" s="303">
        <v>11</v>
      </c>
      <c r="K299" s="303">
        <f>J118</f>
        <v>60</v>
      </c>
      <c r="L299" s="303">
        <f>K118</f>
        <v>-4.8</v>
      </c>
      <c r="M299" s="303">
        <f>L118</f>
        <v>-4.5</v>
      </c>
      <c r="N299" s="303" t="str">
        <f>M118</f>
        <v>-</v>
      </c>
      <c r="O299" s="303">
        <f>N118</f>
        <v>0.14999999999999991</v>
      </c>
      <c r="Q299" s="792"/>
      <c r="R299" s="303">
        <v>11</v>
      </c>
      <c r="S299" s="303">
        <f>Q118</f>
        <v>900</v>
      </c>
      <c r="T299" s="303" t="str">
        <f>R118</f>
        <v>-</v>
      </c>
      <c r="U299" s="303" t="str">
        <f>S118</f>
        <v>-</v>
      </c>
      <c r="V299" s="303" t="str">
        <f>T118</f>
        <v>-</v>
      </c>
      <c r="W299" s="305">
        <f>U118</f>
        <v>0</v>
      </c>
      <c r="AE299" s="281"/>
    </row>
    <row r="300" spans="1:31" hidden="1" x14ac:dyDescent="0.25">
      <c r="A300" s="792"/>
      <c r="B300" s="303">
        <v>12</v>
      </c>
      <c r="C300" s="303">
        <f>C129</f>
        <v>30</v>
      </c>
      <c r="D300" s="303">
        <f t="shared" ref="D300:F300" si="131">D129</f>
        <v>-0.1</v>
      </c>
      <c r="E300" s="303" t="str">
        <f t="shared" si="131"/>
        <v>-</v>
      </c>
      <c r="F300" s="303" t="str">
        <f t="shared" si="131"/>
        <v>-</v>
      </c>
      <c r="G300" s="303">
        <f>G129</f>
        <v>0</v>
      </c>
      <c r="I300" s="792"/>
      <c r="J300" s="303">
        <v>12</v>
      </c>
      <c r="K300" s="303">
        <f>J129</f>
        <v>60</v>
      </c>
      <c r="L300" s="303">
        <f>K129</f>
        <v>9.9999999999999995E-7</v>
      </c>
      <c r="M300" s="303" t="str">
        <f>L129</f>
        <v>-</v>
      </c>
      <c r="N300" s="303" t="str">
        <f>M129</f>
        <v>-</v>
      </c>
      <c r="O300" s="303">
        <f>N129</f>
        <v>0</v>
      </c>
      <c r="Q300" s="792"/>
      <c r="R300" s="303">
        <v>12</v>
      </c>
      <c r="S300" s="303">
        <f>Q129</f>
        <v>950</v>
      </c>
      <c r="T300" s="303">
        <f>R129</f>
        <v>-0.7</v>
      </c>
      <c r="U300" s="303" t="str">
        <f>S129</f>
        <v>-</v>
      </c>
      <c r="V300" s="303" t="str">
        <f>T129</f>
        <v>-</v>
      </c>
      <c r="W300" s="305">
        <f>U129</f>
        <v>0</v>
      </c>
      <c r="AE300" s="281"/>
    </row>
    <row r="301" spans="1:31" hidden="1" x14ac:dyDescent="0.25">
      <c r="A301" s="792"/>
      <c r="B301" s="303">
        <v>13</v>
      </c>
      <c r="C301" s="303">
        <f>C151</f>
        <v>30</v>
      </c>
      <c r="D301" s="303">
        <f t="shared" ref="D301:F301" si="132">D151</f>
        <v>0.3</v>
      </c>
      <c r="E301" s="303">
        <f t="shared" si="132"/>
        <v>-0.4</v>
      </c>
      <c r="F301" s="303">
        <f t="shared" si="132"/>
        <v>-0.3</v>
      </c>
      <c r="G301" s="303">
        <f>G151</f>
        <v>0.35</v>
      </c>
      <c r="I301" s="792"/>
      <c r="J301" s="303">
        <v>13</v>
      </c>
      <c r="K301" s="303">
        <f>J140</f>
        <v>60</v>
      </c>
      <c r="L301" s="303">
        <f>K140</f>
        <v>-3.1</v>
      </c>
      <c r="M301" s="303">
        <f>L140</f>
        <v>-1.6</v>
      </c>
      <c r="N301" s="303">
        <f>M140</f>
        <v>-1.5</v>
      </c>
      <c r="O301" s="303">
        <f>N140</f>
        <v>0.8</v>
      </c>
      <c r="Q301" s="792"/>
      <c r="R301" s="303">
        <v>13</v>
      </c>
      <c r="S301" s="303">
        <f>Q140</f>
        <v>1000</v>
      </c>
      <c r="T301" s="303">
        <f>R140</f>
        <v>4.0999999999999996</v>
      </c>
      <c r="U301" s="303">
        <f>S140</f>
        <v>3.7</v>
      </c>
      <c r="V301" s="303">
        <f>T140</f>
        <v>1.1000000000000001</v>
      </c>
      <c r="W301" s="305">
        <f>U140</f>
        <v>1.4999999999999998</v>
      </c>
      <c r="AE301" s="281"/>
    </row>
    <row r="302" spans="1:31" hidden="1" x14ac:dyDescent="0.25">
      <c r="A302" s="792"/>
      <c r="B302" s="303">
        <v>14</v>
      </c>
      <c r="C302" s="303">
        <f>C151</f>
        <v>30</v>
      </c>
      <c r="D302" s="303">
        <f t="shared" ref="D302:F302" si="133">D151</f>
        <v>0.3</v>
      </c>
      <c r="E302" s="303">
        <f t="shared" si="133"/>
        <v>-0.4</v>
      </c>
      <c r="F302" s="303">
        <f t="shared" si="133"/>
        <v>-0.3</v>
      </c>
      <c r="G302" s="303">
        <f>G151</f>
        <v>0.35</v>
      </c>
      <c r="I302" s="792"/>
      <c r="J302" s="303">
        <v>14</v>
      </c>
      <c r="K302" s="303">
        <f>J151</f>
        <v>60</v>
      </c>
      <c r="L302" s="303">
        <f>K151</f>
        <v>-1.8</v>
      </c>
      <c r="M302" s="303">
        <f>L151</f>
        <v>0.3</v>
      </c>
      <c r="N302" s="303">
        <f>M151</f>
        <v>-0.6</v>
      </c>
      <c r="O302" s="303">
        <f>N151</f>
        <v>1.05</v>
      </c>
      <c r="Q302" s="792"/>
      <c r="R302" s="303">
        <v>14</v>
      </c>
      <c r="S302" s="303">
        <f>Q151</f>
        <v>1000</v>
      </c>
      <c r="T302" s="303">
        <f>R151</f>
        <v>4.2</v>
      </c>
      <c r="U302" s="303">
        <f>S151</f>
        <v>3.8</v>
      </c>
      <c r="V302" s="303">
        <f>T151</f>
        <v>1.1000000000000001</v>
      </c>
      <c r="W302" s="305">
        <f>U151</f>
        <v>1.55</v>
      </c>
      <c r="AE302" s="281"/>
    </row>
    <row r="303" spans="1:31" hidden="1" x14ac:dyDescent="0.25">
      <c r="A303" s="792"/>
      <c r="B303" s="303">
        <v>15</v>
      </c>
      <c r="C303" s="303">
        <f>C162</f>
        <v>30</v>
      </c>
      <c r="D303" s="303">
        <f t="shared" ref="D303:F303" si="134">D162</f>
        <v>0.4</v>
      </c>
      <c r="E303" s="303">
        <f t="shared" si="134"/>
        <v>0.4</v>
      </c>
      <c r="F303" s="303">
        <f t="shared" si="134"/>
        <v>-0.2</v>
      </c>
      <c r="G303" s="303">
        <f>G162</f>
        <v>0.30000000000000004</v>
      </c>
      <c r="I303" s="792"/>
      <c r="J303" s="303">
        <v>15</v>
      </c>
      <c r="K303" s="303">
        <f>J162</f>
        <v>60</v>
      </c>
      <c r="L303" s="303">
        <f>K162</f>
        <v>-2.2999999999999998</v>
      </c>
      <c r="M303" s="303">
        <f>L162</f>
        <v>-1.1000000000000001</v>
      </c>
      <c r="N303" s="303">
        <f>M162</f>
        <v>-0.5</v>
      </c>
      <c r="O303" s="303">
        <f>N162</f>
        <v>0.89999999999999991</v>
      </c>
      <c r="Q303" s="792"/>
      <c r="R303" s="303">
        <v>15</v>
      </c>
      <c r="S303" s="303">
        <f>Q162</f>
        <v>1000</v>
      </c>
      <c r="T303" s="303">
        <f>R162</f>
        <v>4.4000000000000004</v>
      </c>
      <c r="U303" s="303">
        <f>S162</f>
        <v>4.0999999999999996</v>
      </c>
      <c r="V303" s="303">
        <f>T162</f>
        <v>1.1000000000000001</v>
      </c>
      <c r="W303" s="305">
        <f>U162</f>
        <v>1.6500000000000001</v>
      </c>
      <c r="AE303" s="281"/>
    </row>
    <row r="304" spans="1:31" hidden="1" x14ac:dyDescent="0.25">
      <c r="A304" s="792"/>
      <c r="B304" s="303">
        <v>16</v>
      </c>
      <c r="C304" s="303">
        <f>C173</f>
        <v>30</v>
      </c>
      <c r="D304" s="303">
        <f t="shared" ref="D304:F304" si="135">D173</f>
        <v>0.2</v>
      </c>
      <c r="E304" s="303" t="str">
        <f t="shared" si="135"/>
        <v>-</v>
      </c>
      <c r="F304" s="303" t="str">
        <f t="shared" si="135"/>
        <v>-</v>
      </c>
      <c r="G304" s="303">
        <f>G173</f>
        <v>0</v>
      </c>
      <c r="I304" s="792"/>
      <c r="J304" s="303">
        <v>16</v>
      </c>
      <c r="K304" s="303">
        <f>J173</f>
        <v>60</v>
      </c>
      <c r="L304" s="303">
        <f>K173</f>
        <v>-1.5</v>
      </c>
      <c r="M304" s="303" t="str">
        <f>L173</f>
        <v>-</v>
      </c>
      <c r="N304" s="303" t="str">
        <f>M173</f>
        <v>-</v>
      </c>
      <c r="O304" s="303">
        <f>N173</f>
        <v>0</v>
      </c>
      <c r="Q304" s="792"/>
      <c r="R304" s="303">
        <v>16</v>
      </c>
      <c r="S304" s="303">
        <f>Q173</f>
        <v>950</v>
      </c>
      <c r="T304" s="303">
        <f>R173</f>
        <v>-1.1000000000000001</v>
      </c>
      <c r="U304" s="303" t="str">
        <f>S173</f>
        <v>-</v>
      </c>
      <c r="V304" s="303" t="str">
        <f>T173</f>
        <v>-</v>
      </c>
      <c r="W304" s="305">
        <f>U173</f>
        <v>0</v>
      </c>
      <c r="AE304" s="281"/>
    </row>
    <row r="305" spans="1:31" hidden="1" x14ac:dyDescent="0.25">
      <c r="A305" s="792"/>
      <c r="B305" s="303">
        <v>17</v>
      </c>
      <c r="C305" s="303">
        <f>C184</f>
        <v>30</v>
      </c>
      <c r="D305" s="303">
        <f t="shared" ref="D305:F305" si="136">D184</f>
        <v>-0.2</v>
      </c>
      <c r="E305" s="303" t="str">
        <f t="shared" si="136"/>
        <v>-</v>
      </c>
      <c r="F305" s="303" t="str">
        <f t="shared" si="136"/>
        <v>-</v>
      </c>
      <c r="G305" s="303">
        <f>G184</f>
        <v>0</v>
      </c>
      <c r="I305" s="792"/>
      <c r="J305" s="303">
        <v>17</v>
      </c>
      <c r="K305" s="303">
        <f>J184</f>
        <v>60</v>
      </c>
      <c r="L305" s="303">
        <f>K184</f>
        <v>9.9999999999999995E-7</v>
      </c>
      <c r="M305" s="303" t="str">
        <f>L184</f>
        <v>-</v>
      </c>
      <c r="N305" s="303" t="str">
        <f>M184</f>
        <v>-</v>
      </c>
      <c r="O305" s="303">
        <f>N184</f>
        <v>0</v>
      </c>
      <c r="Q305" s="792"/>
      <c r="R305" s="303">
        <v>17</v>
      </c>
      <c r="S305" s="303">
        <f>Q184</f>
        <v>990</v>
      </c>
      <c r="T305" s="303">
        <f>R184</f>
        <v>-0.6</v>
      </c>
      <c r="U305" s="303" t="str">
        <f>S184</f>
        <v>-</v>
      </c>
      <c r="V305" s="303" t="str">
        <f>T184</f>
        <v>-</v>
      </c>
      <c r="W305" s="305">
        <f>U184</f>
        <v>0</v>
      </c>
      <c r="AE305" s="281"/>
    </row>
    <row r="306" spans="1:31" hidden="1" x14ac:dyDescent="0.25">
      <c r="A306" s="792"/>
      <c r="B306" s="303">
        <v>18</v>
      </c>
      <c r="C306" s="303">
        <f>C195</f>
        <v>30</v>
      </c>
      <c r="D306" s="303">
        <f t="shared" ref="D306:F306" si="137">D195</f>
        <v>-0.2</v>
      </c>
      <c r="E306" s="303" t="str">
        <f t="shared" si="137"/>
        <v>-</v>
      </c>
      <c r="F306" s="303" t="str">
        <f t="shared" si="137"/>
        <v>-</v>
      </c>
      <c r="G306" s="303">
        <f>G195</f>
        <v>0</v>
      </c>
      <c r="I306" s="792"/>
      <c r="J306" s="303">
        <v>18</v>
      </c>
      <c r="K306" s="303">
        <f>J195</f>
        <v>60</v>
      </c>
      <c r="L306" s="303">
        <f>K195</f>
        <v>-0.2</v>
      </c>
      <c r="M306" s="303" t="str">
        <f>L195</f>
        <v>-</v>
      </c>
      <c r="N306" s="303" t="str">
        <f>M195</f>
        <v>-</v>
      </c>
      <c r="O306" s="303">
        <f>N195</f>
        <v>0</v>
      </c>
      <c r="Q306" s="792"/>
      <c r="R306" s="303">
        <v>18</v>
      </c>
      <c r="S306" s="303">
        <f>Q195</f>
        <v>950</v>
      </c>
      <c r="T306" s="303">
        <f>R195</f>
        <v>-0.9</v>
      </c>
      <c r="U306" s="303" t="str">
        <f>S195</f>
        <v>-</v>
      </c>
      <c r="V306" s="303" t="str">
        <f>T195</f>
        <v>-</v>
      </c>
      <c r="W306" s="305">
        <f>U195</f>
        <v>0</v>
      </c>
      <c r="AE306" s="281"/>
    </row>
    <row r="307" spans="1:31" hidden="1" x14ac:dyDescent="0.25">
      <c r="A307" s="792"/>
      <c r="B307" s="303">
        <v>19</v>
      </c>
      <c r="C307" s="303">
        <f>C206</f>
        <v>30</v>
      </c>
      <c r="D307" s="303">
        <f t="shared" ref="D307:F307" si="138">D206</f>
        <v>-0.1</v>
      </c>
      <c r="E307" s="303" t="str">
        <f t="shared" si="138"/>
        <v>-</v>
      </c>
      <c r="F307" s="303" t="str">
        <f t="shared" si="138"/>
        <v>-</v>
      </c>
      <c r="G307" s="303">
        <f>G206</f>
        <v>0</v>
      </c>
      <c r="I307" s="792"/>
      <c r="J307" s="303">
        <v>19</v>
      </c>
      <c r="K307" s="303">
        <f>J206</f>
        <v>60</v>
      </c>
      <c r="L307" s="303">
        <f>K206</f>
        <v>0.4</v>
      </c>
      <c r="M307" s="303" t="str">
        <f>L206</f>
        <v>-</v>
      </c>
      <c r="N307" s="303" t="str">
        <f>M206</f>
        <v>-</v>
      </c>
      <c r="O307" s="303">
        <f>N206</f>
        <v>0</v>
      </c>
      <c r="Q307" s="792"/>
      <c r="R307" s="303">
        <v>19</v>
      </c>
      <c r="S307" s="303">
        <f>Q206</f>
        <v>900</v>
      </c>
      <c r="T307" s="303">
        <f>R206</f>
        <v>2.2999999999999998</v>
      </c>
      <c r="U307" s="303" t="str">
        <f>S206</f>
        <v>-</v>
      </c>
      <c r="V307" s="303" t="str">
        <f>T206</f>
        <v>-</v>
      </c>
      <c r="W307" s="305">
        <f>U206</f>
        <v>0</v>
      </c>
      <c r="AE307" s="281"/>
    </row>
    <row r="308" spans="1:31" ht="13.8" hidden="1" thickBot="1" x14ac:dyDescent="0.3">
      <c r="A308" s="792"/>
      <c r="B308" s="303">
        <v>20</v>
      </c>
      <c r="C308" s="303">
        <f>C217</f>
        <v>29.5</v>
      </c>
      <c r="D308" s="303" t="str">
        <f t="shared" ref="D308:F308" si="139">D217</f>
        <v>-</v>
      </c>
      <c r="E308" s="303" t="str">
        <f t="shared" si="139"/>
        <v>-</v>
      </c>
      <c r="F308" s="303" t="str">
        <f t="shared" si="139"/>
        <v>-</v>
      </c>
      <c r="G308" s="303">
        <f>G217</f>
        <v>0</v>
      </c>
      <c r="I308" s="792"/>
      <c r="J308" s="303">
        <v>20</v>
      </c>
      <c r="K308" s="303">
        <f>J217</f>
        <v>71.5</v>
      </c>
      <c r="L308" s="303" t="str">
        <f>K217</f>
        <v>-</v>
      </c>
      <c r="M308" s="303" t="str">
        <f>L217</f>
        <v>-</v>
      </c>
      <c r="N308" s="303" t="str">
        <f>M217</f>
        <v>-</v>
      </c>
      <c r="O308" s="303">
        <f>N217</f>
        <v>0</v>
      </c>
      <c r="Q308" s="793"/>
      <c r="R308" s="313">
        <v>20</v>
      </c>
      <c r="S308" s="313">
        <f>Q217</f>
        <v>900</v>
      </c>
      <c r="T308" s="313" t="str">
        <f>R217</f>
        <v>-</v>
      </c>
      <c r="U308" s="313" t="str">
        <f>S217</f>
        <v>-</v>
      </c>
      <c r="V308" s="313" t="str">
        <f>T217</f>
        <v>-</v>
      </c>
      <c r="W308" s="328">
        <f>U217</f>
        <v>0</v>
      </c>
      <c r="AE308" s="317"/>
    </row>
    <row r="309" spans="1:31" ht="13.8" hidden="1" thickBot="1" x14ac:dyDescent="0.3">
      <c r="A309" s="40"/>
      <c r="B309" s="40"/>
      <c r="C309" s="40"/>
      <c r="D309" s="40"/>
      <c r="E309" s="40"/>
      <c r="F309" s="298"/>
      <c r="G309" s="40"/>
      <c r="I309" s="40"/>
      <c r="J309" s="40"/>
      <c r="K309" s="40"/>
      <c r="L309" s="40"/>
      <c r="M309" s="40"/>
      <c r="N309" s="298"/>
      <c r="O309" s="40"/>
      <c r="Q309" s="329"/>
      <c r="R309" s="333"/>
      <c r="S309" s="330"/>
      <c r="T309" s="330"/>
      <c r="U309" s="330"/>
      <c r="W309" s="331"/>
      <c r="AE309" s="281"/>
    </row>
    <row r="310" spans="1:31" hidden="1" x14ac:dyDescent="0.25">
      <c r="A310" s="792">
        <v>5</v>
      </c>
      <c r="B310" s="303">
        <v>1</v>
      </c>
      <c r="C310" s="303">
        <f>C9</f>
        <v>35</v>
      </c>
      <c r="D310" s="303">
        <f t="shared" ref="D310:F310" si="140">D9</f>
        <v>0</v>
      </c>
      <c r="E310" s="303">
        <f t="shared" si="140"/>
        <v>-0.1</v>
      </c>
      <c r="F310" s="303">
        <f t="shared" si="140"/>
        <v>-0.5</v>
      </c>
      <c r="G310" s="303">
        <f>G9</f>
        <v>0.25</v>
      </c>
      <c r="I310" s="792">
        <v>5</v>
      </c>
      <c r="J310" s="303">
        <v>1</v>
      </c>
      <c r="K310" s="303">
        <f>J20</f>
        <v>70</v>
      </c>
      <c r="L310" s="303">
        <f>K20</f>
        <v>-2.4</v>
      </c>
      <c r="M310" s="303">
        <f>L20</f>
        <v>-1.1000000000000001</v>
      </c>
      <c r="N310" s="303" t="str">
        <f>M20</f>
        <v>-</v>
      </c>
      <c r="O310" s="303">
        <f>N20</f>
        <v>0.64999999999999991</v>
      </c>
      <c r="Q310" s="791">
        <v>5</v>
      </c>
      <c r="R310" s="323">
        <v>1</v>
      </c>
      <c r="S310" s="323">
        <f>Q9</f>
        <v>1000</v>
      </c>
      <c r="T310" s="323" t="str">
        <f>R9</f>
        <v>-</v>
      </c>
      <c r="U310" s="323" t="str">
        <f>S9</f>
        <v>-</v>
      </c>
      <c r="V310" s="323" t="str">
        <f>T9</f>
        <v>-</v>
      </c>
      <c r="W310" s="332">
        <f>U9</f>
        <v>0</v>
      </c>
      <c r="AE310" s="326"/>
    </row>
    <row r="311" spans="1:31" hidden="1" x14ac:dyDescent="0.25">
      <c r="A311" s="792"/>
      <c r="B311" s="303">
        <v>2</v>
      </c>
      <c r="C311" s="303">
        <f>C20</f>
        <v>35</v>
      </c>
      <c r="D311" s="303">
        <f t="shared" ref="D311:F311" si="141">D20</f>
        <v>-0.1</v>
      </c>
      <c r="E311" s="303">
        <f t="shared" si="141"/>
        <v>-0.3</v>
      </c>
      <c r="F311" s="303" t="str">
        <f t="shared" si="141"/>
        <v>-</v>
      </c>
      <c r="G311" s="303">
        <f>G20</f>
        <v>9.9999999999999992E-2</v>
      </c>
      <c r="I311" s="792"/>
      <c r="J311" s="303">
        <v>2</v>
      </c>
      <c r="K311" s="303">
        <f>J20</f>
        <v>70</v>
      </c>
      <c r="L311" s="303">
        <f>K20</f>
        <v>-2.4</v>
      </c>
      <c r="M311" s="303">
        <f>L20</f>
        <v>-1.1000000000000001</v>
      </c>
      <c r="N311" s="303" t="str">
        <f>M20</f>
        <v>-</v>
      </c>
      <c r="O311" s="303">
        <f>N20</f>
        <v>0.64999999999999991</v>
      </c>
      <c r="Q311" s="792"/>
      <c r="R311" s="303">
        <v>2</v>
      </c>
      <c r="S311" s="303">
        <f>Q20</f>
        <v>1000</v>
      </c>
      <c r="T311" s="303" t="str">
        <f>R20</f>
        <v>-</v>
      </c>
      <c r="U311" s="303" t="str">
        <f>S20</f>
        <v>-</v>
      </c>
      <c r="V311" s="303" t="str">
        <f>T20</f>
        <v>-</v>
      </c>
      <c r="W311" s="305">
        <f>U20</f>
        <v>0</v>
      </c>
      <c r="AE311" s="281"/>
    </row>
    <row r="312" spans="1:31" hidden="1" x14ac:dyDescent="0.25">
      <c r="A312" s="792"/>
      <c r="B312" s="303">
        <v>3</v>
      </c>
      <c r="C312" s="303">
        <f>C31</f>
        <v>35</v>
      </c>
      <c r="D312" s="303">
        <f t="shared" ref="D312:F312" si="142">D31</f>
        <v>-0.3</v>
      </c>
      <c r="E312" s="303">
        <f t="shared" si="142"/>
        <v>-0.5</v>
      </c>
      <c r="F312" s="303" t="str">
        <f t="shared" si="142"/>
        <v>-</v>
      </c>
      <c r="G312" s="303">
        <f>G31</f>
        <v>0.1</v>
      </c>
      <c r="I312" s="792"/>
      <c r="J312" s="303">
        <v>3</v>
      </c>
      <c r="K312" s="303">
        <f>J31</f>
        <v>70</v>
      </c>
      <c r="L312" s="303">
        <f>K31</f>
        <v>-2</v>
      </c>
      <c r="M312" s="303">
        <f>L31</f>
        <v>-3.6</v>
      </c>
      <c r="N312" s="303">
        <f>M31</f>
        <v>0</v>
      </c>
      <c r="O312" s="303">
        <f>N31</f>
        <v>0.8</v>
      </c>
      <c r="Q312" s="792"/>
      <c r="R312" s="303">
        <v>3</v>
      </c>
      <c r="S312" s="303">
        <f>Q31</f>
        <v>1000</v>
      </c>
      <c r="T312" s="303" t="str">
        <f>R31</f>
        <v>-</v>
      </c>
      <c r="U312" s="303" t="str">
        <f>S31</f>
        <v>-</v>
      </c>
      <c r="V312" s="303" t="str">
        <f>T31</f>
        <v>-</v>
      </c>
      <c r="W312" s="305">
        <f>U31</f>
        <v>0</v>
      </c>
      <c r="AE312" s="281"/>
    </row>
    <row r="313" spans="1:31" hidden="1" x14ac:dyDescent="0.25">
      <c r="A313" s="792"/>
      <c r="B313" s="303">
        <v>4</v>
      </c>
      <c r="C313" s="303">
        <f>C42</f>
        <v>35</v>
      </c>
      <c r="D313" s="303">
        <f t="shared" ref="D313:F313" si="143">D42</f>
        <v>-0.3</v>
      </c>
      <c r="E313" s="303">
        <f t="shared" si="143"/>
        <v>-0.6</v>
      </c>
      <c r="F313" s="303" t="str">
        <f t="shared" si="143"/>
        <v>-</v>
      </c>
      <c r="G313" s="303">
        <f>G42</f>
        <v>0.15</v>
      </c>
      <c r="I313" s="792"/>
      <c r="J313" s="303">
        <v>4</v>
      </c>
      <c r="K313" s="303">
        <f>J42</f>
        <v>70</v>
      </c>
      <c r="L313" s="303">
        <f>K42</f>
        <v>-4</v>
      </c>
      <c r="M313" s="303">
        <f>L42</f>
        <v>0.7</v>
      </c>
      <c r="N313" s="303" t="str">
        <f>M42</f>
        <v>-</v>
      </c>
      <c r="O313" s="303">
        <f>N42</f>
        <v>2.35</v>
      </c>
      <c r="Q313" s="792"/>
      <c r="R313" s="303">
        <v>4</v>
      </c>
      <c r="S313" s="303">
        <f>Q42</f>
        <v>1000</v>
      </c>
      <c r="T313" s="303" t="str">
        <f>R42</f>
        <v>-</v>
      </c>
      <c r="U313" s="303" t="str">
        <f>S42</f>
        <v>-</v>
      </c>
      <c r="V313" s="303" t="str">
        <f>T42</f>
        <v>-</v>
      </c>
      <c r="W313" s="305">
        <f>U42</f>
        <v>0</v>
      </c>
      <c r="AE313" s="281"/>
    </row>
    <row r="314" spans="1:31" hidden="1" x14ac:dyDescent="0.25">
      <c r="A314" s="792"/>
      <c r="B314" s="303">
        <v>5</v>
      </c>
      <c r="C314" s="303">
        <f>C53</f>
        <v>35</v>
      </c>
      <c r="D314" s="303">
        <f t="shared" ref="D314:F314" si="144">D53</f>
        <v>0.7</v>
      </c>
      <c r="E314" s="303">
        <f t="shared" si="144"/>
        <v>9.9999999999999995E-7</v>
      </c>
      <c r="F314" s="303" t="str">
        <f t="shared" si="144"/>
        <v>-</v>
      </c>
      <c r="G314" s="303">
        <f>G53</f>
        <v>0.34999949999999996</v>
      </c>
      <c r="I314" s="792"/>
      <c r="J314" s="303">
        <v>5</v>
      </c>
      <c r="K314" s="303">
        <f>J53</f>
        <v>70</v>
      </c>
      <c r="L314" s="303">
        <f>K53</f>
        <v>-4.0999999999999996</v>
      </c>
      <c r="M314" s="303">
        <f>L53</f>
        <v>-2.1</v>
      </c>
      <c r="N314" s="303" t="str">
        <f>M53</f>
        <v>-</v>
      </c>
      <c r="O314" s="303">
        <f>N53</f>
        <v>0.99999999999999978</v>
      </c>
      <c r="Q314" s="792"/>
      <c r="R314" s="303">
        <v>5</v>
      </c>
      <c r="S314" s="303">
        <f>Q53</f>
        <v>1000</v>
      </c>
      <c r="T314" s="303" t="str">
        <f>R53</f>
        <v>-</v>
      </c>
      <c r="U314" s="303" t="str">
        <f>S53</f>
        <v>-</v>
      </c>
      <c r="V314" s="303" t="str">
        <f>T53</f>
        <v>-</v>
      </c>
      <c r="W314" s="305">
        <f>U53</f>
        <v>0</v>
      </c>
      <c r="AE314" s="281"/>
    </row>
    <row r="315" spans="1:31" hidden="1" x14ac:dyDescent="0.25">
      <c r="A315" s="792"/>
      <c r="B315" s="303">
        <v>6</v>
      </c>
      <c r="C315" s="303">
        <f>C64</f>
        <v>35</v>
      </c>
      <c r="D315" s="303">
        <f t="shared" ref="D315:F315" si="145">D64</f>
        <v>0.1</v>
      </c>
      <c r="E315" s="303">
        <f t="shared" si="145"/>
        <v>-0.9</v>
      </c>
      <c r="F315" s="303" t="str">
        <f t="shared" si="145"/>
        <v>-</v>
      </c>
      <c r="G315" s="303">
        <f>G64</f>
        <v>0.5</v>
      </c>
      <c r="I315" s="792"/>
      <c r="J315" s="303">
        <v>6</v>
      </c>
      <c r="K315" s="303">
        <f>J64</f>
        <v>70</v>
      </c>
      <c r="L315" s="303">
        <f>K64</f>
        <v>-6.7</v>
      </c>
      <c r="M315" s="303">
        <f>L64</f>
        <v>0.9</v>
      </c>
      <c r="N315" s="303" t="str">
        <f>M64</f>
        <v>-</v>
      </c>
      <c r="O315" s="303">
        <f>N64</f>
        <v>3.8000000000000003</v>
      </c>
      <c r="Q315" s="792"/>
      <c r="R315" s="303">
        <v>6</v>
      </c>
      <c r="S315" s="303">
        <f>Q64</f>
        <v>1000</v>
      </c>
      <c r="T315" s="303">
        <f>R64</f>
        <v>0.9</v>
      </c>
      <c r="U315" s="303">
        <f>S64</f>
        <v>-0.3</v>
      </c>
      <c r="V315" s="303" t="str">
        <f>T64</f>
        <v>-</v>
      </c>
      <c r="W315" s="305">
        <f>U64</f>
        <v>0.6</v>
      </c>
      <c r="AE315" s="281"/>
    </row>
    <row r="316" spans="1:31" hidden="1" x14ac:dyDescent="0.25">
      <c r="A316" s="792"/>
      <c r="B316" s="303">
        <v>7</v>
      </c>
      <c r="C316" s="303">
        <f>C75</f>
        <v>35</v>
      </c>
      <c r="D316" s="303">
        <f t="shared" ref="D316:F316" si="146">D75</f>
        <v>9.9999999999999995E-7</v>
      </c>
      <c r="E316" s="303">
        <f t="shared" si="146"/>
        <v>-1.1000000000000001</v>
      </c>
      <c r="F316" s="303" t="str">
        <f t="shared" si="146"/>
        <v>-</v>
      </c>
      <c r="G316" s="303">
        <f>G75</f>
        <v>0.5500005</v>
      </c>
      <c r="I316" s="792"/>
      <c r="J316" s="303">
        <v>7</v>
      </c>
      <c r="K316" s="303">
        <f>J75</f>
        <v>70</v>
      </c>
      <c r="L316" s="303">
        <f>K75</f>
        <v>-2.2999999999999998</v>
      </c>
      <c r="M316" s="303">
        <f>L75</f>
        <v>0.9</v>
      </c>
      <c r="N316" s="303" t="str">
        <f>M75</f>
        <v>-</v>
      </c>
      <c r="O316" s="303">
        <f>N75</f>
        <v>1.5999999999999999</v>
      </c>
      <c r="Q316" s="792"/>
      <c r="R316" s="303">
        <v>7</v>
      </c>
      <c r="S316" s="303">
        <f>Q75</f>
        <v>1000</v>
      </c>
      <c r="T316" s="303">
        <f>R75</f>
        <v>-3.9</v>
      </c>
      <c r="U316" s="303">
        <f>S75</f>
        <v>-0.4</v>
      </c>
      <c r="V316" s="303" t="str">
        <f>T75</f>
        <v>-</v>
      </c>
      <c r="W316" s="305">
        <f>U75</f>
        <v>1.75</v>
      </c>
      <c r="AE316" s="281"/>
    </row>
    <row r="317" spans="1:31" hidden="1" x14ac:dyDescent="0.25">
      <c r="A317" s="792"/>
      <c r="B317" s="303">
        <v>8</v>
      </c>
      <c r="C317" s="303">
        <f>C86</f>
        <v>35</v>
      </c>
      <c r="D317" s="303">
        <f t="shared" ref="D317:F317" si="147">D86</f>
        <v>-0.1</v>
      </c>
      <c r="E317" s="303">
        <f t="shared" si="147"/>
        <v>-0.1</v>
      </c>
      <c r="F317" s="303">
        <f t="shared" si="147"/>
        <v>-0.5</v>
      </c>
      <c r="G317" s="303">
        <f>G86</f>
        <v>0.2</v>
      </c>
      <c r="I317" s="792"/>
      <c r="J317" s="303">
        <v>8</v>
      </c>
      <c r="K317" s="303">
        <f>J86</f>
        <v>70</v>
      </c>
      <c r="L317" s="303">
        <f>K86</f>
        <v>-6.5</v>
      </c>
      <c r="M317" s="303">
        <f>L86</f>
        <v>-4.0999999999999996</v>
      </c>
      <c r="N317" s="303">
        <f>M86</f>
        <v>-1.2</v>
      </c>
      <c r="O317" s="303">
        <f>N86</f>
        <v>2.65</v>
      </c>
      <c r="Q317" s="792"/>
      <c r="R317" s="303">
        <v>8</v>
      </c>
      <c r="S317" s="303">
        <f>Q86</f>
        <v>1000</v>
      </c>
      <c r="T317" s="303">
        <f>R86</f>
        <v>0.2</v>
      </c>
      <c r="U317" s="303">
        <f>S86</f>
        <v>-3.5</v>
      </c>
      <c r="V317" s="303">
        <f>T86</f>
        <v>0.2</v>
      </c>
      <c r="W317" s="305">
        <f>U86</f>
        <v>1.85</v>
      </c>
      <c r="AE317" s="281"/>
    </row>
    <row r="318" spans="1:31" hidden="1" x14ac:dyDescent="0.25">
      <c r="A318" s="792"/>
      <c r="B318" s="303">
        <v>9</v>
      </c>
      <c r="C318" s="303">
        <f>C97</f>
        <v>35</v>
      </c>
      <c r="D318" s="303">
        <f t="shared" ref="D318:F318" si="148">D97</f>
        <v>-0.5</v>
      </c>
      <c r="E318" s="303" t="str">
        <f t="shared" si="148"/>
        <v>-</v>
      </c>
      <c r="F318" s="303" t="str">
        <f t="shared" si="148"/>
        <v>-</v>
      </c>
      <c r="G318" s="303">
        <f>G97</f>
        <v>0</v>
      </c>
      <c r="I318" s="792"/>
      <c r="J318" s="303">
        <v>9</v>
      </c>
      <c r="K318" s="303">
        <f>J97</f>
        <v>70</v>
      </c>
      <c r="L318" s="303">
        <f>K97</f>
        <v>-0.6</v>
      </c>
      <c r="M318" s="303" t="str">
        <f>L97</f>
        <v>-</v>
      </c>
      <c r="N318" s="303" t="str">
        <f>M97</f>
        <v>-</v>
      </c>
      <c r="O318" s="303">
        <f>N97</f>
        <v>0</v>
      </c>
      <c r="Q318" s="792"/>
      <c r="R318" s="303">
        <v>9</v>
      </c>
      <c r="S318" s="303">
        <f>Q97</f>
        <v>1000</v>
      </c>
      <c r="T318" s="303">
        <f>R97</f>
        <v>0.2</v>
      </c>
      <c r="U318" s="303" t="str">
        <f>S97</f>
        <v>-</v>
      </c>
      <c r="V318" s="303" t="str">
        <f>T97</f>
        <v>-</v>
      </c>
      <c r="W318" s="305">
        <f>U97</f>
        <v>0</v>
      </c>
      <c r="AE318" s="281"/>
    </row>
    <row r="319" spans="1:31" hidden="1" x14ac:dyDescent="0.25">
      <c r="A319" s="792"/>
      <c r="B319" s="303">
        <v>10</v>
      </c>
      <c r="C319" s="303">
        <f>C108</f>
        <v>35</v>
      </c>
      <c r="D319" s="303">
        <f t="shared" ref="D319:F319" si="149">D108</f>
        <v>0.2</v>
      </c>
      <c r="E319" s="303">
        <f t="shared" si="149"/>
        <v>0.8</v>
      </c>
      <c r="F319" s="303" t="str">
        <f t="shared" si="149"/>
        <v>-</v>
      </c>
      <c r="G319" s="303">
        <f>G108</f>
        <v>0.30000000000000004</v>
      </c>
      <c r="I319" s="792"/>
      <c r="J319" s="303">
        <v>10</v>
      </c>
      <c r="K319" s="303">
        <f>J108</f>
        <v>70</v>
      </c>
      <c r="L319" s="303">
        <f>K108</f>
        <v>-0.3</v>
      </c>
      <c r="M319" s="303">
        <f>L108</f>
        <v>-5.0999999999999996</v>
      </c>
      <c r="N319" s="303" t="str">
        <f>M108</f>
        <v>-</v>
      </c>
      <c r="O319" s="303">
        <f>N108</f>
        <v>2.4</v>
      </c>
      <c r="Q319" s="792"/>
      <c r="R319" s="303">
        <v>10</v>
      </c>
      <c r="S319" s="303">
        <f>Q108</f>
        <v>1000</v>
      </c>
      <c r="T319" s="303" t="str">
        <f>R108</f>
        <v>-</v>
      </c>
      <c r="U319" s="303" t="str">
        <f>S108</f>
        <v>-</v>
      </c>
      <c r="V319" s="303" t="str">
        <f>T108</f>
        <v>-</v>
      </c>
      <c r="W319" s="305">
        <f>U108</f>
        <v>0</v>
      </c>
      <c r="AE319" s="281"/>
    </row>
    <row r="320" spans="1:31" hidden="1" x14ac:dyDescent="0.25">
      <c r="A320" s="792"/>
      <c r="B320" s="303">
        <v>11</v>
      </c>
      <c r="C320" s="303">
        <f>C119</f>
        <v>35</v>
      </c>
      <c r="D320" s="303">
        <f t="shared" ref="D320:F320" si="150">D119</f>
        <v>0.5</v>
      </c>
      <c r="E320" s="303">
        <f t="shared" si="150"/>
        <v>0.4</v>
      </c>
      <c r="F320" s="303" t="str">
        <f t="shared" si="150"/>
        <v>-</v>
      </c>
      <c r="G320" s="303">
        <f>G119</f>
        <v>4.9999999999999989E-2</v>
      </c>
      <c r="I320" s="792"/>
      <c r="J320" s="303">
        <v>11</v>
      </c>
      <c r="K320" s="303">
        <f>J119</f>
        <v>70</v>
      </c>
      <c r="L320" s="303">
        <f>K119</f>
        <v>-3.4</v>
      </c>
      <c r="M320" s="303">
        <f>L119</f>
        <v>-1.7</v>
      </c>
      <c r="N320" s="303" t="str">
        <f>M119</f>
        <v>-</v>
      </c>
      <c r="O320" s="303">
        <f>N119</f>
        <v>0.85</v>
      </c>
      <c r="Q320" s="792"/>
      <c r="R320" s="303">
        <v>11</v>
      </c>
      <c r="S320" s="303">
        <f>Q119</f>
        <v>1000</v>
      </c>
      <c r="T320" s="303" t="str">
        <f>R119</f>
        <v>-</v>
      </c>
      <c r="U320" s="303" t="str">
        <f>S119</f>
        <v>-</v>
      </c>
      <c r="V320" s="303" t="str">
        <f>T119</f>
        <v>-</v>
      </c>
      <c r="W320" s="305">
        <f>U119</f>
        <v>0</v>
      </c>
      <c r="AE320" s="281"/>
    </row>
    <row r="321" spans="1:31" hidden="1" x14ac:dyDescent="0.25">
      <c r="A321" s="792"/>
      <c r="B321" s="303">
        <v>12</v>
      </c>
      <c r="C321" s="303">
        <f>C130</f>
        <v>35</v>
      </c>
      <c r="D321" s="303">
        <f t="shared" ref="D321:F321" si="151">D130</f>
        <v>-0.2</v>
      </c>
      <c r="E321" s="303" t="str">
        <f t="shared" si="151"/>
        <v>-</v>
      </c>
      <c r="F321" s="303" t="str">
        <f t="shared" si="151"/>
        <v>-</v>
      </c>
      <c r="G321" s="303">
        <f>G130</f>
        <v>0</v>
      </c>
      <c r="I321" s="792"/>
      <c r="J321" s="303">
        <v>12</v>
      </c>
      <c r="K321" s="303">
        <f>J130</f>
        <v>70</v>
      </c>
      <c r="L321" s="303">
        <f>K130</f>
        <v>-0.1</v>
      </c>
      <c r="M321" s="303" t="str">
        <f>L130</f>
        <v>-</v>
      </c>
      <c r="N321" s="303" t="str">
        <f>M130</f>
        <v>-</v>
      </c>
      <c r="O321" s="303">
        <f>N130</f>
        <v>0</v>
      </c>
      <c r="Q321" s="792"/>
      <c r="R321" s="303">
        <v>12</v>
      </c>
      <c r="S321" s="303">
        <f>Q130</f>
        <v>1000</v>
      </c>
      <c r="T321" s="303">
        <f>R130</f>
        <v>-0.8</v>
      </c>
      <c r="U321" s="303" t="str">
        <f>S130</f>
        <v>-</v>
      </c>
      <c r="V321" s="303" t="str">
        <f>T130</f>
        <v>-</v>
      </c>
      <c r="W321" s="305">
        <f>U130</f>
        <v>0</v>
      </c>
      <c r="AE321" s="281"/>
    </row>
    <row r="322" spans="1:31" hidden="1" x14ac:dyDescent="0.25">
      <c r="A322" s="792"/>
      <c r="B322" s="303">
        <v>13</v>
      </c>
      <c r="C322" s="303">
        <f>C141</f>
        <v>35</v>
      </c>
      <c r="D322" s="303">
        <f t="shared" ref="D322:F322" si="152">D141</f>
        <v>0.5</v>
      </c>
      <c r="E322" s="303">
        <f t="shared" si="152"/>
        <v>-0.2</v>
      </c>
      <c r="F322" s="303">
        <f t="shared" si="152"/>
        <v>0.3</v>
      </c>
      <c r="G322" s="303">
        <f>G141</f>
        <v>0.35</v>
      </c>
      <c r="I322" s="792"/>
      <c r="J322" s="303">
        <v>13</v>
      </c>
      <c r="K322" s="303">
        <f>J141</f>
        <v>70</v>
      </c>
      <c r="L322" s="303">
        <f>K141</f>
        <v>-2.2999999999999998</v>
      </c>
      <c r="M322" s="303">
        <f>L141</f>
        <v>-1.4</v>
      </c>
      <c r="N322" s="303">
        <f>M141</f>
        <v>-1.9</v>
      </c>
      <c r="O322" s="303">
        <f>N141</f>
        <v>0.44999999999999996</v>
      </c>
      <c r="Q322" s="792"/>
      <c r="R322" s="303">
        <v>13</v>
      </c>
      <c r="S322" s="303">
        <f>Q141</f>
        <v>1005</v>
      </c>
      <c r="T322" s="303">
        <f>R141</f>
        <v>4.0999999999999996</v>
      </c>
      <c r="U322" s="303">
        <f>S141</f>
        <v>3.6</v>
      </c>
      <c r="V322" s="303">
        <f>T141</f>
        <v>1.1000000000000001</v>
      </c>
      <c r="W322" s="305">
        <f>U141</f>
        <v>1.4999999999999998</v>
      </c>
      <c r="AE322" s="281"/>
    </row>
    <row r="323" spans="1:31" hidden="1" x14ac:dyDescent="0.25">
      <c r="A323" s="792"/>
      <c r="B323" s="303">
        <v>14</v>
      </c>
      <c r="C323" s="303">
        <f>C152</f>
        <v>35</v>
      </c>
      <c r="D323" s="303">
        <f t="shared" ref="D323:F323" si="153">D152</f>
        <v>0.3</v>
      </c>
      <c r="E323" s="303">
        <f t="shared" si="153"/>
        <v>-0.6</v>
      </c>
      <c r="F323" s="303">
        <f t="shared" si="153"/>
        <v>-0.6</v>
      </c>
      <c r="G323" s="303">
        <f>G152</f>
        <v>0.44999999999999996</v>
      </c>
      <c r="I323" s="792"/>
      <c r="J323" s="303">
        <v>14</v>
      </c>
      <c r="K323" s="303">
        <f>J152</f>
        <v>70</v>
      </c>
      <c r="L323" s="303">
        <f>K152</f>
        <v>-0.6</v>
      </c>
      <c r="M323" s="303">
        <f>L152</f>
        <v>0.7</v>
      </c>
      <c r="N323" s="303">
        <f>M152</f>
        <v>-0.8</v>
      </c>
      <c r="O323" s="303">
        <f>N152</f>
        <v>0.75</v>
      </c>
      <c r="Q323" s="792"/>
      <c r="R323" s="303">
        <v>14</v>
      </c>
      <c r="S323" s="303">
        <f>Q152</f>
        <v>1005</v>
      </c>
      <c r="T323" s="303">
        <f>R152</f>
        <v>4.2</v>
      </c>
      <c r="U323" s="303">
        <f>S152</f>
        <v>3.8</v>
      </c>
      <c r="V323" s="303">
        <f>T152</f>
        <v>1.1000000000000001</v>
      </c>
      <c r="W323" s="305">
        <f>U152</f>
        <v>1.55</v>
      </c>
      <c r="AE323" s="281"/>
    </row>
    <row r="324" spans="1:31" hidden="1" x14ac:dyDescent="0.25">
      <c r="A324" s="792"/>
      <c r="B324" s="303">
        <v>15</v>
      </c>
      <c r="C324" s="303">
        <f>C163</f>
        <v>35</v>
      </c>
      <c r="D324" s="303">
        <f t="shared" ref="D324:F324" si="154">D163</f>
        <v>0.5</v>
      </c>
      <c r="E324" s="303">
        <f t="shared" si="154"/>
        <v>0.8</v>
      </c>
      <c r="F324" s="303">
        <f t="shared" si="154"/>
        <v>-0.1</v>
      </c>
      <c r="G324" s="303">
        <f>G163</f>
        <v>0.45</v>
      </c>
      <c r="I324" s="792"/>
      <c r="J324" s="303">
        <v>15</v>
      </c>
      <c r="K324" s="303">
        <f>J163</f>
        <v>70</v>
      </c>
      <c r="L324" s="303">
        <f>K163</f>
        <v>-1.6</v>
      </c>
      <c r="M324" s="303">
        <f>L163</f>
        <v>-0.7</v>
      </c>
      <c r="N324" s="303">
        <f>M163</f>
        <v>-0.8</v>
      </c>
      <c r="O324" s="303">
        <f>N163</f>
        <v>0.45000000000000007</v>
      </c>
      <c r="Q324" s="792"/>
      <c r="R324" s="303">
        <v>15</v>
      </c>
      <c r="S324" s="303">
        <f>Q163</f>
        <v>1005</v>
      </c>
      <c r="T324" s="303">
        <f>R163</f>
        <v>4.4000000000000004</v>
      </c>
      <c r="U324" s="303">
        <f>S163</f>
        <v>4</v>
      </c>
      <c r="V324" s="303">
        <f>T163</f>
        <v>1.1000000000000001</v>
      </c>
      <c r="W324" s="305">
        <f>U163</f>
        <v>1.6500000000000001</v>
      </c>
      <c r="AE324" s="281"/>
    </row>
    <row r="325" spans="1:31" hidden="1" x14ac:dyDescent="0.25">
      <c r="A325" s="792"/>
      <c r="B325" s="303">
        <v>16</v>
      </c>
      <c r="C325" s="303">
        <f>C174</f>
        <v>35</v>
      </c>
      <c r="D325" s="303">
        <f t="shared" ref="D325:F325" si="155">D174</f>
        <v>0.1</v>
      </c>
      <c r="E325" s="303" t="str">
        <f t="shared" si="155"/>
        <v>-</v>
      </c>
      <c r="F325" s="303" t="str">
        <f t="shared" si="155"/>
        <v>-</v>
      </c>
      <c r="G325" s="303">
        <f>G174</f>
        <v>0</v>
      </c>
      <c r="I325" s="792"/>
      <c r="J325" s="303">
        <v>16</v>
      </c>
      <c r="K325" s="303">
        <f>J174</f>
        <v>70</v>
      </c>
      <c r="L325" s="303">
        <f>K174</f>
        <v>-1.8</v>
      </c>
      <c r="M325" s="303" t="str">
        <f>L174</f>
        <v>-</v>
      </c>
      <c r="N325" s="303" t="str">
        <f>M174</f>
        <v>-</v>
      </c>
      <c r="O325" s="303">
        <f>N174</f>
        <v>0</v>
      </c>
      <c r="Q325" s="792"/>
      <c r="R325" s="303">
        <v>16</v>
      </c>
      <c r="S325" s="303">
        <f>Q174</f>
        <v>1000</v>
      </c>
      <c r="T325" s="303">
        <f>R174</f>
        <v>-0.4</v>
      </c>
      <c r="U325" s="303" t="str">
        <f>S174</f>
        <v>-</v>
      </c>
      <c r="V325" s="303" t="str">
        <f>T174</f>
        <v>-</v>
      </c>
      <c r="W325" s="305">
        <f>U174</f>
        <v>0</v>
      </c>
      <c r="AE325" s="281"/>
    </row>
    <row r="326" spans="1:31" hidden="1" x14ac:dyDescent="0.25">
      <c r="A326" s="792"/>
      <c r="B326" s="303">
        <v>17</v>
      </c>
      <c r="C326" s="303">
        <f>C185</f>
        <v>35</v>
      </c>
      <c r="D326" s="303">
        <f t="shared" ref="D326:F326" si="156">D185</f>
        <v>-0.5</v>
      </c>
      <c r="E326" s="303" t="str">
        <f t="shared" si="156"/>
        <v>-</v>
      </c>
      <c r="F326" s="303" t="str">
        <f t="shared" si="156"/>
        <v>-</v>
      </c>
      <c r="G326" s="303">
        <f>G185</f>
        <v>0</v>
      </c>
      <c r="I326" s="792"/>
      <c r="J326" s="303">
        <v>17</v>
      </c>
      <c r="K326" s="303">
        <f>J185</f>
        <v>70</v>
      </c>
      <c r="L326" s="303">
        <f>K185</f>
        <v>-0.3</v>
      </c>
      <c r="M326" s="303" t="str">
        <f>L185</f>
        <v>-</v>
      </c>
      <c r="N326" s="303" t="str">
        <f>M185</f>
        <v>-</v>
      </c>
      <c r="O326" s="303">
        <f>N185</f>
        <v>0</v>
      </c>
      <c r="Q326" s="792"/>
      <c r="R326" s="303">
        <v>17</v>
      </c>
      <c r="S326" s="303">
        <f>Q185</f>
        <v>1000</v>
      </c>
      <c r="T326" s="303">
        <f>R185</f>
        <v>-0.6</v>
      </c>
      <c r="U326" s="303" t="str">
        <f>S185</f>
        <v>-</v>
      </c>
      <c r="V326" s="303" t="str">
        <f>T185</f>
        <v>-</v>
      </c>
      <c r="W326" s="305">
        <f>U185</f>
        <v>0</v>
      </c>
      <c r="AE326" s="281"/>
    </row>
    <row r="327" spans="1:31" hidden="1" x14ac:dyDescent="0.25">
      <c r="A327" s="792"/>
      <c r="B327" s="303">
        <v>18</v>
      </c>
      <c r="C327" s="303">
        <f>C196</f>
        <v>35</v>
      </c>
      <c r="D327" s="303">
        <f t="shared" ref="D327:F327" si="157">D196</f>
        <v>-0.3</v>
      </c>
      <c r="E327" s="303" t="str">
        <f t="shared" si="157"/>
        <v>-</v>
      </c>
      <c r="F327" s="303" t="str">
        <f t="shared" si="157"/>
        <v>-</v>
      </c>
      <c r="G327" s="303">
        <f>G196</f>
        <v>0</v>
      </c>
      <c r="I327" s="792"/>
      <c r="J327" s="303">
        <v>18</v>
      </c>
      <c r="K327" s="303">
        <f>J196</f>
        <v>70</v>
      </c>
      <c r="L327" s="303">
        <f>K196</f>
        <v>-0.3</v>
      </c>
      <c r="M327" s="303" t="str">
        <f>L196</f>
        <v>-</v>
      </c>
      <c r="N327" s="303" t="str">
        <f>M196</f>
        <v>-</v>
      </c>
      <c r="O327" s="303">
        <f>N196</f>
        <v>0</v>
      </c>
      <c r="Q327" s="792"/>
      <c r="R327" s="303">
        <v>18</v>
      </c>
      <c r="S327" s="303">
        <f>Q196</f>
        <v>1000</v>
      </c>
      <c r="T327" s="303">
        <f>R196</f>
        <v>-0.8</v>
      </c>
      <c r="U327" s="303" t="str">
        <f>S196</f>
        <v>-</v>
      </c>
      <c r="V327" s="303" t="str">
        <f>T196</f>
        <v>-</v>
      </c>
      <c r="W327" s="305">
        <f>U196</f>
        <v>0</v>
      </c>
      <c r="AE327" s="281"/>
    </row>
    <row r="328" spans="1:31" hidden="1" x14ac:dyDescent="0.25">
      <c r="A328" s="792"/>
      <c r="B328" s="303">
        <v>19</v>
      </c>
      <c r="C328" s="303">
        <f>C207</f>
        <v>35</v>
      </c>
      <c r="D328" s="303">
        <f t="shared" ref="D328:F328" si="158">D207</f>
        <v>-0.1</v>
      </c>
      <c r="E328" s="303" t="str">
        <f t="shared" si="158"/>
        <v>-</v>
      </c>
      <c r="F328" s="303" t="str">
        <f t="shared" si="158"/>
        <v>-</v>
      </c>
      <c r="G328" s="303">
        <f>G207</f>
        <v>0</v>
      </c>
      <c r="I328" s="792"/>
      <c r="J328" s="303">
        <v>19</v>
      </c>
      <c r="K328" s="303">
        <f>J207</f>
        <v>70</v>
      </c>
      <c r="L328" s="303">
        <f>K207</f>
        <v>-0.7</v>
      </c>
      <c r="M328" s="303" t="str">
        <f>L207</f>
        <v>-</v>
      </c>
      <c r="N328" s="303" t="str">
        <f>M207</f>
        <v>-</v>
      </c>
      <c r="O328" s="303">
        <f>N207</f>
        <v>0</v>
      </c>
      <c r="Q328" s="792"/>
      <c r="R328" s="303">
        <v>19</v>
      </c>
      <c r="S328" s="303">
        <f>Q207</f>
        <v>1000</v>
      </c>
      <c r="T328" s="303">
        <f>R207</f>
        <v>2.2000000000000002</v>
      </c>
      <c r="U328" s="303" t="str">
        <f>S207</f>
        <v>-</v>
      </c>
      <c r="V328" s="303" t="str">
        <f>T207</f>
        <v>-</v>
      </c>
      <c r="W328" s="305">
        <f>U207</f>
        <v>0</v>
      </c>
      <c r="AE328" s="281"/>
    </row>
    <row r="329" spans="1:31" ht="13.8" hidden="1" thickBot="1" x14ac:dyDescent="0.3">
      <c r="A329" s="792"/>
      <c r="B329" s="303">
        <v>20</v>
      </c>
      <c r="C329" s="303">
        <f>C218</f>
        <v>34.5</v>
      </c>
      <c r="D329" s="303" t="str">
        <f t="shared" ref="D329:F329" si="159">D218</f>
        <v>-</v>
      </c>
      <c r="E329" s="303" t="str">
        <f t="shared" si="159"/>
        <v>-</v>
      </c>
      <c r="F329" s="303" t="str">
        <f t="shared" si="159"/>
        <v>-</v>
      </c>
      <c r="G329" s="303">
        <f>G218</f>
        <v>0</v>
      </c>
      <c r="I329" s="792"/>
      <c r="J329" s="303">
        <v>20</v>
      </c>
      <c r="K329" s="303">
        <f>J218</f>
        <v>80.8</v>
      </c>
      <c r="L329" s="303" t="str">
        <f>K218</f>
        <v>-</v>
      </c>
      <c r="M329" s="303" t="str">
        <f>L218</f>
        <v>-</v>
      </c>
      <c r="N329" s="303" t="str">
        <f>M218</f>
        <v>-</v>
      </c>
      <c r="O329" s="303">
        <f>N218</f>
        <v>0</v>
      </c>
      <c r="Q329" s="793"/>
      <c r="R329" s="313">
        <v>20</v>
      </c>
      <c r="S329" s="313">
        <f>Q218</f>
        <v>1000</v>
      </c>
      <c r="T329" s="313" t="str">
        <f>R218</f>
        <v>-</v>
      </c>
      <c r="U329" s="313" t="str">
        <f>S218</f>
        <v>-</v>
      </c>
      <c r="V329" s="313" t="str">
        <f>T218</f>
        <v>-</v>
      </c>
      <c r="W329" s="328">
        <f>U218</f>
        <v>0</v>
      </c>
      <c r="AE329" s="317"/>
    </row>
    <row r="330" spans="1:31" ht="13.8" hidden="1" thickBot="1" x14ac:dyDescent="0.3">
      <c r="A330" s="40"/>
      <c r="B330" s="40"/>
      <c r="C330" s="40"/>
      <c r="D330" s="40"/>
      <c r="E330" s="40"/>
      <c r="F330" s="298"/>
      <c r="G330" s="40"/>
      <c r="I330" s="40"/>
      <c r="J330" s="40"/>
      <c r="K330" s="40"/>
      <c r="L330" s="40"/>
      <c r="M330" s="40"/>
      <c r="N330" s="298"/>
      <c r="O330" s="40"/>
      <c r="Q330" s="329"/>
      <c r="R330" s="319"/>
      <c r="S330" s="330"/>
      <c r="T330" s="330"/>
      <c r="U330" s="330"/>
      <c r="W330" s="331"/>
      <c r="AE330" s="281"/>
    </row>
    <row r="331" spans="1:31" hidden="1" x14ac:dyDescent="0.25">
      <c r="A331" s="792">
        <v>6</v>
      </c>
      <c r="B331" s="303">
        <v>1</v>
      </c>
      <c r="C331" s="303">
        <f>C10</f>
        <v>37</v>
      </c>
      <c r="D331" s="303">
        <f t="shared" ref="D331:F331" si="160">D10</f>
        <v>0.1</v>
      </c>
      <c r="E331" s="303">
        <f t="shared" si="160"/>
        <v>-0.2</v>
      </c>
      <c r="F331" s="303">
        <f t="shared" si="160"/>
        <v>-0.6</v>
      </c>
      <c r="G331" s="303">
        <f>G10</f>
        <v>0.35</v>
      </c>
      <c r="I331" s="792">
        <v>6</v>
      </c>
      <c r="J331" s="303">
        <v>1</v>
      </c>
      <c r="K331" s="303">
        <f>J10</f>
        <v>80</v>
      </c>
      <c r="L331" s="303">
        <f>K10</f>
        <v>-0.7</v>
      </c>
      <c r="M331" s="303">
        <f>L10</f>
        <v>-3.2</v>
      </c>
      <c r="N331" s="303">
        <f>M10</f>
        <v>0.7</v>
      </c>
      <c r="O331" s="303">
        <f>N10</f>
        <v>1.9500000000000002</v>
      </c>
      <c r="Q331" s="791">
        <v>6</v>
      </c>
      <c r="R331" s="323">
        <v>1</v>
      </c>
      <c r="S331" s="323">
        <f>Q10</f>
        <v>1005</v>
      </c>
      <c r="T331" s="323" t="str">
        <f>R10</f>
        <v>-</v>
      </c>
      <c r="U331" s="323" t="str">
        <f>S10</f>
        <v>-</v>
      </c>
      <c r="V331" s="323" t="str">
        <f>T10</f>
        <v>-</v>
      </c>
      <c r="W331" s="332">
        <f>U10</f>
        <v>0</v>
      </c>
      <c r="AE331" s="326"/>
    </row>
    <row r="332" spans="1:31" hidden="1" x14ac:dyDescent="0.25">
      <c r="A332" s="792"/>
      <c r="B332" s="303">
        <v>2</v>
      </c>
      <c r="C332" s="303">
        <f>C21</f>
        <v>37</v>
      </c>
      <c r="D332" s="303">
        <f t="shared" ref="D332:F332" si="161">D21</f>
        <v>-0.2</v>
      </c>
      <c r="E332" s="303">
        <f t="shared" si="161"/>
        <v>-0.3</v>
      </c>
      <c r="F332" s="303" t="str">
        <f t="shared" si="161"/>
        <v>-</v>
      </c>
      <c r="G332" s="303">
        <f>G21</f>
        <v>4.9999999999999989E-2</v>
      </c>
      <c r="I332" s="792"/>
      <c r="J332" s="303">
        <v>2</v>
      </c>
      <c r="K332" s="303">
        <f>J21</f>
        <v>80</v>
      </c>
      <c r="L332" s="303">
        <f>K21</f>
        <v>-0.5</v>
      </c>
      <c r="M332" s="303">
        <f>L21</f>
        <v>-0.7</v>
      </c>
      <c r="N332" s="303" t="str">
        <f>M21</f>
        <v>-</v>
      </c>
      <c r="O332" s="303">
        <f>N21</f>
        <v>9.9999999999999978E-2</v>
      </c>
      <c r="Q332" s="792"/>
      <c r="R332" s="303">
        <v>2</v>
      </c>
      <c r="S332" s="303">
        <f>Q21</f>
        <v>1005</v>
      </c>
      <c r="T332" s="303" t="str">
        <f>R21</f>
        <v>-</v>
      </c>
      <c r="U332" s="303" t="str">
        <f>S21</f>
        <v>-</v>
      </c>
      <c r="V332" s="303" t="str">
        <f>T21</f>
        <v>-</v>
      </c>
      <c r="W332" s="305">
        <f>U21</f>
        <v>0</v>
      </c>
      <c r="AE332" s="281"/>
    </row>
    <row r="333" spans="1:31" hidden="1" x14ac:dyDescent="0.25">
      <c r="A333" s="792"/>
      <c r="B333" s="303">
        <v>3</v>
      </c>
      <c r="C333" s="303">
        <f>C32</f>
        <v>37</v>
      </c>
      <c r="D333" s="303">
        <f t="shared" ref="D333:F333" si="162">D32</f>
        <v>-0.2</v>
      </c>
      <c r="E333" s="303">
        <f t="shared" si="162"/>
        <v>-0.6</v>
      </c>
      <c r="F333" s="303" t="str">
        <f t="shared" si="162"/>
        <v>-</v>
      </c>
      <c r="G333" s="303">
        <f>G32</f>
        <v>0.19999999999999998</v>
      </c>
      <c r="I333" s="792"/>
      <c r="J333" s="303">
        <v>3</v>
      </c>
      <c r="K333" s="303">
        <f>J32</f>
        <v>80</v>
      </c>
      <c r="L333" s="303">
        <f>K32</f>
        <v>-0.8</v>
      </c>
      <c r="M333" s="303">
        <f>L32</f>
        <v>-2.9</v>
      </c>
      <c r="N333" s="303">
        <f>M32</f>
        <v>0</v>
      </c>
      <c r="O333" s="303">
        <f>N32</f>
        <v>1.0499999999999998</v>
      </c>
      <c r="Q333" s="792"/>
      <c r="R333" s="303">
        <v>3</v>
      </c>
      <c r="S333" s="303">
        <f>Q32</f>
        <v>1005</v>
      </c>
      <c r="T333" s="303" t="str">
        <f>R32</f>
        <v>-</v>
      </c>
      <c r="U333" s="303" t="str">
        <f>S32</f>
        <v>-</v>
      </c>
      <c r="V333" s="303" t="str">
        <f>T32</f>
        <v>-</v>
      </c>
      <c r="W333" s="305">
        <f>U32</f>
        <v>0</v>
      </c>
      <c r="AE333" s="281"/>
    </row>
    <row r="334" spans="1:31" hidden="1" x14ac:dyDescent="0.25">
      <c r="A334" s="792"/>
      <c r="B334" s="303">
        <v>4</v>
      </c>
      <c r="C334" s="303">
        <f>C43</f>
        <v>37</v>
      </c>
      <c r="D334" s="303">
        <f t="shared" ref="D334:F334" si="163">D43</f>
        <v>-0.4</v>
      </c>
      <c r="E334" s="303">
        <f t="shared" si="163"/>
        <v>-0.6</v>
      </c>
      <c r="F334" s="303" t="str">
        <f t="shared" si="163"/>
        <v>-</v>
      </c>
      <c r="G334" s="303">
        <f>G43</f>
        <v>9.9999999999999978E-2</v>
      </c>
      <c r="I334" s="792"/>
      <c r="J334" s="303">
        <v>4</v>
      </c>
      <c r="K334" s="303">
        <f>J43</f>
        <v>80</v>
      </c>
      <c r="L334" s="303">
        <f>K43</f>
        <v>-3.8</v>
      </c>
      <c r="M334" s="303">
        <f>L43</f>
        <v>1.9</v>
      </c>
      <c r="N334" s="303" t="str">
        <f>M43</f>
        <v>-</v>
      </c>
      <c r="O334" s="303">
        <f>N43</f>
        <v>2.8499999999999996</v>
      </c>
      <c r="Q334" s="792"/>
      <c r="R334" s="303">
        <v>4</v>
      </c>
      <c r="S334" s="303">
        <f>Q43</f>
        <v>1005</v>
      </c>
      <c r="T334" s="303" t="str">
        <f>R43</f>
        <v>-</v>
      </c>
      <c r="U334" s="303" t="str">
        <f>S43</f>
        <v>-</v>
      </c>
      <c r="V334" s="303" t="str">
        <f>T43</f>
        <v>-</v>
      </c>
      <c r="W334" s="305">
        <f>U43</f>
        <v>0</v>
      </c>
      <c r="AE334" s="281"/>
    </row>
    <row r="335" spans="1:31" hidden="1" x14ac:dyDescent="0.25">
      <c r="A335" s="792"/>
      <c r="B335" s="303">
        <v>5</v>
      </c>
      <c r="C335" s="303">
        <f>C54</f>
        <v>37</v>
      </c>
      <c r="D335" s="303">
        <f t="shared" ref="D335:F335" si="164">D54</f>
        <v>0.7</v>
      </c>
      <c r="E335" s="303">
        <f t="shared" si="164"/>
        <v>9.9999999999999995E-7</v>
      </c>
      <c r="F335" s="303" t="str">
        <f t="shared" si="164"/>
        <v>-</v>
      </c>
      <c r="G335" s="303">
        <f>G54</f>
        <v>0.34999949999999996</v>
      </c>
      <c r="I335" s="792"/>
      <c r="J335" s="303">
        <v>5</v>
      </c>
      <c r="K335" s="303">
        <f>J54</f>
        <v>80</v>
      </c>
      <c r="L335" s="303">
        <f>K54</f>
        <v>-3</v>
      </c>
      <c r="M335" s="303">
        <f>L54</f>
        <v>0.2</v>
      </c>
      <c r="N335" s="303" t="str">
        <f>M54</f>
        <v>-</v>
      </c>
      <c r="O335" s="303">
        <f>N54</f>
        <v>1.6</v>
      </c>
      <c r="Q335" s="792"/>
      <c r="R335" s="303">
        <v>5</v>
      </c>
      <c r="S335" s="303">
        <f>Q54</f>
        <v>1005</v>
      </c>
      <c r="T335" s="303" t="str">
        <f>R54</f>
        <v>-</v>
      </c>
      <c r="U335" s="303" t="str">
        <f>S54</f>
        <v>-</v>
      </c>
      <c r="V335" s="303" t="str">
        <f>T54</f>
        <v>-</v>
      </c>
      <c r="W335" s="305">
        <f>U54</f>
        <v>0</v>
      </c>
      <c r="AE335" s="281"/>
    </row>
    <row r="336" spans="1:31" hidden="1" x14ac:dyDescent="0.25">
      <c r="A336" s="792"/>
      <c r="B336" s="303">
        <v>6</v>
      </c>
      <c r="C336" s="303">
        <f>C65</f>
        <v>37</v>
      </c>
      <c r="D336" s="303">
        <f t="shared" ref="D336:F336" si="165">D65</f>
        <v>0.1</v>
      </c>
      <c r="E336" s="303">
        <f t="shared" si="165"/>
        <v>-1.1000000000000001</v>
      </c>
      <c r="F336" s="303" t="str">
        <f t="shared" si="165"/>
        <v>-</v>
      </c>
      <c r="G336" s="303">
        <f>G65</f>
        <v>0.60000000000000009</v>
      </c>
      <c r="I336" s="792"/>
      <c r="J336" s="303">
        <v>6</v>
      </c>
      <c r="K336" s="303">
        <f>J65</f>
        <v>80</v>
      </c>
      <c r="L336" s="303">
        <f>K65</f>
        <v>-6.3</v>
      </c>
      <c r="M336" s="303">
        <f>L65</f>
        <v>0.8</v>
      </c>
      <c r="N336" s="303" t="str">
        <f>M65</f>
        <v>-</v>
      </c>
      <c r="O336" s="303">
        <f>N65</f>
        <v>3.55</v>
      </c>
      <c r="Q336" s="792"/>
      <c r="R336" s="303">
        <v>6</v>
      </c>
      <c r="S336" s="303">
        <f>Q65</f>
        <v>1005</v>
      </c>
      <c r="T336" s="303">
        <f>R65</f>
        <v>0.9</v>
      </c>
      <c r="U336" s="303">
        <f>S65</f>
        <v>-0.3</v>
      </c>
      <c r="V336" s="303" t="str">
        <f>T65</f>
        <v>-</v>
      </c>
      <c r="W336" s="305">
        <f>U65</f>
        <v>0.6</v>
      </c>
      <c r="AE336" s="281"/>
    </row>
    <row r="337" spans="1:31" hidden="1" x14ac:dyDescent="0.25">
      <c r="A337" s="792"/>
      <c r="B337" s="303">
        <v>7</v>
      </c>
      <c r="C337" s="303">
        <f>C76</f>
        <v>37</v>
      </c>
      <c r="D337" s="303">
        <f t="shared" ref="D337:F337" si="166">D76</f>
        <v>9.9999999999999995E-7</v>
      </c>
      <c r="E337" s="303">
        <f t="shared" si="166"/>
        <v>-1.4</v>
      </c>
      <c r="F337" s="303" t="str">
        <f t="shared" si="166"/>
        <v>-</v>
      </c>
      <c r="G337" s="303">
        <f>G76</f>
        <v>0.70000049999999991</v>
      </c>
      <c r="I337" s="792"/>
      <c r="J337" s="303">
        <v>7</v>
      </c>
      <c r="K337" s="303">
        <f>J76</f>
        <v>80</v>
      </c>
      <c r="L337" s="303">
        <f>K76</f>
        <v>-2.6</v>
      </c>
      <c r="M337" s="303">
        <f>L76</f>
        <v>1.2</v>
      </c>
      <c r="N337" s="303" t="str">
        <f>M76</f>
        <v>-</v>
      </c>
      <c r="O337" s="303">
        <f>N76</f>
        <v>1.9</v>
      </c>
      <c r="Q337" s="792"/>
      <c r="R337" s="303">
        <v>7</v>
      </c>
      <c r="S337" s="303">
        <f>Q76</f>
        <v>1005</v>
      </c>
      <c r="T337" s="303">
        <f>R76</f>
        <v>-3.8</v>
      </c>
      <c r="U337" s="303">
        <f>S76</f>
        <v>-0.5</v>
      </c>
      <c r="V337" s="303" t="str">
        <f>T76</f>
        <v>-</v>
      </c>
      <c r="W337" s="305">
        <f>U76</f>
        <v>1.65</v>
      </c>
      <c r="AE337" s="281"/>
    </row>
    <row r="338" spans="1:31" hidden="1" x14ac:dyDescent="0.25">
      <c r="A338" s="792"/>
      <c r="B338" s="303">
        <v>8</v>
      </c>
      <c r="C338" s="303">
        <f>C87</f>
        <v>37</v>
      </c>
      <c r="D338" s="303">
        <f t="shared" ref="D338:F338" si="167">D87</f>
        <v>-0.1</v>
      </c>
      <c r="E338" s="303">
        <f t="shared" si="167"/>
        <v>-0.1</v>
      </c>
      <c r="F338" s="303">
        <f t="shared" si="167"/>
        <v>-0.5</v>
      </c>
      <c r="G338" s="303">
        <f>G87</f>
        <v>0.2</v>
      </c>
      <c r="I338" s="792"/>
      <c r="J338" s="303">
        <v>8</v>
      </c>
      <c r="K338" s="303">
        <f>J87</f>
        <v>80</v>
      </c>
      <c r="L338" s="303">
        <f>K87</f>
        <v>-7.6</v>
      </c>
      <c r="M338" s="303">
        <f>L87</f>
        <v>-4.5</v>
      </c>
      <c r="N338" s="303">
        <f>M87</f>
        <v>-1.2</v>
      </c>
      <c r="O338" s="303">
        <f>N87</f>
        <v>3.1999999999999997</v>
      </c>
      <c r="Q338" s="792"/>
      <c r="R338" s="303">
        <v>8</v>
      </c>
      <c r="S338" s="303">
        <f>Q87</f>
        <v>1010</v>
      </c>
      <c r="T338" s="303">
        <f>R87</f>
        <v>0.6</v>
      </c>
      <c r="U338" s="303">
        <f>S87</f>
        <v>-3.4</v>
      </c>
      <c r="V338" s="303">
        <f>T87</f>
        <v>0.2</v>
      </c>
      <c r="W338" s="305">
        <f>U87</f>
        <v>2</v>
      </c>
      <c r="AE338" s="281"/>
    </row>
    <row r="339" spans="1:31" hidden="1" x14ac:dyDescent="0.25">
      <c r="A339" s="792"/>
      <c r="B339" s="303">
        <v>9</v>
      </c>
      <c r="C339" s="303">
        <f>C98</f>
        <v>37</v>
      </c>
      <c r="D339" s="303">
        <f t="shared" ref="D339:F339" si="168">D98</f>
        <v>-0.5</v>
      </c>
      <c r="E339" s="303" t="str">
        <f t="shared" si="168"/>
        <v>-</v>
      </c>
      <c r="F339" s="303" t="str">
        <f t="shared" si="168"/>
        <v>-</v>
      </c>
      <c r="G339" s="303">
        <f>G98</f>
        <v>0</v>
      </c>
      <c r="I339" s="792"/>
      <c r="J339" s="303">
        <v>9</v>
      </c>
      <c r="K339" s="303">
        <f>J98</f>
        <v>80</v>
      </c>
      <c r="L339" s="303">
        <f>K98</f>
        <v>-0.5</v>
      </c>
      <c r="M339" s="303" t="str">
        <f>L98</f>
        <v>-</v>
      </c>
      <c r="N339" s="303" t="str">
        <f>M98</f>
        <v>-</v>
      </c>
      <c r="O339" s="303">
        <f>N98</f>
        <v>0</v>
      </c>
      <c r="Q339" s="792"/>
      <c r="R339" s="303">
        <v>9</v>
      </c>
      <c r="S339" s="303">
        <f>Q98</f>
        <v>1005</v>
      </c>
      <c r="T339" s="303">
        <f>R98</f>
        <v>0.2</v>
      </c>
      <c r="U339" s="303" t="str">
        <f>S98</f>
        <v>-</v>
      </c>
      <c r="V339" s="303" t="str">
        <f>T98</f>
        <v>-</v>
      </c>
      <c r="W339" s="305">
        <f>U98</f>
        <v>0</v>
      </c>
      <c r="AE339" s="281"/>
    </row>
    <row r="340" spans="1:31" hidden="1" x14ac:dyDescent="0.25">
      <c r="A340" s="792"/>
      <c r="B340" s="303">
        <v>10</v>
      </c>
      <c r="C340" s="303">
        <f>C109</f>
        <v>37</v>
      </c>
      <c r="D340" s="303">
        <f t="shared" ref="D340:F340" si="169">D109</f>
        <v>0.2</v>
      </c>
      <c r="E340" s="303">
        <f t="shared" si="169"/>
        <v>0.4</v>
      </c>
      <c r="F340" s="303" t="str">
        <f t="shared" si="169"/>
        <v>-</v>
      </c>
      <c r="G340" s="303">
        <f>G109</f>
        <v>0.1</v>
      </c>
      <c r="I340" s="792"/>
      <c r="J340" s="303">
        <v>10</v>
      </c>
      <c r="K340" s="303">
        <f>J109</f>
        <v>80</v>
      </c>
      <c r="L340" s="303">
        <f>K109</f>
        <v>2.2000000000000002</v>
      </c>
      <c r="M340" s="303">
        <f>L109</f>
        <v>-4.7</v>
      </c>
      <c r="N340" s="303" t="str">
        <f>M109</f>
        <v>-</v>
      </c>
      <c r="O340" s="303">
        <f>N109</f>
        <v>3.45</v>
      </c>
      <c r="Q340" s="792"/>
      <c r="R340" s="303">
        <v>10</v>
      </c>
      <c r="S340" s="303">
        <f>Q109</f>
        <v>1005</v>
      </c>
      <c r="T340" s="303" t="str">
        <f>R109</f>
        <v>-</v>
      </c>
      <c r="U340" s="303" t="str">
        <f>S109</f>
        <v>-</v>
      </c>
      <c r="V340" s="303" t="str">
        <f>T109</f>
        <v>-</v>
      </c>
      <c r="W340" s="305">
        <f>U109</f>
        <v>0</v>
      </c>
      <c r="AE340" s="281"/>
    </row>
    <row r="341" spans="1:31" hidden="1" x14ac:dyDescent="0.25">
      <c r="A341" s="792"/>
      <c r="B341" s="303">
        <v>11</v>
      </c>
      <c r="C341" s="303">
        <f>C120</f>
        <v>37</v>
      </c>
      <c r="D341" s="303">
        <f t="shared" ref="D341:F341" si="170">D120</f>
        <v>0.5</v>
      </c>
      <c r="E341" s="303">
        <f t="shared" si="170"/>
        <v>0.5</v>
      </c>
      <c r="F341" s="303" t="str">
        <f t="shared" si="170"/>
        <v>-</v>
      </c>
      <c r="G341" s="303">
        <f>G120</f>
        <v>0</v>
      </c>
      <c r="I341" s="792"/>
      <c r="J341" s="303">
        <v>11</v>
      </c>
      <c r="K341" s="303">
        <f>J120</f>
        <v>80</v>
      </c>
      <c r="L341" s="303">
        <f>K120</f>
        <v>-1.4</v>
      </c>
      <c r="M341" s="303">
        <f>L120</f>
        <v>2.6</v>
      </c>
      <c r="N341" s="303" t="str">
        <f>M120</f>
        <v>-</v>
      </c>
      <c r="O341" s="303">
        <f>N120</f>
        <v>2</v>
      </c>
      <c r="Q341" s="792"/>
      <c r="R341" s="303">
        <v>11</v>
      </c>
      <c r="S341" s="303">
        <f>Q120</f>
        <v>1005</v>
      </c>
      <c r="T341" s="303" t="str">
        <f>R120</f>
        <v>-</v>
      </c>
      <c r="U341" s="303" t="str">
        <f>S120</f>
        <v>-</v>
      </c>
      <c r="V341" s="303" t="str">
        <f>T120</f>
        <v>-</v>
      </c>
      <c r="W341" s="305">
        <f>U120</f>
        <v>0</v>
      </c>
      <c r="AE341" s="281"/>
    </row>
    <row r="342" spans="1:31" hidden="1" x14ac:dyDescent="0.25">
      <c r="A342" s="792"/>
      <c r="B342" s="303">
        <v>12</v>
      </c>
      <c r="C342" s="303">
        <f>C131</f>
        <v>37</v>
      </c>
      <c r="D342" s="303">
        <f t="shared" ref="D342:F342" si="171">D131</f>
        <v>-0.3</v>
      </c>
      <c r="E342" s="303" t="str">
        <f t="shared" si="171"/>
        <v>-</v>
      </c>
      <c r="F342" s="303" t="str">
        <f t="shared" si="171"/>
        <v>-</v>
      </c>
      <c r="G342" s="303">
        <f>G131</f>
        <v>0</v>
      </c>
      <c r="I342" s="792"/>
      <c r="J342" s="303">
        <v>12</v>
      </c>
      <c r="K342" s="303">
        <f>J131</f>
        <v>80</v>
      </c>
      <c r="L342" s="303">
        <f>K131</f>
        <v>-0.5</v>
      </c>
      <c r="M342" s="303" t="str">
        <f>L131</f>
        <v>-</v>
      </c>
      <c r="N342" s="303" t="str">
        <f>M131</f>
        <v>-</v>
      </c>
      <c r="O342" s="303">
        <f>N131</f>
        <v>0</v>
      </c>
      <c r="Q342" s="792"/>
      <c r="R342" s="303">
        <v>12</v>
      </c>
      <c r="S342" s="303">
        <f>Q131</f>
        <v>1005</v>
      </c>
      <c r="T342" s="303">
        <f>R131</f>
        <v>-0.8</v>
      </c>
      <c r="U342" s="303" t="str">
        <f>S131</f>
        <v>-</v>
      </c>
      <c r="V342" s="303" t="str">
        <f>T131</f>
        <v>-</v>
      </c>
      <c r="W342" s="305">
        <f>U131</f>
        <v>0</v>
      </c>
      <c r="AE342" s="281"/>
    </row>
    <row r="343" spans="1:31" hidden="1" x14ac:dyDescent="0.25">
      <c r="A343" s="792"/>
      <c r="B343" s="303">
        <v>13</v>
      </c>
      <c r="C343" s="303">
        <f>C142</f>
        <v>37</v>
      </c>
      <c r="D343" s="303">
        <f t="shared" ref="D343:F343" si="172">D142</f>
        <v>0.6</v>
      </c>
      <c r="E343" s="303">
        <f t="shared" si="172"/>
        <v>-0.2</v>
      </c>
      <c r="F343" s="303">
        <f t="shared" si="172"/>
        <v>0.4</v>
      </c>
      <c r="G343" s="303">
        <f>G142</f>
        <v>0.4</v>
      </c>
      <c r="I343" s="792"/>
      <c r="J343" s="303">
        <v>13</v>
      </c>
      <c r="K343" s="303">
        <f>J142</f>
        <v>80</v>
      </c>
      <c r="L343" s="303">
        <f>K142</f>
        <v>-1.5</v>
      </c>
      <c r="M343" s="303">
        <f>L142</f>
        <v>-1.2</v>
      </c>
      <c r="N343" s="303">
        <f>M142</f>
        <v>-2.5</v>
      </c>
      <c r="O343" s="303">
        <f>N142</f>
        <v>0.65</v>
      </c>
      <c r="Q343" s="792"/>
      <c r="R343" s="303">
        <v>13</v>
      </c>
      <c r="S343" s="303">
        <f>Q142</f>
        <v>1010</v>
      </c>
      <c r="T343" s="303">
        <f>R142</f>
        <v>4.3</v>
      </c>
      <c r="U343" s="303">
        <f>S142</f>
        <v>3.5</v>
      </c>
      <c r="V343" s="303">
        <f>T142</f>
        <v>1.1000000000000001</v>
      </c>
      <c r="W343" s="305">
        <f>U142</f>
        <v>1.5999999999999999</v>
      </c>
      <c r="AE343" s="281"/>
    </row>
    <row r="344" spans="1:31" hidden="1" x14ac:dyDescent="0.25">
      <c r="A344" s="792"/>
      <c r="B344" s="303">
        <v>14</v>
      </c>
      <c r="C344" s="303">
        <f>C153</f>
        <v>37</v>
      </c>
      <c r="D344" s="303">
        <f t="shared" ref="D344:F344" si="173">D153</f>
        <v>0.4</v>
      </c>
      <c r="E344" s="303">
        <f t="shared" si="173"/>
        <v>-0.7</v>
      </c>
      <c r="F344" s="303">
        <f t="shared" si="173"/>
        <v>-0.8</v>
      </c>
      <c r="G344" s="303">
        <f>G153</f>
        <v>0.60000000000000009</v>
      </c>
      <c r="I344" s="792"/>
      <c r="J344" s="303">
        <v>14</v>
      </c>
      <c r="K344" s="303">
        <f>J153</f>
        <v>80</v>
      </c>
      <c r="L344" s="303">
        <f>K153</f>
        <v>0.6</v>
      </c>
      <c r="M344" s="303">
        <f>L153</f>
        <v>1.1000000000000001</v>
      </c>
      <c r="N344" s="303">
        <f>M153</f>
        <v>-0.9</v>
      </c>
      <c r="O344" s="303">
        <f>N153</f>
        <v>1</v>
      </c>
      <c r="Q344" s="792"/>
      <c r="R344" s="303">
        <v>14</v>
      </c>
      <c r="S344" s="303">
        <f>Q153</f>
        <v>1010</v>
      </c>
      <c r="T344" s="303">
        <f>R153</f>
        <v>4.4000000000000004</v>
      </c>
      <c r="U344" s="303">
        <f>S153</f>
        <v>3.7</v>
      </c>
      <c r="V344" s="303">
        <f>T153</f>
        <v>1.1000000000000001</v>
      </c>
      <c r="W344" s="305">
        <f>U153</f>
        <v>1.6500000000000001</v>
      </c>
      <c r="AE344" s="281"/>
    </row>
    <row r="345" spans="1:31" hidden="1" x14ac:dyDescent="0.25">
      <c r="A345" s="792"/>
      <c r="B345" s="303">
        <v>15</v>
      </c>
      <c r="C345" s="303">
        <f>C164</f>
        <v>37</v>
      </c>
      <c r="D345" s="303">
        <f t="shared" ref="D345:F345" si="174">D164</f>
        <v>0.5</v>
      </c>
      <c r="E345" s="303">
        <f t="shared" si="174"/>
        <v>1</v>
      </c>
      <c r="F345" s="303">
        <f t="shared" si="174"/>
        <v>-0.1</v>
      </c>
      <c r="G345" s="303">
        <f>G164</f>
        <v>0.55000000000000004</v>
      </c>
      <c r="I345" s="792"/>
      <c r="J345" s="303">
        <v>15</v>
      </c>
      <c r="K345" s="303">
        <f>J164</f>
        <v>80</v>
      </c>
      <c r="L345" s="303">
        <f>K164</f>
        <v>-0.7</v>
      </c>
      <c r="M345" s="303">
        <f>L164</f>
        <v>-0.4</v>
      </c>
      <c r="N345" s="303">
        <f>M164</f>
        <v>-1.3</v>
      </c>
      <c r="O345" s="303">
        <f>N164</f>
        <v>0.45</v>
      </c>
      <c r="Q345" s="792"/>
      <c r="R345" s="303">
        <v>15</v>
      </c>
      <c r="S345" s="303">
        <f>Q164</f>
        <v>1010</v>
      </c>
      <c r="T345" s="303">
        <f>R164</f>
        <v>4.5999999999999996</v>
      </c>
      <c r="U345" s="303">
        <f>S164</f>
        <v>3.9</v>
      </c>
      <c r="V345" s="303">
        <f>T164</f>
        <v>1.1000000000000001</v>
      </c>
      <c r="W345" s="305">
        <f>U164</f>
        <v>1.7499999999999998</v>
      </c>
      <c r="AE345" s="281"/>
    </row>
    <row r="346" spans="1:31" hidden="1" x14ac:dyDescent="0.25">
      <c r="A346" s="792"/>
      <c r="B346" s="303">
        <v>16</v>
      </c>
      <c r="C346" s="303">
        <f>C175</f>
        <v>37</v>
      </c>
      <c r="D346" s="303">
        <f t="shared" ref="D346:F346" si="175">D175</f>
        <v>9.9999999999999995E-7</v>
      </c>
      <c r="E346" s="303" t="str">
        <f t="shared" si="175"/>
        <v>-</v>
      </c>
      <c r="F346" s="303" t="str">
        <f t="shared" si="175"/>
        <v>-</v>
      </c>
      <c r="G346" s="303">
        <f>G175</f>
        <v>0</v>
      </c>
      <c r="I346" s="792"/>
      <c r="J346" s="303">
        <v>16</v>
      </c>
      <c r="K346" s="303">
        <f>J175</f>
        <v>80</v>
      </c>
      <c r="L346" s="303">
        <f>K175</f>
        <v>-2.2999999999999998</v>
      </c>
      <c r="M346" s="303" t="str">
        <f>L175</f>
        <v>-</v>
      </c>
      <c r="N346" s="303" t="str">
        <f>M175</f>
        <v>-</v>
      </c>
      <c r="O346" s="303">
        <f>N175</f>
        <v>0</v>
      </c>
      <c r="Q346" s="792"/>
      <c r="R346" s="303">
        <v>16</v>
      </c>
      <c r="S346" s="303">
        <f>Q175</f>
        <v>1005</v>
      </c>
      <c r="T346" s="303">
        <f>R175</f>
        <v>-0.4</v>
      </c>
      <c r="U346" s="303" t="str">
        <f>S175</f>
        <v>-</v>
      </c>
      <c r="V346" s="303" t="str">
        <f>T175</f>
        <v>-</v>
      </c>
      <c r="W346" s="305">
        <f>U175</f>
        <v>0</v>
      </c>
      <c r="AE346" s="281"/>
    </row>
    <row r="347" spans="1:31" hidden="1" x14ac:dyDescent="0.25">
      <c r="A347" s="792"/>
      <c r="B347" s="303">
        <v>17</v>
      </c>
      <c r="C347" s="303">
        <f>C186</f>
        <v>37</v>
      </c>
      <c r="D347" s="303">
        <f t="shared" ref="D347:F347" si="176">D186</f>
        <v>-0.6</v>
      </c>
      <c r="E347" s="303" t="str">
        <f t="shared" si="176"/>
        <v>-</v>
      </c>
      <c r="F347" s="303" t="str">
        <f t="shared" si="176"/>
        <v>-</v>
      </c>
      <c r="G347" s="303">
        <f>G186</f>
        <v>0</v>
      </c>
      <c r="I347" s="792"/>
      <c r="J347" s="303">
        <v>17</v>
      </c>
      <c r="K347" s="303">
        <f>J186</f>
        <v>80</v>
      </c>
      <c r="L347" s="303">
        <f>K186</f>
        <v>-0.8</v>
      </c>
      <c r="M347" s="303" t="str">
        <f>L186</f>
        <v>-</v>
      </c>
      <c r="N347" s="303" t="str">
        <f>M186</f>
        <v>-</v>
      </c>
      <c r="O347" s="303">
        <f>N186</f>
        <v>0</v>
      </c>
      <c r="Q347" s="792"/>
      <c r="R347" s="303">
        <v>17</v>
      </c>
      <c r="S347" s="303">
        <f>Q186</f>
        <v>1005</v>
      </c>
      <c r="T347" s="303">
        <f>R186</f>
        <v>-0.6</v>
      </c>
      <c r="U347" s="303" t="str">
        <f>S186</f>
        <v>-</v>
      </c>
      <c r="V347" s="303" t="str">
        <f>T186</f>
        <v>-</v>
      </c>
      <c r="W347" s="305">
        <f>U186</f>
        <v>0</v>
      </c>
      <c r="AE347" s="281"/>
    </row>
    <row r="348" spans="1:31" hidden="1" x14ac:dyDescent="0.25">
      <c r="A348" s="792"/>
      <c r="B348" s="303">
        <v>18</v>
      </c>
      <c r="C348" s="303">
        <f>C197</f>
        <v>37</v>
      </c>
      <c r="D348" s="303">
        <f t="shared" ref="D348:F348" si="177">D197</f>
        <v>-0.3</v>
      </c>
      <c r="E348" s="303" t="str">
        <f t="shared" si="177"/>
        <v>-</v>
      </c>
      <c r="F348" s="303" t="str">
        <f t="shared" si="177"/>
        <v>-</v>
      </c>
      <c r="G348" s="303">
        <f>G197</f>
        <v>0</v>
      </c>
      <c r="I348" s="792"/>
      <c r="J348" s="303">
        <v>18</v>
      </c>
      <c r="K348" s="303">
        <f>J197</f>
        <v>80</v>
      </c>
      <c r="L348" s="303">
        <f>K197</f>
        <v>-0.5</v>
      </c>
      <c r="M348" s="303" t="str">
        <f>L197</f>
        <v>-</v>
      </c>
      <c r="N348" s="303" t="str">
        <f>M197</f>
        <v>-</v>
      </c>
      <c r="O348" s="303">
        <f>N197</f>
        <v>0</v>
      </c>
      <c r="Q348" s="792"/>
      <c r="R348" s="303">
        <v>18</v>
      </c>
      <c r="S348" s="303">
        <f>Q197</f>
        <v>1005</v>
      </c>
      <c r="T348" s="303">
        <f>R197</f>
        <v>-0.7</v>
      </c>
      <c r="U348" s="303" t="str">
        <f>S197</f>
        <v>-</v>
      </c>
      <c r="V348" s="303" t="str">
        <f>T197</f>
        <v>-</v>
      </c>
      <c r="W348" s="305">
        <f>U197</f>
        <v>0</v>
      </c>
      <c r="AE348" s="281"/>
    </row>
    <row r="349" spans="1:31" hidden="1" x14ac:dyDescent="0.25">
      <c r="A349" s="792"/>
      <c r="B349" s="303">
        <v>19</v>
      </c>
      <c r="C349" s="303">
        <f>C208</f>
        <v>37</v>
      </c>
      <c r="D349" s="303">
        <f t="shared" ref="D349:F349" si="178">D208</f>
        <v>9.9999999999999995E-7</v>
      </c>
      <c r="E349" s="303" t="str">
        <f t="shared" si="178"/>
        <v>-</v>
      </c>
      <c r="F349" s="303" t="str">
        <f t="shared" si="178"/>
        <v>-</v>
      </c>
      <c r="G349" s="303">
        <f>G208</f>
        <v>0</v>
      </c>
      <c r="I349" s="792"/>
      <c r="J349" s="303">
        <v>19</v>
      </c>
      <c r="K349" s="303">
        <f>J208</f>
        <v>80</v>
      </c>
      <c r="L349" s="303">
        <f>K208</f>
        <v>-0.9</v>
      </c>
      <c r="M349" s="303" t="str">
        <f>L208</f>
        <v>-</v>
      </c>
      <c r="N349" s="303" t="str">
        <f>M208</f>
        <v>-</v>
      </c>
      <c r="O349" s="303">
        <f>N208</f>
        <v>0</v>
      </c>
      <c r="Q349" s="792"/>
      <c r="R349" s="303">
        <v>19</v>
      </c>
      <c r="S349" s="303">
        <f>Q208</f>
        <v>1005</v>
      </c>
      <c r="T349" s="303">
        <f>R208</f>
        <v>2.2000000000000002</v>
      </c>
      <c r="U349" s="303" t="str">
        <f>S208</f>
        <v>-</v>
      </c>
      <c r="V349" s="303" t="str">
        <f>T208</f>
        <v>-</v>
      </c>
      <c r="W349" s="305">
        <f>U208</f>
        <v>0</v>
      </c>
      <c r="AE349" s="281"/>
    </row>
    <row r="350" spans="1:31" ht="13.8" hidden="1" thickBot="1" x14ac:dyDescent="0.3">
      <c r="A350" s="792"/>
      <c r="B350" s="303">
        <v>20</v>
      </c>
      <c r="C350" s="303">
        <f>C219</f>
        <v>39.5</v>
      </c>
      <c r="D350" s="303" t="str">
        <f t="shared" ref="D350:F350" si="179">D219</f>
        <v>-</v>
      </c>
      <c r="E350" s="303" t="str">
        <f t="shared" si="179"/>
        <v>-</v>
      </c>
      <c r="F350" s="303" t="str">
        <f t="shared" si="179"/>
        <v>-</v>
      </c>
      <c r="G350" s="303">
        <f>G219</f>
        <v>0</v>
      </c>
      <c r="I350" s="792"/>
      <c r="J350" s="303">
        <v>20</v>
      </c>
      <c r="K350" s="303">
        <f>J219</f>
        <v>88.7</v>
      </c>
      <c r="L350" s="303" t="str">
        <f>K219</f>
        <v>-</v>
      </c>
      <c r="M350" s="303" t="str">
        <f>L219</f>
        <v>-</v>
      </c>
      <c r="N350" s="303" t="str">
        <f>M219</f>
        <v>-</v>
      </c>
      <c r="O350" s="303">
        <f>N219</f>
        <v>0</v>
      </c>
      <c r="Q350" s="793"/>
      <c r="R350" s="313">
        <v>20</v>
      </c>
      <c r="S350" s="313">
        <f>Q219</f>
        <v>1005</v>
      </c>
      <c r="T350" s="313" t="str">
        <f>R219</f>
        <v>-</v>
      </c>
      <c r="U350" s="313" t="str">
        <f>S219</f>
        <v>-</v>
      </c>
      <c r="V350" s="313" t="str">
        <f>T219</f>
        <v>-</v>
      </c>
      <c r="W350" s="328">
        <f>U219</f>
        <v>0</v>
      </c>
      <c r="AE350" s="317"/>
    </row>
    <row r="351" spans="1:31" ht="13.8" hidden="1" thickBot="1" x14ac:dyDescent="0.3">
      <c r="A351" s="40"/>
      <c r="B351" s="40"/>
      <c r="C351" s="40"/>
      <c r="D351" s="40"/>
      <c r="E351" s="40"/>
      <c r="F351" s="298"/>
      <c r="G351" s="40"/>
      <c r="I351" s="40"/>
      <c r="J351" s="40"/>
      <c r="K351" s="40"/>
      <c r="L351" s="40"/>
      <c r="M351" s="40"/>
      <c r="N351" s="298"/>
      <c r="O351" s="40"/>
      <c r="Q351" s="334"/>
      <c r="R351" s="319"/>
      <c r="S351" s="330"/>
      <c r="T351" s="330"/>
      <c r="U351" s="330"/>
      <c r="W351" s="331"/>
      <c r="AE351" s="281"/>
    </row>
    <row r="352" spans="1:31" hidden="1" x14ac:dyDescent="0.25">
      <c r="A352" s="792">
        <v>7</v>
      </c>
      <c r="B352" s="303">
        <v>1</v>
      </c>
      <c r="C352" s="303">
        <f>C11</f>
        <v>40</v>
      </c>
      <c r="D352" s="303">
        <f t="shared" ref="D352:F352" si="180">D11</f>
        <v>0.3</v>
      </c>
      <c r="E352" s="303">
        <f t="shared" si="180"/>
        <v>-0.3</v>
      </c>
      <c r="F352" s="303">
        <f t="shared" si="180"/>
        <v>-0.8</v>
      </c>
      <c r="G352" s="303">
        <f>G11</f>
        <v>0.55000000000000004</v>
      </c>
      <c r="I352" s="792">
        <v>7</v>
      </c>
      <c r="J352" s="303">
        <v>1</v>
      </c>
      <c r="K352" s="303">
        <f>J11</f>
        <v>90</v>
      </c>
      <c r="L352" s="303">
        <f>K11</f>
        <v>4</v>
      </c>
      <c r="M352" s="303">
        <f>L11</f>
        <v>-1.6</v>
      </c>
      <c r="N352" s="303">
        <f>M11</f>
        <v>4.5</v>
      </c>
      <c r="O352" s="303">
        <f>N11</f>
        <v>3.05</v>
      </c>
      <c r="Q352" s="794">
        <v>7</v>
      </c>
      <c r="R352" s="323">
        <v>1</v>
      </c>
      <c r="S352" s="323">
        <f>Q11</f>
        <v>1020</v>
      </c>
      <c r="T352" s="323" t="str">
        <f>R11</f>
        <v>-</v>
      </c>
      <c r="U352" s="323" t="str">
        <f>S11</f>
        <v>-</v>
      </c>
      <c r="V352" s="323" t="str">
        <f>T11</f>
        <v>-</v>
      </c>
      <c r="W352" s="332">
        <f>U11</f>
        <v>0</v>
      </c>
      <c r="AE352" s="326"/>
    </row>
    <row r="353" spans="1:31" hidden="1" x14ac:dyDescent="0.25">
      <c r="A353" s="792"/>
      <c r="B353" s="303">
        <v>2</v>
      </c>
      <c r="C353" s="303">
        <f>C22</f>
        <v>40</v>
      </c>
      <c r="D353" s="303">
        <f t="shared" ref="D353:F353" si="181">D22</f>
        <v>-0.1</v>
      </c>
      <c r="E353" s="303">
        <f t="shared" si="181"/>
        <v>-0.3</v>
      </c>
      <c r="F353" s="303" t="str">
        <f t="shared" si="181"/>
        <v>-</v>
      </c>
      <c r="G353" s="303">
        <f>G22</f>
        <v>9.9999999999999992E-2</v>
      </c>
      <c r="I353" s="792"/>
      <c r="J353" s="303">
        <v>2</v>
      </c>
      <c r="K353" s="303">
        <f>J22</f>
        <v>90</v>
      </c>
      <c r="L353" s="303">
        <f>K22</f>
        <v>1.7</v>
      </c>
      <c r="M353" s="303">
        <f>L22</f>
        <v>-0.3</v>
      </c>
      <c r="N353" s="303" t="str">
        <f>M22</f>
        <v>-</v>
      </c>
      <c r="O353" s="303">
        <f>N22</f>
        <v>1</v>
      </c>
      <c r="Q353" s="795"/>
      <c r="R353" s="303">
        <v>2</v>
      </c>
      <c r="S353" s="303">
        <f>Q22</f>
        <v>1020</v>
      </c>
      <c r="T353" s="303" t="str">
        <f>R22</f>
        <v>-</v>
      </c>
      <c r="U353" s="303" t="str">
        <f>S22</f>
        <v>-</v>
      </c>
      <c r="V353" s="303" t="str">
        <f>T22</f>
        <v>-</v>
      </c>
      <c r="W353" s="305">
        <f>U22</f>
        <v>0</v>
      </c>
      <c r="AE353" s="281"/>
    </row>
    <row r="354" spans="1:31" hidden="1" x14ac:dyDescent="0.25">
      <c r="A354" s="792"/>
      <c r="B354" s="303">
        <v>3</v>
      </c>
      <c r="C354" s="303">
        <f>C33</f>
        <v>40</v>
      </c>
      <c r="D354" s="303">
        <f t="shared" ref="D354:F354" si="182">D33</f>
        <v>0.2</v>
      </c>
      <c r="E354" s="303">
        <f t="shared" si="182"/>
        <v>-0.7</v>
      </c>
      <c r="F354" s="303" t="str">
        <f t="shared" si="182"/>
        <v>-</v>
      </c>
      <c r="G354" s="303">
        <f>G33</f>
        <v>0.44999999999999996</v>
      </c>
      <c r="I354" s="792"/>
      <c r="J354" s="303">
        <v>3</v>
      </c>
      <c r="K354" s="303">
        <f>J33</f>
        <v>90</v>
      </c>
      <c r="L354" s="303">
        <f>K33</f>
        <v>0.3</v>
      </c>
      <c r="M354" s="303">
        <f>L33</f>
        <v>-2</v>
      </c>
      <c r="N354" s="303">
        <f>M33</f>
        <v>0</v>
      </c>
      <c r="O354" s="303">
        <f>N33</f>
        <v>1.1499999999999999</v>
      </c>
      <c r="Q354" s="795"/>
      <c r="R354" s="303">
        <v>3</v>
      </c>
      <c r="S354" s="303">
        <f>Q33</f>
        <v>1020</v>
      </c>
      <c r="T354" s="303" t="str">
        <f>R33</f>
        <v>-</v>
      </c>
      <c r="U354" s="303" t="str">
        <f>S33</f>
        <v>-</v>
      </c>
      <c r="V354" s="303" t="str">
        <f>T33</f>
        <v>-</v>
      </c>
      <c r="W354" s="305">
        <f>U33</f>
        <v>0</v>
      </c>
      <c r="AE354" s="281"/>
    </row>
    <row r="355" spans="1:31" hidden="1" x14ac:dyDescent="0.25">
      <c r="A355" s="792"/>
      <c r="B355" s="303">
        <v>4</v>
      </c>
      <c r="C355" s="303">
        <f>C44</f>
        <v>40</v>
      </c>
      <c r="D355" s="303">
        <f t="shared" ref="D355:F355" si="183">D44</f>
        <v>-0.5</v>
      </c>
      <c r="E355" s="303">
        <f t="shared" si="183"/>
        <v>-0.6</v>
      </c>
      <c r="F355" s="303" t="str">
        <f t="shared" si="183"/>
        <v>-</v>
      </c>
      <c r="G355" s="303">
        <f>G44</f>
        <v>4.9999999999999989E-2</v>
      </c>
      <c r="I355" s="792"/>
      <c r="J355" s="303">
        <v>4</v>
      </c>
      <c r="K355" s="303">
        <f>J44</f>
        <v>90</v>
      </c>
      <c r="L355" s="303">
        <f>K44</f>
        <v>-3.5</v>
      </c>
      <c r="M355" s="303">
        <f>L44</f>
        <v>3.3</v>
      </c>
      <c r="N355" s="303" t="str">
        <f>M44</f>
        <v>-</v>
      </c>
      <c r="O355" s="303">
        <f>N44</f>
        <v>3.4</v>
      </c>
      <c r="Q355" s="795"/>
      <c r="R355" s="303">
        <v>4</v>
      </c>
      <c r="S355" s="303">
        <f>Q44</f>
        <v>1020</v>
      </c>
      <c r="T355" s="303" t="str">
        <f>R44</f>
        <v>-</v>
      </c>
      <c r="U355" s="303" t="str">
        <f>S44</f>
        <v>-</v>
      </c>
      <c r="V355" s="303" t="str">
        <f>T44</f>
        <v>-</v>
      </c>
      <c r="W355" s="305">
        <f>U44</f>
        <v>0</v>
      </c>
      <c r="AE355" s="281"/>
    </row>
    <row r="356" spans="1:31" hidden="1" x14ac:dyDescent="0.25">
      <c r="A356" s="792"/>
      <c r="B356" s="303">
        <v>5</v>
      </c>
      <c r="C356" s="303">
        <f>C55</f>
        <v>40</v>
      </c>
      <c r="D356" s="303">
        <f t="shared" ref="D356:F356" si="184">D55</f>
        <v>0.7</v>
      </c>
      <c r="E356" s="303">
        <f t="shared" si="184"/>
        <v>-0.1</v>
      </c>
      <c r="F356" s="303" t="str">
        <f t="shared" si="184"/>
        <v>-</v>
      </c>
      <c r="G356" s="303">
        <f>G55</f>
        <v>0.39999999999999997</v>
      </c>
      <c r="I356" s="792"/>
      <c r="J356" s="303">
        <v>5</v>
      </c>
      <c r="K356" s="303">
        <f>J55</f>
        <v>90</v>
      </c>
      <c r="L356" s="303">
        <f>K55</f>
        <v>-1.8</v>
      </c>
      <c r="M356" s="303">
        <f>L55</f>
        <v>2.7</v>
      </c>
      <c r="N356" s="303" t="str">
        <f>M55</f>
        <v>-</v>
      </c>
      <c r="O356" s="303">
        <f>N55</f>
        <v>2.25</v>
      </c>
      <c r="Q356" s="795"/>
      <c r="R356" s="303">
        <v>5</v>
      </c>
      <c r="S356" s="303">
        <f>Q55</f>
        <v>1020</v>
      </c>
      <c r="T356" s="303" t="str">
        <f>R55</f>
        <v>-</v>
      </c>
      <c r="U356" s="303" t="str">
        <f>S55</f>
        <v>-</v>
      </c>
      <c r="V356" s="303" t="str">
        <f>T55</f>
        <v>-</v>
      </c>
      <c r="W356" s="305">
        <f>U55</f>
        <v>0</v>
      </c>
      <c r="AE356" s="281"/>
    </row>
    <row r="357" spans="1:31" hidden="1" x14ac:dyDescent="0.25">
      <c r="A357" s="792"/>
      <c r="B357" s="303">
        <v>6</v>
      </c>
      <c r="C357" s="303">
        <f>C66</f>
        <v>40</v>
      </c>
      <c r="D357" s="303">
        <f t="shared" ref="D357:F357" si="185">D66</f>
        <v>0.1</v>
      </c>
      <c r="E357" s="303">
        <f t="shared" si="185"/>
        <v>-1.4</v>
      </c>
      <c r="F357" s="303" t="str">
        <f t="shared" si="185"/>
        <v>-</v>
      </c>
      <c r="G357" s="303">
        <f>G66</f>
        <v>0.75</v>
      </c>
      <c r="I357" s="792"/>
      <c r="J357" s="303">
        <v>6</v>
      </c>
      <c r="K357" s="303">
        <f>J66</f>
        <v>90</v>
      </c>
      <c r="L357" s="303">
        <f>K66</f>
        <v>-5.2</v>
      </c>
      <c r="M357" s="303">
        <f>L66</f>
        <v>0.7</v>
      </c>
      <c r="N357" s="303" t="str">
        <f>M66</f>
        <v>-</v>
      </c>
      <c r="O357" s="303">
        <f>N66</f>
        <v>2.95</v>
      </c>
      <c r="Q357" s="795"/>
      <c r="R357" s="303">
        <v>6</v>
      </c>
      <c r="S357" s="303">
        <f>Q66</f>
        <v>1020</v>
      </c>
      <c r="T357" s="303">
        <f>R66</f>
        <v>0.9</v>
      </c>
      <c r="U357" s="303">
        <f>S66</f>
        <v>9.9999999999999995E-7</v>
      </c>
      <c r="V357" s="303" t="str">
        <f>T66</f>
        <v>-</v>
      </c>
      <c r="W357" s="305">
        <f>U66</f>
        <v>0.4499995</v>
      </c>
      <c r="AE357" s="281"/>
    </row>
    <row r="358" spans="1:31" hidden="1" x14ac:dyDescent="0.25">
      <c r="A358" s="792"/>
      <c r="B358" s="303">
        <v>7</v>
      </c>
      <c r="C358" s="303">
        <f>C77</f>
        <v>40</v>
      </c>
      <c r="D358" s="303">
        <f t="shared" ref="D358:F358" si="186">D77</f>
        <v>0.1</v>
      </c>
      <c r="E358" s="303">
        <f t="shared" si="186"/>
        <v>-1.7</v>
      </c>
      <c r="F358" s="303" t="str">
        <f t="shared" si="186"/>
        <v>-</v>
      </c>
      <c r="G358" s="303">
        <f>G77</f>
        <v>0.9</v>
      </c>
      <c r="I358" s="792"/>
      <c r="J358" s="303">
        <v>7</v>
      </c>
      <c r="K358" s="303">
        <f>J77</f>
        <v>90</v>
      </c>
      <c r="L358" s="303">
        <f>K77</f>
        <v>-3</v>
      </c>
      <c r="M358" s="303">
        <f>L77</f>
        <v>1.8</v>
      </c>
      <c r="N358" s="303" t="str">
        <f>M77</f>
        <v>-</v>
      </c>
      <c r="O358" s="303">
        <f>N77</f>
        <v>2.4</v>
      </c>
      <c r="Q358" s="795"/>
      <c r="R358" s="303">
        <v>7</v>
      </c>
      <c r="S358" s="303">
        <f>Q77</f>
        <v>1020</v>
      </c>
      <c r="T358" s="303">
        <f>R77</f>
        <v>-3.8</v>
      </c>
      <c r="U358" s="303">
        <f>S77</f>
        <v>9.9999999999999995E-7</v>
      </c>
      <c r="V358" s="303" t="str">
        <f>T77</f>
        <v>-</v>
      </c>
      <c r="W358" s="305">
        <f>U77</f>
        <v>1.9000005</v>
      </c>
      <c r="AE358" s="281"/>
    </row>
    <row r="359" spans="1:31" hidden="1" x14ac:dyDescent="0.25">
      <c r="A359" s="792"/>
      <c r="B359" s="303">
        <v>8</v>
      </c>
      <c r="C359" s="303">
        <f>C88</f>
        <v>40</v>
      </c>
      <c r="D359" s="303">
        <f t="shared" ref="D359:F359" si="187">D88</f>
        <v>-0.1</v>
      </c>
      <c r="E359" s="303">
        <f t="shared" si="187"/>
        <v>9.9999999999999995E-7</v>
      </c>
      <c r="F359" s="303">
        <f t="shared" si="187"/>
        <v>-0.4</v>
      </c>
      <c r="G359" s="303">
        <f>G88</f>
        <v>0.2000005</v>
      </c>
      <c r="I359" s="792"/>
      <c r="J359" s="303">
        <v>8</v>
      </c>
      <c r="K359" s="303">
        <f>J88</f>
        <v>90</v>
      </c>
      <c r="L359" s="303">
        <f>K88</f>
        <v>-9.1</v>
      </c>
      <c r="M359" s="303">
        <f>L88</f>
        <v>-4.9000000000000004</v>
      </c>
      <c r="N359" s="303">
        <f>M88</f>
        <v>-1.3</v>
      </c>
      <c r="O359" s="303">
        <f>N88</f>
        <v>3.9</v>
      </c>
      <c r="Q359" s="795"/>
      <c r="R359" s="303">
        <v>8</v>
      </c>
      <c r="S359" s="303">
        <f>Q88</f>
        <v>1020</v>
      </c>
      <c r="T359" s="303">
        <f>R88</f>
        <v>0.6</v>
      </c>
      <c r="U359" s="303">
        <f>S88</f>
        <v>-3.4</v>
      </c>
      <c r="V359" s="303">
        <f>T88</f>
        <v>9.9999999999999995E-7</v>
      </c>
      <c r="W359" s="305">
        <f>U88</f>
        <v>2</v>
      </c>
      <c r="AE359" s="281"/>
    </row>
    <row r="360" spans="1:31" hidden="1" x14ac:dyDescent="0.25">
      <c r="A360" s="792"/>
      <c r="B360" s="303">
        <v>9</v>
      </c>
      <c r="C360" s="303">
        <f>C99</f>
        <v>40</v>
      </c>
      <c r="D360" s="303">
        <f t="shared" ref="D360:F360" si="188">D99</f>
        <v>-0.4</v>
      </c>
      <c r="E360" s="303" t="str">
        <f t="shared" si="188"/>
        <v>-</v>
      </c>
      <c r="F360" s="303" t="str">
        <f t="shared" si="188"/>
        <v>-</v>
      </c>
      <c r="G360" s="303">
        <f>G99</f>
        <v>0</v>
      </c>
      <c r="I360" s="792"/>
      <c r="J360" s="303">
        <v>9</v>
      </c>
      <c r="K360" s="303">
        <f>J99</f>
        <v>90</v>
      </c>
      <c r="L360" s="303">
        <f>K99</f>
        <v>-0.2</v>
      </c>
      <c r="M360" s="303" t="str">
        <f>L99</f>
        <v>-</v>
      </c>
      <c r="N360" s="303" t="str">
        <f>M99</f>
        <v>-</v>
      </c>
      <c r="O360" s="303">
        <f>N99</f>
        <v>0</v>
      </c>
      <c r="Q360" s="795"/>
      <c r="R360" s="303">
        <v>9</v>
      </c>
      <c r="S360" s="303">
        <f>Q99</f>
        <v>1020</v>
      </c>
      <c r="T360" s="303">
        <f>R99</f>
        <v>9.9999999999999995E-7</v>
      </c>
      <c r="U360" s="303" t="str">
        <f>S99</f>
        <v>-</v>
      </c>
      <c r="V360" s="303" t="str">
        <f>T99</f>
        <v>-</v>
      </c>
      <c r="W360" s="305">
        <f>U99</f>
        <v>0</v>
      </c>
      <c r="AE360" s="281"/>
    </row>
    <row r="361" spans="1:31" hidden="1" x14ac:dyDescent="0.25">
      <c r="A361" s="792"/>
      <c r="B361" s="303">
        <v>10</v>
      </c>
      <c r="C361" s="303">
        <f>C110</f>
        <v>40</v>
      </c>
      <c r="D361" s="303">
        <f t="shared" ref="D361:F361" si="189">D110</f>
        <v>0.2</v>
      </c>
      <c r="E361" s="303">
        <f t="shared" si="189"/>
        <v>9.9999999999999995E-7</v>
      </c>
      <c r="F361" s="303" t="str">
        <f t="shared" si="189"/>
        <v>-</v>
      </c>
      <c r="G361" s="303">
        <f>G110</f>
        <v>9.9999500000000005E-2</v>
      </c>
      <c r="I361" s="792"/>
      <c r="J361" s="303">
        <v>10</v>
      </c>
      <c r="K361" s="303">
        <f>J110</f>
        <v>90</v>
      </c>
      <c r="L361" s="303">
        <f>K110</f>
        <v>5.4</v>
      </c>
      <c r="M361" s="303">
        <f>L110</f>
        <v>9.9999999999999995E-7</v>
      </c>
      <c r="N361" s="303" t="str">
        <f>M110</f>
        <v>-</v>
      </c>
      <c r="O361" s="303">
        <f>N110</f>
        <v>2.6999995000000001</v>
      </c>
      <c r="Q361" s="795"/>
      <c r="R361" s="303">
        <v>10</v>
      </c>
      <c r="S361" s="303">
        <f>Q110</f>
        <v>1020</v>
      </c>
      <c r="T361" s="303" t="str">
        <f>R110</f>
        <v>-</v>
      </c>
      <c r="U361" s="303" t="str">
        <f>S110</f>
        <v>-</v>
      </c>
      <c r="V361" s="303" t="str">
        <f>T110</f>
        <v>-</v>
      </c>
      <c r="W361" s="305">
        <f>U110</f>
        <v>0</v>
      </c>
      <c r="AE361" s="281"/>
    </row>
    <row r="362" spans="1:31" hidden="1" x14ac:dyDescent="0.25">
      <c r="A362" s="792"/>
      <c r="B362" s="303">
        <v>11</v>
      </c>
      <c r="C362" s="303">
        <f>C121</f>
        <v>40</v>
      </c>
      <c r="D362" s="303">
        <f t="shared" ref="D362:F362" si="190">D121</f>
        <v>0.5</v>
      </c>
      <c r="E362" s="303">
        <f t="shared" si="190"/>
        <v>9.9999999999999995E-7</v>
      </c>
      <c r="F362" s="303" t="str">
        <f t="shared" si="190"/>
        <v>-</v>
      </c>
      <c r="G362" s="303">
        <f>G121</f>
        <v>0.24999950000000001</v>
      </c>
      <c r="I362" s="792"/>
      <c r="J362" s="303">
        <v>11</v>
      </c>
      <c r="K362" s="303">
        <f>J121</f>
        <v>90</v>
      </c>
      <c r="L362" s="303">
        <f>K121</f>
        <v>1.3</v>
      </c>
      <c r="M362" s="303">
        <f>L121</f>
        <v>9.9999999999999995E-7</v>
      </c>
      <c r="N362" s="303" t="str">
        <f>M121</f>
        <v>-</v>
      </c>
      <c r="O362" s="303">
        <f>N121</f>
        <v>0.64999950000000006</v>
      </c>
      <c r="Q362" s="795"/>
      <c r="R362" s="303">
        <v>11</v>
      </c>
      <c r="S362" s="303">
        <f>Q121</f>
        <v>1020</v>
      </c>
      <c r="T362" s="303" t="str">
        <f>R121</f>
        <v>-</v>
      </c>
      <c r="U362" s="303" t="str">
        <f>S121</f>
        <v>-</v>
      </c>
      <c r="V362" s="303" t="str">
        <f>T121</f>
        <v>-</v>
      </c>
      <c r="W362" s="305">
        <f>U121</f>
        <v>0</v>
      </c>
      <c r="AE362" s="281"/>
    </row>
    <row r="363" spans="1:31" hidden="1" x14ac:dyDescent="0.25">
      <c r="A363" s="792"/>
      <c r="B363" s="303">
        <v>12</v>
      </c>
      <c r="C363" s="303">
        <f>C132</f>
        <v>40</v>
      </c>
      <c r="D363" s="303">
        <f t="shared" ref="D363:F363" si="191">D132</f>
        <v>-0.4</v>
      </c>
      <c r="E363" s="303" t="str">
        <f t="shared" si="191"/>
        <v>-</v>
      </c>
      <c r="F363" s="303" t="str">
        <f t="shared" si="191"/>
        <v>-</v>
      </c>
      <c r="G363" s="303">
        <f>G132</f>
        <v>0</v>
      </c>
      <c r="I363" s="792"/>
      <c r="J363" s="303">
        <v>12</v>
      </c>
      <c r="K363" s="303">
        <f>J132</f>
        <v>90</v>
      </c>
      <c r="L363" s="303">
        <f>K132</f>
        <v>-0.9</v>
      </c>
      <c r="M363" s="303" t="str">
        <f>L132</f>
        <v>-</v>
      </c>
      <c r="N363" s="303" t="str">
        <f>M132</f>
        <v>-</v>
      </c>
      <c r="O363" s="303">
        <f>N132</f>
        <v>0</v>
      </c>
      <c r="Q363" s="795"/>
      <c r="R363" s="303">
        <v>12</v>
      </c>
      <c r="S363" s="303">
        <f>Q132</f>
        <v>1020</v>
      </c>
      <c r="T363" s="303">
        <f>R132</f>
        <v>9.9999999999999995E-7</v>
      </c>
      <c r="U363" s="303" t="str">
        <f>S132</f>
        <v>-</v>
      </c>
      <c r="V363" s="303" t="str">
        <f>T132</f>
        <v>-</v>
      </c>
      <c r="W363" s="305">
        <f>U132</f>
        <v>0</v>
      </c>
      <c r="AE363" s="281"/>
    </row>
    <row r="364" spans="1:31" hidden="1" x14ac:dyDescent="0.25">
      <c r="A364" s="792"/>
      <c r="B364" s="303">
        <v>13</v>
      </c>
      <c r="C364" s="303">
        <f>C143</f>
        <v>40</v>
      </c>
      <c r="D364" s="303">
        <f t="shared" ref="D364:F364" si="192">D143</f>
        <v>0.7</v>
      </c>
      <c r="E364" s="303">
        <f t="shared" si="192"/>
        <v>-0.2</v>
      </c>
      <c r="F364" s="303">
        <f t="shared" si="192"/>
        <v>0.5</v>
      </c>
      <c r="G364" s="303">
        <f>G143</f>
        <v>0.44999999999999996</v>
      </c>
      <c r="I364" s="792"/>
      <c r="J364" s="303">
        <v>13</v>
      </c>
      <c r="K364" s="303">
        <f>J143</f>
        <v>90</v>
      </c>
      <c r="L364" s="303">
        <f>K143</f>
        <v>-0.4</v>
      </c>
      <c r="M364" s="303">
        <f>L143</f>
        <v>-1</v>
      </c>
      <c r="N364" s="303">
        <f>M143</f>
        <v>-3.2</v>
      </c>
      <c r="O364" s="303">
        <f>N143</f>
        <v>1.4000000000000001</v>
      </c>
      <c r="Q364" s="795"/>
      <c r="R364" s="303">
        <v>13</v>
      </c>
      <c r="S364" s="303">
        <f>Q143</f>
        <v>1020</v>
      </c>
      <c r="T364" s="303">
        <f>R143</f>
        <v>4.3</v>
      </c>
      <c r="U364" s="303">
        <f>S143</f>
        <v>9.9999999999999995E-7</v>
      </c>
      <c r="V364" s="303">
        <f>T143</f>
        <v>9.9999999999999995E-7</v>
      </c>
      <c r="W364" s="305">
        <f>U143</f>
        <v>2.1499994999999998</v>
      </c>
      <c r="AE364" s="281"/>
    </row>
    <row r="365" spans="1:31" hidden="1" x14ac:dyDescent="0.25">
      <c r="A365" s="792"/>
      <c r="B365" s="303">
        <v>14</v>
      </c>
      <c r="C365" s="303">
        <f>C154</f>
        <v>40</v>
      </c>
      <c r="D365" s="303">
        <f t="shared" ref="D365:F365" si="193">D154</f>
        <v>0.4</v>
      </c>
      <c r="E365" s="303">
        <f t="shared" si="193"/>
        <v>-0.8</v>
      </c>
      <c r="F365" s="303">
        <f t="shared" si="193"/>
        <v>-1.1000000000000001</v>
      </c>
      <c r="G365" s="303">
        <f>G154</f>
        <v>0.75</v>
      </c>
      <c r="I365" s="792"/>
      <c r="J365" s="303">
        <v>14</v>
      </c>
      <c r="K365" s="303">
        <f>J154</f>
        <v>90</v>
      </c>
      <c r="L365" s="303">
        <f>K154</f>
        <v>1.9</v>
      </c>
      <c r="M365" s="303">
        <f>L154</f>
        <v>1.5</v>
      </c>
      <c r="N365" s="303">
        <f>M154</f>
        <v>-0.8</v>
      </c>
      <c r="O365" s="303">
        <f>N154</f>
        <v>1.35</v>
      </c>
      <c r="Q365" s="795"/>
      <c r="R365" s="303">
        <v>14</v>
      </c>
      <c r="S365" s="303">
        <f>Q154</f>
        <v>1020</v>
      </c>
      <c r="T365" s="303">
        <f>R154</f>
        <v>4.4000000000000004</v>
      </c>
      <c r="U365" s="303">
        <f>S154</f>
        <v>9.9999999999999995E-7</v>
      </c>
      <c r="V365" s="303">
        <f>T154</f>
        <v>9.9999999999999995E-7</v>
      </c>
      <c r="W365" s="305">
        <f>U154</f>
        <v>2.1999995000000001</v>
      </c>
      <c r="AE365" s="281"/>
    </row>
    <row r="366" spans="1:31" hidden="1" x14ac:dyDescent="0.25">
      <c r="A366" s="792"/>
      <c r="B366" s="303">
        <v>15</v>
      </c>
      <c r="C366" s="303">
        <f>C165</f>
        <v>40</v>
      </c>
      <c r="D366" s="303">
        <f t="shared" ref="D366:F366" si="194">D165</f>
        <v>0.6</v>
      </c>
      <c r="E366" s="303">
        <f t="shared" si="194"/>
        <v>1.4</v>
      </c>
      <c r="F366" s="303">
        <f t="shared" si="194"/>
        <v>9.9999999999999995E-7</v>
      </c>
      <c r="G366" s="303">
        <f>G165</f>
        <v>0.6999995</v>
      </c>
      <c r="I366" s="792"/>
      <c r="J366" s="303">
        <v>15</v>
      </c>
      <c r="K366" s="303">
        <f>J165</f>
        <v>90</v>
      </c>
      <c r="L366" s="303">
        <f>K165</f>
        <v>0.1</v>
      </c>
      <c r="M366" s="303">
        <f>L165</f>
        <v>-0.1</v>
      </c>
      <c r="N366" s="303">
        <f>M165</f>
        <v>-2</v>
      </c>
      <c r="O366" s="303">
        <f>N165</f>
        <v>1.05</v>
      </c>
      <c r="Q366" s="795"/>
      <c r="R366" s="303">
        <v>15</v>
      </c>
      <c r="S366" s="303">
        <f>Q165</f>
        <v>1020</v>
      </c>
      <c r="T366" s="303">
        <f>R165</f>
        <v>4.5999999999999996</v>
      </c>
      <c r="U366" s="303">
        <f>S165</f>
        <v>9.9999999999999995E-7</v>
      </c>
      <c r="V366" s="303">
        <f>T165</f>
        <v>9.9999999999999995E-7</v>
      </c>
      <c r="W366" s="305">
        <f>U165</f>
        <v>2.2999994999999998</v>
      </c>
      <c r="AE366" s="281"/>
    </row>
    <row r="367" spans="1:31" hidden="1" x14ac:dyDescent="0.25">
      <c r="A367" s="792"/>
      <c r="B367" s="303">
        <v>16</v>
      </c>
      <c r="C367" s="303">
        <f>C176</f>
        <v>40</v>
      </c>
      <c r="D367" s="303">
        <f t="shared" ref="D367:F367" si="195">D176</f>
        <v>9.9999999999999995E-7</v>
      </c>
      <c r="E367" s="303" t="str">
        <f t="shared" si="195"/>
        <v>-</v>
      </c>
      <c r="F367" s="303" t="str">
        <f t="shared" si="195"/>
        <v>-</v>
      </c>
      <c r="G367" s="303">
        <f>G176</f>
        <v>0</v>
      </c>
      <c r="I367" s="792"/>
      <c r="J367" s="303">
        <v>16</v>
      </c>
      <c r="K367" s="303">
        <f>J176</f>
        <v>90</v>
      </c>
      <c r="L367" s="303">
        <f>K176</f>
        <v>-3</v>
      </c>
      <c r="M367" s="303" t="str">
        <f>L176</f>
        <v>-</v>
      </c>
      <c r="N367" s="303" t="str">
        <f>M176</f>
        <v>-</v>
      </c>
      <c r="O367" s="303">
        <f>N176</f>
        <v>0</v>
      </c>
      <c r="Q367" s="795"/>
      <c r="R367" s="303">
        <v>16</v>
      </c>
      <c r="S367" s="303">
        <f>Q176</f>
        <v>1020</v>
      </c>
      <c r="T367" s="303">
        <f>R176</f>
        <v>9.9999999999999995E-7</v>
      </c>
      <c r="U367" s="303" t="str">
        <f>S176</f>
        <v>-</v>
      </c>
      <c r="V367" s="303" t="str">
        <f>T176</f>
        <v>-</v>
      </c>
      <c r="W367" s="305">
        <f>U176</f>
        <v>0</v>
      </c>
      <c r="AE367" s="281"/>
    </row>
    <row r="368" spans="1:31" hidden="1" x14ac:dyDescent="0.25">
      <c r="A368" s="792"/>
      <c r="B368" s="303">
        <v>17</v>
      </c>
      <c r="C368" s="303">
        <f>C187</f>
        <v>40</v>
      </c>
      <c r="D368" s="303">
        <f t="shared" ref="D368:F368" si="196">D187</f>
        <v>-0.8</v>
      </c>
      <c r="E368" s="303" t="str">
        <f t="shared" si="196"/>
        <v>-</v>
      </c>
      <c r="F368" s="303" t="str">
        <f t="shared" si="196"/>
        <v>-</v>
      </c>
      <c r="G368" s="303">
        <f>G187</f>
        <v>0</v>
      </c>
      <c r="I368" s="792"/>
      <c r="J368" s="303">
        <v>17</v>
      </c>
      <c r="K368" s="303">
        <f>J187</f>
        <v>90</v>
      </c>
      <c r="L368" s="303">
        <f>K187</f>
        <v>-1.4</v>
      </c>
      <c r="M368" s="303" t="str">
        <f>L187</f>
        <v>-</v>
      </c>
      <c r="N368" s="303" t="str">
        <f>M187</f>
        <v>-</v>
      </c>
      <c r="O368" s="303">
        <f>N187</f>
        <v>0</v>
      </c>
      <c r="Q368" s="795"/>
      <c r="R368" s="303">
        <v>17</v>
      </c>
      <c r="S368" s="303">
        <f>Q187</f>
        <v>1020</v>
      </c>
      <c r="T368" s="303">
        <f>R187</f>
        <v>9.9999999999999995E-7</v>
      </c>
      <c r="U368" s="303" t="str">
        <f>S187</f>
        <v>-</v>
      </c>
      <c r="V368" s="303" t="str">
        <f>T187</f>
        <v>-</v>
      </c>
      <c r="W368" s="305">
        <f>U187</f>
        <v>0</v>
      </c>
      <c r="AE368" s="281"/>
    </row>
    <row r="369" spans="1:31" hidden="1" x14ac:dyDescent="0.25">
      <c r="A369" s="792"/>
      <c r="B369" s="303">
        <v>18</v>
      </c>
      <c r="C369" s="303">
        <f>C198</f>
        <v>40</v>
      </c>
      <c r="D369" s="303">
        <f t="shared" ref="D369:F369" si="197">D198</f>
        <v>-0.4</v>
      </c>
      <c r="E369" s="303" t="str">
        <f t="shared" si="197"/>
        <v>-</v>
      </c>
      <c r="F369" s="303" t="str">
        <f t="shared" si="197"/>
        <v>-</v>
      </c>
      <c r="G369" s="303">
        <f>G198</f>
        <v>0</v>
      </c>
      <c r="I369" s="792"/>
      <c r="J369" s="303">
        <v>18</v>
      </c>
      <c r="K369" s="303">
        <f>J198</f>
        <v>90</v>
      </c>
      <c r="L369" s="303">
        <f>K198</f>
        <v>-0.8</v>
      </c>
      <c r="M369" s="303" t="str">
        <f>L198</f>
        <v>-</v>
      </c>
      <c r="N369" s="303" t="str">
        <f>M198</f>
        <v>-</v>
      </c>
      <c r="O369" s="303">
        <f>N198</f>
        <v>0</v>
      </c>
      <c r="Q369" s="795"/>
      <c r="R369" s="303">
        <v>18</v>
      </c>
      <c r="S369" s="303">
        <f>Q198</f>
        <v>1020</v>
      </c>
      <c r="T369" s="303">
        <f>R198</f>
        <v>9.9999999999999995E-7</v>
      </c>
      <c r="U369" s="303" t="str">
        <f>S198</f>
        <v>-</v>
      </c>
      <c r="V369" s="303" t="str">
        <f>T198</f>
        <v>-</v>
      </c>
      <c r="W369" s="305">
        <f>U198</f>
        <v>0</v>
      </c>
      <c r="AE369" s="281"/>
    </row>
    <row r="370" spans="1:31" hidden="1" x14ac:dyDescent="0.25">
      <c r="A370" s="792"/>
      <c r="B370" s="303">
        <v>19</v>
      </c>
      <c r="C370" s="303">
        <f>C209</f>
        <v>40</v>
      </c>
      <c r="D370" s="303">
        <f t="shared" ref="D370:F370" si="198">D209</f>
        <v>0.2</v>
      </c>
      <c r="E370" s="303" t="str">
        <f t="shared" si="198"/>
        <v>-</v>
      </c>
      <c r="F370" s="303" t="str">
        <f t="shared" si="198"/>
        <v>-</v>
      </c>
      <c r="G370" s="303">
        <f>G209</f>
        <v>0</v>
      </c>
      <c r="I370" s="792"/>
      <c r="J370" s="303">
        <v>19</v>
      </c>
      <c r="K370" s="303">
        <f>J209</f>
        <v>90</v>
      </c>
      <c r="L370" s="303">
        <f>K209</f>
        <v>-0.6</v>
      </c>
      <c r="M370" s="303" t="str">
        <f>L209</f>
        <v>-</v>
      </c>
      <c r="N370" s="303" t="str">
        <f>M209</f>
        <v>-</v>
      </c>
      <c r="O370" s="303">
        <f>N209</f>
        <v>0</v>
      </c>
      <c r="Q370" s="795"/>
      <c r="R370" s="303">
        <v>19</v>
      </c>
      <c r="S370" s="303">
        <f>Q209</f>
        <v>1020</v>
      </c>
      <c r="T370" s="303">
        <f>R209</f>
        <v>2.2999999999999998</v>
      </c>
      <c r="U370" s="303" t="str">
        <f>S209</f>
        <v>-</v>
      </c>
      <c r="V370" s="303" t="str">
        <f>T209</f>
        <v>-</v>
      </c>
      <c r="W370" s="305">
        <f>U209</f>
        <v>0</v>
      </c>
      <c r="AE370" s="281"/>
    </row>
    <row r="371" spans="1:31" ht="13.8" hidden="1" thickBot="1" x14ac:dyDescent="0.3">
      <c r="A371" s="792"/>
      <c r="B371" s="303">
        <v>20</v>
      </c>
      <c r="C371" s="303">
        <f>C220</f>
        <v>40</v>
      </c>
      <c r="D371" s="303" t="str">
        <f t="shared" ref="D371:F371" si="199">D220</f>
        <v>-</v>
      </c>
      <c r="E371" s="303" t="str">
        <f t="shared" si="199"/>
        <v>-</v>
      </c>
      <c r="F371" s="303" t="str">
        <f t="shared" si="199"/>
        <v>-</v>
      </c>
      <c r="G371" s="303">
        <f>G220</f>
        <v>0</v>
      </c>
      <c r="I371" s="792"/>
      <c r="J371" s="303">
        <v>20</v>
      </c>
      <c r="K371" s="303">
        <f>J220</f>
        <v>90</v>
      </c>
      <c r="L371" s="303" t="str">
        <f>K220</f>
        <v>-</v>
      </c>
      <c r="M371" s="303" t="str">
        <f>L220</f>
        <v>-</v>
      </c>
      <c r="N371" s="303" t="str">
        <f>M220</f>
        <v>-</v>
      </c>
      <c r="O371" s="303">
        <f>N220</f>
        <v>0</v>
      </c>
      <c r="Q371" s="796"/>
      <c r="R371" s="313">
        <v>20</v>
      </c>
      <c r="S371" s="313">
        <f>Q220</f>
        <v>1020</v>
      </c>
      <c r="T371" s="313" t="str">
        <f>R220</f>
        <v>-</v>
      </c>
      <c r="U371" s="313" t="str">
        <f>S220</f>
        <v>-</v>
      </c>
      <c r="V371" s="313" t="str">
        <f>T220</f>
        <v>-</v>
      </c>
      <c r="W371" s="328">
        <f>U220</f>
        <v>0</v>
      </c>
      <c r="AE371" s="317"/>
    </row>
    <row r="372" spans="1:31" ht="13.8" thickBot="1" x14ac:dyDescent="0.3">
      <c r="A372" s="335"/>
      <c r="B372" s="336"/>
      <c r="C372" s="322"/>
      <c r="D372" s="322"/>
      <c r="E372" s="322"/>
      <c r="F372" s="322"/>
      <c r="G372" s="322"/>
      <c r="H372" s="281"/>
      <c r="I372" s="316"/>
      <c r="J372" s="336"/>
      <c r="K372" s="322"/>
      <c r="L372" s="322"/>
      <c r="M372" s="322"/>
      <c r="N372" s="322"/>
      <c r="O372" s="322"/>
      <c r="P372" s="281"/>
    </row>
    <row r="373" spans="1:31" ht="29.25" customHeight="1" x14ac:dyDescent="0.25">
      <c r="A373" s="337">
        <f>A410</f>
        <v>7</v>
      </c>
      <c r="B373" s="797" t="str">
        <f>A389</f>
        <v>Thermohygrolight, Merek : Greisinger, Model : GFTB 200, SN : 34903053</v>
      </c>
      <c r="C373" s="797"/>
      <c r="D373" s="797"/>
      <c r="E373" s="797"/>
      <c r="G373" s="337">
        <f>A373</f>
        <v>7</v>
      </c>
      <c r="H373" s="797" t="str">
        <f>B373</f>
        <v>Thermohygrolight, Merek : Greisinger, Model : GFTB 200, SN : 34903053</v>
      </c>
      <c r="I373" s="797"/>
      <c r="J373" s="797"/>
      <c r="K373" s="797"/>
      <c r="M373" s="337">
        <f>G373</f>
        <v>7</v>
      </c>
      <c r="N373" s="797" t="str">
        <f>H373</f>
        <v>Thermohygrolight, Merek : Greisinger, Model : GFTB 200, SN : 34903053</v>
      </c>
      <c r="O373" s="797"/>
      <c r="P373" s="797"/>
      <c r="Q373" s="797"/>
      <c r="S373" s="338">
        <f>A373</f>
        <v>7</v>
      </c>
      <c r="T373" s="798" t="str">
        <f>H373</f>
        <v>Thermohygrolight, Merek : Greisinger, Model : GFTB 200, SN : 34903053</v>
      </c>
      <c r="U373" s="798"/>
      <c r="V373" s="798"/>
      <c r="W373" s="799"/>
      <c r="Z373" s="422"/>
      <c r="AE373" s="289"/>
    </row>
    <row r="374" spans="1:31" ht="13.8" x14ac:dyDescent="0.25">
      <c r="A374" s="339" t="s">
        <v>153</v>
      </c>
      <c r="B374" s="800" t="s">
        <v>154</v>
      </c>
      <c r="C374" s="800"/>
      <c r="D374" s="800"/>
      <c r="E374" s="800" t="s">
        <v>155</v>
      </c>
      <c r="G374" s="339" t="s">
        <v>18</v>
      </c>
      <c r="H374" s="800" t="s">
        <v>154</v>
      </c>
      <c r="I374" s="800"/>
      <c r="J374" s="800"/>
      <c r="K374" s="800" t="s">
        <v>155</v>
      </c>
      <c r="M374" s="339" t="s">
        <v>156</v>
      </c>
      <c r="N374" s="800" t="s">
        <v>154</v>
      </c>
      <c r="O374" s="800"/>
      <c r="P374" s="800"/>
      <c r="Q374" s="800" t="s">
        <v>155</v>
      </c>
      <c r="S374" s="802"/>
      <c r="T374" s="797" t="s">
        <v>179</v>
      </c>
      <c r="U374" s="797" t="s">
        <v>180</v>
      </c>
      <c r="V374" s="797" t="s">
        <v>181</v>
      </c>
      <c r="W374" s="801" t="s">
        <v>152</v>
      </c>
      <c r="Z374" s="322"/>
    </row>
    <row r="375" spans="1:31" ht="14.4" x14ac:dyDescent="0.25">
      <c r="A375" s="340" t="s">
        <v>178</v>
      </c>
      <c r="B375" s="341">
        <f>VLOOKUP(B373,A390:L409,9,FALSE)</f>
        <v>2021</v>
      </c>
      <c r="C375" s="341">
        <f>VLOOKUP(B373,A390:L409,10,FALSE)</f>
        <v>2018</v>
      </c>
      <c r="D375" s="341" t="str">
        <f>VLOOKUP(B373,A390:L409,11,FALSE)</f>
        <v>-</v>
      </c>
      <c r="E375" s="800"/>
      <c r="G375" s="342" t="s">
        <v>19</v>
      </c>
      <c r="H375" s="341">
        <f>B375</f>
        <v>2021</v>
      </c>
      <c r="I375" s="341">
        <f>C375</f>
        <v>2018</v>
      </c>
      <c r="J375" s="341" t="str">
        <f>D375</f>
        <v>-</v>
      </c>
      <c r="K375" s="800"/>
      <c r="M375" s="342" t="s">
        <v>21</v>
      </c>
      <c r="N375" s="341">
        <f>H375</f>
        <v>2021</v>
      </c>
      <c r="O375" s="341">
        <f>I375</f>
        <v>2018</v>
      </c>
      <c r="P375" s="341" t="str">
        <f>J375</f>
        <v>-</v>
      </c>
      <c r="Q375" s="800"/>
      <c r="S375" s="802"/>
      <c r="T375" s="797"/>
      <c r="U375" s="797"/>
      <c r="V375" s="797"/>
      <c r="W375" s="801"/>
      <c r="Z375" s="322"/>
    </row>
    <row r="376" spans="1:31" x14ac:dyDescent="0.25">
      <c r="A376" s="343">
        <f>VLOOKUP($A$373,$B$226:$G$245,2,FALSE)</f>
        <v>15</v>
      </c>
      <c r="B376" s="344">
        <f>VLOOKUP($A$373,$B$226:$G$245,3,FALSE)</f>
        <v>0.1</v>
      </c>
      <c r="C376" s="344">
        <f>VLOOKUP($A$373,$B$226:$G$245,4,FALSE)</f>
        <v>0.3</v>
      </c>
      <c r="D376" s="344" t="str">
        <f>VLOOKUP($A$373,$B$226:$G$245,5,FALSE)</f>
        <v>-</v>
      </c>
      <c r="E376" s="344">
        <f>VLOOKUP($A$373,$B$226:$G$245,6,FALSE)</f>
        <v>9.9999999999999992E-2</v>
      </c>
      <c r="G376" s="343">
        <f>VLOOKUP($G$373,$J$226:$O$245,2,FALSE)</f>
        <v>30</v>
      </c>
      <c r="H376" s="344">
        <f>VLOOKUP($G$373,$J$226:$O$245,3,FALSE)</f>
        <v>-1.9</v>
      </c>
      <c r="I376" s="344">
        <f>VLOOKUP($G$373,$J$226:$O$245,4,FALSE)</f>
        <v>1.8</v>
      </c>
      <c r="J376" s="344" t="str">
        <f>VLOOKUP($G$373,$J$226:$O$245,5,FALSE)</f>
        <v>-</v>
      </c>
      <c r="K376" s="344">
        <f>VLOOKUP($G$373,$J$226:$O$245,6,FALSE)</f>
        <v>1.85</v>
      </c>
      <c r="M376" s="40">
        <f>VLOOKUP($M$373,$R$226:$W$245,2,FALSE)</f>
        <v>750</v>
      </c>
      <c r="N376" s="40">
        <f>VLOOKUP($M$373,$R$226:$W$245,3,FALSE)</f>
        <v>9.9999999999999995E-7</v>
      </c>
      <c r="O376" s="40">
        <f>VLOOKUP($M$373,$R$226:$W$245,4,FALSE)</f>
        <v>3.2</v>
      </c>
      <c r="P376" s="40" t="str">
        <f>VLOOKUP($M$373,$R$226:$W$245,5,FALSE)</f>
        <v>-</v>
      </c>
      <c r="Q376" s="40">
        <f>VLOOKUP($M$373,$R$226:$W$245,6,FALSE)</f>
        <v>1.5999995</v>
      </c>
      <c r="S376" s="802"/>
      <c r="T376" s="797"/>
      <c r="U376" s="797"/>
      <c r="V376" s="797"/>
      <c r="W376" s="801"/>
      <c r="Z376" s="322"/>
    </row>
    <row r="377" spans="1:31" x14ac:dyDescent="0.25">
      <c r="A377" s="343">
        <f>VLOOKUP($A$373,$B$247:$G$266,2,FALSE)</f>
        <v>20</v>
      </c>
      <c r="B377" s="344">
        <f>VLOOKUP($A$373,$B$247:$G$266,3,FALSE)</f>
        <v>9.9999999999999995E-7</v>
      </c>
      <c r="C377" s="344">
        <f>VLOOKUP($A$373,$B$247:$G$266,4,FALSE)</f>
        <v>0.1</v>
      </c>
      <c r="D377" s="344" t="str">
        <f>VLOOKUP($A$373,$B$247:$G$266,5,FALSE)</f>
        <v>-</v>
      </c>
      <c r="E377" s="344">
        <f>VLOOKUP($A$373,$B$247:$G$266,6,FALSE)</f>
        <v>4.9999500000000002E-2</v>
      </c>
      <c r="G377" s="343">
        <f>VLOOKUP($G$373,$J$247:$O$266,2,FALSE)</f>
        <v>40</v>
      </c>
      <c r="H377" s="344">
        <f>VLOOKUP($G$373,$J$247:$O$266,3,FALSE)</f>
        <v>-1.9</v>
      </c>
      <c r="I377" s="344">
        <f>VLOOKUP($G$373,$J$247:$O$266,4,FALSE)</f>
        <v>1.2</v>
      </c>
      <c r="J377" s="344" t="str">
        <f>VLOOKUP($G$373,$J$247:$O$266,5,FALSE)</f>
        <v>-</v>
      </c>
      <c r="K377" s="344">
        <f>VLOOKUP($G$373,$J$247:$O$266,6,FALSE)</f>
        <v>1.5499999999999998</v>
      </c>
      <c r="M377" s="40">
        <f>VLOOKUP($M$373,$R$247:$W$266,2,FALSE)</f>
        <v>800</v>
      </c>
      <c r="N377" s="40">
        <f>VLOOKUP($M$373,$R$247:$W$266,3,FALSE)</f>
        <v>9.9999999999999995E-7</v>
      </c>
      <c r="O377" s="40">
        <f>VLOOKUP($M$373,$R$247:$W$266,4,FALSE)</f>
        <v>2.5</v>
      </c>
      <c r="P377" s="40" t="str">
        <f>VLOOKUP($M$373,$R$247:$W$266,5,FALSE)</f>
        <v>-</v>
      </c>
      <c r="Q377" s="40">
        <f>VLOOKUP($M$373,$R$247:$W$266,6,FALSE)</f>
        <v>1.2499994999999999</v>
      </c>
      <c r="S377" s="345" t="s">
        <v>153</v>
      </c>
      <c r="T377" s="346">
        <f>AVERAGE(ID!E17:F17)</f>
        <v>21</v>
      </c>
      <c r="U377" s="318">
        <f>T377+S386</f>
        <v>21.03271432436182</v>
      </c>
      <c r="V377" s="346">
        <f>STDEV(ID!E17:F17)</f>
        <v>0</v>
      </c>
      <c r="W377" s="347">
        <f>VLOOKUP(S373,Y225:Z244,2,(FALSE))</f>
        <v>0.2</v>
      </c>
      <c r="Z377" s="322"/>
    </row>
    <row r="378" spans="1:31" x14ac:dyDescent="0.25">
      <c r="A378" s="343">
        <f>VLOOKUP($A$373,$B$268:$G$287,2,FALSE)</f>
        <v>25</v>
      </c>
      <c r="B378" s="344">
        <f>VLOOKUP($A$373,$B$268:$G$287,3,FALSE)</f>
        <v>9.9999999999999995E-7</v>
      </c>
      <c r="C378" s="344">
        <f>VLOOKUP($A$373,$B$268:$G$287,4,FALSE)</f>
        <v>-0.2</v>
      </c>
      <c r="D378" s="344" t="str">
        <f>VLOOKUP($A$373,$B$268:$G$287,5,FALSE)</f>
        <v>-</v>
      </c>
      <c r="E378" s="344">
        <f>VLOOKUP($A$373,$B$268:$G$287,6,FALSE)</f>
        <v>0.10000050000000001</v>
      </c>
      <c r="G378" s="343">
        <f>VLOOKUP($G$373,$J$268:$O$287,2,FALSE)</f>
        <v>50</v>
      </c>
      <c r="H378" s="344">
        <f>VLOOKUP($G$373,$J$268:$O$287,3,FALSE)</f>
        <v>-1.9</v>
      </c>
      <c r="I378" s="344">
        <f>VLOOKUP($G$373,$J$268:$O$287,4,FALSE)</f>
        <v>0.8</v>
      </c>
      <c r="J378" s="344" t="str">
        <f>VLOOKUP($G$373,$J$268:$O$287,5,FALSE)</f>
        <v>-</v>
      </c>
      <c r="K378" s="344">
        <f>VLOOKUP($G$373,$J$268:$O$287,6,FALSE)</f>
        <v>1.35</v>
      </c>
      <c r="M378" s="40">
        <f>VLOOKUP($M$373,$R$268:$W$287,2,FALSE)</f>
        <v>850</v>
      </c>
      <c r="N378" s="40">
        <f>VLOOKUP($M$373,$R$268:$W$287,3,FALSE)</f>
        <v>9.9999999999999995E-7</v>
      </c>
      <c r="O378" s="40">
        <f>VLOOKUP($M$373,$R$268:$W$287,4,FALSE)</f>
        <v>1.7</v>
      </c>
      <c r="P378" s="40" t="str">
        <f>VLOOKUP($M$373,$R$268:$W$287,5,FALSE)</f>
        <v>-</v>
      </c>
      <c r="Q378" s="40">
        <f>VLOOKUP($M$373,$R$268:$W$287,6,FALSE)</f>
        <v>0.84999950000000002</v>
      </c>
      <c r="S378" s="345" t="s">
        <v>19</v>
      </c>
      <c r="T378" s="346">
        <f>AVERAGE(ID!E18:F18)</f>
        <v>65.349999999999994</v>
      </c>
      <c r="U378" s="318">
        <f>T378+T386</f>
        <v>63.009696428571424</v>
      </c>
      <c r="V378" s="346">
        <f>STDEV(ID!E18:F18)</f>
        <v>7.0710678118660789E-2</v>
      </c>
      <c r="W378" s="347">
        <f>VLOOKUP(S373,Y249:Z268,2,(FALSE))</f>
        <v>2.4</v>
      </c>
      <c r="Z378" s="322"/>
    </row>
    <row r="379" spans="1:31" ht="13.8" thickBot="1" x14ac:dyDescent="0.3">
      <c r="A379" s="343">
        <f>VLOOKUP($A$373,$B$289:$G$308,2,FALSE)</f>
        <v>30</v>
      </c>
      <c r="B379" s="344">
        <f>VLOOKUP($A$373,$B$289:$G$308,3,FALSE)</f>
        <v>9.9999999999999995E-7</v>
      </c>
      <c r="C379" s="344">
        <f>VLOOKUP($A$373,$B$289:$G$308,4,FALSE)</f>
        <v>-0.6</v>
      </c>
      <c r="D379" s="344" t="str">
        <f>VLOOKUP($A$373,$B$289:$G$308,5,FALSE)</f>
        <v>-</v>
      </c>
      <c r="E379" s="344">
        <f>VLOOKUP($A$373,$B$289:$G$308,6,FALSE)</f>
        <v>0.3000005</v>
      </c>
      <c r="G379" s="343">
        <f>VLOOKUP($G$373,$J$289:$O$308,2,FALSE)</f>
        <v>60</v>
      </c>
      <c r="H379" s="344">
        <f>VLOOKUP($G$373,$J$289:$O$308,3,FALSE)</f>
        <v>-2.1</v>
      </c>
      <c r="I379" s="344">
        <f>VLOOKUP($G$373,$J$289:$O$308,4,FALSE)</f>
        <v>0.7</v>
      </c>
      <c r="J379" s="344" t="str">
        <f>VLOOKUP($G$373,$J$289:$O$308,5,FALSE)</f>
        <v>-</v>
      </c>
      <c r="K379" s="344">
        <f>VLOOKUP($G$373,$J$289:$O$308,6,FALSE)</f>
        <v>1.4</v>
      </c>
      <c r="M379" s="40">
        <f>VLOOKUP($M$373,$R$289:$W$308,2,FALSE)</f>
        <v>900</v>
      </c>
      <c r="N379" s="40">
        <f>VLOOKUP($M$373,$R$289:$W$308,3,FALSE)</f>
        <v>9.9999999999999995E-7</v>
      </c>
      <c r="O379" s="40">
        <f>VLOOKUP($M$373,$R$289:$W$308,4,FALSE)</f>
        <v>1</v>
      </c>
      <c r="P379" s="40" t="str">
        <f>VLOOKUP($M$373,$R$289:$W$308,5,FALSE)</f>
        <v>-</v>
      </c>
      <c r="Q379" s="40">
        <f>VLOOKUP($M$373,$R$289:$W$308,6,FALSE)</f>
        <v>0.49999949999999999</v>
      </c>
      <c r="S379" s="348" t="s">
        <v>21</v>
      </c>
      <c r="T379" s="349">
        <f>AVERAGE(ID!E19:F19)</f>
        <v>1003.5</v>
      </c>
      <c r="U379" s="350">
        <f>T379+U386</f>
        <v>1000.1466767776988</v>
      </c>
      <c r="V379" s="349">
        <f>STDEV(ID!E19:F19)</f>
        <v>0</v>
      </c>
      <c r="W379" s="351">
        <f>VLOOKUP(S373,Y273:Z292,2,(FALSE))</f>
        <v>2.4</v>
      </c>
      <c r="Z379" s="322"/>
      <c r="AE379" s="352"/>
    </row>
    <row r="380" spans="1:31" ht="13.8" thickBot="1" x14ac:dyDescent="0.3">
      <c r="A380" s="343">
        <f>VLOOKUP($A$373,$B$310:$G$329,2,FALSE)</f>
        <v>35</v>
      </c>
      <c r="B380" s="344">
        <f>VLOOKUP($A$373,$B$310:$G$329,3,FALSE)</f>
        <v>9.9999999999999995E-7</v>
      </c>
      <c r="C380" s="344">
        <f>VLOOKUP($A$373,$B$310:$G$329,4,FALSE)</f>
        <v>-1.1000000000000001</v>
      </c>
      <c r="D380" s="344" t="str">
        <f>VLOOKUP($A$373,$B$310:$G$329,5,FALSE)</f>
        <v>-</v>
      </c>
      <c r="E380" s="344">
        <f>VLOOKUP($A$373,$B$310:$G$329,6,FALSE)</f>
        <v>0.5500005</v>
      </c>
      <c r="G380" s="343">
        <f>VLOOKUP($G$373,$J$310:$O$329,2,FALSE)</f>
        <v>70</v>
      </c>
      <c r="H380" s="344">
        <f>VLOOKUP($G$373,$J$310:$O$329,3,FALSE)</f>
        <v>-2.2999999999999998</v>
      </c>
      <c r="I380" s="344">
        <f>VLOOKUP($G$373,$J$310:$O$329,4,FALSE)</f>
        <v>0.9</v>
      </c>
      <c r="J380" s="344" t="str">
        <f>VLOOKUP($G$373,$J$310:$O$329,5,FALSE)</f>
        <v>-</v>
      </c>
      <c r="K380" s="344">
        <f>VLOOKUP($G$373,$J$310:$O$329,6,FALSE)</f>
        <v>1.5999999999999999</v>
      </c>
      <c r="M380" s="40">
        <f>VLOOKUP($M$373,$R$310:$W$329,2,FALSE)</f>
        <v>1000</v>
      </c>
      <c r="N380" s="40">
        <f>VLOOKUP($M$373,$R$310:$W$329,3,FALSE)</f>
        <v>-3.9</v>
      </c>
      <c r="O380" s="40">
        <f>VLOOKUP($M$373,$R$310:$W$329,4,FALSE)</f>
        <v>-0.4</v>
      </c>
      <c r="P380" s="40" t="str">
        <f>VLOOKUP($M$373,$R$310:$W$329,5,FALSE)</f>
        <v>-</v>
      </c>
      <c r="Q380" s="40">
        <f>VLOOKUP($M$373,$R$310:$W$329,6,FALSE)</f>
        <v>1.75</v>
      </c>
      <c r="S380" s="289"/>
      <c r="W380" s="289"/>
      <c r="Z380" s="322"/>
      <c r="AE380" s="353"/>
    </row>
    <row r="381" spans="1:31" ht="13.8" x14ac:dyDescent="0.25">
      <c r="A381" s="343">
        <f>VLOOKUP($A$373,$B$331:$G$350,2,FALSE)</f>
        <v>37</v>
      </c>
      <c r="B381" s="344">
        <f>VLOOKUP($A$373,$B$331:$G$350,3,FALSE)</f>
        <v>9.9999999999999995E-7</v>
      </c>
      <c r="C381" s="344">
        <f>VLOOKUP($A$373,$B$331:$G$350,4,FALSE)</f>
        <v>-1.4</v>
      </c>
      <c r="D381" s="344" t="str">
        <f>VLOOKUP($A$373,$B$331:$G$350,5,FALSE)</f>
        <v>-</v>
      </c>
      <c r="E381" s="344">
        <f>VLOOKUP($A$373,$B$331:$G$350,6,FALSE)</f>
        <v>0.70000049999999991</v>
      </c>
      <c r="G381" s="343">
        <f>VLOOKUP($G$373,$J$331:$O$350,2,FALSE)</f>
        <v>80</v>
      </c>
      <c r="H381" s="344">
        <f>VLOOKUP($G$373,$J$331:$O$350,3,FALSE)</f>
        <v>-2.6</v>
      </c>
      <c r="I381" s="344">
        <f>VLOOKUP($G$373,$J$331:$O$350,4,FALSE)</f>
        <v>1.2</v>
      </c>
      <c r="J381" s="344" t="str">
        <f>VLOOKUP($G$373,$J$331:$O$350,5,FALSE)</f>
        <v>-</v>
      </c>
      <c r="K381" s="344">
        <f>VLOOKUP($G$373,$J$331:$O$350,6,FALSE)</f>
        <v>1.9</v>
      </c>
      <c r="M381" s="40">
        <f>VLOOKUP($M$373,$R$331:$W$350,2,FALSE)</f>
        <v>1005</v>
      </c>
      <c r="N381" s="40">
        <f>VLOOKUP($M$373,$R$331:$W$350,3,FALSE)</f>
        <v>-3.8</v>
      </c>
      <c r="O381" s="40">
        <f>VLOOKUP($M$373,$R$331:$W$350,4,FALSE)</f>
        <v>-0.5</v>
      </c>
      <c r="P381" s="40" t="str">
        <f>VLOOKUP($M$373,$R$331:$W$350,5,FALSE)</f>
        <v>-</v>
      </c>
      <c r="Q381" s="40">
        <f>VLOOKUP($M$373,$R$331:$W$350,6,FALSE)</f>
        <v>1.65</v>
      </c>
      <c r="S381" s="782" t="s">
        <v>182</v>
      </c>
      <c r="T381" s="354" t="str">
        <f>N393&amp;N390&amp;O393&amp;O390&amp;P393&amp;P390</f>
        <v>( 21.0 ± 0.2 ) °C</v>
      </c>
      <c r="U381" s="355"/>
      <c r="Z381" s="322"/>
      <c r="AE381" s="356"/>
    </row>
    <row r="382" spans="1:31" ht="13.8" x14ac:dyDescent="0.25">
      <c r="A382" s="343">
        <f>VLOOKUP($A$373,$B$352:$G$371,2,FALSE)</f>
        <v>40</v>
      </c>
      <c r="B382" s="344">
        <f>VLOOKUP($A$373,$B$352:$G$371,3,FALSE)</f>
        <v>0.1</v>
      </c>
      <c r="C382" s="344">
        <f>VLOOKUP($A$373,$B$352:$G$371,4,FALSE)</f>
        <v>-1.7</v>
      </c>
      <c r="D382" s="344" t="str">
        <f>VLOOKUP($A$373,$B$352:$G$371,5,FALSE)</f>
        <v>-</v>
      </c>
      <c r="E382" s="344">
        <f>VLOOKUP($A$373,$B$352:$G$371,6,FALSE)</f>
        <v>0.9</v>
      </c>
      <c r="G382" s="343">
        <f>VLOOKUP($G$373,$J$352:$O$371,2,FALSE)</f>
        <v>90</v>
      </c>
      <c r="H382" s="344">
        <f>VLOOKUP($G$373,$J$352:$O$371,3,FALSE)</f>
        <v>-3</v>
      </c>
      <c r="I382" s="344">
        <f>VLOOKUP($G$373,$J$352:$O$371,4,FALSE)</f>
        <v>1.8</v>
      </c>
      <c r="J382" s="344" t="str">
        <f>VLOOKUP($G$373,$J$352:$O$371,5,FALSE)</f>
        <v>-</v>
      </c>
      <c r="K382" s="344">
        <f>VLOOKUP($G$373,$J$352:$O$371,6,FALSE)</f>
        <v>2.4</v>
      </c>
      <c r="M382" s="40">
        <f>VLOOKUP($M$373,$R$352:$W$371,2,FALSE)</f>
        <v>1020</v>
      </c>
      <c r="N382" s="40">
        <f>VLOOKUP($M$373,$R$352:$W$371,3,FALSE)</f>
        <v>-3.8</v>
      </c>
      <c r="O382" s="40">
        <f>VLOOKUP($M$373,$R$352:$W$371,4,FALSE)</f>
        <v>9.9999999999999995E-7</v>
      </c>
      <c r="P382" s="40" t="str">
        <f>VLOOKUP($M$373,$R$352:$W$371,5,FALSE)</f>
        <v>-</v>
      </c>
      <c r="Q382" s="40">
        <f>VLOOKUP($M$373,$R$352:$W$371,6,FALSE)</f>
        <v>1.9000005</v>
      </c>
      <c r="S382" s="783"/>
      <c r="T382" s="357" t="str">
        <f>N393&amp;N391&amp;O393&amp;O391&amp;P393&amp;P391</f>
        <v>( 63.0 ± 2.4 ) %RH</v>
      </c>
      <c r="U382" s="358"/>
      <c r="Z382" s="322"/>
      <c r="AE382" s="356"/>
    </row>
    <row r="383" spans="1:31" ht="14.4" thickBot="1" x14ac:dyDescent="0.3">
      <c r="A383" s="359"/>
      <c r="B383" s="322"/>
      <c r="C383" s="322"/>
      <c r="D383" s="322"/>
      <c r="E383" s="322"/>
      <c r="G383" s="322"/>
      <c r="H383" s="322"/>
      <c r="I383" s="322"/>
      <c r="J383" s="322"/>
      <c r="M383" s="322"/>
      <c r="N383" s="322"/>
      <c r="O383" s="322"/>
      <c r="P383" s="322"/>
      <c r="S383" s="784"/>
      <c r="T383" s="360" t="str">
        <f>N393&amp;N392&amp;O393&amp;O392&amp;P393&amp;P392</f>
        <v>( 1000.1 ± 2.4 ) hPa</v>
      </c>
      <c r="U383" s="361"/>
      <c r="Z383" s="322"/>
      <c r="AE383" s="356"/>
    </row>
    <row r="385" spans="1:21" ht="39.6" x14ac:dyDescent="0.25">
      <c r="S385" s="362" t="s">
        <v>183</v>
      </c>
      <c r="T385" s="362" t="s">
        <v>184</v>
      </c>
      <c r="U385" s="362" t="s">
        <v>185</v>
      </c>
    </row>
    <row r="386" spans="1:21" x14ac:dyDescent="0.25">
      <c r="S386" s="362">
        <f>FORECAST(T377,B376:B382,A376:A382)</f>
        <v>3.2714324361820202E-2</v>
      </c>
      <c r="T386" s="362">
        <f>FORECAST(T378,H376:H382,G376:G382)</f>
        <v>-2.3403035714285707</v>
      </c>
      <c r="U386" s="362">
        <f>FORECAST(T379,N376:N382,M376:M382)</f>
        <v>-3.3533232223012099</v>
      </c>
    </row>
    <row r="388" spans="1:21" ht="13.8" thickBot="1" x14ac:dyDescent="0.3"/>
    <row r="389" spans="1:21" x14ac:dyDescent="0.25">
      <c r="A389" s="785" t="str">
        <f>ID!B63</f>
        <v>Thermohygrolight, Merek : Greisinger, Model : GFTB 200, SN : 34903053</v>
      </c>
      <c r="B389" s="785"/>
      <c r="C389" s="785"/>
      <c r="D389" s="785"/>
      <c r="E389" s="785"/>
      <c r="F389" s="785"/>
      <c r="G389" s="786"/>
      <c r="H389" s="785"/>
      <c r="I389" s="785"/>
      <c r="J389" s="785"/>
      <c r="K389" s="785"/>
      <c r="L389" s="785"/>
      <c r="N389" s="787" t="s">
        <v>186</v>
      </c>
      <c r="O389" s="788"/>
      <c r="P389" s="789"/>
    </row>
    <row r="390" spans="1:21" ht="15.6" x14ac:dyDescent="0.25">
      <c r="A390" s="363" t="s">
        <v>377</v>
      </c>
      <c r="B390" s="303"/>
      <c r="C390" s="303"/>
      <c r="D390" s="363"/>
      <c r="E390" s="363"/>
      <c r="F390" s="364"/>
      <c r="G390" s="365"/>
      <c r="H390" s="366"/>
      <c r="I390" s="367">
        <f>D4</f>
        <v>2023</v>
      </c>
      <c r="J390" s="367">
        <f>E4</f>
        <v>2020</v>
      </c>
      <c r="K390" s="367">
        <f>F4</f>
        <v>2017</v>
      </c>
      <c r="L390" s="367">
        <v>1</v>
      </c>
      <c r="N390" s="368" t="str">
        <f>TEXT(U377,"0.0")</f>
        <v>21.0</v>
      </c>
      <c r="O390" s="369" t="str">
        <f>TEXT(W377,"0.0")</f>
        <v>0.2</v>
      </c>
      <c r="P390" s="370" t="s">
        <v>187</v>
      </c>
    </row>
    <row r="391" spans="1:21" ht="15.6" x14ac:dyDescent="0.25">
      <c r="A391" s="363" t="s">
        <v>378</v>
      </c>
      <c r="B391" s="303"/>
      <c r="C391" s="303"/>
      <c r="D391" s="363"/>
      <c r="E391" s="363"/>
      <c r="F391" s="364"/>
      <c r="G391" s="365"/>
      <c r="H391" s="366"/>
      <c r="I391" s="367">
        <f>D15</f>
        <v>2021</v>
      </c>
      <c r="J391" s="367">
        <f>E15</f>
        <v>2018</v>
      </c>
      <c r="K391" s="367" t="str">
        <f>F15</f>
        <v>-</v>
      </c>
      <c r="L391" s="367">
        <v>2</v>
      </c>
      <c r="N391" s="371" t="str">
        <f>TEXT(U378,"0.0")</f>
        <v>63.0</v>
      </c>
      <c r="O391" s="369" t="str">
        <f>TEXT(W378,"0.0")</f>
        <v>2.4</v>
      </c>
      <c r="P391" s="370" t="s">
        <v>188</v>
      </c>
    </row>
    <row r="392" spans="1:21" ht="15" x14ac:dyDescent="0.25">
      <c r="A392" s="363" t="s">
        <v>379</v>
      </c>
      <c r="B392" s="303"/>
      <c r="C392" s="303"/>
      <c r="D392" s="363"/>
      <c r="E392" s="363"/>
      <c r="F392" s="364"/>
      <c r="G392" s="365"/>
      <c r="H392" s="366"/>
      <c r="I392" s="367">
        <f>D26</f>
        <v>2021</v>
      </c>
      <c r="J392" s="367">
        <f>E26</f>
        <v>2018</v>
      </c>
      <c r="K392" s="367" t="str">
        <f>F26</f>
        <v>-</v>
      </c>
      <c r="L392" s="367">
        <v>3</v>
      </c>
      <c r="N392" s="371" t="str">
        <f>TEXT(U379,"0.0")</f>
        <v>1000.1</v>
      </c>
      <c r="O392" s="369" t="str">
        <f>TEXT(W379,"0.0")</f>
        <v>2.4</v>
      </c>
      <c r="P392" s="372" t="s">
        <v>189</v>
      </c>
    </row>
    <row r="393" spans="1:21" ht="16.2" thickBot="1" x14ac:dyDescent="0.3">
      <c r="A393" s="363" t="s">
        <v>380</v>
      </c>
      <c r="B393" s="303"/>
      <c r="C393" s="303"/>
      <c r="D393" s="363"/>
      <c r="E393" s="363"/>
      <c r="F393" s="364"/>
      <c r="G393" s="365"/>
      <c r="H393" s="366"/>
      <c r="I393" s="367">
        <f>D37</f>
        <v>2019</v>
      </c>
      <c r="J393" s="367">
        <f>E37</f>
        <v>2017</v>
      </c>
      <c r="K393" s="367" t="str">
        <f>F37</f>
        <v>-</v>
      </c>
      <c r="L393" s="367">
        <v>4</v>
      </c>
      <c r="N393" s="373" t="s">
        <v>190</v>
      </c>
      <c r="O393" s="374" t="s">
        <v>191</v>
      </c>
      <c r="P393" s="375" t="s">
        <v>192</v>
      </c>
    </row>
    <row r="394" spans="1:21" x14ac:dyDescent="0.25">
      <c r="A394" s="363" t="s">
        <v>381</v>
      </c>
      <c r="B394" s="303"/>
      <c r="C394" s="303"/>
      <c r="D394" s="363"/>
      <c r="E394" s="363"/>
      <c r="F394" s="364"/>
      <c r="G394" s="365"/>
      <c r="H394" s="366"/>
      <c r="I394" s="367">
        <f>D48</f>
        <v>2020</v>
      </c>
      <c r="J394" s="367">
        <f>E48</f>
        <v>2017</v>
      </c>
      <c r="K394" s="367">
        <f>F48</f>
        <v>2016</v>
      </c>
      <c r="L394" s="367">
        <v>5</v>
      </c>
    </row>
    <row r="395" spans="1:21" x14ac:dyDescent="0.25">
      <c r="A395" s="363" t="s">
        <v>382</v>
      </c>
      <c r="B395" s="303"/>
      <c r="C395" s="303"/>
      <c r="D395" s="363"/>
      <c r="E395" s="363"/>
      <c r="F395" s="364"/>
      <c r="G395" s="365"/>
      <c r="H395" s="366"/>
      <c r="I395" s="367">
        <f>D59</f>
        <v>2019</v>
      </c>
      <c r="J395" s="367">
        <f>E59</f>
        <v>2018</v>
      </c>
      <c r="K395" s="367" t="str">
        <f>F59</f>
        <v>-</v>
      </c>
      <c r="L395" s="367">
        <v>6</v>
      </c>
    </row>
    <row r="396" spans="1:21" x14ac:dyDescent="0.25">
      <c r="A396" s="363" t="s">
        <v>383</v>
      </c>
      <c r="B396" s="303"/>
      <c r="C396" s="303"/>
      <c r="D396" s="363"/>
      <c r="E396" s="363"/>
      <c r="F396" s="364"/>
      <c r="G396" s="365"/>
      <c r="H396" s="366"/>
      <c r="I396" s="367">
        <f>D70</f>
        <v>2021</v>
      </c>
      <c r="J396" s="367">
        <f>E70</f>
        <v>2018</v>
      </c>
      <c r="K396" s="367" t="str">
        <f>F70</f>
        <v>-</v>
      </c>
      <c r="L396" s="367">
        <v>7</v>
      </c>
    </row>
    <row r="397" spans="1:21" x14ac:dyDescent="0.25">
      <c r="A397" s="363" t="s">
        <v>384</v>
      </c>
      <c r="B397" s="303"/>
      <c r="C397" s="303"/>
      <c r="D397" s="363"/>
      <c r="E397" s="363"/>
      <c r="F397" s="364"/>
      <c r="G397" s="365"/>
      <c r="H397" s="366"/>
      <c r="I397" s="367">
        <f>D81</f>
        <v>2023</v>
      </c>
      <c r="J397" s="367">
        <f>E81</f>
        <v>2021</v>
      </c>
      <c r="K397" s="367">
        <f>F81</f>
        <v>2019</v>
      </c>
      <c r="L397" s="367">
        <v>8</v>
      </c>
    </row>
    <row r="398" spans="1:21" x14ac:dyDescent="0.25">
      <c r="A398" s="363" t="s">
        <v>385</v>
      </c>
      <c r="B398" s="303"/>
      <c r="C398" s="303"/>
      <c r="D398" s="363"/>
      <c r="E398" s="363"/>
      <c r="F398" s="364"/>
      <c r="G398" s="365"/>
      <c r="H398" s="366"/>
      <c r="I398" s="367">
        <f>D92</f>
        <v>2019</v>
      </c>
      <c r="J398" s="367" t="str">
        <f>E92</f>
        <v>-</v>
      </c>
      <c r="K398" s="367" t="str">
        <f>F92</f>
        <v>-</v>
      </c>
      <c r="L398" s="367">
        <v>9</v>
      </c>
    </row>
    <row r="399" spans="1:21" x14ac:dyDescent="0.25">
      <c r="A399" s="363" t="s">
        <v>386</v>
      </c>
      <c r="B399" s="303"/>
      <c r="C399" s="303"/>
      <c r="D399" s="363"/>
      <c r="E399" s="363"/>
      <c r="F399" s="364"/>
      <c r="G399" s="365"/>
      <c r="H399" s="366"/>
      <c r="I399" s="367">
        <f>D103</f>
        <v>2019</v>
      </c>
      <c r="J399" s="367">
        <f>E103</f>
        <v>2016</v>
      </c>
      <c r="K399" s="367" t="str">
        <f>F103</f>
        <v>-</v>
      </c>
      <c r="L399" s="367">
        <v>10</v>
      </c>
    </row>
    <row r="400" spans="1:21" x14ac:dyDescent="0.25">
      <c r="A400" s="363" t="s">
        <v>387</v>
      </c>
      <c r="B400" s="303"/>
      <c r="C400" s="303"/>
      <c r="D400" s="363"/>
      <c r="E400" s="363"/>
      <c r="F400" s="364"/>
      <c r="G400" s="365"/>
      <c r="H400" s="366"/>
      <c r="I400" s="367">
        <f>D114</f>
        <v>2020</v>
      </c>
      <c r="J400" s="367">
        <f>E114</f>
        <v>2016</v>
      </c>
      <c r="K400" s="367" t="str">
        <f>F114</f>
        <v>-</v>
      </c>
      <c r="L400" s="367">
        <v>11</v>
      </c>
    </row>
    <row r="401" spans="1:12" x14ac:dyDescent="0.25">
      <c r="A401" s="363" t="s">
        <v>388</v>
      </c>
      <c r="B401" s="303"/>
      <c r="C401" s="303"/>
      <c r="D401" s="363"/>
      <c r="E401" s="363"/>
      <c r="F401" s="364"/>
      <c r="G401" s="365"/>
      <c r="H401" s="366"/>
      <c r="I401" s="367">
        <f>D125</f>
        <v>2020</v>
      </c>
      <c r="J401" s="367" t="str">
        <f>E125</f>
        <v>-</v>
      </c>
      <c r="K401" s="367" t="str">
        <f>F125</f>
        <v>-</v>
      </c>
      <c r="L401" s="367">
        <v>12</v>
      </c>
    </row>
    <row r="402" spans="1:12" x14ac:dyDescent="0.25">
      <c r="A402" s="363" t="s">
        <v>389</v>
      </c>
      <c r="B402" s="303"/>
      <c r="C402" s="303"/>
      <c r="D402" s="363"/>
      <c r="E402" s="363"/>
      <c r="F402" s="364"/>
      <c r="G402" s="365"/>
      <c r="H402" s="366"/>
      <c r="I402" s="367">
        <f>D136</f>
        <v>2023</v>
      </c>
      <c r="J402" s="367">
        <f>E136</f>
        <v>2022</v>
      </c>
      <c r="K402" s="367">
        <f>F136</f>
        <v>2020</v>
      </c>
      <c r="L402" s="367">
        <v>13</v>
      </c>
    </row>
    <row r="403" spans="1:12" x14ac:dyDescent="0.25">
      <c r="A403" s="363" t="s">
        <v>390</v>
      </c>
      <c r="B403" s="303"/>
      <c r="C403" s="303"/>
      <c r="D403" s="363"/>
      <c r="E403" s="363"/>
      <c r="F403" s="364"/>
      <c r="G403" s="365"/>
      <c r="H403" s="366"/>
      <c r="I403" s="367">
        <f>D147</f>
        <v>2023</v>
      </c>
      <c r="J403" s="367">
        <f>E147</f>
        <v>2022</v>
      </c>
      <c r="K403" s="367">
        <f>F147</f>
        <v>2020</v>
      </c>
      <c r="L403" s="367">
        <v>14</v>
      </c>
    </row>
    <row r="404" spans="1:12" x14ac:dyDescent="0.25">
      <c r="A404" s="363" t="s">
        <v>391</v>
      </c>
      <c r="B404" s="303"/>
      <c r="C404" s="303"/>
      <c r="D404" s="363"/>
      <c r="E404" s="363"/>
      <c r="F404" s="364"/>
      <c r="G404" s="365"/>
      <c r="H404" s="366"/>
      <c r="I404" s="367">
        <f>D158</f>
        <v>2023</v>
      </c>
      <c r="J404" s="367">
        <f>E158</f>
        <v>2022</v>
      </c>
      <c r="K404" s="367">
        <f>F158</f>
        <v>2020</v>
      </c>
      <c r="L404" s="367">
        <v>15</v>
      </c>
    </row>
    <row r="405" spans="1:12" x14ac:dyDescent="0.25">
      <c r="A405" s="363" t="s">
        <v>392</v>
      </c>
      <c r="B405" s="303"/>
      <c r="C405" s="303"/>
      <c r="D405" s="363"/>
      <c r="E405" s="363"/>
      <c r="F405" s="364"/>
      <c r="G405" s="365"/>
      <c r="H405" s="366"/>
      <c r="I405" s="367">
        <f>D169</f>
        <v>2020</v>
      </c>
      <c r="J405" s="367" t="str">
        <f>E169</f>
        <v>-</v>
      </c>
      <c r="K405" s="367" t="str">
        <f>F169</f>
        <v>-</v>
      </c>
      <c r="L405" s="367">
        <v>16</v>
      </c>
    </row>
    <row r="406" spans="1:12" x14ac:dyDescent="0.25">
      <c r="A406" s="363" t="s">
        <v>393</v>
      </c>
      <c r="B406" s="303"/>
      <c r="C406" s="303"/>
      <c r="D406" s="363"/>
      <c r="E406" s="363"/>
      <c r="F406" s="364"/>
      <c r="G406" s="365"/>
      <c r="H406" s="366"/>
      <c r="I406" s="367">
        <f>D180</f>
        <v>2020</v>
      </c>
      <c r="J406" s="367" t="str">
        <f>E180</f>
        <v>-</v>
      </c>
      <c r="K406" s="367" t="str">
        <f>F180</f>
        <v>-</v>
      </c>
      <c r="L406" s="367">
        <v>17</v>
      </c>
    </row>
    <row r="407" spans="1:12" x14ac:dyDescent="0.25">
      <c r="A407" s="363" t="s">
        <v>394</v>
      </c>
      <c r="B407" s="303"/>
      <c r="C407" s="303"/>
      <c r="D407" s="363"/>
      <c r="E407" s="363"/>
      <c r="F407" s="364"/>
      <c r="G407" s="365"/>
      <c r="H407" s="366"/>
      <c r="I407" s="367">
        <f>D191</f>
        <v>2020</v>
      </c>
      <c r="J407" s="367" t="str">
        <f>E191</f>
        <v>-</v>
      </c>
      <c r="K407" s="367" t="str">
        <f>F191</f>
        <v>-</v>
      </c>
      <c r="L407" s="367">
        <v>18</v>
      </c>
    </row>
    <row r="408" spans="1:12" x14ac:dyDescent="0.25">
      <c r="A408" s="363" t="s">
        <v>395</v>
      </c>
      <c r="B408" s="304"/>
      <c r="C408" s="304"/>
      <c r="D408" s="376"/>
      <c r="E408" s="376"/>
      <c r="F408" s="377"/>
      <c r="G408" s="365"/>
      <c r="H408" s="366"/>
      <c r="I408" s="367">
        <v>2021</v>
      </c>
      <c r="J408" s="367" t="str">
        <f>E202</f>
        <v>-</v>
      </c>
      <c r="K408" s="367" t="str">
        <f>F202</f>
        <v>-</v>
      </c>
      <c r="L408" s="367">
        <v>19</v>
      </c>
    </row>
    <row r="409" spans="1:12" x14ac:dyDescent="0.25">
      <c r="A409" s="363">
        <v>20</v>
      </c>
      <c r="B409" s="378"/>
      <c r="C409" s="378"/>
      <c r="D409" s="365"/>
      <c r="E409" s="365"/>
      <c r="F409" s="365"/>
      <c r="G409" s="365"/>
      <c r="H409" s="379"/>
      <c r="I409" s="380">
        <f>D213</f>
        <v>2017</v>
      </c>
      <c r="J409" s="380" t="str">
        <f>E213</f>
        <v>-</v>
      </c>
      <c r="K409" s="380" t="str">
        <f>F213</f>
        <v>-</v>
      </c>
      <c r="L409" s="380">
        <v>20</v>
      </c>
    </row>
    <row r="410" spans="1:12" x14ac:dyDescent="0.25">
      <c r="A410" s="790">
        <f>VLOOKUP(A389,A390:L409,12,(FALSE))</f>
        <v>7</v>
      </c>
      <c r="B410" s="790"/>
      <c r="C410" s="790"/>
      <c r="D410" s="790"/>
      <c r="E410" s="790"/>
      <c r="F410" s="790"/>
      <c r="G410" s="790"/>
      <c r="H410" s="790"/>
      <c r="I410" s="790"/>
      <c r="J410" s="790"/>
      <c r="K410" s="790"/>
      <c r="L410" s="790"/>
    </row>
  </sheetData>
  <mergeCells count="403">
    <mergeCell ref="A226:A245"/>
    <mergeCell ref="A268:A287"/>
    <mergeCell ref="I247:I266"/>
    <mergeCell ref="Q247:Q266"/>
    <mergeCell ref="A289:A308"/>
    <mergeCell ref="A310:A329"/>
    <mergeCell ref="A331:A350"/>
    <mergeCell ref="I331:I350"/>
    <mergeCell ref="A352:A371"/>
    <mergeCell ref="B4:C4"/>
    <mergeCell ref="A1:U1"/>
    <mergeCell ref="A2:A11"/>
    <mergeCell ref="B3:C3"/>
    <mergeCell ref="B2:G2"/>
    <mergeCell ref="I2:N2"/>
    <mergeCell ref="P2:U2"/>
    <mergeCell ref="B157:C157"/>
    <mergeCell ref="P157:Q157"/>
    <mergeCell ref="B146:C146"/>
    <mergeCell ref="B15:C15"/>
    <mergeCell ref="P25:Q25"/>
    <mergeCell ref="B26:C26"/>
    <mergeCell ref="B24:G24"/>
    <mergeCell ref="I24:N24"/>
    <mergeCell ref="P24:U24"/>
    <mergeCell ref="A13:A22"/>
    <mergeCell ref="B14:C14"/>
    <mergeCell ref="B13:G13"/>
    <mergeCell ref="I13:N13"/>
    <mergeCell ref="P13:U13"/>
    <mergeCell ref="A46:A55"/>
    <mergeCell ref="B47:C47"/>
    <mergeCell ref="P47:Q47"/>
    <mergeCell ref="B48:C48"/>
    <mergeCell ref="B46:G46"/>
    <mergeCell ref="I46:N46"/>
    <mergeCell ref="P46:U46"/>
    <mergeCell ref="A24:A33"/>
    <mergeCell ref="P36:Q36"/>
    <mergeCell ref="B37:C37"/>
    <mergeCell ref="A35:A44"/>
    <mergeCell ref="B36:C36"/>
    <mergeCell ref="B25:C25"/>
    <mergeCell ref="B35:G35"/>
    <mergeCell ref="I35:N35"/>
    <mergeCell ref="P35:U35"/>
    <mergeCell ref="B70:C70"/>
    <mergeCell ref="A68:A77"/>
    <mergeCell ref="B69:C69"/>
    <mergeCell ref="P58:Q58"/>
    <mergeCell ref="B59:C59"/>
    <mergeCell ref="B68:G68"/>
    <mergeCell ref="I68:N68"/>
    <mergeCell ref="P68:U68"/>
    <mergeCell ref="A57:A66"/>
    <mergeCell ref="B57:G57"/>
    <mergeCell ref="I57:N57"/>
    <mergeCell ref="P57:U57"/>
    <mergeCell ref="B58:C58"/>
    <mergeCell ref="B92:C92"/>
    <mergeCell ref="A90:A99"/>
    <mergeCell ref="B91:C91"/>
    <mergeCell ref="P80:Q80"/>
    <mergeCell ref="B81:C81"/>
    <mergeCell ref="B90:G90"/>
    <mergeCell ref="I90:N90"/>
    <mergeCell ref="P90:U90"/>
    <mergeCell ref="A79:A88"/>
    <mergeCell ref="B79:G79"/>
    <mergeCell ref="I79:N79"/>
    <mergeCell ref="P79:U79"/>
    <mergeCell ref="B80:C80"/>
    <mergeCell ref="B114:C114"/>
    <mergeCell ref="A112:A121"/>
    <mergeCell ref="B113:C113"/>
    <mergeCell ref="P102:Q102"/>
    <mergeCell ref="B103:C103"/>
    <mergeCell ref="B112:G112"/>
    <mergeCell ref="I112:N112"/>
    <mergeCell ref="P112:U112"/>
    <mergeCell ref="A101:A110"/>
    <mergeCell ref="B101:G101"/>
    <mergeCell ref="I101:N101"/>
    <mergeCell ref="P101:U101"/>
    <mergeCell ref="B102:C102"/>
    <mergeCell ref="B124:C124"/>
    <mergeCell ref="P124:Q124"/>
    <mergeCell ref="B125:C125"/>
    <mergeCell ref="B123:G123"/>
    <mergeCell ref="I123:N123"/>
    <mergeCell ref="P123:U123"/>
    <mergeCell ref="A134:A143"/>
    <mergeCell ref="B135:C135"/>
    <mergeCell ref="P135:Q135"/>
    <mergeCell ref="B136:C136"/>
    <mergeCell ref="B134:G134"/>
    <mergeCell ref="I134:N134"/>
    <mergeCell ref="P134:U134"/>
    <mergeCell ref="A123:A132"/>
    <mergeCell ref="A178:A187"/>
    <mergeCell ref="P146:Q146"/>
    <mergeCell ref="B147:C147"/>
    <mergeCell ref="A156:A165"/>
    <mergeCell ref="A145:A154"/>
    <mergeCell ref="B145:G145"/>
    <mergeCell ref="I145:N145"/>
    <mergeCell ref="P145:U145"/>
    <mergeCell ref="B156:G156"/>
    <mergeCell ref="I156:N156"/>
    <mergeCell ref="P156:U156"/>
    <mergeCell ref="B158:C158"/>
    <mergeCell ref="A167:A176"/>
    <mergeCell ref="B168:C168"/>
    <mergeCell ref="P168:Q168"/>
    <mergeCell ref="B169:C169"/>
    <mergeCell ref="B179:C179"/>
    <mergeCell ref="P179:Q179"/>
    <mergeCell ref="B180:C180"/>
    <mergeCell ref="B178:G178"/>
    <mergeCell ref="I178:N178"/>
    <mergeCell ref="P178:U178"/>
    <mergeCell ref="B167:G167"/>
    <mergeCell ref="I167:N167"/>
    <mergeCell ref="A189:A198"/>
    <mergeCell ref="A200:A209"/>
    <mergeCell ref="A247:A266"/>
    <mergeCell ref="A211:A220"/>
    <mergeCell ref="B221:U221"/>
    <mergeCell ref="A223:A225"/>
    <mergeCell ref="B223:B225"/>
    <mergeCell ref="C223:F223"/>
    <mergeCell ref="I223:I225"/>
    <mergeCell ref="B190:C190"/>
    <mergeCell ref="P190:Q190"/>
    <mergeCell ref="B191:C191"/>
    <mergeCell ref="B189:G189"/>
    <mergeCell ref="I189:N189"/>
    <mergeCell ref="P189:U189"/>
    <mergeCell ref="B201:C201"/>
    <mergeCell ref="P201:Q201"/>
    <mergeCell ref="B202:C202"/>
    <mergeCell ref="B200:G200"/>
    <mergeCell ref="I200:N200"/>
    <mergeCell ref="P200:U200"/>
    <mergeCell ref="B212:C212"/>
    <mergeCell ref="P212:Q212"/>
    <mergeCell ref="B213:C213"/>
    <mergeCell ref="W2:X2"/>
    <mergeCell ref="D3:F3"/>
    <mergeCell ref="G3:G4"/>
    <mergeCell ref="I3:J3"/>
    <mergeCell ref="K3:M3"/>
    <mergeCell ref="N3:N4"/>
    <mergeCell ref="R3:T3"/>
    <mergeCell ref="U3:U4"/>
    <mergeCell ref="I4:J4"/>
    <mergeCell ref="P4:Q4"/>
    <mergeCell ref="P3:Q3"/>
    <mergeCell ref="W13:X13"/>
    <mergeCell ref="D14:F14"/>
    <mergeCell ref="G14:G15"/>
    <mergeCell ref="I14:J14"/>
    <mergeCell ref="K14:M14"/>
    <mergeCell ref="N14:N15"/>
    <mergeCell ref="R14:T14"/>
    <mergeCell ref="U14:U15"/>
    <mergeCell ref="I15:J15"/>
    <mergeCell ref="P15:Q15"/>
    <mergeCell ref="P14:Q14"/>
    <mergeCell ref="W24:X24"/>
    <mergeCell ref="D25:F25"/>
    <mergeCell ref="G25:G26"/>
    <mergeCell ref="I25:J25"/>
    <mergeCell ref="K25:M25"/>
    <mergeCell ref="N25:N26"/>
    <mergeCell ref="R25:T25"/>
    <mergeCell ref="U25:U26"/>
    <mergeCell ref="I26:J26"/>
    <mergeCell ref="P26:Q26"/>
    <mergeCell ref="W35:X35"/>
    <mergeCell ref="D36:F36"/>
    <mergeCell ref="G36:G37"/>
    <mergeCell ref="I36:J36"/>
    <mergeCell ref="K36:M36"/>
    <mergeCell ref="N36:N37"/>
    <mergeCell ref="R36:T36"/>
    <mergeCell ref="U36:U37"/>
    <mergeCell ref="I37:J37"/>
    <mergeCell ref="P37:Q37"/>
    <mergeCell ref="W46:X46"/>
    <mergeCell ref="D47:F47"/>
    <mergeCell ref="G47:G48"/>
    <mergeCell ref="I47:J47"/>
    <mergeCell ref="K47:M47"/>
    <mergeCell ref="N47:N48"/>
    <mergeCell ref="R47:T47"/>
    <mergeCell ref="U47:U48"/>
    <mergeCell ref="I48:J48"/>
    <mergeCell ref="P48:Q48"/>
    <mergeCell ref="W57:X57"/>
    <mergeCell ref="D58:F58"/>
    <mergeCell ref="G58:G59"/>
    <mergeCell ref="I58:J58"/>
    <mergeCell ref="K58:M58"/>
    <mergeCell ref="N58:N59"/>
    <mergeCell ref="R58:T58"/>
    <mergeCell ref="U58:U59"/>
    <mergeCell ref="I59:J59"/>
    <mergeCell ref="P59:Q59"/>
    <mergeCell ref="W68:X68"/>
    <mergeCell ref="D69:F69"/>
    <mergeCell ref="G69:G70"/>
    <mergeCell ref="I69:J69"/>
    <mergeCell ref="K69:M69"/>
    <mergeCell ref="N69:N70"/>
    <mergeCell ref="R69:T69"/>
    <mergeCell ref="U69:U70"/>
    <mergeCell ref="I70:J70"/>
    <mergeCell ref="P70:Q70"/>
    <mergeCell ref="P69:Q69"/>
    <mergeCell ref="W79:X79"/>
    <mergeCell ref="D80:F80"/>
    <mergeCell ref="G80:G81"/>
    <mergeCell ref="I80:J80"/>
    <mergeCell ref="K80:M80"/>
    <mergeCell ref="N80:N81"/>
    <mergeCell ref="R80:T80"/>
    <mergeCell ref="U80:U81"/>
    <mergeCell ref="I81:J81"/>
    <mergeCell ref="P81:Q81"/>
    <mergeCell ref="W90:X90"/>
    <mergeCell ref="D91:F91"/>
    <mergeCell ref="G91:G92"/>
    <mergeCell ref="I91:J91"/>
    <mergeCell ref="K91:M91"/>
    <mergeCell ref="N91:N92"/>
    <mergeCell ref="R91:T91"/>
    <mergeCell ref="U91:U92"/>
    <mergeCell ref="I92:J92"/>
    <mergeCell ref="P92:Q92"/>
    <mergeCell ref="P91:Q91"/>
    <mergeCell ref="W101:X101"/>
    <mergeCell ref="D102:F102"/>
    <mergeCell ref="G102:G103"/>
    <mergeCell ref="I102:J102"/>
    <mergeCell ref="K102:M102"/>
    <mergeCell ref="N102:N103"/>
    <mergeCell ref="R102:T102"/>
    <mergeCell ref="U102:U103"/>
    <mergeCell ref="I103:J103"/>
    <mergeCell ref="P103:Q103"/>
    <mergeCell ref="W112:X112"/>
    <mergeCell ref="D113:F113"/>
    <mergeCell ref="G113:G114"/>
    <mergeCell ref="I113:J113"/>
    <mergeCell ref="K113:M113"/>
    <mergeCell ref="N113:N114"/>
    <mergeCell ref="R113:T113"/>
    <mergeCell ref="U113:U114"/>
    <mergeCell ref="I114:J114"/>
    <mergeCell ref="P114:Q114"/>
    <mergeCell ref="P113:Q113"/>
    <mergeCell ref="W123:X123"/>
    <mergeCell ref="D124:F124"/>
    <mergeCell ref="G124:G125"/>
    <mergeCell ref="I124:J124"/>
    <mergeCell ref="K124:M124"/>
    <mergeCell ref="N124:N125"/>
    <mergeCell ref="R124:T124"/>
    <mergeCell ref="U124:U125"/>
    <mergeCell ref="I125:J125"/>
    <mergeCell ref="P125:Q125"/>
    <mergeCell ref="W134:X134"/>
    <mergeCell ref="D135:F135"/>
    <mergeCell ref="G135:G136"/>
    <mergeCell ref="I135:J135"/>
    <mergeCell ref="K135:M135"/>
    <mergeCell ref="N135:N136"/>
    <mergeCell ref="R135:T135"/>
    <mergeCell ref="U135:U136"/>
    <mergeCell ref="I136:J136"/>
    <mergeCell ref="P136:Q136"/>
    <mergeCell ref="W145:X145"/>
    <mergeCell ref="D146:F146"/>
    <mergeCell ref="G146:G147"/>
    <mergeCell ref="I146:J146"/>
    <mergeCell ref="K146:M146"/>
    <mergeCell ref="N146:N147"/>
    <mergeCell ref="R146:T146"/>
    <mergeCell ref="U146:U147"/>
    <mergeCell ref="I147:J147"/>
    <mergeCell ref="P147:Q147"/>
    <mergeCell ref="W156:X156"/>
    <mergeCell ref="D157:F157"/>
    <mergeCell ref="G157:G158"/>
    <mergeCell ref="I157:J157"/>
    <mergeCell ref="K157:M157"/>
    <mergeCell ref="N157:N158"/>
    <mergeCell ref="R157:T157"/>
    <mergeCell ref="U157:U158"/>
    <mergeCell ref="I158:J158"/>
    <mergeCell ref="P158:Q158"/>
    <mergeCell ref="P167:U167"/>
    <mergeCell ref="W167:X167"/>
    <mergeCell ref="D168:F168"/>
    <mergeCell ref="G168:G169"/>
    <mergeCell ref="I168:J168"/>
    <mergeCell ref="K168:M168"/>
    <mergeCell ref="N168:N169"/>
    <mergeCell ref="R168:T168"/>
    <mergeCell ref="U168:U169"/>
    <mergeCell ref="I169:J169"/>
    <mergeCell ref="P169:Q169"/>
    <mergeCell ref="W178:X178"/>
    <mergeCell ref="D179:F179"/>
    <mergeCell ref="G179:G180"/>
    <mergeCell ref="I179:J179"/>
    <mergeCell ref="K179:M179"/>
    <mergeCell ref="N179:N180"/>
    <mergeCell ref="R179:T179"/>
    <mergeCell ref="U179:U180"/>
    <mergeCell ref="I180:J180"/>
    <mergeCell ref="P180:Q180"/>
    <mergeCell ref="W189:X189"/>
    <mergeCell ref="D190:F190"/>
    <mergeCell ref="G190:G191"/>
    <mergeCell ref="I190:J190"/>
    <mergeCell ref="K190:M190"/>
    <mergeCell ref="N190:N191"/>
    <mergeCell ref="R190:T190"/>
    <mergeCell ref="U190:U191"/>
    <mergeCell ref="I191:J191"/>
    <mergeCell ref="P191:Q191"/>
    <mergeCell ref="W200:X200"/>
    <mergeCell ref="D201:F201"/>
    <mergeCell ref="G201:G202"/>
    <mergeCell ref="I201:J201"/>
    <mergeCell ref="K201:M201"/>
    <mergeCell ref="N201:N202"/>
    <mergeCell ref="R201:T201"/>
    <mergeCell ref="U201:U202"/>
    <mergeCell ref="I202:J202"/>
    <mergeCell ref="P202:Q202"/>
    <mergeCell ref="W211:X211"/>
    <mergeCell ref="D212:F212"/>
    <mergeCell ref="G212:G213"/>
    <mergeCell ref="I212:J212"/>
    <mergeCell ref="K212:M212"/>
    <mergeCell ref="N212:N213"/>
    <mergeCell ref="R212:T212"/>
    <mergeCell ref="U212:U213"/>
    <mergeCell ref="I213:J213"/>
    <mergeCell ref="P213:Q213"/>
    <mergeCell ref="B211:G211"/>
    <mergeCell ref="I211:N211"/>
    <mergeCell ref="P211:U211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I226:I245"/>
    <mergeCell ref="Q226:Q245"/>
    <mergeCell ref="J223:J225"/>
    <mergeCell ref="K223:N223"/>
    <mergeCell ref="Q223:Q225"/>
    <mergeCell ref="R223:R225"/>
    <mergeCell ref="S223:V223"/>
    <mergeCell ref="Y247:Z247"/>
    <mergeCell ref="Y248:Z248"/>
    <mergeCell ref="I268:I287"/>
    <mergeCell ref="Q268:Q287"/>
    <mergeCell ref="Y271:Z271"/>
    <mergeCell ref="Y272:Z272"/>
    <mergeCell ref="I289:I308"/>
    <mergeCell ref="Q289:Q308"/>
    <mergeCell ref="I310:I329"/>
    <mergeCell ref="Q310:Q329"/>
    <mergeCell ref="T373:W373"/>
    <mergeCell ref="B374:D374"/>
    <mergeCell ref="E374:E375"/>
    <mergeCell ref="H374:J374"/>
    <mergeCell ref="K374:K375"/>
    <mergeCell ref="N374:P374"/>
    <mergeCell ref="Q374:Q375"/>
    <mergeCell ref="U374:U376"/>
    <mergeCell ref="V374:V376"/>
    <mergeCell ref="W374:W376"/>
    <mergeCell ref="S374:S376"/>
    <mergeCell ref="T374:T376"/>
    <mergeCell ref="S381:S383"/>
    <mergeCell ref="A389:L389"/>
    <mergeCell ref="N389:P389"/>
    <mergeCell ref="A410:L410"/>
    <mergeCell ref="Q331:Q350"/>
    <mergeCell ref="I352:I371"/>
    <mergeCell ref="Q352:Q371"/>
    <mergeCell ref="B373:E373"/>
    <mergeCell ref="H373:K373"/>
    <mergeCell ref="N373:Q37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7F03C-3529-4892-98A6-4CD8B51E4C73}">
  <dimension ref="A1:AA71"/>
  <sheetViews>
    <sheetView tabSelected="1" topLeftCell="A46" workbookViewId="0">
      <selection activeCell="H56" sqref="H56"/>
    </sheetView>
  </sheetViews>
  <sheetFormatPr defaultRowHeight="14.4" x14ac:dyDescent="0.3"/>
  <cols>
    <col min="1" max="1" width="11" customWidth="1"/>
    <col min="2" max="3" width="12.88671875" customWidth="1"/>
    <col min="4" max="4" width="10.88671875" customWidth="1"/>
  </cols>
  <sheetData>
    <row r="1" spans="1:27" ht="15.75" customHeight="1" x14ac:dyDescent="0.3">
      <c r="A1" s="839" t="s">
        <v>193</v>
      </c>
      <c r="B1" s="839"/>
      <c r="C1" s="839"/>
      <c r="D1" s="839"/>
      <c r="E1" s="839"/>
      <c r="F1" s="839"/>
      <c r="H1" s="839" t="s">
        <v>194</v>
      </c>
      <c r="I1" s="839"/>
      <c r="J1" s="839"/>
      <c r="K1" s="839"/>
      <c r="L1" s="839"/>
      <c r="M1" s="839"/>
      <c r="O1" s="839" t="s">
        <v>195</v>
      </c>
      <c r="P1" s="839"/>
      <c r="Q1" s="839"/>
      <c r="R1" s="839"/>
      <c r="S1" s="839"/>
      <c r="T1" s="839"/>
      <c r="V1" s="839" t="s">
        <v>196</v>
      </c>
      <c r="W1" s="839"/>
      <c r="X1" s="839"/>
      <c r="Y1" s="839"/>
      <c r="Z1" s="839"/>
      <c r="AA1" s="839"/>
    </row>
    <row r="2" spans="1:27" x14ac:dyDescent="0.3">
      <c r="A2" s="151"/>
      <c r="B2" s="838" t="s">
        <v>197</v>
      </c>
      <c r="C2" s="838"/>
      <c r="D2" s="838"/>
      <c r="E2" s="838" t="s">
        <v>155</v>
      </c>
      <c r="F2" s="837" t="s">
        <v>152</v>
      </c>
      <c r="H2" s="151"/>
      <c r="I2" s="838" t="s">
        <v>197</v>
      </c>
      <c r="J2" s="838"/>
      <c r="K2" s="838"/>
      <c r="L2" s="838" t="s">
        <v>155</v>
      </c>
      <c r="M2" s="837" t="s">
        <v>152</v>
      </c>
      <c r="O2" s="151"/>
      <c r="P2" s="838" t="s">
        <v>197</v>
      </c>
      <c r="Q2" s="838"/>
      <c r="R2" s="838"/>
      <c r="S2" s="838" t="s">
        <v>155</v>
      </c>
      <c r="T2" s="837" t="s">
        <v>152</v>
      </c>
      <c r="V2" s="151"/>
      <c r="W2" s="838" t="s">
        <v>197</v>
      </c>
      <c r="X2" s="838"/>
      <c r="Y2" s="838"/>
      <c r="Z2" s="838" t="s">
        <v>155</v>
      </c>
      <c r="AA2" s="837" t="s">
        <v>152</v>
      </c>
    </row>
    <row r="3" spans="1:27" x14ac:dyDescent="0.3">
      <c r="A3" s="151"/>
      <c r="B3" s="102">
        <v>2019</v>
      </c>
      <c r="C3" s="102">
        <v>2016</v>
      </c>
      <c r="D3" s="390">
        <v>2012</v>
      </c>
      <c r="E3" s="838"/>
      <c r="F3" s="837"/>
      <c r="H3" s="151"/>
      <c r="I3" s="102">
        <v>2019</v>
      </c>
      <c r="J3" s="102">
        <v>2016</v>
      </c>
      <c r="K3" s="390">
        <v>2012</v>
      </c>
      <c r="L3" s="838"/>
      <c r="M3" s="837"/>
      <c r="O3" s="151"/>
      <c r="P3" s="102">
        <v>2019</v>
      </c>
      <c r="Q3" s="102">
        <v>2016</v>
      </c>
      <c r="R3" s="390">
        <v>2012</v>
      </c>
      <c r="S3" s="838"/>
      <c r="T3" s="837"/>
      <c r="V3" s="151"/>
      <c r="W3" s="102">
        <v>2019</v>
      </c>
      <c r="X3" s="102">
        <v>2016</v>
      </c>
      <c r="Y3" s="390">
        <v>2012</v>
      </c>
      <c r="Z3" s="838"/>
      <c r="AA3" s="837"/>
    </row>
    <row r="4" spans="1:27" x14ac:dyDescent="0.3">
      <c r="A4" s="156">
        <v>0</v>
      </c>
      <c r="B4" s="156">
        <v>0.02</v>
      </c>
      <c r="C4" s="156">
        <v>0.01</v>
      </c>
      <c r="D4" s="156">
        <v>0</v>
      </c>
      <c r="E4" s="424">
        <f>0.5*(MAX(B4:D4)-MIN(B4:D4))</f>
        <v>0.01</v>
      </c>
      <c r="F4" s="156">
        <v>0.08</v>
      </c>
      <c r="H4" s="156">
        <v>0</v>
      </c>
      <c r="I4" s="423">
        <v>0</v>
      </c>
      <c r="J4" s="423">
        <v>0</v>
      </c>
      <c r="K4" s="156">
        <v>0</v>
      </c>
      <c r="L4" s="424">
        <f>0.5*(MAX(I4:K4)-MIN(I4:K4))</f>
        <v>0</v>
      </c>
      <c r="M4" s="423">
        <v>0.2</v>
      </c>
      <c r="O4" s="156">
        <v>0</v>
      </c>
      <c r="P4" s="423">
        <v>0</v>
      </c>
      <c r="Q4" s="423">
        <v>0</v>
      </c>
      <c r="R4" s="156">
        <v>0</v>
      </c>
      <c r="S4" s="424">
        <f>0.5*(MAX(P4:R4)-MIN(P4:R4))</f>
        <v>0</v>
      </c>
      <c r="T4" s="423">
        <v>0.2</v>
      </c>
      <c r="V4" s="156">
        <v>1</v>
      </c>
      <c r="W4" s="423">
        <v>0</v>
      </c>
      <c r="X4" s="423">
        <v>0</v>
      </c>
      <c r="Y4" s="156">
        <v>0</v>
      </c>
      <c r="Z4" s="424">
        <f>0.5*(MAX(W4:Y4)-MIN(W4:Y4))</f>
        <v>0</v>
      </c>
      <c r="AA4" s="423">
        <v>0</v>
      </c>
    </row>
    <row r="5" spans="1:27" x14ac:dyDescent="0.3">
      <c r="A5" s="156">
        <v>5</v>
      </c>
      <c r="B5" s="156">
        <v>0.02</v>
      </c>
      <c r="C5" s="156">
        <v>0</v>
      </c>
      <c r="D5" s="156">
        <v>0</v>
      </c>
      <c r="E5" s="424">
        <f t="shared" ref="E5:E11" si="0">0.5*(MAX(B5:D5)-MIN(B5:D5))</f>
        <v>0.01</v>
      </c>
      <c r="F5" s="156">
        <v>0.08</v>
      </c>
      <c r="H5" s="156">
        <v>15</v>
      </c>
      <c r="I5" s="423">
        <v>-0.2</v>
      </c>
      <c r="J5" s="423">
        <v>0</v>
      </c>
      <c r="K5" s="156">
        <v>0</v>
      </c>
      <c r="L5" s="424">
        <f t="shared" ref="L5:L11" si="1">0.5*(MAX(I5:J5)-MIN(I5:J5))</f>
        <v>0.1</v>
      </c>
      <c r="M5" s="423">
        <v>0.2</v>
      </c>
      <c r="O5" s="156">
        <v>15</v>
      </c>
      <c r="P5" s="423">
        <v>-0.2</v>
      </c>
      <c r="Q5" s="423">
        <v>0</v>
      </c>
      <c r="R5" s="156">
        <v>0</v>
      </c>
      <c r="S5" s="424">
        <f t="shared" ref="S5:S11" si="2">0.5*(MAX(P5:Q5)-MIN(P5:Q5))</f>
        <v>0.1</v>
      </c>
      <c r="T5" s="423">
        <v>0.2</v>
      </c>
      <c r="V5" s="156">
        <v>2</v>
      </c>
      <c r="W5" s="423">
        <v>0</v>
      </c>
      <c r="X5" s="423">
        <v>0</v>
      </c>
      <c r="Y5" s="156">
        <v>0</v>
      </c>
      <c r="Z5" s="424">
        <f t="shared" ref="Z5:Z11" si="3">0.5*(MAX(W5:X5)-MIN(W5:X5))</f>
        <v>0</v>
      </c>
      <c r="AA5" s="423">
        <v>0</v>
      </c>
    </row>
    <row r="6" spans="1:27" x14ac:dyDescent="0.3">
      <c r="A6" s="156">
        <v>10</v>
      </c>
      <c r="B6" s="156">
        <v>0.02</v>
      </c>
      <c r="C6" s="156">
        <v>0</v>
      </c>
      <c r="D6" s="156">
        <v>0</v>
      </c>
      <c r="E6" s="424">
        <f t="shared" si="0"/>
        <v>0.01</v>
      </c>
      <c r="F6" s="156">
        <v>0.08</v>
      </c>
      <c r="H6" s="156">
        <v>20</v>
      </c>
      <c r="I6" s="423">
        <v>-0.2</v>
      </c>
      <c r="J6" s="423">
        <v>0</v>
      </c>
      <c r="K6" s="156">
        <v>0</v>
      </c>
      <c r="L6" s="424">
        <f t="shared" si="1"/>
        <v>0.1</v>
      </c>
      <c r="M6" s="423">
        <v>0.2</v>
      </c>
      <c r="O6" s="156">
        <v>20</v>
      </c>
      <c r="P6" s="423">
        <v>-0.2</v>
      </c>
      <c r="Q6" s="423">
        <v>0</v>
      </c>
      <c r="R6" s="156">
        <v>0</v>
      </c>
      <c r="S6" s="424">
        <f t="shared" si="2"/>
        <v>0.1</v>
      </c>
      <c r="T6" s="423">
        <v>0.2</v>
      </c>
      <c r="V6" s="156">
        <v>3</v>
      </c>
      <c r="W6" s="423">
        <v>0</v>
      </c>
      <c r="X6" s="423">
        <v>0</v>
      </c>
      <c r="Y6" s="156">
        <v>0</v>
      </c>
      <c r="Z6" s="424">
        <f t="shared" si="3"/>
        <v>0</v>
      </c>
      <c r="AA6" s="423">
        <v>0</v>
      </c>
    </row>
    <row r="7" spans="1:27" x14ac:dyDescent="0.3">
      <c r="A7" s="156">
        <v>15</v>
      </c>
      <c r="B7" s="156">
        <v>0.02</v>
      </c>
      <c r="C7" s="156">
        <v>0</v>
      </c>
      <c r="D7" s="156">
        <v>0</v>
      </c>
      <c r="E7" s="424">
        <f t="shared" si="0"/>
        <v>0.01</v>
      </c>
      <c r="F7" s="156">
        <v>0.08</v>
      </c>
      <c r="H7" s="156">
        <v>25</v>
      </c>
      <c r="I7" s="423">
        <v>-0.2</v>
      </c>
      <c r="J7" s="423">
        <v>0</v>
      </c>
      <c r="K7" s="156">
        <v>0</v>
      </c>
      <c r="L7" s="424">
        <f t="shared" si="1"/>
        <v>0.1</v>
      </c>
      <c r="M7" s="423">
        <v>0.2</v>
      </c>
      <c r="O7" s="156">
        <v>25</v>
      </c>
      <c r="P7" s="423">
        <v>-0.2</v>
      </c>
      <c r="Q7" s="423">
        <v>0</v>
      </c>
      <c r="R7" s="156">
        <v>0</v>
      </c>
      <c r="S7" s="424">
        <f t="shared" si="2"/>
        <v>0.1</v>
      </c>
      <c r="T7" s="423">
        <v>0.2</v>
      </c>
      <c r="V7" s="156">
        <v>4</v>
      </c>
      <c r="W7" s="423">
        <v>0</v>
      </c>
      <c r="X7" s="423">
        <v>0</v>
      </c>
      <c r="Y7" s="156">
        <v>0</v>
      </c>
      <c r="Z7" s="424">
        <f t="shared" si="3"/>
        <v>0</v>
      </c>
      <c r="AA7" s="423">
        <v>0</v>
      </c>
    </row>
    <row r="8" spans="1:27" x14ac:dyDescent="0.3">
      <c r="A8" s="156">
        <v>20</v>
      </c>
      <c r="B8" s="156">
        <v>0.02</v>
      </c>
      <c r="C8" s="156">
        <v>0</v>
      </c>
      <c r="D8" s="156">
        <v>0</v>
      </c>
      <c r="E8" s="424">
        <f t="shared" si="0"/>
        <v>0.01</v>
      </c>
      <c r="F8" s="156">
        <v>0.08</v>
      </c>
      <c r="H8" s="156">
        <v>30</v>
      </c>
      <c r="I8" s="423">
        <v>-0.2</v>
      </c>
      <c r="J8" s="423">
        <v>0</v>
      </c>
      <c r="K8" s="156">
        <v>0</v>
      </c>
      <c r="L8" s="424">
        <f t="shared" si="1"/>
        <v>0.1</v>
      </c>
      <c r="M8" s="423">
        <v>0.2</v>
      </c>
      <c r="O8" s="156">
        <v>30</v>
      </c>
      <c r="P8" s="423">
        <v>-0.2</v>
      </c>
      <c r="Q8" s="423">
        <v>0</v>
      </c>
      <c r="R8" s="156">
        <v>0</v>
      </c>
      <c r="S8" s="424">
        <f t="shared" si="2"/>
        <v>0.1</v>
      </c>
      <c r="T8" s="423">
        <v>0.2</v>
      </c>
      <c r="V8" s="156">
        <v>5</v>
      </c>
      <c r="W8" s="423">
        <v>0</v>
      </c>
      <c r="X8" s="423">
        <v>0</v>
      </c>
      <c r="Y8" s="156">
        <v>0</v>
      </c>
      <c r="Z8" s="424">
        <f t="shared" si="3"/>
        <v>0</v>
      </c>
      <c r="AA8" s="423">
        <v>0</v>
      </c>
    </row>
    <row r="9" spans="1:27" x14ac:dyDescent="0.3">
      <c r="A9" s="156">
        <v>25</v>
      </c>
      <c r="B9" s="156">
        <v>0.02</v>
      </c>
      <c r="C9" s="156">
        <v>0</v>
      </c>
      <c r="D9" s="156">
        <v>0</v>
      </c>
      <c r="E9" s="424">
        <f t="shared" si="0"/>
        <v>0.01</v>
      </c>
      <c r="F9" s="156">
        <v>0.08</v>
      </c>
      <c r="H9" s="156">
        <v>35</v>
      </c>
      <c r="I9" s="423">
        <v>-0.2</v>
      </c>
      <c r="J9" s="423">
        <v>0</v>
      </c>
      <c r="K9" s="156">
        <v>0</v>
      </c>
      <c r="L9" s="424">
        <f t="shared" si="1"/>
        <v>0.1</v>
      </c>
      <c r="M9" s="423">
        <v>0.2</v>
      </c>
      <c r="O9" s="156">
        <v>35</v>
      </c>
      <c r="P9" s="423">
        <v>-0.2</v>
      </c>
      <c r="Q9" s="423">
        <v>0</v>
      </c>
      <c r="R9" s="156">
        <v>0</v>
      </c>
      <c r="S9" s="424">
        <f t="shared" si="2"/>
        <v>0.1</v>
      </c>
      <c r="T9" s="423">
        <v>0.2</v>
      </c>
      <c r="V9" s="156">
        <v>6</v>
      </c>
      <c r="W9" s="423">
        <v>0</v>
      </c>
      <c r="X9" s="423">
        <v>0</v>
      </c>
      <c r="Y9" s="156">
        <v>0</v>
      </c>
      <c r="Z9" s="424">
        <f t="shared" si="3"/>
        <v>0</v>
      </c>
      <c r="AA9" s="423">
        <v>0</v>
      </c>
    </row>
    <row r="10" spans="1:27" x14ac:dyDescent="0.3">
      <c r="A10" s="156">
        <v>30</v>
      </c>
      <c r="B10" s="156">
        <v>0.02</v>
      </c>
      <c r="C10" s="156">
        <v>0</v>
      </c>
      <c r="D10" s="156">
        <v>0</v>
      </c>
      <c r="E10" s="424">
        <f t="shared" si="0"/>
        <v>0.01</v>
      </c>
      <c r="F10" s="156">
        <v>0.08</v>
      </c>
      <c r="H10" s="156">
        <v>0</v>
      </c>
      <c r="I10" s="423">
        <v>0.02</v>
      </c>
      <c r="J10" s="423">
        <v>0</v>
      </c>
      <c r="K10" s="156">
        <v>0</v>
      </c>
      <c r="L10" s="424">
        <f t="shared" si="1"/>
        <v>0.01</v>
      </c>
      <c r="M10" s="423">
        <v>0.2</v>
      </c>
      <c r="O10" s="156">
        <v>0</v>
      </c>
      <c r="P10" s="423">
        <v>0.02</v>
      </c>
      <c r="Q10" s="423">
        <v>0</v>
      </c>
      <c r="R10" s="156">
        <v>0</v>
      </c>
      <c r="S10" s="424">
        <f t="shared" si="2"/>
        <v>0.01</v>
      </c>
      <c r="T10" s="423">
        <v>0.2</v>
      </c>
      <c r="V10" s="156">
        <v>7</v>
      </c>
      <c r="W10" s="423">
        <v>0</v>
      </c>
      <c r="X10" s="423">
        <v>0</v>
      </c>
      <c r="Y10" s="156">
        <v>0</v>
      </c>
      <c r="Z10" s="424">
        <f t="shared" si="3"/>
        <v>0</v>
      </c>
      <c r="AA10" s="423">
        <v>0</v>
      </c>
    </row>
    <row r="11" spans="1:27" x14ac:dyDescent="0.3">
      <c r="A11" s="156">
        <v>40</v>
      </c>
      <c r="B11" s="156">
        <v>0.02</v>
      </c>
      <c r="C11" s="156">
        <v>0</v>
      </c>
      <c r="D11" s="156">
        <v>0</v>
      </c>
      <c r="E11" s="424">
        <f t="shared" si="0"/>
        <v>0.01</v>
      </c>
      <c r="F11" s="156">
        <v>0.08</v>
      </c>
      <c r="H11" s="156">
        <v>0</v>
      </c>
      <c r="I11" s="423">
        <v>0.02</v>
      </c>
      <c r="J11" s="423">
        <v>0</v>
      </c>
      <c r="K11" s="156">
        <v>0</v>
      </c>
      <c r="L11" s="424">
        <f t="shared" si="1"/>
        <v>0.01</v>
      </c>
      <c r="M11" s="423">
        <v>0.2</v>
      </c>
      <c r="O11" s="156">
        <v>0</v>
      </c>
      <c r="P11" s="423">
        <v>0.02</v>
      </c>
      <c r="Q11" s="423">
        <v>0</v>
      </c>
      <c r="R11" s="156">
        <v>0</v>
      </c>
      <c r="S11" s="424">
        <f t="shared" si="2"/>
        <v>0.01</v>
      </c>
      <c r="T11" s="423">
        <v>0.2</v>
      </c>
      <c r="V11" s="156">
        <v>8</v>
      </c>
      <c r="W11" s="423">
        <v>0</v>
      </c>
      <c r="X11" s="423">
        <v>0</v>
      </c>
      <c r="Y11" s="156">
        <v>0</v>
      </c>
      <c r="Z11" s="424">
        <f t="shared" si="3"/>
        <v>0</v>
      </c>
      <c r="AA11" s="423">
        <v>0</v>
      </c>
    </row>
    <row r="12" spans="1:27" x14ac:dyDescent="0.3">
      <c r="A12" s="425"/>
      <c r="B12" s="425"/>
      <c r="C12" s="425"/>
      <c r="E12" s="132"/>
      <c r="H12" s="425"/>
      <c r="I12" s="16"/>
      <c r="J12" s="16"/>
      <c r="K12" s="427"/>
      <c r="L12" s="132"/>
      <c r="O12" s="425"/>
      <c r="P12" s="16"/>
      <c r="Q12" s="16"/>
      <c r="R12" s="427"/>
      <c r="S12" s="426"/>
    </row>
    <row r="13" spans="1:27" x14ac:dyDescent="0.3">
      <c r="A13" s="425"/>
      <c r="B13" s="425"/>
      <c r="C13" s="425"/>
      <c r="E13" s="132"/>
      <c r="H13" s="425"/>
      <c r="I13" s="16"/>
      <c r="J13" s="16"/>
      <c r="K13" s="427"/>
      <c r="L13" s="132"/>
      <c r="O13" s="425"/>
      <c r="P13" s="16"/>
      <c r="Q13" s="16"/>
      <c r="R13" s="427"/>
      <c r="S13" s="426"/>
    </row>
    <row r="14" spans="1:27" x14ac:dyDescent="0.3">
      <c r="A14" s="838">
        <v>1</v>
      </c>
      <c r="B14" s="838"/>
      <c r="C14" s="838"/>
      <c r="D14" s="838"/>
      <c r="E14" s="838"/>
      <c r="F14" s="838"/>
      <c r="G14" s="837"/>
      <c r="I14" s="838">
        <v>5</v>
      </c>
      <c r="J14" s="838"/>
      <c r="K14" s="838"/>
      <c r="L14" s="838"/>
      <c r="M14" s="838"/>
      <c r="N14" s="838"/>
      <c r="O14" s="837"/>
    </row>
    <row r="15" spans="1:27" x14ac:dyDescent="0.3">
      <c r="A15" s="838"/>
      <c r="B15" s="838"/>
      <c r="C15" s="102"/>
      <c r="D15" s="102"/>
      <c r="E15" s="390"/>
      <c r="F15" s="838"/>
      <c r="G15" s="837"/>
      <c r="I15" s="838"/>
      <c r="J15" s="838"/>
      <c r="K15" s="102"/>
      <c r="L15" s="102"/>
      <c r="M15" s="390"/>
      <c r="N15" s="838"/>
      <c r="O15" s="837"/>
    </row>
    <row r="16" spans="1:27" x14ac:dyDescent="0.3">
      <c r="A16" s="429">
        <v>1</v>
      </c>
      <c r="B16" s="156">
        <f t="shared" ref="B16:G16" si="4">A4</f>
        <v>0</v>
      </c>
      <c r="C16" s="156">
        <f t="shared" si="4"/>
        <v>0.02</v>
      </c>
      <c r="D16" s="156">
        <f t="shared" si="4"/>
        <v>0.01</v>
      </c>
      <c r="E16" s="156">
        <f t="shared" si="4"/>
        <v>0</v>
      </c>
      <c r="F16" s="156">
        <f t="shared" si="4"/>
        <v>0.01</v>
      </c>
      <c r="G16" s="156">
        <f t="shared" si="4"/>
        <v>0.08</v>
      </c>
      <c r="I16" s="429">
        <v>1</v>
      </c>
      <c r="J16" s="156">
        <f t="shared" ref="J16:O16" si="5">A8</f>
        <v>20</v>
      </c>
      <c r="K16" s="156">
        <f t="shared" si="5"/>
        <v>0.02</v>
      </c>
      <c r="L16" s="156">
        <f t="shared" si="5"/>
        <v>0</v>
      </c>
      <c r="M16" s="156">
        <f t="shared" si="5"/>
        <v>0</v>
      </c>
      <c r="N16" s="156">
        <f t="shared" si="5"/>
        <v>0.01</v>
      </c>
      <c r="O16" s="156">
        <f t="shared" si="5"/>
        <v>0.08</v>
      </c>
    </row>
    <row r="17" spans="1:15" x14ac:dyDescent="0.3">
      <c r="A17" s="429">
        <v>2</v>
      </c>
      <c r="B17" s="156">
        <f t="shared" ref="B17:G17" si="6">H4</f>
        <v>0</v>
      </c>
      <c r="C17" s="156">
        <f t="shared" si="6"/>
        <v>0</v>
      </c>
      <c r="D17" s="156">
        <f t="shared" si="6"/>
        <v>0</v>
      </c>
      <c r="E17" s="156">
        <f t="shared" si="6"/>
        <v>0</v>
      </c>
      <c r="F17" s="156">
        <f t="shared" si="6"/>
        <v>0</v>
      </c>
      <c r="G17" s="156">
        <f t="shared" si="6"/>
        <v>0.2</v>
      </c>
      <c r="I17" s="429">
        <v>2</v>
      </c>
      <c r="J17" s="156">
        <f t="shared" ref="J17:O17" si="7">H8</f>
        <v>30</v>
      </c>
      <c r="K17" s="156">
        <f t="shared" si="7"/>
        <v>-0.2</v>
      </c>
      <c r="L17" s="156">
        <f t="shared" si="7"/>
        <v>0</v>
      </c>
      <c r="M17" s="156">
        <f t="shared" si="7"/>
        <v>0</v>
      </c>
      <c r="N17" s="156">
        <f t="shared" si="7"/>
        <v>0.1</v>
      </c>
      <c r="O17" s="156">
        <f t="shared" si="7"/>
        <v>0.2</v>
      </c>
    </row>
    <row r="18" spans="1:15" x14ac:dyDescent="0.3">
      <c r="A18" s="429">
        <v>3</v>
      </c>
      <c r="B18" s="156">
        <f t="shared" ref="B18:G18" si="8">O4</f>
        <v>0</v>
      </c>
      <c r="C18" s="156">
        <f t="shared" si="8"/>
        <v>0</v>
      </c>
      <c r="D18" s="156">
        <f t="shared" si="8"/>
        <v>0</v>
      </c>
      <c r="E18" s="156">
        <f t="shared" si="8"/>
        <v>0</v>
      </c>
      <c r="F18" s="156">
        <f t="shared" si="8"/>
        <v>0</v>
      </c>
      <c r="G18" s="156">
        <f t="shared" si="8"/>
        <v>0.2</v>
      </c>
      <c r="I18" s="429">
        <v>3</v>
      </c>
      <c r="J18" s="156">
        <f t="shared" ref="J18:O18" si="9">O8</f>
        <v>30</v>
      </c>
      <c r="K18" s="156">
        <f t="shared" si="9"/>
        <v>-0.2</v>
      </c>
      <c r="L18" s="156">
        <f t="shared" si="9"/>
        <v>0</v>
      </c>
      <c r="M18" s="156">
        <f t="shared" si="9"/>
        <v>0</v>
      </c>
      <c r="N18" s="156">
        <f t="shared" si="9"/>
        <v>0.1</v>
      </c>
      <c r="O18" s="156">
        <f t="shared" si="9"/>
        <v>0.2</v>
      </c>
    </row>
    <row r="19" spans="1:15" x14ac:dyDescent="0.3">
      <c r="A19" s="429">
        <v>4</v>
      </c>
      <c r="B19" s="156">
        <f t="shared" ref="B19:G19" si="10">V4</f>
        <v>1</v>
      </c>
      <c r="C19" s="156">
        <f t="shared" si="10"/>
        <v>0</v>
      </c>
      <c r="D19" s="156">
        <f t="shared" si="10"/>
        <v>0</v>
      </c>
      <c r="E19" s="156">
        <f t="shared" si="10"/>
        <v>0</v>
      </c>
      <c r="F19" s="156">
        <f t="shared" si="10"/>
        <v>0</v>
      </c>
      <c r="G19" s="156">
        <f t="shared" si="10"/>
        <v>0</v>
      </c>
      <c r="I19" s="429">
        <v>4</v>
      </c>
      <c r="J19" s="156">
        <f t="shared" ref="J19:O19" si="11">V8</f>
        <v>5</v>
      </c>
      <c r="K19" s="156">
        <f t="shared" si="11"/>
        <v>0</v>
      </c>
      <c r="L19" s="156">
        <f t="shared" si="11"/>
        <v>0</v>
      </c>
      <c r="M19" s="156">
        <f t="shared" si="11"/>
        <v>0</v>
      </c>
      <c r="N19" s="156">
        <f t="shared" si="11"/>
        <v>0</v>
      </c>
      <c r="O19" s="156">
        <f t="shared" si="11"/>
        <v>0</v>
      </c>
    </row>
    <row r="20" spans="1:15" x14ac:dyDescent="0.3">
      <c r="A20" s="425"/>
      <c r="B20" s="425"/>
      <c r="C20" s="425"/>
      <c r="E20" s="132"/>
      <c r="J20" s="425"/>
      <c r="K20" s="425"/>
      <c r="L20" s="425"/>
      <c r="N20" s="132"/>
    </row>
    <row r="21" spans="1:15" x14ac:dyDescent="0.3">
      <c r="A21" s="838">
        <v>2</v>
      </c>
      <c r="B21" s="838"/>
      <c r="C21" s="838"/>
      <c r="D21" s="838"/>
      <c r="E21" s="838"/>
      <c r="F21" s="838"/>
      <c r="G21" s="837"/>
      <c r="I21" s="838">
        <v>6</v>
      </c>
      <c r="J21" s="838"/>
      <c r="K21" s="838"/>
      <c r="L21" s="838"/>
      <c r="M21" s="838"/>
      <c r="N21" s="838"/>
      <c r="O21" s="837"/>
    </row>
    <row r="22" spans="1:15" x14ac:dyDescent="0.3">
      <c r="A22" s="838"/>
      <c r="B22" s="838"/>
      <c r="C22" s="102"/>
      <c r="D22" s="102"/>
      <c r="E22" s="390"/>
      <c r="F22" s="838"/>
      <c r="G22" s="837"/>
      <c r="I22" s="838"/>
      <c r="J22" s="838"/>
      <c r="K22" s="102"/>
      <c r="L22" s="102"/>
      <c r="M22" s="390"/>
      <c r="N22" s="838"/>
      <c r="O22" s="837"/>
    </row>
    <row r="23" spans="1:15" x14ac:dyDescent="0.3">
      <c r="A23" s="429">
        <v>1</v>
      </c>
      <c r="B23" s="156">
        <f t="shared" ref="B23:G23" si="12">A5</f>
        <v>5</v>
      </c>
      <c r="C23" s="156">
        <f t="shared" si="12"/>
        <v>0.02</v>
      </c>
      <c r="D23" s="156">
        <f t="shared" si="12"/>
        <v>0</v>
      </c>
      <c r="E23" s="156">
        <f t="shared" si="12"/>
        <v>0</v>
      </c>
      <c r="F23" s="156">
        <f t="shared" si="12"/>
        <v>0.01</v>
      </c>
      <c r="G23" s="156">
        <f t="shared" si="12"/>
        <v>0.08</v>
      </c>
      <c r="I23" s="429">
        <v>1</v>
      </c>
      <c r="J23" s="156">
        <f t="shared" ref="J23:O23" si="13">A9</f>
        <v>25</v>
      </c>
      <c r="K23" s="156">
        <f t="shared" si="13"/>
        <v>0.02</v>
      </c>
      <c r="L23" s="156">
        <f t="shared" si="13"/>
        <v>0</v>
      </c>
      <c r="M23" s="156">
        <f t="shared" si="13"/>
        <v>0</v>
      </c>
      <c r="N23" s="156">
        <f t="shared" si="13"/>
        <v>0.01</v>
      </c>
      <c r="O23" s="156">
        <f t="shared" si="13"/>
        <v>0.08</v>
      </c>
    </row>
    <row r="24" spans="1:15" x14ac:dyDescent="0.3">
      <c r="A24" s="429">
        <v>2</v>
      </c>
      <c r="B24" s="156">
        <f t="shared" ref="B24:G24" si="14">H5</f>
        <v>15</v>
      </c>
      <c r="C24" s="156">
        <f t="shared" si="14"/>
        <v>-0.2</v>
      </c>
      <c r="D24" s="156">
        <f t="shared" si="14"/>
        <v>0</v>
      </c>
      <c r="E24" s="156">
        <f t="shared" si="14"/>
        <v>0</v>
      </c>
      <c r="F24" s="156">
        <f t="shared" si="14"/>
        <v>0.1</v>
      </c>
      <c r="G24" s="156">
        <f t="shared" si="14"/>
        <v>0.2</v>
      </c>
      <c r="I24" s="429">
        <v>2</v>
      </c>
      <c r="J24" s="156">
        <f t="shared" ref="J24:O24" si="15">H9</f>
        <v>35</v>
      </c>
      <c r="K24" s="156">
        <f t="shared" si="15"/>
        <v>-0.2</v>
      </c>
      <c r="L24" s="156">
        <f t="shared" si="15"/>
        <v>0</v>
      </c>
      <c r="M24" s="156">
        <f t="shared" si="15"/>
        <v>0</v>
      </c>
      <c r="N24" s="156">
        <f t="shared" si="15"/>
        <v>0.1</v>
      </c>
      <c r="O24" s="156">
        <f t="shared" si="15"/>
        <v>0.2</v>
      </c>
    </row>
    <row r="25" spans="1:15" x14ac:dyDescent="0.3">
      <c r="A25" s="429">
        <v>3</v>
      </c>
      <c r="B25" s="156">
        <f t="shared" ref="B25:G25" si="16">O5</f>
        <v>15</v>
      </c>
      <c r="C25" s="156">
        <f t="shared" si="16"/>
        <v>-0.2</v>
      </c>
      <c r="D25" s="156">
        <f t="shared" si="16"/>
        <v>0</v>
      </c>
      <c r="E25" s="156">
        <f t="shared" si="16"/>
        <v>0</v>
      </c>
      <c r="F25" s="156">
        <f t="shared" si="16"/>
        <v>0.1</v>
      </c>
      <c r="G25" s="156">
        <f t="shared" si="16"/>
        <v>0.2</v>
      </c>
      <c r="I25" s="429">
        <v>3</v>
      </c>
      <c r="J25" s="156">
        <f t="shared" ref="J25:O25" si="17">O9</f>
        <v>35</v>
      </c>
      <c r="K25" s="156">
        <f t="shared" si="17"/>
        <v>-0.2</v>
      </c>
      <c r="L25" s="156">
        <f t="shared" si="17"/>
        <v>0</v>
      </c>
      <c r="M25" s="156">
        <f t="shared" si="17"/>
        <v>0</v>
      </c>
      <c r="N25" s="156">
        <f t="shared" si="17"/>
        <v>0.1</v>
      </c>
      <c r="O25" s="156">
        <f t="shared" si="17"/>
        <v>0.2</v>
      </c>
    </row>
    <row r="26" spans="1:15" x14ac:dyDescent="0.3">
      <c r="A26" s="429">
        <v>4</v>
      </c>
      <c r="B26" s="156">
        <f t="shared" ref="B26:G26" si="18">V5</f>
        <v>2</v>
      </c>
      <c r="C26" s="156">
        <f t="shared" si="18"/>
        <v>0</v>
      </c>
      <c r="D26" s="156">
        <f t="shared" si="18"/>
        <v>0</v>
      </c>
      <c r="E26" s="156">
        <f t="shared" si="18"/>
        <v>0</v>
      </c>
      <c r="F26" s="156">
        <f t="shared" si="18"/>
        <v>0</v>
      </c>
      <c r="G26" s="156">
        <f t="shared" si="18"/>
        <v>0</v>
      </c>
      <c r="I26" s="429">
        <v>4</v>
      </c>
      <c r="J26" s="156">
        <f t="shared" ref="J26:O26" si="19">V9</f>
        <v>6</v>
      </c>
      <c r="K26" s="156">
        <f t="shared" si="19"/>
        <v>0</v>
      </c>
      <c r="L26" s="156">
        <f t="shared" si="19"/>
        <v>0</v>
      </c>
      <c r="M26" s="156">
        <f t="shared" si="19"/>
        <v>0</v>
      </c>
      <c r="N26" s="156">
        <f t="shared" si="19"/>
        <v>0</v>
      </c>
      <c r="O26" s="156">
        <f t="shared" si="19"/>
        <v>0</v>
      </c>
    </row>
    <row r="27" spans="1:15" x14ac:dyDescent="0.3">
      <c r="A27" s="425"/>
      <c r="B27" s="425"/>
      <c r="C27" s="425"/>
      <c r="E27" s="132"/>
      <c r="J27" s="425"/>
      <c r="K27" s="425"/>
      <c r="L27" s="425"/>
      <c r="N27" s="132"/>
    </row>
    <row r="28" spans="1:15" x14ac:dyDescent="0.3">
      <c r="A28" s="838">
        <v>3</v>
      </c>
      <c r="B28" s="838"/>
      <c r="C28" s="838"/>
      <c r="D28" s="838"/>
      <c r="E28" s="838"/>
      <c r="F28" s="838"/>
      <c r="G28" s="837"/>
      <c r="I28" s="838">
        <v>7</v>
      </c>
      <c r="J28" s="838"/>
      <c r="K28" s="838"/>
      <c r="L28" s="838"/>
      <c r="M28" s="838"/>
      <c r="N28" s="838"/>
      <c r="O28" s="837"/>
    </row>
    <row r="29" spans="1:15" x14ac:dyDescent="0.3">
      <c r="A29" s="838"/>
      <c r="B29" s="838"/>
      <c r="C29" s="102"/>
      <c r="D29" s="102"/>
      <c r="E29" s="390"/>
      <c r="F29" s="838"/>
      <c r="G29" s="837"/>
      <c r="I29" s="838"/>
      <c r="J29" s="838"/>
      <c r="K29" s="102"/>
      <c r="L29" s="102"/>
      <c r="M29" s="390"/>
      <c r="N29" s="838"/>
      <c r="O29" s="837"/>
    </row>
    <row r="30" spans="1:15" x14ac:dyDescent="0.3">
      <c r="A30" s="429">
        <v>1</v>
      </c>
      <c r="B30" s="156">
        <f t="shared" ref="B30:G30" si="20">A6</f>
        <v>10</v>
      </c>
      <c r="C30" s="156">
        <f t="shared" si="20"/>
        <v>0.02</v>
      </c>
      <c r="D30" s="156">
        <f t="shared" si="20"/>
        <v>0</v>
      </c>
      <c r="E30" s="156">
        <f t="shared" si="20"/>
        <v>0</v>
      </c>
      <c r="F30" s="156">
        <f t="shared" si="20"/>
        <v>0.01</v>
      </c>
      <c r="G30" s="156">
        <f t="shared" si="20"/>
        <v>0.08</v>
      </c>
      <c r="I30" s="429">
        <v>1</v>
      </c>
      <c r="J30" s="156">
        <f t="shared" ref="J30:O30" si="21">A10</f>
        <v>30</v>
      </c>
      <c r="K30" s="156">
        <f t="shared" si="21"/>
        <v>0.02</v>
      </c>
      <c r="L30" s="156">
        <f t="shared" si="21"/>
        <v>0</v>
      </c>
      <c r="M30" s="156">
        <f t="shared" si="21"/>
        <v>0</v>
      </c>
      <c r="N30" s="156">
        <f t="shared" si="21"/>
        <v>0.01</v>
      </c>
      <c r="O30" s="156">
        <f t="shared" si="21"/>
        <v>0.08</v>
      </c>
    </row>
    <row r="31" spans="1:15" x14ac:dyDescent="0.3">
      <c r="A31" s="429">
        <v>2</v>
      </c>
      <c r="B31" s="156">
        <f t="shared" ref="B31:G31" si="22">H6</f>
        <v>20</v>
      </c>
      <c r="C31" s="156">
        <f t="shared" si="22"/>
        <v>-0.2</v>
      </c>
      <c r="D31" s="156">
        <f t="shared" si="22"/>
        <v>0</v>
      </c>
      <c r="E31" s="156">
        <f t="shared" si="22"/>
        <v>0</v>
      </c>
      <c r="F31" s="156">
        <f t="shared" si="22"/>
        <v>0.1</v>
      </c>
      <c r="G31" s="156">
        <f t="shared" si="22"/>
        <v>0.2</v>
      </c>
      <c r="I31" s="429">
        <v>2</v>
      </c>
      <c r="J31" s="156">
        <f t="shared" ref="J31:O31" si="23">H10</f>
        <v>0</v>
      </c>
      <c r="K31" s="156">
        <f t="shared" si="23"/>
        <v>0.02</v>
      </c>
      <c r="L31" s="156">
        <f t="shared" si="23"/>
        <v>0</v>
      </c>
      <c r="M31" s="156">
        <f t="shared" si="23"/>
        <v>0</v>
      </c>
      <c r="N31" s="156">
        <f t="shared" si="23"/>
        <v>0.01</v>
      </c>
      <c r="O31" s="156">
        <f t="shared" si="23"/>
        <v>0.2</v>
      </c>
    </row>
    <row r="32" spans="1:15" x14ac:dyDescent="0.3">
      <c r="A32" s="429">
        <v>3</v>
      </c>
      <c r="B32" s="156">
        <f t="shared" ref="B32:G32" si="24">O6</f>
        <v>20</v>
      </c>
      <c r="C32" s="156">
        <f t="shared" si="24"/>
        <v>-0.2</v>
      </c>
      <c r="D32" s="156">
        <f t="shared" si="24"/>
        <v>0</v>
      </c>
      <c r="E32" s="156">
        <f t="shared" si="24"/>
        <v>0</v>
      </c>
      <c r="F32" s="156">
        <f t="shared" si="24"/>
        <v>0.1</v>
      </c>
      <c r="G32" s="156">
        <f t="shared" si="24"/>
        <v>0.2</v>
      </c>
      <c r="I32" s="429">
        <v>3</v>
      </c>
      <c r="J32" s="156">
        <f t="shared" ref="J32:O32" si="25">O10</f>
        <v>0</v>
      </c>
      <c r="K32" s="156">
        <f t="shared" si="25"/>
        <v>0.02</v>
      </c>
      <c r="L32" s="156">
        <f t="shared" si="25"/>
        <v>0</v>
      </c>
      <c r="M32" s="156">
        <f t="shared" si="25"/>
        <v>0</v>
      </c>
      <c r="N32" s="156">
        <f t="shared" si="25"/>
        <v>0.01</v>
      </c>
      <c r="O32" s="156">
        <f t="shared" si="25"/>
        <v>0.2</v>
      </c>
    </row>
    <row r="33" spans="1:19" x14ac:dyDescent="0.3">
      <c r="A33" s="429">
        <v>4</v>
      </c>
      <c r="B33" s="156">
        <f t="shared" ref="B33:G33" si="26">V6</f>
        <v>3</v>
      </c>
      <c r="C33" s="156">
        <f t="shared" si="26"/>
        <v>0</v>
      </c>
      <c r="D33" s="156">
        <f t="shared" si="26"/>
        <v>0</v>
      </c>
      <c r="E33" s="156">
        <f t="shared" si="26"/>
        <v>0</v>
      </c>
      <c r="F33" s="156">
        <f t="shared" si="26"/>
        <v>0</v>
      </c>
      <c r="G33" s="156">
        <f t="shared" si="26"/>
        <v>0</v>
      </c>
      <c r="I33" s="429">
        <v>4</v>
      </c>
      <c r="J33" s="156">
        <f t="shared" ref="J33:O33" si="27">V10</f>
        <v>7</v>
      </c>
      <c r="K33" s="156">
        <f t="shared" si="27"/>
        <v>0</v>
      </c>
      <c r="L33" s="156">
        <f t="shared" si="27"/>
        <v>0</v>
      </c>
      <c r="M33" s="156">
        <f t="shared" si="27"/>
        <v>0</v>
      </c>
      <c r="N33" s="156">
        <f t="shared" si="27"/>
        <v>0</v>
      </c>
      <c r="O33" s="156">
        <f t="shared" si="27"/>
        <v>0</v>
      </c>
    </row>
    <row r="34" spans="1:19" x14ac:dyDescent="0.3">
      <c r="B34" s="425"/>
      <c r="C34" s="425"/>
      <c r="D34" s="425"/>
      <c r="F34" s="132"/>
      <c r="J34" s="425"/>
      <c r="K34" s="425"/>
      <c r="L34" s="425"/>
      <c r="N34" s="132"/>
    </row>
    <row r="35" spans="1:19" x14ac:dyDescent="0.3">
      <c r="A35" s="838">
        <v>4</v>
      </c>
      <c r="B35" s="838"/>
      <c r="C35" s="838"/>
      <c r="D35" s="838"/>
      <c r="E35" s="838"/>
      <c r="F35" s="838"/>
      <c r="G35" s="837"/>
      <c r="I35" s="838">
        <v>8</v>
      </c>
      <c r="J35" s="838"/>
      <c r="K35" s="838"/>
      <c r="L35" s="838"/>
      <c r="M35" s="838"/>
      <c r="N35" s="838"/>
      <c r="O35" s="837"/>
    </row>
    <row r="36" spans="1:19" x14ac:dyDescent="0.3">
      <c r="A36" s="838"/>
      <c r="B36" s="838"/>
      <c r="C36" s="102"/>
      <c r="D36" s="102"/>
      <c r="E36" s="390"/>
      <c r="F36" s="838"/>
      <c r="G36" s="837"/>
      <c r="I36" s="838"/>
      <c r="J36" s="838"/>
      <c r="K36" s="102"/>
      <c r="L36" s="102"/>
      <c r="M36" s="390"/>
      <c r="N36" s="838"/>
      <c r="O36" s="837"/>
    </row>
    <row r="37" spans="1:19" x14ac:dyDescent="0.3">
      <c r="A37" s="429">
        <v>1</v>
      </c>
      <c r="B37" s="156">
        <f t="shared" ref="B37:G37" si="28">A7</f>
        <v>15</v>
      </c>
      <c r="C37" s="156">
        <f t="shared" si="28"/>
        <v>0.02</v>
      </c>
      <c r="D37" s="156">
        <f t="shared" si="28"/>
        <v>0</v>
      </c>
      <c r="E37" s="156">
        <f t="shared" si="28"/>
        <v>0</v>
      </c>
      <c r="F37" s="156">
        <f t="shared" si="28"/>
        <v>0.01</v>
      </c>
      <c r="G37" s="156">
        <f t="shared" si="28"/>
        <v>0.08</v>
      </c>
      <c r="I37" s="429">
        <v>1</v>
      </c>
      <c r="J37" s="156">
        <f t="shared" ref="J37:O37" si="29">A11</f>
        <v>40</v>
      </c>
      <c r="K37" s="156">
        <f t="shared" si="29"/>
        <v>0.02</v>
      </c>
      <c r="L37" s="156">
        <f t="shared" si="29"/>
        <v>0</v>
      </c>
      <c r="M37" s="156">
        <f t="shared" si="29"/>
        <v>0</v>
      </c>
      <c r="N37" s="156">
        <f t="shared" si="29"/>
        <v>0.01</v>
      </c>
      <c r="O37" s="156">
        <f t="shared" si="29"/>
        <v>0.08</v>
      </c>
    </row>
    <row r="38" spans="1:19" x14ac:dyDescent="0.3">
      <c r="A38" s="429">
        <v>2</v>
      </c>
      <c r="B38" s="156">
        <f t="shared" ref="B38:G38" si="30">H7</f>
        <v>25</v>
      </c>
      <c r="C38" s="156">
        <f t="shared" si="30"/>
        <v>-0.2</v>
      </c>
      <c r="D38" s="156">
        <f t="shared" si="30"/>
        <v>0</v>
      </c>
      <c r="E38" s="156">
        <f t="shared" si="30"/>
        <v>0</v>
      </c>
      <c r="F38" s="156">
        <f t="shared" si="30"/>
        <v>0.1</v>
      </c>
      <c r="G38" s="156">
        <f t="shared" si="30"/>
        <v>0.2</v>
      </c>
      <c r="I38" s="429">
        <v>2</v>
      </c>
      <c r="J38" s="156">
        <f t="shared" ref="J38:O38" si="31">H11</f>
        <v>0</v>
      </c>
      <c r="K38" s="156">
        <f t="shared" si="31"/>
        <v>0.02</v>
      </c>
      <c r="L38" s="156">
        <f t="shared" si="31"/>
        <v>0</v>
      </c>
      <c r="M38" s="156">
        <f t="shared" si="31"/>
        <v>0</v>
      </c>
      <c r="N38" s="156">
        <f t="shared" si="31"/>
        <v>0.01</v>
      </c>
      <c r="O38" s="156">
        <f t="shared" si="31"/>
        <v>0.2</v>
      </c>
    </row>
    <row r="39" spans="1:19" x14ac:dyDescent="0.3">
      <c r="A39" s="429">
        <v>3</v>
      </c>
      <c r="B39" s="156">
        <f t="shared" ref="B39:G39" si="32">O7</f>
        <v>25</v>
      </c>
      <c r="C39" s="156">
        <f t="shared" si="32"/>
        <v>-0.2</v>
      </c>
      <c r="D39" s="156">
        <f t="shared" si="32"/>
        <v>0</v>
      </c>
      <c r="E39" s="156">
        <f t="shared" si="32"/>
        <v>0</v>
      </c>
      <c r="F39" s="156">
        <f t="shared" si="32"/>
        <v>0.1</v>
      </c>
      <c r="G39" s="156">
        <f t="shared" si="32"/>
        <v>0.2</v>
      </c>
      <c r="I39" s="429">
        <v>3</v>
      </c>
      <c r="J39" s="156">
        <f t="shared" ref="J39:O39" si="33">O11</f>
        <v>0</v>
      </c>
      <c r="K39" s="156">
        <f t="shared" si="33"/>
        <v>0.02</v>
      </c>
      <c r="L39" s="156">
        <f t="shared" si="33"/>
        <v>0</v>
      </c>
      <c r="M39" s="156">
        <f t="shared" si="33"/>
        <v>0</v>
      </c>
      <c r="N39" s="156">
        <f t="shared" si="33"/>
        <v>0.01</v>
      </c>
      <c r="O39" s="156">
        <f t="shared" si="33"/>
        <v>0.2</v>
      </c>
    </row>
    <row r="40" spans="1:19" x14ac:dyDescent="0.3">
      <c r="A40" s="429">
        <v>4</v>
      </c>
      <c r="B40" s="156">
        <f t="shared" ref="B40:G40" si="34">V7</f>
        <v>4</v>
      </c>
      <c r="C40" s="156">
        <f t="shared" si="34"/>
        <v>0</v>
      </c>
      <c r="D40" s="156">
        <f t="shared" si="34"/>
        <v>0</v>
      </c>
      <c r="E40" s="156">
        <f t="shared" si="34"/>
        <v>0</v>
      </c>
      <c r="F40" s="156">
        <f t="shared" si="34"/>
        <v>0</v>
      </c>
      <c r="G40" s="156">
        <f t="shared" si="34"/>
        <v>0</v>
      </c>
      <c r="I40" s="429">
        <v>4</v>
      </c>
      <c r="J40" s="156">
        <f t="shared" ref="J40:O40" si="35">V11</f>
        <v>8</v>
      </c>
      <c r="K40" s="156">
        <f t="shared" si="35"/>
        <v>0</v>
      </c>
      <c r="L40" s="156">
        <f t="shared" si="35"/>
        <v>0</v>
      </c>
      <c r="M40" s="156">
        <f t="shared" si="35"/>
        <v>0</v>
      </c>
      <c r="N40" s="156">
        <f t="shared" si="35"/>
        <v>0</v>
      </c>
      <c r="O40" s="156">
        <f t="shared" si="35"/>
        <v>0</v>
      </c>
    </row>
    <row r="41" spans="1:19" x14ac:dyDescent="0.3">
      <c r="A41" s="425"/>
      <c r="B41" s="425"/>
      <c r="C41" s="425"/>
      <c r="E41" s="132"/>
      <c r="H41" s="425"/>
      <c r="I41" s="16"/>
      <c r="J41" s="16"/>
      <c r="K41" s="427"/>
      <c r="L41" s="132"/>
      <c r="O41" s="425"/>
      <c r="P41" s="16"/>
      <c r="Q41" s="16"/>
      <c r="R41" s="427"/>
      <c r="S41" s="426"/>
    </row>
    <row r="42" spans="1:19" x14ac:dyDescent="0.3">
      <c r="A42" s="840" t="str">
        <f>A66</f>
        <v>Digital Thermometer, Merek : Greisinger, Tipe : GMH 5530, SN : 33700052</v>
      </c>
      <c r="B42" s="839"/>
      <c r="C42" s="839"/>
      <c r="D42" s="839"/>
      <c r="E42" s="839"/>
      <c r="F42" s="839"/>
      <c r="H42" s="425"/>
      <c r="I42" s="16"/>
      <c r="J42" s="16"/>
      <c r="K42" s="427"/>
      <c r="L42" s="132"/>
      <c r="O42" s="425"/>
      <c r="P42" s="16"/>
      <c r="Q42" s="16"/>
      <c r="R42" s="427"/>
      <c r="S42" s="426"/>
    </row>
    <row r="43" spans="1:19" x14ac:dyDescent="0.3">
      <c r="A43" s="841">
        <f>A71</f>
        <v>3</v>
      </c>
      <c r="B43" s="838" t="s">
        <v>197</v>
      </c>
      <c r="C43" s="838"/>
      <c r="D43" s="838"/>
      <c r="E43" s="838" t="s">
        <v>155</v>
      </c>
      <c r="F43" s="837" t="s">
        <v>152</v>
      </c>
      <c r="H43" s="425"/>
      <c r="I43" s="16"/>
      <c r="J43" s="16"/>
      <c r="K43" s="427"/>
      <c r="L43" s="132"/>
      <c r="O43" s="425"/>
      <c r="P43" s="16"/>
      <c r="Q43" s="16"/>
      <c r="R43" s="427"/>
      <c r="S43" s="426"/>
    </row>
    <row r="44" spans="1:19" x14ac:dyDescent="0.3">
      <c r="A44" s="842"/>
      <c r="B44" s="102">
        <f>VLOOKUP($A$42,$A$67:$L$70,9,FALSE)</f>
        <v>2019</v>
      </c>
      <c r="C44" s="102">
        <f>VLOOKUP($A$42,$A$67:$L$70,10,FALSE)</f>
        <v>2016</v>
      </c>
      <c r="D44" s="102">
        <f>VLOOKUP($A$42,$A$67:$L$70,11,FALSE)</f>
        <v>2012</v>
      </c>
      <c r="E44" s="838"/>
      <c r="F44" s="837"/>
      <c r="H44" s="425"/>
      <c r="I44" s="16"/>
      <c r="J44" s="16"/>
      <c r="K44" s="427"/>
      <c r="L44" s="132"/>
      <c r="O44" s="425"/>
      <c r="P44" s="16"/>
      <c r="Q44" s="16"/>
      <c r="R44" s="427"/>
      <c r="S44" s="426"/>
    </row>
    <row r="45" spans="1:19" x14ac:dyDescent="0.3">
      <c r="A45" s="156">
        <f>VLOOKUP($A$43,$A$16:$G$19,2,FALSE)</f>
        <v>0</v>
      </c>
      <c r="B45" s="156">
        <f>VLOOKUP($A$43,$A$16:$G$19,3,FALSE)</f>
        <v>0</v>
      </c>
      <c r="C45" s="156">
        <f>VLOOKUP($A$43,$A$16:$G$19,4,FALSE)</f>
        <v>0</v>
      </c>
      <c r="D45" s="156">
        <f>VLOOKUP($A$43,$A$16:$G$19,5,FALSE)</f>
        <v>0</v>
      </c>
      <c r="E45" s="156">
        <f>VLOOKUP($A$43,$A$16:$G$19,6,FALSE)</f>
        <v>0</v>
      </c>
      <c r="F45" s="156">
        <f>VLOOKUP($A$43,$A$16:$G$19,7,FALSE)</f>
        <v>0.2</v>
      </c>
      <c r="H45" s="425"/>
      <c r="I45" s="16"/>
      <c r="J45" s="16"/>
      <c r="K45" s="427"/>
      <c r="L45" s="132"/>
      <c r="O45" s="425"/>
      <c r="P45" s="16"/>
      <c r="Q45" s="16"/>
      <c r="R45" s="427"/>
      <c r="S45" s="426"/>
    </row>
    <row r="46" spans="1:19" x14ac:dyDescent="0.3">
      <c r="A46" s="156">
        <f>VLOOKUP(A$43,A$23:G$26,2,FALSE)</f>
        <v>15</v>
      </c>
      <c r="B46" s="156">
        <f>VLOOKUP(A$43,A$23:G$26,3,FALSE)</f>
        <v>-0.2</v>
      </c>
      <c r="C46" s="156">
        <f>VLOOKUP(A$43,A$23:G$26,4,FALSE)</f>
        <v>0</v>
      </c>
      <c r="D46" s="156">
        <f>VLOOKUP(A$43,A$23:G$26,5,FALSE)</f>
        <v>0</v>
      </c>
      <c r="E46" s="156">
        <f>VLOOKUP(A$43,A$23:G$26,6,FALSE)</f>
        <v>0.1</v>
      </c>
      <c r="F46" s="156">
        <f>VLOOKUP(A$43,A$23:G$26,7,FALSE)</f>
        <v>0.2</v>
      </c>
      <c r="H46" s="425"/>
      <c r="I46" s="16"/>
      <c r="J46" s="16"/>
      <c r="K46" s="427"/>
      <c r="L46" s="132"/>
      <c r="O46" s="425"/>
      <c r="P46" s="16"/>
      <c r="Q46" s="16"/>
      <c r="R46" s="427"/>
      <c r="S46" s="426"/>
    </row>
    <row r="47" spans="1:19" x14ac:dyDescent="0.3">
      <c r="A47" s="156">
        <f>VLOOKUP($A$43,$A$30:$G$33,2,FALSE)</f>
        <v>20</v>
      </c>
      <c r="B47" s="156">
        <f>VLOOKUP($A$43,$A$30:$G$33,3,FALSE)</f>
        <v>-0.2</v>
      </c>
      <c r="C47" s="156">
        <f>VLOOKUP($A$43,$A$30:$G$33,4,FALSE)</f>
        <v>0</v>
      </c>
      <c r="D47" s="156">
        <f>VLOOKUP($A$43,$A$30:$G$33,5,FALSE)</f>
        <v>0</v>
      </c>
      <c r="E47" s="156">
        <f>VLOOKUP($A$43,$A$30:$G$33,6,FALSE)</f>
        <v>0.1</v>
      </c>
      <c r="F47" s="156">
        <f>VLOOKUP($A$43,$A$30:$G$33,7,FALSE)</f>
        <v>0.2</v>
      </c>
      <c r="H47" s="425"/>
      <c r="I47" s="16"/>
      <c r="J47" s="16"/>
      <c r="K47" s="427"/>
      <c r="L47" s="132"/>
      <c r="O47" s="425"/>
      <c r="P47" s="16"/>
      <c r="Q47" s="16"/>
      <c r="R47" s="427"/>
      <c r="S47" s="426"/>
    </row>
    <row r="48" spans="1:19" x14ac:dyDescent="0.3">
      <c r="A48" s="156">
        <f>VLOOKUP($A$43,$A$37:$G$40,2,FALSE)</f>
        <v>25</v>
      </c>
      <c r="B48" s="156">
        <f>VLOOKUP($A$43,$A$37:$G$40,3,FALSE)</f>
        <v>-0.2</v>
      </c>
      <c r="C48" s="156">
        <f>VLOOKUP($A$43,$A$37:$G$40,4,FALSE)</f>
        <v>0</v>
      </c>
      <c r="D48" s="156">
        <f>VLOOKUP($A$43,$A$37:$G$40,5,FALSE)</f>
        <v>0</v>
      </c>
      <c r="E48" s="156">
        <f>VLOOKUP($A$43,$A$37:$G$40,6,FALSE)</f>
        <v>0.1</v>
      </c>
      <c r="F48" s="156">
        <f>VLOOKUP($A$43,$A$37:$G$40,7,FALSE)</f>
        <v>0.2</v>
      </c>
      <c r="H48" s="425"/>
      <c r="I48" s="16"/>
      <c r="J48" s="16"/>
      <c r="K48" s="427"/>
      <c r="L48" s="132"/>
      <c r="O48" s="425"/>
      <c r="P48" s="16"/>
      <c r="Q48" s="16"/>
      <c r="R48" s="427"/>
      <c r="S48" s="426"/>
    </row>
    <row r="49" spans="1:19" x14ac:dyDescent="0.3">
      <c r="A49" s="156">
        <f>VLOOKUP($A$43,$I$16:$O$19,2,FALSE)</f>
        <v>30</v>
      </c>
      <c r="B49" s="156">
        <f>VLOOKUP($A$43,$I$16:$O$19,3,FALSE)</f>
        <v>-0.2</v>
      </c>
      <c r="C49" s="156">
        <f>VLOOKUP($A$43,$I$16:$O$19,4,FALSE)</f>
        <v>0</v>
      </c>
      <c r="D49" s="156">
        <f>VLOOKUP($A$43,$I$16:$O$19,5,FALSE)</f>
        <v>0</v>
      </c>
      <c r="E49" s="156">
        <f>VLOOKUP($A$43,$I$16:$O$19,6,FALSE)</f>
        <v>0.1</v>
      </c>
      <c r="F49" s="156">
        <f>VLOOKUP($A$43,$I$16:$O$19,7,FALSE)</f>
        <v>0.2</v>
      </c>
      <c r="H49" s="425"/>
      <c r="I49" s="16"/>
      <c r="J49" s="16"/>
      <c r="K49" s="427"/>
      <c r="L49" s="132"/>
      <c r="O49" s="425"/>
      <c r="P49" s="16"/>
      <c r="Q49" s="16"/>
      <c r="R49" s="427"/>
      <c r="S49" s="426"/>
    </row>
    <row r="50" spans="1:19" x14ac:dyDescent="0.3">
      <c r="A50" s="156">
        <f>VLOOKUP($A$43,$I$23:$O$26,2,FALSE)</f>
        <v>35</v>
      </c>
      <c r="B50" s="156">
        <f>VLOOKUP($A$43,$I$23:$O$26,3,FALSE)</f>
        <v>-0.2</v>
      </c>
      <c r="C50" s="156">
        <f>VLOOKUP($A$43,$I$23:$O$26,4,FALSE)</f>
        <v>0</v>
      </c>
      <c r="D50" s="156">
        <f>VLOOKUP($A$43,$I$23:$O$26,5,FALSE)</f>
        <v>0</v>
      </c>
      <c r="E50" s="156">
        <f>VLOOKUP($A$43,$I$23:$O$26,6,FALSE)</f>
        <v>0.1</v>
      </c>
      <c r="F50" s="156">
        <f>VLOOKUP($A$43,$I$23:$O$26,7,FALSE)</f>
        <v>0.2</v>
      </c>
      <c r="H50" s="425"/>
      <c r="I50" s="16"/>
      <c r="J50" s="16"/>
      <c r="K50" s="427"/>
      <c r="L50" s="132"/>
      <c r="O50" s="425"/>
      <c r="P50" s="16"/>
      <c r="Q50" s="16"/>
      <c r="R50" s="427"/>
      <c r="S50" s="426"/>
    </row>
    <row r="51" spans="1:19" x14ac:dyDescent="0.3">
      <c r="A51" s="156">
        <f>VLOOKUP($A$43,$I$30:$O$33,2,FALSE)</f>
        <v>0</v>
      </c>
      <c r="B51" s="156">
        <f>VLOOKUP($A$43,$I$30:$O$33,3,FALSE)</f>
        <v>0.02</v>
      </c>
      <c r="C51" s="156">
        <f>VLOOKUP($A$43,$I$30:$O$33,4,FALSE)</f>
        <v>0</v>
      </c>
      <c r="D51" s="156">
        <f>VLOOKUP($A$43,$I$30:$O$33,5,FALSE)</f>
        <v>0</v>
      </c>
      <c r="E51" s="156">
        <f>VLOOKUP($A$43,$I$30:$O$33,6,FALSE)</f>
        <v>0.01</v>
      </c>
      <c r="F51" s="156">
        <f>VLOOKUP($A$43,$I$30:$O$33,7,FALSE)</f>
        <v>0.2</v>
      </c>
      <c r="H51" s="425"/>
      <c r="I51" s="16"/>
      <c r="J51" s="16"/>
      <c r="K51" s="427"/>
      <c r="L51" s="132"/>
      <c r="O51" s="425"/>
      <c r="P51" s="16"/>
      <c r="Q51" s="16"/>
      <c r="R51" s="427"/>
      <c r="S51" s="426"/>
    </row>
    <row r="52" spans="1:19" x14ac:dyDescent="0.3">
      <c r="A52" s="156">
        <f>VLOOKUP($A$43,$I$37:$O$40,2,FALSE)</f>
        <v>0</v>
      </c>
      <c r="B52" s="156">
        <f>VLOOKUP($A$43,$I$37:$O$40,3,FALSE)</f>
        <v>0.02</v>
      </c>
      <c r="C52" s="156">
        <f>VLOOKUP($A$43,$I$37:$O$40,4,FALSE)</f>
        <v>0</v>
      </c>
      <c r="D52" s="156">
        <f>VLOOKUP($A$43,$I$37:$O$40,5,FALSE)</f>
        <v>0</v>
      </c>
      <c r="E52" s="156">
        <f>VLOOKUP($A$43,$I$37:$O$40,6,FALSE)</f>
        <v>0.01</v>
      </c>
      <c r="F52" s="156">
        <f>VLOOKUP($A$43,$I$37:$O$40,7,FALSE)</f>
        <v>0.2</v>
      </c>
      <c r="H52" s="425"/>
      <c r="I52" s="16"/>
      <c r="J52" s="16"/>
      <c r="K52" s="427"/>
      <c r="L52" s="132"/>
      <c r="O52" s="425"/>
      <c r="P52" s="16"/>
      <c r="Q52" s="16"/>
      <c r="R52" s="427"/>
      <c r="S52" s="426"/>
    </row>
    <row r="53" spans="1:19" x14ac:dyDescent="0.3">
      <c r="A53" s="425"/>
      <c r="B53" s="425"/>
      <c r="C53" s="425"/>
      <c r="E53" s="132"/>
      <c r="H53" s="425"/>
      <c r="I53" s="16"/>
      <c r="J53" s="16"/>
      <c r="K53" s="427"/>
      <c r="L53" s="132"/>
      <c r="O53" s="425"/>
      <c r="P53" s="16"/>
      <c r="Q53" s="16"/>
      <c r="R53" s="427"/>
      <c r="S53" s="426"/>
    </row>
    <row r="54" spans="1:19" x14ac:dyDescent="0.3">
      <c r="A54" s="844" t="s">
        <v>198</v>
      </c>
      <c r="B54" s="844"/>
      <c r="C54" s="845"/>
      <c r="D54" s="15" t="s">
        <v>199</v>
      </c>
    </row>
    <row r="55" spans="1:19" ht="15.6" x14ac:dyDescent="0.3">
      <c r="A55" s="431" t="s">
        <v>200</v>
      </c>
      <c r="B55" s="36">
        <f>F45</f>
        <v>0.2</v>
      </c>
      <c r="C55" s="433" t="s">
        <v>17</v>
      </c>
      <c r="D55" s="434" t="str">
        <f>TEXT(B55,"0.0")</f>
        <v>0.2</v>
      </c>
    </row>
    <row r="56" spans="1:19" x14ac:dyDescent="0.3">
      <c r="D56" s="15"/>
    </row>
    <row r="57" spans="1:19" x14ac:dyDescent="0.3">
      <c r="A57" s="843" t="s">
        <v>201</v>
      </c>
      <c r="B57" s="843"/>
      <c r="C57" s="126"/>
      <c r="D57" s="435"/>
    </row>
    <row r="58" spans="1:19" x14ac:dyDescent="0.3">
      <c r="A58" s="430">
        <f>AVERAGE(ID!E20:F20)</f>
        <v>22</v>
      </c>
      <c r="B58" s="36">
        <f>FORECAST(A58,B45:B52,A45:A52)</f>
        <v>-0.16483516483516483</v>
      </c>
      <c r="D58" s="15"/>
    </row>
    <row r="59" spans="1:19" x14ac:dyDescent="0.3">
      <c r="D59" s="15"/>
    </row>
    <row r="60" spans="1:19" x14ac:dyDescent="0.3">
      <c r="A60" s="846" t="s">
        <v>202</v>
      </c>
      <c r="B60" s="846"/>
      <c r="D60" s="15"/>
    </row>
    <row r="61" spans="1:19" ht="15.6" x14ac:dyDescent="0.3">
      <c r="A61" s="431" t="s">
        <v>203</v>
      </c>
      <c r="B61" s="432">
        <f>A58+B58</f>
        <v>21.835164835164836</v>
      </c>
      <c r="D61" s="434" t="str">
        <f>TEXT(B61,"0.0")</f>
        <v>21.8</v>
      </c>
    </row>
    <row r="63" spans="1:19" ht="15.6" x14ac:dyDescent="0.3">
      <c r="A63" s="170" t="s">
        <v>190</v>
      </c>
      <c r="B63" s="182" t="s">
        <v>191</v>
      </c>
      <c r="C63" s="170" t="s">
        <v>192</v>
      </c>
      <c r="D63" s="183" t="s">
        <v>187</v>
      </c>
    </row>
    <row r="64" spans="1:19" x14ac:dyDescent="0.3">
      <c r="A64" s="170" t="str">
        <f>A63&amp;D61&amp;B63&amp;D55&amp;C63&amp;D63</f>
        <v>( 21.8 ± 0.2 ) °C</v>
      </c>
      <c r="B64" s="170"/>
      <c r="C64" s="170"/>
      <c r="D64" s="170"/>
    </row>
    <row r="66" spans="1:12" x14ac:dyDescent="0.3">
      <c r="A66" s="785" t="str">
        <f>ID!B64</f>
        <v>Digital Thermometer, Merek : Greisinger, Tipe : GMH 5530, SN : 33700052</v>
      </c>
      <c r="B66" s="785"/>
      <c r="C66" s="785"/>
      <c r="D66" s="785"/>
      <c r="E66" s="785"/>
      <c r="F66" s="785"/>
      <c r="G66" s="786"/>
      <c r="H66" s="785"/>
      <c r="I66" s="785"/>
      <c r="J66" s="785"/>
      <c r="K66" s="785"/>
      <c r="L66" s="785"/>
    </row>
    <row r="67" spans="1:12" x14ac:dyDescent="0.3">
      <c r="A67" s="428" t="s">
        <v>396</v>
      </c>
      <c r="B67" s="303"/>
      <c r="C67" s="303"/>
      <c r="D67" s="363"/>
      <c r="E67" s="363"/>
      <c r="F67" s="364"/>
      <c r="G67" s="365"/>
      <c r="H67" s="366"/>
      <c r="I67" s="367">
        <f>B3</f>
        <v>2019</v>
      </c>
      <c r="J67" s="367">
        <f t="shared" ref="J67:K67" si="36">C3</f>
        <v>2016</v>
      </c>
      <c r="K67" s="367">
        <f t="shared" si="36"/>
        <v>2012</v>
      </c>
      <c r="L67" s="367">
        <v>1</v>
      </c>
    </row>
    <row r="68" spans="1:12" x14ac:dyDescent="0.3">
      <c r="A68" s="428" t="s">
        <v>397</v>
      </c>
      <c r="B68" s="303"/>
      <c r="C68" s="303"/>
      <c r="D68" s="363"/>
      <c r="E68" s="363"/>
      <c r="F68" s="364"/>
      <c r="G68" s="365"/>
      <c r="H68" s="366"/>
      <c r="I68" s="367">
        <f>I3</f>
        <v>2019</v>
      </c>
      <c r="J68" s="367">
        <f t="shared" ref="J68:K68" si="37">J3</f>
        <v>2016</v>
      </c>
      <c r="K68" s="367">
        <f t="shared" si="37"/>
        <v>2012</v>
      </c>
      <c r="L68" s="367">
        <v>2</v>
      </c>
    </row>
    <row r="69" spans="1:12" x14ac:dyDescent="0.3">
      <c r="A69" s="428" t="s">
        <v>398</v>
      </c>
      <c r="B69" s="303"/>
      <c r="C69" s="303"/>
      <c r="D69" s="363"/>
      <c r="E69" s="363"/>
      <c r="F69" s="364"/>
      <c r="G69" s="365"/>
      <c r="H69" s="366"/>
      <c r="I69" s="367">
        <f>P3</f>
        <v>2019</v>
      </c>
      <c r="J69" s="367">
        <f t="shared" ref="J69:K69" si="38">Q3</f>
        <v>2016</v>
      </c>
      <c r="K69" s="367">
        <f t="shared" si="38"/>
        <v>2012</v>
      </c>
      <c r="L69" s="367">
        <v>3</v>
      </c>
    </row>
    <row r="70" spans="1:12" x14ac:dyDescent="0.3">
      <c r="A70" s="428" t="s">
        <v>204</v>
      </c>
      <c r="B70" s="303"/>
      <c r="C70" s="303"/>
      <c r="D70" s="363"/>
      <c r="E70" s="363"/>
      <c r="F70" s="364"/>
      <c r="G70" s="365"/>
      <c r="H70" s="366"/>
      <c r="I70" s="367">
        <f>W3</f>
        <v>2019</v>
      </c>
      <c r="J70" s="367">
        <f t="shared" ref="J70:K70" si="39">X3</f>
        <v>2016</v>
      </c>
      <c r="K70" s="367">
        <f t="shared" si="39"/>
        <v>2012</v>
      </c>
      <c r="L70" s="367">
        <v>4</v>
      </c>
    </row>
    <row r="71" spans="1:12" x14ac:dyDescent="0.3">
      <c r="A71" s="790">
        <f>VLOOKUP(A66,A67:L70,12,(FALSE))</f>
        <v>3</v>
      </c>
      <c r="B71" s="790"/>
      <c r="C71" s="790"/>
      <c r="D71" s="790"/>
      <c r="E71" s="790"/>
      <c r="F71" s="790"/>
      <c r="G71" s="790"/>
      <c r="H71" s="790"/>
      <c r="I71" s="790"/>
      <c r="J71" s="790"/>
      <c r="K71" s="790"/>
      <c r="L71" s="790"/>
    </row>
  </sheetData>
  <mergeCells count="58">
    <mergeCell ref="B43:D43"/>
    <mergeCell ref="E43:E44"/>
    <mergeCell ref="F43:F44"/>
    <mergeCell ref="A66:L66"/>
    <mergeCell ref="A71:L71"/>
    <mergeCell ref="A43:A44"/>
    <mergeCell ref="A57:B57"/>
    <mergeCell ref="A54:C54"/>
    <mergeCell ref="A60:B60"/>
    <mergeCell ref="V1:AA1"/>
    <mergeCell ref="W2:Y2"/>
    <mergeCell ref="Z2:Z3"/>
    <mergeCell ref="AA2:AA3"/>
    <mergeCell ref="A42:F42"/>
    <mergeCell ref="A14:B15"/>
    <mergeCell ref="A21:B22"/>
    <mergeCell ref="A28:B29"/>
    <mergeCell ref="A35:B36"/>
    <mergeCell ref="I14:J15"/>
    <mergeCell ref="I21:J22"/>
    <mergeCell ref="I28:J29"/>
    <mergeCell ref="I35:J36"/>
    <mergeCell ref="K28:M28"/>
    <mergeCell ref="N28:N29"/>
    <mergeCell ref="O28:O29"/>
    <mergeCell ref="K35:M35"/>
    <mergeCell ref="N35:N36"/>
    <mergeCell ref="O35:O36"/>
    <mergeCell ref="K14:M14"/>
    <mergeCell ref="N14:N15"/>
    <mergeCell ref="O14:O15"/>
    <mergeCell ref="K21:M21"/>
    <mergeCell ref="N21:N22"/>
    <mergeCell ref="O21:O22"/>
    <mergeCell ref="C35:E35"/>
    <mergeCell ref="F35:F36"/>
    <mergeCell ref="G35:G36"/>
    <mergeCell ref="C21:E21"/>
    <mergeCell ref="F21:F22"/>
    <mergeCell ref="G21:G22"/>
    <mergeCell ref="C28:E28"/>
    <mergeCell ref="F28:F29"/>
    <mergeCell ref="G28:G29"/>
    <mergeCell ref="H1:M1"/>
    <mergeCell ref="I2:K2"/>
    <mergeCell ref="L2:L3"/>
    <mergeCell ref="M2:M3"/>
    <mergeCell ref="O1:T1"/>
    <mergeCell ref="P2:R2"/>
    <mergeCell ref="S2:S3"/>
    <mergeCell ref="T2:T3"/>
    <mergeCell ref="G14:G15"/>
    <mergeCell ref="E2:E3"/>
    <mergeCell ref="B2:D2"/>
    <mergeCell ref="A1:F1"/>
    <mergeCell ref="F2:F3"/>
    <mergeCell ref="C14:E14"/>
    <mergeCell ref="F14:F15"/>
  </mergeCells>
  <phoneticPr fontId="44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LK</vt:lpstr>
      <vt:lpstr>Riwayat Revisi</vt:lpstr>
      <vt:lpstr>ID</vt:lpstr>
      <vt:lpstr>UB</vt:lpstr>
      <vt:lpstr>Penyelia</vt:lpstr>
      <vt:lpstr>LH</vt:lpstr>
      <vt:lpstr>SERTIFIKAT</vt:lpstr>
      <vt:lpstr>DB Thermohygro</vt:lpstr>
      <vt:lpstr>DB Thermo Air</vt:lpstr>
      <vt:lpstr>DB Balance</vt:lpstr>
      <vt:lpstr>ID!Print_Area</vt:lpstr>
      <vt:lpstr>LH!Print_Area</vt:lpstr>
      <vt:lpstr>LK!Print_Area</vt:lpstr>
      <vt:lpstr>Penyelia!Print_Area</vt:lpstr>
      <vt:lpstr>SERTIFIKAT!Print_Area</vt:lpstr>
      <vt:lpstr>UB!Print_Area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Mikropipet Fix 2017</dc:title>
  <dc:subject/>
  <dc:creator>FADHIL</dc:creator>
  <cp:keywords/>
  <dc:description/>
  <cp:lastModifiedBy>Developer</cp:lastModifiedBy>
  <cp:revision/>
  <cp:lastPrinted>2023-07-03T04:12:13Z</cp:lastPrinted>
  <dcterms:created xsi:type="dcterms:W3CDTF">2016-04-12T01:18:24Z</dcterms:created>
  <dcterms:modified xsi:type="dcterms:W3CDTF">2023-07-17T01:55:49Z</dcterms:modified>
  <cp:category>Laboratorium Flow dan Volume</cp:category>
  <cp:contentStatus/>
</cp:coreProperties>
</file>