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E111556-D026-4A01-9C41-E28F92688DC7}" xr6:coauthVersionLast="47" xr6:coauthVersionMax="47" xr10:uidLastSave="{00000000-0000-0000-0000-000000000000}"/>
  <bookViews>
    <workbookView xWindow="0" yWindow="0" windowWidth="10245" windowHeight="11070" firstSheet="3" activeTab="3" xr2:uid="{00000000-000D-0000-FFFF-FFFF00000000}"/>
  </bookViews>
  <sheets>
    <sheet name="Riwayat Revisi" sheetId="17" r:id="rId1"/>
    <sheet name="LK" sheetId="8" r:id="rId2"/>
    <sheet name="UB" sheetId="9" r:id="rId3"/>
    <sheet name="PENYELIA" sheetId="4" r:id="rId4"/>
    <sheet name="ID" sheetId="5" r:id="rId5"/>
    <sheet name="LH" sheetId="1" r:id="rId6"/>
    <sheet name="DB Kelistrikan" sheetId="13" r:id="rId7"/>
    <sheet name="DB Gas Flow" sheetId="15" r:id="rId8"/>
    <sheet name="SERTIFIKAT" sheetId="16" r:id="rId9"/>
    <sheet name="DB Thermohygro" sheetId="12" r:id="rId10"/>
  </sheets>
  <definedNames>
    <definedName name="_xlnm.Print_Area" localSheetId="7">'DB Gas Flow'!$A$1:$AS$162</definedName>
    <definedName name="_xlnm.Print_Area" localSheetId="9">'DB Thermohygro'!$A$1:$AE$422</definedName>
    <definedName name="_xlnm.Print_Area" localSheetId="4">ID!$A$1:$O$54</definedName>
    <definedName name="_xlnm.Print_Area" localSheetId="5">LH!$A$1:$N$64</definedName>
    <definedName name="_xlnm.Print_Area" localSheetId="1">LK!$A$1:$M$58</definedName>
    <definedName name="_xlnm.Print_Area" localSheetId="3">PENYELIA!$A$1:$P$54</definedName>
    <definedName name="_xlnm.Print_Area" localSheetId="2">UB!$A$1:$K$41</definedName>
  </definedNames>
  <calcPr calcId="191029"/>
</workbook>
</file>

<file path=xl/calcChain.xml><?xml version="1.0" encoding="utf-8"?>
<calcChain xmlns="http://schemas.openxmlformats.org/spreadsheetml/2006/main">
  <c r="J105" i="15" l="1"/>
  <c r="AM97" i="15"/>
  <c r="AN98" i="15"/>
  <c r="AN96" i="15"/>
  <c r="AL98" i="15"/>
  <c r="AL96" i="15"/>
  <c r="AK97" i="15"/>
  <c r="J104" i="15"/>
  <c r="AJ101" i="15"/>
  <c r="AK102" i="15" l="1"/>
  <c r="AK100" i="15"/>
  <c r="AI102" i="15"/>
  <c r="AI100" i="15"/>
  <c r="AH101" i="15"/>
  <c r="AH96" i="15"/>
  <c r="E104" i="15"/>
  <c r="V96" i="15"/>
  <c r="Y97" i="15"/>
  <c r="U386" i="12"/>
  <c r="U379" i="12" s="1"/>
  <c r="N270" i="13"/>
  <c r="A121" i="15"/>
  <c r="A109" i="15"/>
  <c r="C104" i="15"/>
  <c r="H15" i="1"/>
  <c r="F15" i="1"/>
  <c r="H14" i="1"/>
  <c r="F14" i="1"/>
  <c r="G31" i="4" l="1"/>
  <c r="AA97" i="15"/>
  <c r="AA96" i="15"/>
  <c r="I104" i="15" l="1"/>
  <c r="D105" i="15"/>
  <c r="A298" i="13" l="1"/>
  <c r="H105" i="15" l="1"/>
  <c r="H106" i="15"/>
  <c r="H104" i="15"/>
  <c r="I106" i="15"/>
  <c r="I105" i="15"/>
  <c r="E31" i="9"/>
  <c r="E18" i="9"/>
  <c r="E5" i="9"/>
  <c r="D106" i="15"/>
  <c r="D104" i="15"/>
  <c r="C103" i="15"/>
  <c r="B103" i="15"/>
  <c r="K26" i="5"/>
  <c r="K25" i="5"/>
  <c r="M272" i="13"/>
  <c r="U23" i="4"/>
  <c r="D18" i="9" l="1"/>
  <c r="D31" i="9"/>
  <c r="D5" i="9"/>
  <c r="D33" i="9"/>
  <c r="D20" i="9"/>
  <c r="D7" i="9"/>
  <c r="G32" i="4" l="1"/>
  <c r="G32" i="1" s="1"/>
  <c r="G33" i="4"/>
  <c r="G33" i="1" s="1"/>
  <c r="G31" i="1"/>
  <c r="C105" i="15"/>
  <c r="C106" i="15"/>
  <c r="F106" i="15" s="1"/>
  <c r="B105" i="15"/>
  <c r="B106" i="15"/>
  <c r="B104" i="15"/>
  <c r="E32" i="4"/>
  <c r="E32" i="1" s="1"/>
  <c r="E33" i="4"/>
  <c r="E33" i="1" s="1"/>
  <c r="E31" i="4"/>
  <c r="E31" i="1" s="1"/>
  <c r="C32" i="4"/>
  <c r="C32" i="1" s="1"/>
  <c r="C33" i="4"/>
  <c r="C33" i="1" s="1"/>
  <c r="C31" i="4"/>
  <c r="C31" i="1" s="1"/>
  <c r="E34" i="9" l="1"/>
  <c r="E33" i="9"/>
  <c r="E21" i="9"/>
  <c r="E20" i="9"/>
  <c r="B29" i="9"/>
  <c r="B16" i="9"/>
  <c r="B3" i="9"/>
  <c r="E8" i="9"/>
  <c r="A29" i="9"/>
  <c r="A16" i="9"/>
  <c r="A3" i="9"/>
  <c r="I52" i="4"/>
  <c r="B19" i="9" l="1"/>
  <c r="B20" i="9"/>
  <c r="B21" i="9"/>
  <c r="B18" i="9"/>
  <c r="K27" i="9"/>
  <c r="F21" i="9"/>
  <c r="F20" i="9"/>
  <c r="F19" i="9"/>
  <c r="G18" i="9" l="1"/>
  <c r="I18" i="9" s="1"/>
  <c r="K18" i="9" l="1"/>
  <c r="J18" i="9"/>
  <c r="M4" i="12" l="1"/>
  <c r="T4" i="12" s="1"/>
  <c r="M15" i="12"/>
  <c r="T15" i="12" s="1"/>
  <c r="M26" i="12"/>
  <c r="T26" i="12" s="1"/>
  <c r="M37" i="12"/>
  <c r="T37" i="12" s="1"/>
  <c r="M59" i="12"/>
  <c r="T59" i="12" s="1"/>
  <c r="M70" i="12"/>
  <c r="T70" i="12" s="1"/>
  <c r="M81" i="12"/>
  <c r="T81" i="12" s="1"/>
  <c r="M92" i="12"/>
  <c r="T92" i="12" s="1"/>
  <c r="M103" i="12"/>
  <c r="T103" i="12" s="1"/>
  <c r="M114" i="12"/>
  <c r="T114" i="12" s="1"/>
  <c r="M125" i="12"/>
  <c r="T125" i="12" s="1"/>
  <c r="M136" i="12"/>
  <c r="T136" i="12" s="1"/>
  <c r="M147" i="12"/>
  <c r="T147" i="12" s="1"/>
  <c r="M158" i="12"/>
  <c r="T158" i="12" s="1"/>
  <c r="M169" i="12"/>
  <c r="T169" i="12"/>
  <c r="M180" i="12"/>
  <c r="T180" i="12" s="1"/>
  <c r="M191" i="12"/>
  <c r="T191" i="12" s="1"/>
  <c r="M202" i="12"/>
  <c r="T202" i="12" s="1"/>
  <c r="G220" i="12"/>
  <c r="G219" i="12"/>
  <c r="G218" i="12"/>
  <c r="G217" i="12"/>
  <c r="G216" i="12"/>
  <c r="G215" i="12"/>
  <c r="G214" i="12"/>
  <c r="N214" i="12"/>
  <c r="N220" i="12"/>
  <c r="N219" i="12"/>
  <c r="N218" i="12"/>
  <c r="N217" i="12"/>
  <c r="N216" i="12"/>
  <c r="N215" i="12"/>
  <c r="M213" i="12"/>
  <c r="T213" i="12" s="1"/>
  <c r="U77" i="12"/>
  <c r="B48" i="16" l="1"/>
  <c r="A20" i="16" s="1"/>
  <c r="A3" i="16"/>
  <c r="F6" i="16" s="1"/>
  <c r="F7" i="4"/>
  <c r="B43" i="16"/>
  <c r="B44" i="16" s="1"/>
  <c r="B41" i="16"/>
  <c r="E24" i="16"/>
  <c r="A17" i="16" l="1"/>
  <c r="A18" i="16"/>
  <c r="A15" i="16"/>
  <c r="P55" i="15" l="1"/>
  <c r="C52" i="4" l="1"/>
  <c r="J120" i="15" l="1"/>
  <c r="I120" i="15"/>
  <c r="J119" i="15"/>
  <c r="I119" i="15"/>
  <c r="J118" i="15"/>
  <c r="I118" i="15"/>
  <c r="J117" i="15"/>
  <c r="I117" i="15"/>
  <c r="J116" i="15"/>
  <c r="I116" i="15"/>
  <c r="J115" i="15"/>
  <c r="J114" i="15"/>
  <c r="J113" i="15"/>
  <c r="J112" i="15"/>
  <c r="I112" i="15"/>
  <c r="J111" i="15"/>
  <c r="I111" i="15"/>
  <c r="J110" i="15"/>
  <c r="I110" i="15"/>
  <c r="M109" i="15"/>
  <c r="Y109" i="15" s="1"/>
  <c r="Y121" i="15" s="1"/>
  <c r="B93" i="15"/>
  <c r="V93" i="15" s="1"/>
  <c r="AA91" i="15"/>
  <c r="Y91" i="15"/>
  <c r="X91" i="15"/>
  <c r="W91" i="15"/>
  <c r="G91" i="15"/>
  <c r="E91" i="15"/>
  <c r="D91" i="15"/>
  <c r="C91" i="15"/>
  <c r="AA90" i="15"/>
  <c r="Y90" i="15"/>
  <c r="X90" i="15"/>
  <c r="W90" i="15"/>
  <c r="G90" i="15"/>
  <c r="E90" i="15"/>
  <c r="D90" i="15"/>
  <c r="C90" i="15"/>
  <c r="AA89" i="15"/>
  <c r="Y89" i="15"/>
  <c r="X89" i="15"/>
  <c r="W89" i="15"/>
  <c r="G89" i="15"/>
  <c r="E89" i="15"/>
  <c r="D89" i="15"/>
  <c r="C89" i="15"/>
  <c r="AA88" i="15"/>
  <c r="Y88" i="15"/>
  <c r="X88" i="15"/>
  <c r="W88" i="15"/>
  <c r="G88" i="15"/>
  <c r="E88" i="15"/>
  <c r="D88" i="15"/>
  <c r="C88" i="15"/>
  <c r="AA87" i="15"/>
  <c r="Y87" i="15"/>
  <c r="X87" i="15"/>
  <c r="W87" i="15"/>
  <c r="G87" i="15"/>
  <c r="E87" i="15"/>
  <c r="D87" i="15"/>
  <c r="C87" i="15"/>
  <c r="AA86" i="15"/>
  <c r="Y86" i="15"/>
  <c r="X86" i="15"/>
  <c r="W86" i="15"/>
  <c r="G86" i="15"/>
  <c r="E86" i="15"/>
  <c r="D86" i="15"/>
  <c r="C86" i="15"/>
  <c r="AA85" i="15"/>
  <c r="Y85" i="15"/>
  <c r="X85" i="15"/>
  <c r="W85" i="15"/>
  <c r="G85" i="15"/>
  <c r="E85" i="15"/>
  <c r="D85" i="15"/>
  <c r="C85" i="15"/>
  <c r="AA84" i="15"/>
  <c r="Y84" i="15"/>
  <c r="X84" i="15"/>
  <c r="W84" i="15"/>
  <c r="G84" i="15"/>
  <c r="E84" i="15"/>
  <c r="D84" i="15"/>
  <c r="C84" i="15"/>
  <c r="AA83" i="15"/>
  <c r="Y83" i="15"/>
  <c r="X83" i="15"/>
  <c r="W83" i="15"/>
  <c r="G83" i="15"/>
  <c r="F83" i="15"/>
  <c r="E83" i="15"/>
  <c r="D83" i="15"/>
  <c r="C83" i="15"/>
  <c r="AA82" i="15"/>
  <c r="Y82" i="15"/>
  <c r="X82" i="15"/>
  <c r="W82" i="15"/>
  <c r="G82" i="15"/>
  <c r="E82" i="15"/>
  <c r="D82" i="15"/>
  <c r="C82" i="15"/>
  <c r="AA81" i="15"/>
  <c r="Y81" i="15"/>
  <c r="X81" i="15"/>
  <c r="W81" i="15"/>
  <c r="G81" i="15"/>
  <c r="E81" i="15"/>
  <c r="D81" i="15"/>
  <c r="C81" i="15"/>
  <c r="AA80" i="15"/>
  <c r="Y80" i="15"/>
  <c r="X80" i="15"/>
  <c r="W80" i="15"/>
  <c r="G80" i="15"/>
  <c r="E80" i="15"/>
  <c r="D80" i="15"/>
  <c r="C80" i="15"/>
  <c r="AA79" i="15"/>
  <c r="Y79" i="15"/>
  <c r="X79" i="15"/>
  <c r="W79" i="15"/>
  <c r="G79" i="15"/>
  <c r="E79" i="15"/>
  <c r="D79" i="15"/>
  <c r="C79" i="15"/>
  <c r="AA78" i="15"/>
  <c r="Y78" i="15"/>
  <c r="X78" i="15"/>
  <c r="W78" i="15"/>
  <c r="G78" i="15"/>
  <c r="E78" i="15"/>
  <c r="D78" i="15"/>
  <c r="C78" i="15"/>
  <c r="AA77" i="15"/>
  <c r="Y77" i="15"/>
  <c r="X77" i="15"/>
  <c r="W77" i="15"/>
  <c r="G77" i="15"/>
  <c r="E77" i="15"/>
  <c r="D77" i="15"/>
  <c r="C77" i="15"/>
  <c r="AA76" i="15"/>
  <c r="Y76" i="15"/>
  <c r="X76" i="15"/>
  <c r="W76" i="15"/>
  <c r="G76" i="15"/>
  <c r="E76" i="15"/>
  <c r="D76" i="15"/>
  <c r="C76" i="15"/>
  <c r="AA75" i="15"/>
  <c r="Y75" i="15"/>
  <c r="X75" i="15"/>
  <c r="W75" i="15"/>
  <c r="G75" i="15"/>
  <c r="E75" i="15"/>
  <c r="D75" i="15"/>
  <c r="C75" i="15"/>
  <c r="AA74" i="15"/>
  <c r="Y74" i="15"/>
  <c r="X74" i="15"/>
  <c r="W74" i="15"/>
  <c r="G74" i="15"/>
  <c r="E74" i="15"/>
  <c r="D74" i="15"/>
  <c r="C74" i="15"/>
  <c r="AA73" i="15"/>
  <c r="Y73" i="15"/>
  <c r="X73" i="15"/>
  <c r="W73" i="15"/>
  <c r="G73" i="15"/>
  <c r="E73" i="15"/>
  <c r="D73" i="15"/>
  <c r="C73" i="15"/>
  <c r="AA72" i="15"/>
  <c r="Y72" i="15"/>
  <c r="X72" i="15"/>
  <c r="W72" i="15"/>
  <c r="G72" i="15"/>
  <c r="E72" i="15"/>
  <c r="D72" i="15"/>
  <c r="C72" i="15"/>
  <c r="AA71" i="15"/>
  <c r="Y71" i="15"/>
  <c r="X71" i="15"/>
  <c r="W71" i="15"/>
  <c r="G71" i="15"/>
  <c r="E71" i="15"/>
  <c r="D71" i="15"/>
  <c r="C71" i="15"/>
  <c r="AJ70" i="15"/>
  <c r="Z91" i="15" s="1"/>
  <c r="AA70" i="15"/>
  <c r="Y70" i="15"/>
  <c r="X70" i="15"/>
  <c r="W70" i="15"/>
  <c r="P70" i="15"/>
  <c r="F91" i="15" s="1"/>
  <c r="G70" i="15"/>
  <c r="E70" i="15"/>
  <c r="D70" i="15"/>
  <c r="C70" i="15"/>
  <c r="AJ69" i="15"/>
  <c r="Z80" i="15" s="1"/>
  <c r="AA69" i="15"/>
  <c r="Y69" i="15"/>
  <c r="X69" i="15"/>
  <c r="W69" i="15"/>
  <c r="P69" i="15"/>
  <c r="F80" i="15" s="1"/>
  <c r="G69" i="15"/>
  <c r="E69" i="15"/>
  <c r="D69" i="15"/>
  <c r="C69" i="15"/>
  <c r="AJ68" i="15"/>
  <c r="Z69" i="15" s="1"/>
  <c r="AA68" i="15"/>
  <c r="Y68" i="15"/>
  <c r="X68" i="15"/>
  <c r="W68" i="15"/>
  <c r="P68" i="15"/>
  <c r="F69" i="15" s="1"/>
  <c r="G68" i="15"/>
  <c r="E68" i="15"/>
  <c r="D68" i="15"/>
  <c r="C68" i="15"/>
  <c r="AJ67" i="15"/>
  <c r="Z58" i="15" s="1"/>
  <c r="AA67" i="15"/>
  <c r="Y67" i="15"/>
  <c r="X67" i="15"/>
  <c r="W67" i="15"/>
  <c r="P67" i="15"/>
  <c r="F58" i="15" s="1"/>
  <c r="G67" i="15"/>
  <c r="E67" i="15"/>
  <c r="D67" i="15"/>
  <c r="C67" i="15"/>
  <c r="AJ66" i="15"/>
  <c r="Z47" i="15" s="1"/>
  <c r="AA66" i="15"/>
  <c r="Y66" i="15"/>
  <c r="X66" i="15"/>
  <c r="W66" i="15"/>
  <c r="P66" i="15"/>
  <c r="F47" i="15" s="1"/>
  <c r="G66" i="15"/>
  <c r="E66" i="15"/>
  <c r="D66" i="15"/>
  <c r="C66" i="15"/>
  <c r="AJ65" i="15"/>
  <c r="Z36" i="15" s="1"/>
  <c r="AA65" i="15"/>
  <c r="Y65" i="15"/>
  <c r="X65" i="15"/>
  <c r="W65" i="15"/>
  <c r="P65" i="15"/>
  <c r="F36" i="15" s="1"/>
  <c r="G65" i="15"/>
  <c r="E65" i="15"/>
  <c r="D65" i="15"/>
  <c r="C65" i="15"/>
  <c r="AA64" i="15"/>
  <c r="Y64" i="15"/>
  <c r="X64" i="15"/>
  <c r="W64" i="15"/>
  <c r="G64" i="15"/>
  <c r="E64" i="15"/>
  <c r="D64" i="15"/>
  <c r="C64" i="15"/>
  <c r="AA63" i="15"/>
  <c r="Y63" i="15"/>
  <c r="X63" i="15"/>
  <c r="W63" i="15"/>
  <c r="G63" i="15"/>
  <c r="E63" i="15"/>
  <c r="D63" i="15"/>
  <c r="C63" i="15"/>
  <c r="AG62" i="15"/>
  <c r="AA62" i="15"/>
  <c r="Y62" i="15"/>
  <c r="X62" i="15"/>
  <c r="W62" i="15"/>
  <c r="G62" i="15"/>
  <c r="E62" i="15"/>
  <c r="D62" i="15"/>
  <c r="C62" i="15"/>
  <c r="AA61" i="15"/>
  <c r="Y61" i="15"/>
  <c r="X61" i="15"/>
  <c r="W61" i="15"/>
  <c r="G61" i="15"/>
  <c r="E61" i="15"/>
  <c r="D61" i="15"/>
  <c r="C61" i="15"/>
  <c r="AJ60" i="15"/>
  <c r="Z90" i="15" s="1"/>
  <c r="AA60" i="15"/>
  <c r="Y60" i="15"/>
  <c r="X60" i="15"/>
  <c r="W60" i="15"/>
  <c r="P60" i="15"/>
  <c r="F90" i="15" s="1"/>
  <c r="G60" i="15"/>
  <c r="E60" i="15"/>
  <c r="D60" i="15"/>
  <c r="C60" i="15"/>
  <c r="AJ59" i="15"/>
  <c r="Z79" i="15" s="1"/>
  <c r="AA59" i="15"/>
  <c r="Y59" i="15"/>
  <c r="X59" i="15"/>
  <c r="W59" i="15"/>
  <c r="P59" i="15"/>
  <c r="F79" i="15" s="1"/>
  <c r="G59" i="15"/>
  <c r="E59" i="15"/>
  <c r="D59" i="15"/>
  <c r="C59" i="15"/>
  <c r="AJ58" i="15"/>
  <c r="Z68" i="15" s="1"/>
  <c r="AA58" i="15"/>
  <c r="Y58" i="15"/>
  <c r="X58" i="15"/>
  <c r="W58" i="15"/>
  <c r="P58" i="15"/>
  <c r="F68" i="15" s="1"/>
  <c r="G58" i="15"/>
  <c r="E58" i="15"/>
  <c r="D58" i="15"/>
  <c r="C58" i="15"/>
  <c r="AJ57" i="15"/>
  <c r="Z57" i="15" s="1"/>
  <c r="AA57" i="15"/>
  <c r="Y57" i="15"/>
  <c r="X57" i="15"/>
  <c r="W57" i="15"/>
  <c r="P57" i="15"/>
  <c r="F57" i="15" s="1"/>
  <c r="G57" i="15"/>
  <c r="E57" i="15"/>
  <c r="D57" i="15"/>
  <c r="C57" i="15"/>
  <c r="AJ56" i="15"/>
  <c r="Z46" i="15" s="1"/>
  <c r="AA56" i="15"/>
  <c r="Y56" i="15"/>
  <c r="X56" i="15"/>
  <c r="W56" i="15"/>
  <c r="P56" i="15"/>
  <c r="F46" i="15" s="1"/>
  <c r="G56" i="15"/>
  <c r="E56" i="15"/>
  <c r="D56" i="15"/>
  <c r="C56" i="15"/>
  <c r="AJ55" i="15"/>
  <c r="Z35" i="15" s="1"/>
  <c r="AA55" i="15"/>
  <c r="Y55" i="15"/>
  <c r="X55" i="15"/>
  <c r="W55" i="15"/>
  <c r="F35" i="15"/>
  <c r="G55" i="15"/>
  <c r="E55" i="15"/>
  <c r="D55" i="15"/>
  <c r="C55" i="15"/>
  <c r="AA54" i="15"/>
  <c r="Y54" i="15"/>
  <c r="X54" i="15"/>
  <c r="W54" i="15"/>
  <c r="G54" i="15"/>
  <c r="E54" i="15"/>
  <c r="D54" i="15"/>
  <c r="C54" i="15"/>
  <c r="AA53" i="15"/>
  <c r="Y53" i="15"/>
  <c r="X53" i="15"/>
  <c r="W53" i="15"/>
  <c r="G53" i="15"/>
  <c r="E53" i="15"/>
  <c r="D53" i="15"/>
  <c r="C53" i="15"/>
  <c r="AG52" i="15"/>
  <c r="AA52" i="15"/>
  <c r="Y52" i="15"/>
  <c r="X52" i="15"/>
  <c r="W52" i="15"/>
  <c r="G52" i="15"/>
  <c r="E52" i="15"/>
  <c r="D52" i="15"/>
  <c r="C52" i="15"/>
  <c r="AA51" i="15"/>
  <c r="Y51" i="15"/>
  <c r="X51" i="15"/>
  <c r="W51" i="15"/>
  <c r="G51" i="15"/>
  <c r="E51" i="15"/>
  <c r="D51" i="15"/>
  <c r="C51" i="15"/>
  <c r="AJ50" i="15"/>
  <c r="Z89" i="15" s="1"/>
  <c r="AA50" i="15"/>
  <c r="Y50" i="15"/>
  <c r="X50" i="15"/>
  <c r="W50" i="15"/>
  <c r="P50" i="15"/>
  <c r="F89" i="15" s="1"/>
  <c r="G50" i="15"/>
  <c r="E50" i="15"/>
  <c r="D50" i="15"/>
  <c r="C50" i="15"/>
  <c r="AJ49" i="15"/>
  <c r="Z78" i="15" s="1"/>
  <c r="AA49" i="15"/>
  <c r="Y49" i="15"/>
  <c r="X49" i="15"/>
  <c r="W49" i="15"/>
  <c r="P49" i="15"/>
  <c r="F78" i="15" s="1"/>
  <c r="G49" i="15"/>
  <c r="E49" i="15"/>
  <c r="D49" i="15"/>
  <c r="C49" i="15"/>
  <c r="AJ48" i="15"/>
  <c r="Z67" i="15" s="1"/>
  <c r="AA48" i="15"/>
  <c r="Y48" i="15"/>
  <c r="X48" i="15"/>
  <c r="W48" i="15"/>
  <c r="P48" i="15"/>
  <c r="F67" i="15" s="1"/>
  <c r="G48" i="15"/>
  <c r="E48" i="15"/>
  <c r="D48" i="15"/>
  <c r="C48" i="15"/>
  <c r="AJ47" i="15"/>
  <c r="Z56" i="15" s="1"/>
  <c r="AA47" i="15"/>
  <c r="Y47" i="15"/>
  <c r="X47" i="15"/>
  <c r="W47" i="15"/>
  <c r="P47" i="15"/>
  <c r="F56" i="15" s="1"/>
  <c r="G47" i="15"/>
  <c r="E47" i="15"/>
  <c r="D47" i="15"/>
  <c r="C47" i="15"/>
  <c r="AJ46" i="15"/>
  <c r="Z45" i="15" s="1"/>
  <c r="AA46" i="15"/>
  <c r="Y46" i="15"/>
  <c r="X46" i="15"/>
  <c r="W46" i="15"/>
  <c r="P46" i="15"/>
  <c r="F45" i="15" s="1"/>
  <c r="G46" i="15"/>
  <c r="E46" i="15"/>
  <c r="D46" i="15"/>
  <c r="C46" i="15"/>
  <c r="Z34" i="15"/>
  <c r="AA45" i="15"/>
  <c r="Y45" i="15"/>
  <c r="X45" i="15"/>
  <c r="W45" i="15"/>
  <c r="G45" i="15"/>
  <c r="E45" i="15"/>
  <c r="D45" i="15"/>
  <c r="C45" i="15"/>
  <c r="AA44" i="15"/>
  <c r="Y44" i="15"/>
  <c r="X44" i="15"/>
  <c r="W44" i="15"/>
  <c r="G44" i="15"/>
  <c r="E44" i="15"/>
  <c r="D44" i="15"/>
  <c r="C44" i="15"/>
  <c r="AA43" i="15"/>
  <c r="Y43" i="15"/>
  <c r="X43" i="15"/>
  <c r="W43" i="15"/>
  <c r="G43" i="15"/>
  <c r="E43" i="15"/>
  <c r="D43" i="15"/>
  <c r="C43" i="15"/>
  <c r="AG42" i="15"/>
  <c r="AA42" i="15"/>
  <c r="Y42" i="15"/>
  <c r="X42" i="15"/>
  <c r="W42" i="15"/>
  <c r="G42" i="15"/>
  <c r="E42" i="15"/>
  <c r="D42" i="15"/>
  <c r="C42" i="15"/>
  <c r="AA41" i="15"/>
  <c r="Y41" i="15"/>
  <c r="X41" i="15"/>
  <c r="W41" i="15"/>
  <c r="G41" i="15"/>
  <c r="E41" i="15"/>
  <c r="D41" i="15"/>
  <c r="C41" i="15"/>
  <c r="AJ40" i="15"/>
  <c r="Z88" i="15" s="1"/>
  <c r="AA40" i="15"/>
  <c r="Y40" i="15"/>
  <c r="X40" i="15"/>
  <c r="W40" i="15"/>
  <c r="P40" i="15"/>
  <c r="F88" i="15" s="1"/>
  <c r="G40" i="15"/>
  <c r="E40" i="15"/>
  <c r="D40" i="15"/>
  <c r="C40" i="15"/>
  <c r="AJ39" i="15"/>
  <c r="Z77" i="15" s="1"/>
  <c r="AA39" i="15"/>
  <c r="Y39" i="15"/>
  <c r="X39" i="15"/>
  <c r="W39" i="15"/>
  <c r="P39" i="15"/>
  <c r="F77" i="15" s="1"/>
  <c r="G39" i="15"/>
  <c r="E39" i="15"/>
  <c r="D39" i="15"/>
  <c r="C39" i="15"/>
  <c r="AJ38" i="15"/>
  <c r="Z66" i="15" s="1"/>
  <c r="AA38" i="15"/>
  <c r="Y38" i="15"/>
  <c r="X38" i="15"/>
  <c r="W38" i="15"/>
  <c r="P38" i="15"/>
  <c r="F66" i="15" s="1"/>
  <c r="G38" i="15"/>
  <c r="E38" i="15"/>
  <c r="D38" i="15"/>
  <c r="C38" i="15"/>
  <c r="AJ37" i="15"/>
  <c r="Z55" i="15" s="1"/>
  <c r="AA37" i="15"/>
  <c r="Y37" i="15"/>
  <c r="X37" i="15"/>
  <c r="W37" i="15"/>
  <c r="P37" i="15"/>
  <c r="F55" i="15" s="1"/>
  <c r="G37" i="15"/>
  <c r="E37" i="15"/>
  <c r="D37" i="15"/>
  <c r="C37" i="15"/>
  <c r="AJ36" i="15"/>
  <c r="Z44" i="15" s="1"/>
  <c r="AA36" i="15"/>
  <c r="Y36" i="15"/>
  <c r="X36" i="15"/>
  <c r="W36" i="15"/>
  <c r="P36" i="15"/>
  <c r="F44" i="15" s="1"/>
  <c r="G36" i="15"/>
  <c r="E36" i="15"/>
  <c r="D36" i="15"/>
  <c r="C36" i="15"/>
  <c r="AA35" i="15"/>
  <c r="Y35" i="15"/>
  <c r="X35" i="15"/>
  <c r="W35" i="15"/>
  <c r="G35" i="15"/>
  <c r="E35" i="15"/>
  <c r="D35" i="15"/>
  <c r="C35" i="15"/>
  <c r="AA34" i="15"/>
  <c r="Y34" i="15"/>
  <c r="X34" i="15"/>
  <c r="W34" i="15"/>
  <c r="G34" i="15"/>
  <c r="F34" i="15"/>
  <c r="E34" i="15"/>
  <c r="D34" i="15"/>
  <c r="C34" i="15"/>
  <c r="AA33" i="15"/>
  <c r="Z33" i="15"/>
  <c r="Y33" i="15"/>
  <c r="X33" i="15"/>
  <c r="W33" i="15"/>
  <c r="G33" i="15"/>
  <c r="F33" i="15"/>
  <c r="E33" i="15"/>
  <c r="D33" i="15"/>
  <c r="C33" i="15"/>
  <c r="AA32" i="15"/>
  <c r="Y32" i="15"/>
  <c r="X32" i="15"/>
  <c r="W32" i="15"/>
  <c r="G32" i="15"/>
  <c r="F32" i="15"/>
  <c r="E32" i="15"/>
  <c r="D32" i="15"/>
  <c r="C32" i="15"/>
  <c r="AA31" i="15"/>
  <c r="Y31" i="15"/>
  <c r="X31" i="15"/>
  <c r="W31" i="15"/>
  <c r="G31" i="15"/>
  <c r="F31" i="15"/>
  <c r="E31" i="15"/>
  <c r="D31" i="15"/>
  <c r="C31" i="15"/>
  <c r="AJ30" i="15"/>
  <c r="Z87" i="15" s="1"/>
  <c r="AA30" i="15"/>
  <c r="Y30" i="15"/>
  <c r="X30" i="15"/>
  <c r="W30" i="15"/>
  <c r="P30" i="15"/>
  <c r="F87" i="15" s="1"/>
  <c r="G30" i="15"/>
  <c r="E30" i="15"/>
  <c r="D30" i="15"/>
  <c r="C30" i="15"/>
  <c r="AJ29" i="15"/>
  <c r="Z76" i="15" s="1"/>
  <c r="AA29" i="15"/>
  <c r="Z29" i="15"/>
  <c r="Y29" i="15"/>
  <c r="X29" i="15"/>
  <c r="W29" i="15"/>
  <c r="P29" i="15"/>
  <c r="F76" i="15" s="1"/>
  <c r="G29" i="15"/>
  <c r="E29" i="15"/>
  <c r="D29" i="15"/>
  <c r="C29" i="15"/>
  <c r="AJ28" i="15"/>
  <c r="Z65" i="15" s="1"/>
  <c r="AA28" i="15"/>
  <c r="Y28" i="15"/>
  <c r="X28" i="15"/>
  <c r="W28" i="15"/>
  <c r="P28" i="15"/>
  <c r="F65" i="15" s="1"/>
  <c r="G28" i="15"/>
  <c r="E28" i="15"/>
  <c r="D28" i="15"/>
  <c r="C28" i="15"/>
  <c r="AJ27" i="15"/>
  <c r="Z54" i="15" s="1"/>
  <c r="AA27" i="15"/>
  <c r="Y27" i="15"/>
  <c r="X27" i="15"/>
  <c r="W27" i="15"/>
  <c r="P27" i="15"/>
  <c r="F54" i="15" s="1"/>
  <c r="G27" i="15"/>
  <c r="E27" i="15"/>
  <c r="D27" i="15"/>
  <c r="C27" i="15"/>
  <c r="AJ26" i="15"/>
  <c r="Z43" i="15" s="1"/>
  <c r="AA26" i="15"/>
  <c r="Y96" i="15" s="1"/>
  <c r="Y26" i="15"/>
  <c r="X26" i="15"/>
  <c r="W26" i="15"/>
  <c r="P26" i="15"/>
  <c r="F43" i="15" s="1"/>
  <c r="G26" i="15"/>
  <c r="E26" i="15"/>
  <c r="D26" i="15"/>
  <c r="C26" i="15"/>
  <c r="Z32" i="15"/>
  <c r="AJ20" i="15"/>
  <c r="Z86" i="15" s="1"/>
  <c r="AD20" i="15"/>
  <c r="Z84" i="15" s="1"/>
  <c r="X20" i="15"/>
  <c r="Z82" i="15" s="1"/>
  <c r="P20" i="15"/>
  <c r="F86" i="15" s="1"/>
  <c r="J20" i="15"/>
  <c r="F84" i="15" s="1"/>
  <c r="D20" i="15"/>
  <c r="F82" i="15" s="1"/>
  <c r="AJ19" i="15"/>
  <c r="Z75" i="15" s="1"/>
  <c r="AD19" i="15"/>
  <c r="Z73" i="15" s="1"/>
  <c r="X19" i="15"/>
  <c r="Z71" i="15" s="1"/>
  <c r="P19" i="15"/>
  <c r="F75" i="15" s="1"/>
  <c r="J19" i="15"/>
  <c r="F73" i="15" s="1"/>
  <c r="D19" i="15"/>
  <c r="F71" i="15" s="1"/>
  <c r="AJ18" i="15"/>
  <c r="Z64" i="15" s="1"/>
  <c r="AD18" i="15"/>
  <c r="Z62" i="15" s="1"/>
  <c r="X18" i="15"/>
  <c r="Z60" i="15" s="1"/>
  <c r="P18" i="15"/>
  <c r="F64" i="15" s="1"/>
  <c r="J18" i="15"/>
  <c r="F62" i="15" s="1"/>
  <c r="D18" i="15"/>
  <c r="F60" i="15" s="1"/>
  <c r="AJ17" i="15"/>
  <c r="Z53" i="15" s="1"/>
  <c r="AD17" i="15"/>
  <c r="Z51" i="15" s="1"/>
  <c r="X17" i="15"/>
  <c r="Z49" i="15" s="1"/>
  <c r="P17" i="15"/>
  <c r="F53" i="15" s="1"/>
  <c r="J17" i="15"/>
  <c r="F51" i="15" s="1"/>
  <c r="D17" i="15"/>
  <c r="F49" i="15" s="1"/>
  <c r="AJ16" i="15"/>
  <c r="Z42" i="15" s="1"/>
  <c r="AD16" i="15"/>
  <c r="Z40" i="15" s="1"/>
  <c r="X16" i="15"/>
  <c r="Z38" i="15" s="1"/>
  <c r="P16" i="15"/>
  <c r="F42" i="15" s="1"/>
  <c r="J16" i="15"/>
  <c r="F40" i="15" s="1"/>
  <c r="D16" i="15"/>
  <c r="F38" i="15" s="1"/>
  <c r="Z31" i="15"/>
  <c r="Z27" i="15"/>
  <c r="F29" i="15"/>
  <c r="F27" i="15"/>
  <c r="AH14" i="15"/>
  <c r="AB14" i="15"/>
  <c r="N14" i="15"/>
  <c r="I115" i="15" s="1"/>
  <c r="H14" i="15"/>
  <c r="I113" i="15" s="1"/>
  <c r="AJ10" i="15"/>
  <c r="Z85" i="15" s="1"/>
  <c r="AD10" i="15"/>
  <c r="Z83" i="15" s="1"/>
  <c r="X10" i="15"/>
  <c r="Z81" i="15" s="1"/>
  <c r="P10" i="15"/>
  <c r="F85" i="15" s="1"/>
  <c r="D10" i="15"/>
  <c r="F81" i="15" s="1"/>
  <c r="AJ9" i="15"/>
  <c r="Z74" i="15" s="1"/>
  <c r="AD9" i="15"/>
  <c r="Z72" i="15" s="1"/>
  <c r="X9" i="15"/>
  <c r="Z70" i="15" s="1"/>
  <c r="P9" i="15"/>
  <c r="F74" i="15" s="1"/>
  <c r="J9" i="15"/>
  <c r="F72" i="15" s="1"/>
  <c r="D9" i="15"/>
  <c r="F70" i="15" s="1"/>
  <c r="AJ8" i="15"/>
  <c r="Z63" i="15" s="1"/>
  <c r="AD8" i="15"/>
  <c r="Z61" i="15" s="1"/>
  <c r="X8" i="15"/>
  <c r="Z59" i="15" s="1"/>
  <c r="P8" i="15"/>
  <c r="F63" i="15" s="1"/>
  <c r="J8" i="15"/>
  <c r="F61" i="15" s="1"/>
  <c r="D8" i="15"/>
  <c r="F59" i="15" s="1"/>
  <c r="AJ7" i="15"/>
  <c r="Z52" i="15" s="1"/>
  <c r="AD7" i="15"/>
  <c r="Z50" i="15" s="1"/>
  <c r="X7" i="15"/>
  <c r="Z48" i="15" s="1"/>
  <c r="P7" i="15"/>
  <c r="F52" i="15" s="1"/>
  <c r="J7" i="15"/>
  <c r="F50" i="15" s="1"/>
  <c r="D7" i="15"/>
  <c r="F48" i="15" s="1"/>
  <c r="AJ6" i="15"/>
  <c r="Z41" i="15" s="1"/>
  <c r="AD6" i="15"/>
  <c r="Z39" i="15" s="1"/>
  <c r="X6" i="15"/>
  <c r="Z37" i="15" s="1"/>
  <c r="P6" i="15"/>
  <c r="F41" i="15" s="1"/>
  <c r="J6" i="15"/>
  <c r="F39" i="15" s="1"/>
  <c r="D6" i="15"/>
  <c r="F37" i="15" s="1"/>
  <c r="Z30" i="15"/>
  <c r="Z28" i="15"/>
  <c r="Z26" i="15"/>
  <c r="F30" i="15"/>
  <c r="F28" i="15"/>
  <c r="F26" i="15"/>
  <c r="AH4" i="15"/>
  <c r="N4" i="15"/>
  <c r="I114" i="15" s="1"/>
  <c r="A93" i="15" l="1"/>
  <c r="C101" i="15" s="1"/>
  <c r="B95" i="15"/>
  <c r="V95" i="15" s="1"/>
  <c r="M121" i="15"/>
  <c r="C95" i="15"/>
  <c r="W95" i="15" s="1"/>
  <c r="B99" i="15" l="1"/>
  <c r="B101" i="15"/>
  <c r="D96" i="15"/>
  <c r="B98" i="15"/>
  <c r="D98" i="15"/>
  <c r="A100" i="15"/>
  <c r="C97" i="15"/>
  <c r="D99" i="15"/>
  <c r="D100" i="15"/>
  <c r="A99" i="15"/>
  <c r="A101" i="15"/>
  <c r="C96" i="15"/>
  <c r="D101" i="15"/>
  <c r="E96" i="15"/>
  <c r="C100" i="15"/>
  <c r="E97" i="15"/>
  <c r="E100" i="15"/>
  <c r="D97" i="15"/>
  <c r="A96" i="15"/>
  <c r="A97" i="15"/>
  <c r="E101" i="15"/>
  <c r="U93" i="15"/>
  <c r="C98" i="15"/>
  <c r="E98" i="15"/>
  <c r="E99" i="15"/>
  <c r="B96" i="15"/>
  <c r="B100" i="15"/>
  <c r="C99" i="15"/>
  <c r="B97" i="15"/>
  <c r="A98" i="15"/>
  <c r="Y98" i="15" l="1"/>
  <c r="V97" i="15"/>
  <c r="U100" i="15"/>
  <c r="W97" i="15"/>
  <c r="V100" i="15"/>
  <c r="U101" i="15"/>
  <c r="W96" i="15"/>
  <c r="W98" i="15"/>
  <c r="W100" i="15"/>
  <c r="W99" i="15"/>
  <c r="U99" i="15"/>
  <c r="Y99" i="15"/>
  <c r="Y101" i="15"/>
  <c r="V99" i="15"/>
  <c r="W101" i="15"/>
  <c r="U96" i="15"/>
  <c r="AE100" i="15"/>
  <c r="X98" i="15"/>
  <c r="X100" i="15"/>
  <c r="V98" i="15"/>
  <c r="Y100" i="15"/>
  <c r="U98" i="15"/>
  <c r="V101" i="15"/>
  <c r="X96" i="15"/>
  <c r="X97" i="15"/>
  <c r="X99" i="15"/>
  <c r="X101" i="15"/>
  <c r="U97" i="15"/>
  <c r="AB97" i="15" l="1"/>
  <c r="AC97" i="15" s="1"/>
  <c r="E105" i="15" s="1"/>
  <c r="AB96" i="15"/>
  <c r="AC96" i="15" s="1"/>
  <c r="D32" i="9"/>
  <c r="D34" i="9"/>
  <c r="G20" i="9"/>
  <c r="I20" i="9" s="1"/>
  <c r="F104" i="15" l="1"/>
  <c r="H33" i="4"/>
  <c r="H33" i="1" s="1"/>
  <c r="G106" i="15"/>
  <c r="I33" i="4" s="1"/>
  <c r="AE97" i="15"/>
  <c r="AF97" i="15" s="1"/>
  <c r="AH97" i="15"/>
  <c r="F105" i="15"/>
  <c r="J20" i="9"/>
  <c r="K20" i="9"/>
  <c r="G104" i="15" l="1"/>
  <c r="I31" i="4" s="1"/>
  <c r="I31" i="1" s="1"/>
  <c r="H31" i="4"/>
  <c r="H31" i="1" s="1"/>
  <c r="AE96" i="15"/>
  <c r="AF96" i="15" s="1"/>
  <c r="K104" i="15" s="1"/>
  <c r="D8" i="9" s="1"/>
  <c r="D6" i="9"/>
  <c r="D19" i="9"/>
  <c r="G19" i="9" s="1"/>
  <c r="I19" i="9" s="1"/>
  <c r="K105" i="15"/>
  <c r="D21" i="9" s="1"/>
  <c r="G21" i="9" s="1"/>
  <c r="I21" i="9" s="1"/>
  <c r="O33" i="4"/>
  <c r="P33" i="4" s="1"/>
  <c r="I33" i="1"/>
  <c r="H32" i="4"/>
  <c r="H32" i="1" s="1"/>
  <c r="G105" i="15"/>
  <c r="I32" i="4" s="1"/>
  <c r="O31" i="4" l="1"/>
  <c r="P31" i="4" s="1"/>
  <c r="J21" i="9"/>
  <c r="K21" i="9"/>
  <c r="J19" i="9"/>
  <c r="K19" i="9"/>
  <c r="O32" i="4"/>
  <c r="P32" i="4" s="1"/>
  <c r="I32" i="1"/>
  <c r="Q29" i="4" l="1"/>
  <c r="R32" i="4" s="1"/>
  <c r="K23" i="9"/>
  <c r="J23" i="9"/>
  <c r="J24" i="9" s="1"/>
  <c r="F20" i="4"/>
  <c r="F19" i="4"/>
  <c r="B20" i="5"/>
  <c r="B20" i="4" s="1"/>
  <c r="B20" i="1" s="1"/>
  <c r="B19" i="5"/>
  <c r="B19" i="4" s="1"/>
  <c r="B19" i="1" s="1"/>
  <c r="J25" i="9" l="1"/>
  <c r="J26" i="9" s="1"/>
  <c r="J27" i="9" s="1"/>
  <c r="M105" i="15" s="1"/>
  <c r="F19" i="1"/>
  <c r="P19" i="4"/>
  <c r="F20" i="1"/>
  <c r="P20" i="4"/>
  <c r="K26" i="4" l="1"/>
  <c r="K25" i="4"/>
  <c r="K24" i="5"/>
  <c r="K24" i="4" s="1"/>
  <c r="K24" i="1" s="1"/>
  <c r="C25" i="4"/>
  <c r="C25" i="1" s="1"/>
  <c r="C26" i="4"/>
  <c r="C24" i="4"/>
  <c r="C24" i="1" s="1"/>
  <c r="M269" i="13"/>
  <c r="M270" i="13"/>
  <c r="M271" i="13"/>
  <c r="M268" i="13"/>
  <c r="K310" i="13"/>
  <c r="J310" i="13"/>
  <c r="I310" i="13"/>
  <c r="K309" i="13"/>
  <c r="J309" i="13"/>
  <c r="I309" i="13"/>
  <c r="K308" i="13"/>
  <c r="J308" i="13"/>
  <c r="I308" i="13"/>
  <c r="K307" i="13"/>
  <c r="J307" i="13"/>
  <c r="I307" i="13"/>
  <c r="K306" i="13"/>
  <c r="J306" i="13"/>
  <c r="I306" i="13"/>
  <c r="K305" i="13"/>
  <c r="J305" i="13"/>
  <c r="I305" i="13"/>
  <c r="K304" i="13"/>
  <c r="J304" i="13"/>
  <c r="I304" i="13"/>
  <c r="K303" i="13"/>
  <c r="J303" i="13"/>
  <c r="I303" i="13"/>
  <c r="K302" i="13"/>
  <c r="J302" i="13"/>
  <c r="I302" i="13"/>
  <c r="K301" i="13"/>
  <c r="J301" i="13"/>
  <c r="I301" i="13"/>
  <c r="K300" i="13"/>
  <c r="J300" i="13"/>
  <c r="I300" i="13"/>
  <c r="K299" i="13"/>
  <c r="J299" i="13"/>
  <c r="I299" i="13"/>
  <c r="B265" i="13"/>
  <c r="A289" i="13"/>
  <c r="A283" i="13"/>
  <c r="A275" i="13"/>
  <c r="A267" i="13"/>
  <c r="Q262" i="13"/>
  <c r="O262" i="13"/>
  <c r="N262" i="13"/>
  <c r="M262" i="13"/>
  <c r="L262" i="13"/>
  <c r="H262" i="13"/>
  <c r="F262" i="13"/>
  <c r="E262" i="13"/>
  <c r="D262" i="13"/>
  <c r="C262" i="13"/>
  <c r="Q261" i="13"/>
  <c r="O261" i="13"/>
  <c r="N261" i="13"/>
  <c r="M261" i="13"/>
  <c r="L261" i="13"/>
  <c r="H261" i="13"/>
  <c r="F261" i="13"/>
  <c r="E261" i="13"/>
  <c r="D261" i="13"/>
  <c r="C261" i="13"/>
  <c r="Q260" i="13"/>
  <c r="O260" i="13"/>
  <c r="N260" i="13"/>
  <c r="M260" i="13"/>
  <c r="L260" i="13"/>
  <c r="H260" i="13"/>
  <c r="F260" i="13"/>
  <c r="E260" i="13"/>
  <c r="D260" i="13"/>
  <c r="C260" i="13"/>
  <c r="O259" i="13"/>
  <c r="N259" i="13"/>
  <c r="M259" i="13"/>
  <c r="L259" i="13"/>
  <c r="H259" i="13"/>
  <c r="F259" i="13"/>
  <c r="E259" i="13"/>
  <c r="D259" i="13"/>
  <c r="C259" i="13"/>
  <c r="O258" i="13"/>
  <c r="N258" i="13"/>
  <c r="M258" i="13"/>
  <c r="L258" i="13"/>
  <c r="F258" i="13"/>
  <c r="E258" i="13"/>
  <c r="D258" i="13"/>
  <c r="C258" i="13"/>
  <c r="O257" i="13"/>
  <c r="N257" i="13"/>
  <c r="M257" i="13"/>
  <c r="L257" i="13"/>
  <c r="F257" i="13"/>
  <c r="E257" i="13"/>
  <c r="D257" i="13"/>
  <c r="C257" i="13"/>
  <c r="O256" i="13"/>
  <c r="N256" i="13"/>
  <c r="M256" i="13"/>
  <c r="L256" i="13"/>
  <c r="F256" i="13"/>
  <c r="E256" i="13"/>
  <c r="D256" i="13"/>
  <c r="C256" i="13"/>
  <c r="O255" i="13"/>
  <c r="N255" i="13"/>
  <c r="M255" i="13"/>
  <c r="L255" i="13"/>
  <c r="F255" i="13"/>
  <c r="E255" i="13"/>
  <c r="D255" i="13"/>
  <c r="C255" i="13"/>
  <c r="O254" i="13"/>
  <c r="N254" i="13"/>
  <c r="M254" i="13"/>
  <c r="L254" i="13"/>
  <c r="F254" i="13"/>
  <c r="E254" i="13"/>
  <c r="D254" i="13"/>
  <c r="C254" i="13"/>
  <c r="O253" i="13"/>
  <c r="N253" i="13"/>
  <c r="M253" i="13"/>
  <c r="L253" i="13"/>
  <c r="F253" i="13"/>
  <c r="E253" i="13"/>
  <c r="D253" i="13"/>
  <c r="C253" i="13"/>
  <c r="O252" i="13"/>
  <c r="N252" i="13"/>
  <c r="M252" i="13"/>
  <c r="L252" i="13"/>
  <c r="F252" i="13"/>
  <c r="E252" i="13"/>
  <c r="D252" i="13"/>
  <c r="C252" i="13"/>
  <c r="O251" i="13"/>
  <c r="N251" i="13"/>
  <c r="M251" i="13"/>
  <c r="L251" i="13"/>
  <c r="H251" i="13"/>
  <c r="F251" i="13"/>
  <c r="E251" i="13"/>
  <c r="D251" i="13"/>
  <c r="C251" i="13"/>
  <c r="Q249" i="13"/>
  <c r="O249" i="13"/>
  <c r="N249" i="13"/>
  <c r="M249" i="13"/>
  <c r="L249" i="13"/>
  <c r="H249" i="13"/>
  <c r="F249" i="13"/>
  <c r="E249" i="13"/>
  <c r="D249" i="13"/>
  <c r="C249" i="13"/>
  <c r="Q248" i="13"/>
  <c r="O248" i="13"/>
  <c r="N248" i="13"/>
  <c r="M248" i="13"/>
  <c r="L248" i="13"/>
  <c r="H248" i="13"/>
  <c r="F248" i="13"/>
  <c r="E248" i="13"/>
  <c r="D248" i="13"/>
  <c r="C248" i="13"/>
  <c r="Q247" i="13"/>
  <c r="O247" i="13"/>
  <c r="N247" i="13"/>
  <c r="M247" i="13"/>
  <c r="L247" i="13"/>
  <c r="H247" i="13"/>
  <c r="F247" i="13"/>
  <c r="E247" i="13"/>
  <c r="D247" i="13"/>
  <c r="C247" i="13"/>
  <c r="O246" i="13"/>
  <c r="N246" i="13"/>
  <c r="M246" i="13"/>
  <c r="L246" i="13"/>
  <c r="H246" i="13"/>
  <c r="F246" i="13"/>
  <c r="E246" i="13"/>
  <c r="D246" i="13"/>
  <c r="C246" i="13"/>
  <c r="O245" i="13"/>
  <c r="N245" i="13"/>
  <c r="M245" i="13"/>
  <c r="L245" i="13"/>
  <c r="F245" i="13"/>
  <c r="E245" i="13"/>
  <c r="D245" i="13"/>
  <c r="C245" i="13"/>
  <c r="O244" i="13"/>
  <c r="N244" i="13"/>
  <c r="M244" i="13"/>
  <c r="L244" i="13"/>
  <c r="F244" i="13"/>
  <c r="E244" i="13"/>
  <c r="D244" i="13"/>
  <c r="C244" i="13"/>
  <c r="O243" i="13"/>
  <c r="N243" i="13"/>
  <c r="M243" i="13"/>
  <c r="L243" i="13"/>
  <c r="F243" i="13"/>
  <c r="E243" i="13"/>
  <c r="D243" i="13"/>
  <c r="C243" i="13"/>
  <c r="O242" i="13"/>
  <c r="N242" i="13"/>
  <c r="M242" i="13"/>
  <c r="L242" i="13"/>
  <c r="F242" i="13"/>
  <c r="E242" i="13"/>
  <c r="D242" i="13"/>
  <c r="C242" i="13"/>
  <c r="O241" i="13"/>
  <c r="N241" i="13"/>
  <c r="M241" i="13"/>
  <c r="L241" i="13"/>
  <c r="F241" i="13"/>
  <c r="E241" i="13"/>
  <c r="D241" i="13"/>
  <c r="C241" i="13"/>
  <c r="O240" i="13"/>
  <c r="N240" i="13"/>
  <c r="M240" i="13"/>
  <c r="L240" i="13"/>
  <c r="F240" i="13"/>
  <c r="E240" i="13"/>
  <c r="D240" i="13"/>
  <c r="C240" i="13"/>
  <c r="O239" i="13"/>
  <c r="N239" i="13"/>
  <c r="M239" i="13"/>
  <c r="L239" i="13"/>
  <c r="F239" i="13"/>
  <c r="E239" i="13"/>
  <c r="D239" i="13"/>
  <c r="C239" i="13"/>
  <c r="O238" i="13"/>
  <c r="N238" i="13"/>
  <c r="M238" i="13"/>
  <c r="L238" i="13"/>
  <c r="H238" i="13"/>
  <c r="F238" i="13"/>
  <c r="E238" i="13"/>
  <c r="D238" i="13"/>
  <c r="C238" i="13"/>
  <c r="Q236" i="13"/>
  <c r="O236" i="13"/>
  <c r="N236" i="13"/>
  <c r="M236" i="13"/>
  <c r="L236" i="13"/>
  <c r="H236" i="13"/>
  <c r="F236" i="13"/>
  <c r="E236" i="13"/>
  <c r="D236" i="13"/>
  <c r="C236" i="13"/>
  <c r="Q235" i="13"/>
  <c r="O235" i="13"/>
  <c r="N235" i="13"/>
  <c r="M235" i="13"/>
  <c r="L235" i="13"/>
  <c r="H235" i="13"/>
  <c r="F235" i="13"/>
  <c r="E235" i="13"/>
  <c r="D235" i="13"/>
  <c r="C235" i="13"/>
  <c r="Q234" i="13"/>
  <c r="O234" i="13"/>
  <c r="N234" i="13"/>
  <c r="M234" i="13"/>
  <c r="L234" i="13"/>
  <c r="H234" i="13"/>
  <c r="F234" i="13"/>
  <c r="E234" i="13"/>
  <c r="D234" i="13"/>
  <c r="C234" i="13"/>
  <c r="O233" i="13"/>
  <c r="N233" i="13"/>
  <c r="M233" i="13"/>
  <c r="L233" i="13"/>
  <c r="H233" i="13"/>
  <c r="F233" i="13"/>
  <c r="E233" i="13"/>
  <c r="D233" i="13"/>
  <c r="C233" i="13"/>
  <c r="O232" i="13"/>
  <c r="N232" i="13"/>
  <c r="M232" i="13"/>
  <c r="L232" i="13"/>
  <c r="F232" i="13"/>
  <c r="E232" i="13"/>
  <c r="D232" i="13"/>
  <c r="C232" i="13"/>
  <c r="O231" i="13"/>
  <c r="N231" i="13"/>
  <c r="M231" i="13"/>
  <c r="L231" i="13"/>
  <c r="F231" i="13"/>
  <c r="E231" i="13"/>
  <c r="D231" i="13"/>
  <c r="C231" i="13"/>
  <c r="O230" i="13"/>
  <c r="N230" i="13"/>
  <c r="M230" i="13"/>
  <c r="L230" i="13"/>
  <c r="F230" i="13"/>
  <c r="E230" i="13"/>
  <c r="D230" i="13"/>
  <c r="C230" i="13"/>
  <c r="O229" i="13"/>
  <c r="N229" i="13"/>
  <c r="M229" i="13"/>
  <c r="L229" i="13"/>
  <c r="F229" i="13"/>
  <c r="E229" i="13"/>
  <c r="D229" i="13"/>
  <c r="C229" i="13"/>
  <c r="O228" i="13"/>
  <c r="N228" i="13"/>
  <c r="M228" i="13"/>
  <c r="L228" i="13"/>
  <c r="F228" i="13"/>
  <c r="E228" i="13"/>
  <c r="D228" i="13"/>
  <c r="C228" i="13"/>
  <c r="O227" i="13"/>
  <c r="N227" i="13"/>
  <c r="M227" i="13"/>
  <c r="L227" i="13"/>
  <c r="F227" i="13"/>
  <c r="E227" i="13"/>
  <c r="D227" i="13"/>
  <c r="C227" i="13"/>
  <c r="O226" i="13"/>
  <c r="N226" i="13"/>
  <c r="M226" i="13"/>
  <c r="L226" i="13"/>
  <c r="F226" i="13"/>
  <c r="E226" i="13"/>
  <c r="D226" i="13"/>
  <c r="C226" i="13"/>
  <c r="O225" i="13"/>
  <c r="N225" i="13"/>
  <c r="M225" i="13"/>
  <c r="L225" i="13"/>
  <c r="H225" i="13"/>
  <c r="F225" i="13"/>
  <c r="E225" i="13"/>
  <c r="D225" i="13"/>
  <c r="C225" i="13"/>
  <c r="Q223" i="13"/>
  <c r="O223" i="13"/>
  <c r="N223" i="13"/>
  <c r="M223" i="13"/>
  <c r="L223" i="13"/>
  <c r="H223" i="13"/>
  <c r="F223" i="13"/>
  <c r="E223" i="13"/>
  <c r="D223" i="13"/>
  <c r="C223" i="13"/>
  <c r="Q222" i="13"/>
  <c r="O222" i="13"/>
  <c r="N222" i="13"/>
  <c r="M222" i="13"/>
  <c r="L222" i="13"/>
  <c r="H222" i="13"/>
  <c r="F222" i="13"/>
  <c r="E222" i="13"/>
  <c r="D222" i="13"/>
  <c r="C222" i="13"/>
  <c r="Q221" i="13"/>
  <c r="O221" i="13"/>
  <c r="N221" i="13"/>
  <c r="M221" i="13"/>
  <c r="L221" i="13"/>
  <c r="H221" i="13"/>
  <c r="F221" i="13"/>
  <c r="E221" i="13"/>
  <c r="D221" i="13"/>
  <c r="C221" i="13"/>
  <c r="O220" i="13"/>
  <c r="N220" i="13"/>
  <c r="M220" i="13"/>
  <c r="L220" i="13"/>
  <c r="H220" i="13"/>
  <c r="F220" i="13"/>
  <c r="E220" i="13"/>
  <c r="D220" i="13"/>
  <c r="C220" i="13"/>
  <c r="O219" i="13"/>
  <c r="N219" i="13"/>
  <c r="M219" i="13"/>
  <c r="L219" i="13"/>
  <c r="F219" i="13"/>
  <c r="E219" i="13"/>
  <c r="D219" i="13"/>
  <c r="C219" i="13"/>
  <c r="Q218" i="13"/>
  <c r="O218" i="13"/>
  <c r="N218" i="13"/>
  <c r="M218" i="13"/>
  <c r="L218" i="13"/>
  <c r="F218" i="13"/>
  <c r="E218" i="13"/>
  <c r="D218" i="13"/>
  <c r="C218" i="13"/>
  <c r="O217" i="13"/>
  <c r="N217" i="13"/>
  <c r="M217" i="13"/>
  <c r="L217" i="13"/>
  <c r="F217" i="13"/>
  <c r="E217" i="13"/>
  <c r="D217" i="13"/>
  <c r="C217" i="13"/>
  <c r="O216" i="13"/>
  <c r="N216" i="13"/>
  <c r="M216" i="13"/>
  <c r="L216" i="13"/>
  <c r="F216" i="13"/>
  <c r="E216" i="13"/>
  <c r="D216" i="13"/>
  <c r="C216" i="13"/>
  <c r="O215" i="13"/>
  <c r="N215" i="13"/>
  <c r="M215" i="13"/>
  <c r="L215" i="13"/>
  <c r="F215" i="13"/>
  <c r="E215" i="13"/>
  <c r="D215" i="13"/>
  <c r="C215" i="13"/>
  <c r="O214" i="13"/>
  <c r="N214" i="13"/>
  <c r="M214" i="13"/>
  <c r="L214" i="13"/>
  <c r="F214" i="13"/>
  <c r="E214" i="13"/>
  <c r="D214" i="13"/>
  <c r="C214" i="13"/>
  <c r="O213" i="13"/>
  <c r="N213" i="13"/>
  <c r="M213" i="13"/>
  <c r="L213" i="13"/>
  <c r="F213" i="13"/>
  <c r="E213" i="13"/>
  <c r="D213" i="13"/>
  <c r="C213" i="13"/>
  <c r="O212" i="13"/>
  <c r="N212" i="13"/>
  <c r="M212" i="13"/>
  <c r="L212" i="13"/>
  <c r="H212" i="13"/>
  <c r="F212" i="13"/>
  <c r="E212" i="13"/>
  <c r="D212" i="13"/>
  <c r="C212" i="13"/>
  <c r="L210" i="13"/>
  <c r="C210" i="13"/>
  <c r="Q207" i="13"/>
  <c r="O207" i="13"/>
  <c r="N207" i="13"/>
  <c r="M207" i="13"/>
  <c r="L207" i="13"/>
  <c r="H207" i="13"/>
  <c r="F207" i="13"/>
  <c r="E207" i="13"/>
  <c r="D207" i="13"/>
  <c r="C207" i="13"/>
  <c r="Q206" i="13"/>
  <c r="O206" i="13"/>
  <c r="N206" i="13"/>
  <c r="M206" i="13"/>
  <c r="L206" i="13"/>
  <c r="H206" i="13"/>
  <c r="F206" i="13"/>
  <c r="E206" i="13"/>
  <c r="D206" i="13"/>
  <c r="C206" i="13"/>
  <c r="Q205" i="13"/>
  <c r="O205" i="13"/>
  <c r="N205" i="13"/>
  <c r="M205" i="13"/>
  <c r="L205" i="13"/>
  <c r="H205" i="13"/>
  <c r="F205" i="13"/>
  <c r="E205" i="13"/>
  <c r="D205" i="13"/>
  <c r="C205" i="13"/>
  <c r="Q204" i="13"/>
  <c r="O204" i="13"/>
  <c r="N204" i="13"/>
  <c r="M204" i="13"/>
  <c r="L204" i="13"/>
  <c r="F204" i="13"/>
  <c r="E204" i="13"/>
  <c r="D204" i="13"/>
  <c r="C204" i="13"/>
  <c r="O203" i="13"/>
  <c r="N203" i="13"/>
  <c r="M203" i="13"/>
  <c r="L203" i="13"/>
  <c r="F203" i="13"/>
  <c r="E203" i="13"/>
  <c r="D203" i="13"/>
  <c r="C203" i="13"/>
  <c r="Q202" i="13"/>
  <c r="O202" i="13"/>
  <c r="N202" i="13"/>
  <c r="M202" i="13"/>
  <c r="L202" i="13"/>
  <c r="F202" i="13"/>
  <c r="E202" i="13"/>
  <c r="D202" i="13"/>
  <c r="C202" i="13"/>
  <c r="Q201" i="13"/>
  <c r="O201" i="13"/>
  <c r="N201" i="13"/>
  <c r="M201" i="13"/>
  <c r="L201" i="13"/>
  <c r="F201" i="13"/>
  <c r="E201" i="13"/>
  <c r="D201" i="13"/>
  <c r="C201" i="13"/>
  <c r="Q200" i="13"/>
  <c r="O200" i="13"/>
  <c r="N200" i="13"/>
  <c r="M200" i="13"/>
  <c r="L200" i="13"/>
  <c r="H200" i="13"/>
  <c r="F200" i="13"/>
  <c r="E200" i="13"/>
  <c r="D200" i="13"/>
  <c r="C200" i="13"/>
  <c r="O199" i="13"/>
  <c r="N199" i="13"/>
  <c r="M199" i="13"/>
  <c r="L199" i="13"/>
  <c r="H199" i="13"/>
  <c r="F199" i="13"/>
  <c r="E199" i="13"/>
  <c r="D199" i="13"/>
  <c r="C199" i="13"/>
  <c r="O198" i="13"/>
  <c r="N198" i="13"/>
  <c r="M198" i="13"/>
  <c r="L198" i="13"/>
  <c r="F198" i="13"/>
  <c r="E198" i="13"/>
  <c r="D198" i="13"/>
  <c r="C198" i="13"/>
  <c r="Q197" i="13"/>
  <c r="O197" i="13"/>
  <c r="N197" i="13"/>
  <c r="M197" i="13"/>
  <c r="L197" i="13"/>
  <c r="H197" i="13"/>
  <c r="F197" i="13"/>
  <c r="E197" i="13"/>
  <c r="D197" i="13"/>
  <c r="C197" i="13"/>
  <c r="Q196" i="13"/>
  <c r="O196" i="13"/>
  <c r="N196" i="13"/>
  <c r="M196" i="13"/>
  <c r="L196" i="13"/>
  <c r="F196" i="13"/>
  <c r="E196" i="13"/>
  <c r="D196" i="13"/>
  <c r="C196" i="13"/>
  <c r="Q194" i="13"/>
  <c r="O194" i="13"/>
  <c r="N194" i="13"/>
  <c r="M194" i="13"/>
  <c r="L194" i="13"/>
  <c r="H194" i="13"/>
  <c r="F194" i="13"/>
  <c r="E194" i="13"/>
  <c r="D194" i="13"/>
  <c r="C194" i="13"/>
  <c r="Q193" i="13"/>
  <c r="O193" i="13"/>
  <c r="N193" i="13"/>
  <c r="M193" i="13"/>
  <c r="L193" i="13"/>
  <c r="H193" i="13"/>
  <c r="F193" i="13"/>
  <c r="E193" i="13"/>
  <c r="D193" i="13"/>
  <c r="C193" i="13"/>
  <c r="Q192" i="13"/>
  <c r="O192" i="13"/>
  <c r="N192" i="13"/>
  <c r="M192" i="13"/>
  <c r="L192" i="13"/>
  <c r="H192" i="13"/>
  <c r="F192" i="13"/>
  <c r="E192" i="13"/>
  <c r="D192" i="13"/>
  <c r="C192" i="13"/>
  <c r="O191" i="13"/>
  <c r="N191" i="13"/>
  <c r="M191" i="13"/>
  <c r="L191" i="13"/>
  <c r="F191" i="13"/>
  <c r="E191" i="13"/>
  <c r="D191" i="13"/>
  <c r="C191" i="13"/>
  <c r="O190" i="13"/>
  <c r="N190" i="13"/>
  <c r="M190" i="13"/>
  <c r="L190" i="13"/>
  <c r="F190" i="13"/>
  <c r="E190" i="13"/>
  <c r="D190" i="13"/>
  <c r="C190" i="13"/>
  <c r="O189" i="13"/>
  <c r="N189" i="13"/>
  <c r="M189" i="13"/>
  <c r="L189" i="13"/>
  <c r="F189" i="13"/>
  <c r="E189" i="13"/>
  <c r="D189" i="13"/>
  <c r="C189" i="13"/>
  <c r="O188" i="13"/>
  <c r="N188" i="13"/>
  <c r="M188" i="13"/>
  <c r="L188" i="13"/>
  <c r="F188" i="13"/>
  <c r="E188" i="13"/>
  <c r="D188" i="13"/>
  <c r="C188" i="13"/>
  <c r="O187" i="13"/>
  <c r="N187" i="13"/>
  <c r="M187" i="13"/>
  <c r="L187" i="13"/>
  <c r="F187" i="13"/>
  <c r="E187" i="13"/>
  <c r="D187" i="13"/>
  <c r="C187" i="13"/>
  <c r="O186" i="13"/>
  <c r="N186" i="13"/>
  <c r="M186" i="13"/>
  <c r="L186" i="13"/>
  <c r="F186" i="13"/>
  <c r="E186" i="13"/>
  <c r="D186" i="13"/>
  <c r="C186" i="13"/>
  <c r="O185" i="13"/>
  <c r="N185" i="13"/>
  <c r="M185" i="13"/>
  <c r="L185" i="13"/>
  <c r="F185" i="13"/>
  <c r="E185" i="13"/>
  <c r="D185" i="13"/>
  <c r="C185" i="13"/>
  <c r="O184" i="13"/>
  <c r="N184" i="13"/>
  <c r="M184" i="13"/>
  <c r="L184" i="13"/>
  <c r="F184" i="13"/>
  <c r="E184" i="13"/>
  <c r="D184" i="13"/>
  <c r="C184" i="13"/>
  <c r="O183" i="13"/>
  <c r="N183" i="13"/>
  <c r="M183" i="13"/>
  <c r="L183" i="13"/>
  <c r="F183" i="13"/>
  <c r="E183" i="13"/>
  <c r="D183" i="13"/>
  <c r="C183" i="13"/>
  <c r="Q181" i="13"/>
  <c r="O181" i="13"/>
  <c r="N181" i="13"/>
  <c r="M181" i="13"/>
  <c r="L181" i="13"/>
  <c r="H181" i="13"/>
  <c r="F181" i="13"/>
  <c r="E181" i="13"/>
  <c r="D181" i="13"/>
  <c r="C181" i="13"/>
  <c r="Q180" i="13"/>
  <c r="O180" i="13"/>
  <c r="N180" i="13"/>
  <c r="M180" i="13"/>
  <c r="L180" i="13"/>
  <c r="H180" i="13"/>
  <c r="F180" i="13"/>
  <c r="E180" i="13"/>
  <c r="D180" i="13"/>
  <c r="C180" i="13"/>
  <c r="Q179" i="13"/>
  <c r="O179" i="13"/>
  <c r="N179" i="13"/>
  <c r="M179" i="13"/>
  <c r="L179" i="13"/>
  <c r="H179" i="13"/>
  <c r="F179" i="13"/>
  <c r="E179" i="13"/>
  <c r="D179" i="13"/>
  <c r="C179" i="13"/>
  <c r="O178" i="13"/>
  <c r="N178" i="13"/>
  <c r="M178" i="13"/>
  <c r="L178" i="13"/>
  <c r="F178" i="13"/>
  <c r="E178" i="13"/>
  <c r="D178" i="13"/>
  <c r="C178" i="13"/>
  <c r="O177" i="13"/>
  <c r="N177" i="13"/>
  <c r="M177" i="13"/>
  <c r="L177" i="13"/>
  <c r="F177" i="13"/>
  <c r="E177" i="13"/>
  <c r="D177" i="13"/>
  <c r="C177" i="13"/>
  <c r="O176" i="13"/>
  <c r="N176" i="13"/>
  <c r="M176" i="13"/>
  <c r="L176" i="13"/>
  <c r="F176" i="13"/>
  <c r="E176" i="13"/>
  <c r="D176" i="13"/>
  <c r="C176" i="13"/>
  <c r="O175" i="13"/>
  <c r="N175" i="13"/>
  <c r="M175" i="13"/>
  <c r="L175" i="13"/>
  <c r="F175" i="13"/>
  <c r="E175" i="13"/>
  <c r="D175" i="13"/>
  <c r="C175" i="13"/>
  <c r="O174" i="13"/>
  <c r="N174" i="13"/>
  <c r="M174" i="13"/>
  <c r="L174" i="13"/>
  <c r="F174" i="13"/>
  <c r="E174" i="13"/>
  <c r="D174" i="13"/>
  <c r="C174" i="13"/>
  <c r="O173" i="13"/>
  <c r="N173" i="13"/>
  <c r="M173" i="13"/>
  <c r="L173" i="13"/>
  <c r="F173" i="13"/>
  <c r="E173" i="13"/>
  <c r="D173" i="13"/>
  <c r="C173" i="13"/>
  <c r="O172" i="13"/>
  <c r="N172" i="13"/>
  <c r="M172" i="13"/>
  <c r="L172" i="13"/>
  <c r="F172" i="13"/>
  <c r="E172" i="13"/>
  <c r="D172" i="13"/>
  <c r="C172" i="13"/>
  <c r="O171" i="13"/>
  <c r="N171" i="13"/>
  <c r="M171" i="13"/>
  <c r="L171" i="13"/>
  <c r="F171" i="13"/>
  <c r="E171" i="13"/>
  <c r="D171" i="13"/>
  <c r="C171" i="13"/>
  <c r="O170" i="13"/>
  <c r="N170" i="13"/>
  <c r="M170" i="13"/>
  <c r="L170" i="13"/>
  <c r="F170" i="13"/>
  <c r="E170" i="13"/>
  <c r="D170" i="13"/>
  <c r="C170" i="13"/>
  <c r="Q168" i="13"/>
  <c r="O168" i="13"/>
  <c r="N168" i="13"/>
  <c r="M168" i="13"/>
  <c r="L168" i="13"/>
  <c r="H168" i="13"/>
  <c r="F168" i="13"/>
  <c r="E168" i="13"/>
  <c r="D168" i="13"/>
  <c r="C168" i="13"/>
  <c r="Q167" i="13"/>
  <c r="O167" i="13"/>
  <c r="N167" i="13"/>
  <c r="M167" i="13"/>
  <c r="L167" i="13"/>
  <c r="H167" i="13"/>
  <c r="F167" i="13"/>
  <c r="E167" i="13"/>
  <c r="D167" i="13"/>
  <c r="C167" i="13"/>
  <c r="Q166" i="13"/>
  <c r="O166" i="13"/>
  <c r="N166" i="13"/>
  <c r="M166" i="13"/>
  <c r="L166" i="13"/>
  <c r="H166" i="13"/>
  <c r="F166" i="13"/>
  <c r="E166" i="13"/>
  <c r="D166" i="13"/>
  <c r="C166" i="13"/>
  <c r="O165" i="13"/>
  <c r="N165" i="13"/>
  <c r="M165" i="13"/>
  <c r="L165" i="13"/>
  <c r="F165" i="13"/>
  <c r="E165" i="13"/>
  <c r="D165" i="13"/>
  <c r="C165" i="13"/>
  <c r="O164" i="13"/>
  <c r="N164" i="13"/>
  <c r="M164" i="13"/>
  <c r="L164" i="13"/>
  <c r="F164" i="13"/>
  <c r="E164" i="13"/>
  <c r="D164" i="13"/>
  <c r="C164" i="13"/>
  <c r="O163" i="13"/>
  <c r="N163" i="13"/>
  <c r="M163" i="13"/>
  <c r="L163" i="13"/>
  <c r="F163" i="13"/>
  <c r="E163" i="13"/>
  <c r="D163" i="13"/>
  <c r="C163" i="13"/>
  <c r="O162" i="13"/>
  <c r="N162" i="13"/>
  <c r="M162" i="13"/>
  <c r="L162" i="13"/>
  <c r="F162" i="13"/>
  <c r="E162" i="13"/>
  <c r="D162" i="13"/>
  <c r="C162" i="13"/>
  <c r="O161" i="13"/>
  <c r="N161" i="13"/>
  <c r="M161" i="13"/>
  <c r="L161" i="13"/>
  <c r="F161" i="13"/>
  <c r="E161" i="13"/>
  <c r="D161" i="13"/>
  <c r="C161" i="13"/>
  <c r="O160" i="13"/>
  <c r="N160" i="13"/>
  <c r="M160" i="13"/>
  <c r="L160" i="13"/>
  <c r="F160" i="13"/>
  <c r="E160" i="13"/>
  <c r="D160" i="13"/>
  <c r="C160" i="13"/>
  <c r="O159" i="13"/>
  <c r="N159" i="13"/>
  <c r="M159" i="13"/>
  <c r="L159" i="13"/>
  <c r="F159" i="13"/>
  <c r="E159" i="13"/>
  <c r="D159" i="13"/>
  <c r="C159" i="13"/>
  <c r="O158" i="13"/>
  <c r="N158" i="13"/>
  <c r="M158" i="13"/>
  <c r="L158" i="13"/>
  <c r="F158" i="13"/>
  <c r="E158" i="13"/>
  <c r="D158" i="13"/>
  <c r="C158" i="13"/>
  <c r="O157" i="13"/>
  <c r="N157" i="13"/>
  <c r="M157" i="13"/>
  <c r="L157" i="13"/>
  <c r="F157" i="13"/>
  <c r="E157" i="13"/>
  <c r="D157" i="13"/>
  <c r="C157" i="13"/>
  <c r="Q155" i="13"/>
  <c r="O155" i="13"/>
  <c r="N155" i="13"/>
  <c r="M155" i="13"/>
  <c r="L155" i="13"/>
  <c r="H155" i="13"/>
  <c r="F155" i="13"/>
  <c r="E155" i="13"/>
  <c r="D155" i="13"/>
  <c r="C155" i="13"/>
  <c r="Q154" i="13"/>
  <c r="O154" i="13"/>
  <c r="N154" i="13"/>
  <c r="M154" i="13"/>
  <c r="L154" i="13"/>
  <c r="H154" i="13"/>
  <c r="F154" i="13"/>
  <c r="E154" i="13"/>
  <c r="D154" i="13"/>
  <c r="C154" i="13"/>
  <c r="Q153" i="13"/>
  <c r="O153" i="13"/>
  <c r="N153" i="13"/>
  <c r="M153" i="13"/>
  <c r="L153" i="13"/>
  <c r="H153" i="13"/>
  <c r="F153" i="13"/>
  <c r="E153" i="13"/>
  <c r="D153" i="13"/>
  <c r="C153" i="13"/>
  <c r="O152" i="13"/>
  <c r="N152" i="13"/>
  <c r="M152" i="13"/>
  <c r="L152" i="13"/>
  <c r="F152" i="13"/>
  <c r="E152" i="13"/>
  <c r="D152" i="13"/>
  <c r="C152" i="13"/>
  <c r="O151" i="13"/>
  <c r="N151" i="13"/>
  <c r="M151" i="13"/>
  <c r="L151" i="13"/>
  <c r="F151" i="13"/>
  <c r="E151" i="13"/>
  <c r="D151" i="13"/>
  <c r="C151" i="13"/>
  <c r="O150" i="13"/>
  <c r="N150" i="13"/>
  <c r="M150" i="13"/>
  <c r="L150" i="13"/>
  <c r="F150" i="13"/>
  <c r="E150" i="13"/>
  <c r="D150" i="13"/>
  <c r="C150" i="13"/>
  <c r="O149" i="13"/>
  <c r="N149" i="13"/>
  <c r="M149" i="13"/>
  <c r="L149" i="13"/>
  <c r="F149" i="13"/>
  <c r="E149" i="13"/>
  <c r="D149" i="13"/>
  <c r="C149" i="13"/>
  <c r="O148" i="13"/>
  <c r="N148" i="13"/>
  <c r="M148" i="13"/>
  <c r="L148" i="13"/>
  <c r="F148" i="13"/>
  <c r="E148" i="13"/>
  <c r="D148" i="13"/>
  <c r="C148" i="13"/>
  <c r="O147" i="13"/>
  <c r="N147" i="13"/>
  <c r="M147" i="13"/>
  <c r="L147" i="13"/>
  <c r="F147" i="13"/>
  <c r="E147" i="13"/>
  <c r="D147" i="13"/>
  <c r="C147" i="13"/>
  <c r="O146" i="13"/>
  <c r="N146" i="13"/>
  <c r="M146" i="13"/>
  <c r="L146" i="13"/>
  <c r="F146" i="13"/>
  <c r="E146" i="13"/>
  <c r="D146" i="13"/>
  <c r="C146" i="13"/>
  <c r="O145" i="13"/>
  <c r="N145" i="13"/>
  <c r="M145" i="13"/>
  <c r="L145" i="13"/>
  <c r="F145" i="13"/>
  <c r="E145" i="13"/>
  <c r="D145" i="13"/>
  <c r="C145" i="13"/>
  <c r="O144" i="13"/>
  <c r="N144" i="13"/>
  <c r="M144" i="13"/>
  <c r="L144" i="13"/>
  <c r="F144" i="13"/>
  <c r="E144" i="13"/>
  <c r="D144" i="13"/>
  <c r="C144" i="13"/>
  <c r="Q142" i="13"/>
  <c r="O142" i="13"/>
  <c r="N142" i="13"/>
  <c r="M142" i="13"/>
  <c r="L142" i="13"/>
  <c r="H142" i="13"/>
  <c r="F142" i="13"/>
  <c r="E142" i="13"/>
  <c r="D142" i="13"/>
  <c r="C142" i="13"/>
  <c r="Q141" i="13"/>
  <c r="O141" i="13"/>
  <c r="N141" i="13"/>
  <c r="M141" i="13"/>
  <c r="L141" i="13"/>
  <c r="H141" i="13"/>
  <c r="F141" i="13"/>
  <c r="E141" i="13"/>
  <c r="D141" i="13"/>
  <c r="C141" i="13"/>
  <c r="Q140" i="13"/>
  <c r="O140" i="13"/>
  <c r="N140" i="13"/>
  <c r="M140" i="13"/>
  <c r="L140" i="13"/>
  <c r="H140" i="13"/>
  <c r="F140" i="13"/>
  <c r="E140" i="13"/>
  <c r="D140" i="13"/>
  <c r="C140" i="13"/>
  <c r="Q139" i="13"/>
  <c r="O139" i="13"/>
  <c r="N139" i="13"/>
  <c r="M139" i="13"/>
  <c r="L139" i="13"/>
  <c r="F139" i="13"/>
  <c r="E139" i="13"/>
  <c r="D139" i="13"/>
  <c r="C139" i="13"/>
  <c r="O138" i="13"/>
  <c r="N138" i="13"/>
  <c r="M138" i="13"/>
  <c r="L138" i="13"/>
  <c r="F138" i="13"/>
  <c r="E138" i="13"/>
  <c r="D138" i="13"/>
  <c r="C138" i="13"/>
  <c r="Q137" i="13"/>
  <c r="O137" i="13"/>
  <c r="N137" i="13"/>
  <c r="M137" i="13"/>
  <c r="L137" i="13"/>
  <c r="F137" i="13"/>
  <c r="E137" i="13"/>
  <c r="D137" i="13"/>
  <c r="C137" i="13"/>
  <c r="Q136" i="13"/>
  <c r="O136" i="13"/>
  <c r="N136" i="13"/>
  <c r="M136" i="13"/>
  <c r="L136" i="13"/>
  <c r="F136" i="13"/>
  <c r="E136" i="13"/>
  <c r="D136" i="13"/>
  <c r="C136" i="13"/>
  <c r="O135" i="13"/>
  <c r="N135" i="13"/>
  <c r="M135" i="13"/>
  <c r="L135" i="13"/>
  <c r="F135" i="13"/>
  <c r="E135" i="13"/>
  <c r="D135" i="13"/>
  <c r="C135" i="13"/>
  <c r="Q134" i="13"/>
  <c r="O134" i="13"/>
  <c r="N134" i="13"/>
  <c r="M134" i="13"/>
  <c r="L134" i="13"/>
  <c r="F134" i="13"/>
  <c r="E134" i="13"/>
  <c r="D134" i="13"/>
  <c r="C134" i="13"/>
  <c r="O133" i="13"/>
  <c r="N133" i="13"/>
  <c r="M133" i="13"/>
  <c r="L133" i="13"/>
  <c r="F133" i="13"/>
  <c r="E133" i="13"/>
  <c r="D133" i="13"/>
  <c r="C133" i="13"/>
  <c r="Q132" i="13"/>
  <c r="O132" i="13"/>
  <c r="N132" i="13"/>
  <c r="M132" i="13"/>
  <c r="L132" i="13"/>
  <c r="F132" i="13"/>
  <c r="E132" i="13"/>
  <c r="D132" i="13"/>
  <c r="C132" i="13"/>
  <c r="Q131" i="13"/>
  <c r="O131" i="13"/>
  <c r="N131" i="13"/>
  <c r="M131" i="13"/>
  <c r="L131" i="13"/>
  <c r="F131" i="13"/>
  <c r="E131" i="13"/>
  <c r="D131" i="13"/>
  <c r="C131" i="13"/>
  <c r="L129" i="13"/>
  <c r="C129" i="13"/>
  <c r="J128" i="13"/>
  <c r="T124" i="13"/>
  <c r="P262" i="13" s="1"/>
  <c r="M124" i="13"/>
  <c r="P261" i="13" s="1"/>
  <c r="F124" i="13"/>
  <c r="P260" i="13" s="1"/>
  <c r="T123" i="13"/>
  <c r="P249" i="13" s="1"/>
  <c r="M123" i="13"/>
  <c r="P248" i="13" s="1"/>
  <c r="F123" i="13"/>
  <c r="P247" i="13" s="1"/>
  <c r="T122" i="13"/>
  <c r="P236" i="13" s="1"/>
  <c r="M122" i="13"/>
  <c r="P235" i="13" s="1"/>
  <c r="F122" i="13"/>
  <c r="P234" i="13" s="1"/>
  <c r="T121" i="13"/>
  <c r="P223" i="13" s="1"/>
  <c r="M121" i="13"/>
  <c r="P222" i="13" s="1"/>
  <c r="F121" i="13"/>
  <c r="P221" i="13" s="1"/>
  <c r="S120" i="13"/>
  <c r="R120" i="13"/>
  <c r="Q120" i="13"/>
  <c r="L120" i="13"/>
  <c r="K120" i="13"/>
  <c r="J120" i="13"/>
  <c r="E120" i="13"/>
  <c r="D120" i="13"/>
  <c r="C120" i="13"/>
  <c r="P119" i="13"/>
  <c r="T118" i="13"/>
  <c r="G262" i="13" s="1"/>
  <c r="M118" i="13"/>
  <c r="G261" i="13" s="1"/>
  <c r="F118" i="13"/>
  <c r="G260" i="13" s="1"/>
  <c r="T117" i="13"/>
  <c r="G249" i="13" s="1"/>
  <c r="M117" i="13"/>
  <c r="G248" i="13" s="1"/>
  <c r="F117" i="13"/>
  <c r="G247" i="13" s="1"/>
  <c r="T116" i="13"/>
  <c r="G236" i="13" s="1"/>
  <c r="M116" i="13"/>
  <c r="G235" i="13" s="1"/>
  <c r="F116" i="13"/>
  <c r="G234" i="13" s="1"/>
  <c r="T115" i="13"/>
  <c r="G223" i="13" s="1"/>
  <c r="M115" i="13"/>
  <c r="G222" i="13" s="1"/>
  <c r="F115" i="13"/>
  <c r="G221" i="13" s="1"/>
  <c r="S114" i="13"/>
  <c r="R114" i="13"/>
  <c r="Q114" i="13"/>
  <c r="L114" i="13"/>
  <c r="K114" i="13"/>
  <c r="J114" i="13"/>
  <c r="E114" i="13"/>
  <c r="D114" i="13"/>
  <c r="C114" i="13"/>
  <c r="P113" i="13"/>
  <c r="T112" i="13"/>
  <c r="P207" i="13" s="1"/>
  <c r="M112" i="13"/>
  <c r="P206" i="13" s="1"/>
  <c r="F112" i="13"/>
  <c r="P205" i="13" s="1"/>
  <c r="T111" i="13"/>
  <c r="P194" i="13" s="1"/>
  <c r="M111" i="13"/>
  <c r="P193" i="13" s="1"/>
  <c r="F111" i="13"/>
  <c r="P192" i="13" s="1"/>
  <c r="T110" i="13"/>
  <c r="P181" i="13" s="1"/>
  <c r="M110" i="13"/>
  <c r="P180" i="13" s="1"/>
  <c r="F110" i="13"/>
  <c r="P179" i="13" s="1"/>
  <c r="T109" i="13"/>
  <c r="P168" i="13" s="1"/>
  <c r="M109" i="13"/>
  <c r="P167" i="13" s="1"/>
  <c r="F109" i="13"/>
  <c r="P166" i="13" s="1"/>
  <c r="T108" i="13"/>
  <c r="P155" i="13" s="1"/>
  <c r="M108" i="13"/>
  <c r="P154" i="13" s="1"/>
  <c r="F108" i="13"/>
  <c r="P153" i="13" s="1"/>
  <c r="T107" i="13"/>
  <c r="P142" i="13" s="1"/>
  <c r="M107" i="13"/>
  <c r="P141" i="13" s="1"/>
  <c r="F107" i="13"/>
  <c r="P140" i="13" s="1"/>
  <c r="S106" i="13"/>
  <c r="R106" i="13"/>
  <c r="Q106" i="13"/>
  <c r="L106" i="13"/>
  <c r="K106" i="13"/>
  <c r="J106" i="13"/>
  <c r="E106" i="13"/>
  <c r="D106" i="13"/>
  <c r="C106" i="13"/>
  <c r="P105" i="13"/>
  <c r="I105" i="13"/>
  <c r="T104" i="13"/>
  <c r="G207" i="13" s="1"/>
  <c r="M104" i="13"/>
  <c r="G206" i="13" s="1"/>
  <c r="F104" i="13"/>
  <c r="G205" i="13" s="1"/>
  <c r="T103" i="13"/>
  <c r="G194" i="13" s="1"/>
  <c r="M103" i="13"/>
  <c r="G193" i="13" s="1"/>
  <c r="F103" i="13"/>
  <c r="G192" i="13" s="1"/>
  <c r="T102" i="13"/>
  <c r="G181" i="13" s="1"/>
  <c r="M102" i="13"/>
  <c r="G180" i="13" s="1"/>
  <c r="F102" i="13"/>
  <c r="G179" i="13" s="1"/>
  <c r="T101" i="13"/>
  <c r="G168" i="13" s="1"/>
  <c r="M101" i="13"/>
  <c r="G167" i="13" s="1"/>
  <c r="F101" i="13"/>
  <c r="G166" i="13" s="1"/>
  <c r="T100" i="13"/>
  <c r="G155" i="13" s="1"/>
  <c r="M100" i="13"/>
  <c r="G154" i="13" s="1"/>
  <c r="F100" i="13"/>
  <c r="G153" i="13" s="1"/>
  <c r="T99" i="13"/>
  <c r="G142" i="13" s="1"/>
  <c r="M99" i="13"/>
  <c r="G141" i="13" s="1"/>
  <c r="F99" i="13"/>
  <c r="G140" i="13" s="1"/>
  <c r="P97" i="13"/>
  <c r="I97" i="13"/>
  <c r="U93" i="13"/>
  <c r="Q259" i="13" s="1"/>
  <c r="T93" i="13"/>
  <c r="P259" i="13" s="1"/>
  <c r="N93" i="13"/>
  <c r="Q258" i="13" s="1"/>
  <c r="M93" i="13"/>
  <c r="P258" i="13" s="1"/>
  <c r="G93" i="13"/>
  <c r="Q257" i="13" s="1"/>
  <c r="F93" i="13"/>
  <c r="P257" i="13" s="1"/>
  <c r="U92" i="13"/>
  <c r="Q246" i="13" s="1"/>
  <c r="T92" i="13"/>
  <c r="P246" i="13" s="1"/>
  <c r="N92" i="13"/>
  <c r="Q245" i="13" s="1"/>
  <c r="M92" i="13"/>
  <c r="P245" i="13" s="1"/>
  <c r="G92" i="13"/>
  <c r="Q244" i="13" s="1"/>
  <c r="F92" i="13"/>
  <c r="P244" i="13" s="1"/>
  <c r="U91" i="13"/>
  <c r="Q233" i="13" s="1"/>
  <c r="T91" i="13"/>
  <c r="P233" i="13" s="1"/>
  <c r="N91" i="13"/>
  <c r="Q232" i="13" s="1"/>
  <c r="M91" i="13"/>
  <c r="P232" i="13" s="1"/>
  <c r="G91" i="13"/>
  <c r="Q231" i="13" s="1"/>
  <c r="F91" i="13"/>
  <c r="P231" i="13" s="1"/>
  <c r="U90" i="13"/>
  <c r="Q220" i="13" s="1"/>
  <c r="T90" i="13"/>
  <c r="P220" i="13" s="1"/>
  <c r="N90" i="13"/>
  <c r="Q219" i="13" s="1"/>
  <c r="M90" i="13"/>
  <c r="P219" i="13" s="1"/>
  <c r="F90" i="13"/>
  <c r="P218" i="13" s="1"/>
  <c r="S89" i="13"/>
  <c r="R89" i="13"/>
  <c r="Q89" i="13"/>
  <c r="L89" i="13"/>
  <c r="K89" i="13"/>
  <c r="J89" i="13"/>
  <c r="E89" i="13"/>
  <c r="D89" i="13"/>
  <c r="C89" i="13"/>
  <c r="P88" i="13"/>
  <c r="T87" i="13"/>
  <c r="G259" i="13" s="1"/>
  <c r="N87" i="13"/>
  <c r="H258" i="13" s="1"/>
  <c r="M87" i="13"/>
  <c r="G258" i="13" s="1"/>
  <c r="G87" i="13"/>
  <c r="H257" i="13" s="1"/>
  <c r="F87" i="13"/>
  <c r="G257" i="13" s="1"/>
  <c r="T86" i="13"/>
  <c r="G246" i="13" s="1"/>
  <c r="N86" i="13"/>
  <c r="H245" i="13" s="1"/>
  <c r="M86" i="13"/>
  <c r="G245" i="13" s="1"/>
  <c r="G86" i="13"/>
  <c r="H244" i="13" s="1"/>
  <c r="F86" i="13"/>
  <c r="G244" i="13" s="1"/>
  <c r="T85" i="13"/>
  <c r="G233" i="13" s="1"/>
  <c r="N85" i="13"/>
  <c r="H232" i="13" s="1"/>
  <c r="M85" i="13"/>
  <c r="G232" i="13" s="1"/>
  <c r="G85" i="13"/>
  <c r="H231" i="13" s="1"/>
  <c r="F85" i="13"/>
  <c r="G231" i="13" s="1"/>
  <c r="T84" i="13"/>
  <c r="G220" i="13" s="1"/>
  <c r="N84" i="13"/>
  <c r="H219" i="13" s="1"/>
  <c r="M84" i="13"/>
  <c r="G219" i="13" s="1"/>
  <c r="G84" i="13"/>
  <c r="H218" i="13" s="1"/>
  <c r="F84" i="13"/>
  <c r="G218" i="13" s="1"/>
  <c r="S83" i="13"/>
  <c r="R83" i="13"/>
  <c r="Q83" i="13"/>
  <c r="L83" i="13"/>
  <c r="K83" i="13"/>
  <c r="J83" i="13"/>
  <c r="E83" i="13"/>
  <c r="D83" i="13"/>
  <c r="C83" i="13"/>
  <c r="P82" i="13"/>
  <c r="T81" i="13"/>
  <c r="P204" i="13" s="1"/>
  <c r="N81" i="13"/>
  <c r="Q203" i="13" s="1"/>
  <c r="M81" i="13"/>
  <c r="P203" i="13" s="1"/>
  <c r="F81" i="13"/>
  <c r="P202" i="13" s="1"/>
  <c r="U80" i="13"/>
  <c r="Q191" i="13" s="1"/>
  <c r="T80" i="13"/>
  <c r="P191" i="13" s="1"/>
  <c r="N80" i="13"/>
  <c r="Q190" i="13" s="1"/>
  <c r="M80" i="13"/>
  <c r="P190" i="13" s="1"/>
  <c r="G80" i="13"/>
  <c r="Q189" i="13" s="1"/>
  <c r="F80" i="13"/>
  <c r="P189" i="13" s="1"/>
  <c r="U79" i="13"/>
  <c r="Q178" i="13" s="1"/>
  <c r="T79" i="13"/>
  <c r="P178" i="13" s="1"/>
  <c r="N79" i="13"/>
  <c r="Q177" i="13" s="1"/>
  <c r="M79" i="13"/>
  <c r="P177" i="13" s="1"/>
  <c r="G79" i="13"/>
  <c r="Q176" i="13" s="1"/>
  <c r="F79" i="13"/>
  <c r="P176" i="13" s="1"/>
  <c r="U78" i="13"/>
  <c r="Q165" i="13" s="1"/>
  <c r="T78" i="13"/>
  <c r="P165" i="13" s="1"/>
  <c r="N78" i="13"/>
  <c r="Q164" i="13" s="1"/>
  <c r="M78" i="13"/>
  <c r="P164" i="13" s="1"/>
  <c r="G78" i="13"/>
  <c r="Q163" i="13" s="1"/>
  <c r="F78" i="13"/>
  <c r="P163" i="13" s="1"/>
  <c r="U77" i="13"/>
  <c r="Q152" i="13" s="1"/>
  <c r="T77" i="13"/>
  <c r="P152" i="13" s="1"/>
  <c r="N77" i="13"/>
  <c r="Q151" i="13" s="1"/>
  <c r="M77" i="13"/>
  <c r="P151" i="13" s="1"/>
  <c r="G77" i="13"/>
  <c r="Q150" i="13" s="1"/>
  <c r="F77" i="13"/>
  <c r="P150" i="13" s="1"/>
  <c r="T76" i="13"/>
  <c r="P139" i="13" s="1"/>
  <c r="N76" i="13"/>
  <c r="Q138" i="13" s="1"/>
  <c r="M76" i="13"/>
  <c r="P138" i="13" s="1"/>
  <c r="F76" i="13"/>
  <c r="P137" i="13" s="1"/>
  <c r="S75" i="13"/>
  <c r="R75" i="13"/>
  <c r="Q75" i="13"/>
  <c r="L75" i="13"/>
  <c r="K75" i="13"/>
  <c r="J75" i="13"/>
  <c r="E75" i="13"/>
  <c r="D75" i="13"/>
  <c r="C75" i="13"/>
  <c r="P74" i="13"/>
  <c r="I74" i="13"/>
  <c r="U73" i="13"/>
  <c r="H204" i="13" s="1"/>
  <c r="T73" i="13"/>
  <c r="G204" i="13" s="1"/>
  <c r="N73" i="13"/>
  <c r="H203" i="13" s="1"/>
  <c r="M73" i="13"/>
  <c r="G203" i="13" s="1"/>
  <c r="G73" i="13"/>
  <c r="H202" i="13" s="1"/>
  <c r="F73" i="13"/>
  <c r="G202" i="13" s="1"/>
  <c r="U72" i="13"/>
  <c r="H191" i="13" s="1"/>
  <c r="T72" i="13"/>
  <c r="G191" i="13" s="1"/>
  <c r="N72" i="13"/>
  <c r="H190" i="13" s="1"/>
  <c r="M72" i="13"/>
  <c r="G190" i="13" s="1"/>
  <c r="G72" i="13"/>
  <c r="H189" i="13" s="1"/>
  <c r="F72" i="13"/>
  <c r="G189" i="13" s="1"/>
  <c r="U71" i="13"/>
  <c r="H178" i="13" s="1"/>
  <c r="T71" i="13"/>
  <c r="G178" i="13" s="1"/>
  <c r="N71" i="13"/>
  <c r="H177" i="13" s="1"/>
  <c r="M71" i="13"/>
  <c r="G177" i="13" s="1"/>
  <c r="G71" i="13"/>
  <c r="H176" i="13" s="1"/>
  <c r="F71" i="13"/>
  <c r="G176" i="13" s="1"/>
  <c r="U70" i="13"/>
  <c r="H165" i="13" s="1"/>
  <c r="T70" i="13"/>
  <c r="G165" i="13" s="1"/>
  <c r="N70" i="13"/>
  <c r="H164" i="13" s="1"/>
  <c r="M70" i="13"/>
  <c r="G164" i="13" s="1"/>
  <c r="G70" i="13"/>
  <c r="H163" i="13" s="1"/>
  <c r="F70" i="13"/>
  <c r="G163" i="13" s="1"/>
  <c r="U69" i="13"/>
  <c r="H152" i="13" s="1"/>
  <c r="T69" i="13"/>
  <c r="G152" i="13" s="1"/>
  <c r="N69" i="13"/>
  <c r="H151" i="13" s="1"/>
  <c r="M69" i="13"/>
  <c r="G151" i="13" s="1"/>
  <c r="G69" i="13"/>
  <c r="H150" i="13" s="1"/>
  <c r="F69" i="13"/>
  <c r="G150" i="13" s="1"/>
  <c r="U68" i="13"/>
  <c r="H139" i="13" s="1"/>
  <c r="T68" i="13"/>
  <c r="G139" i="13" s="1"/>
  <c r="N68" i="13"/>
  <c r="H138" i="13" s="1"/>
  <c r="M68" i="13"/>
  <c r="G138" i="13" s="1"/>
  <c r="G68" i="13"/>
  <c r="H137" i="13" s="1"/>
  <c r="F68" i="13"/>
  <c r="G137" i="13" s="1"/>
  <c r="P66" i="13"/>
  <c r="I66" i="13"/>
  <c r="U62" i="13"/>
  <c r="Q256" i="13" s="1"/>
  <c r="T62" i="13"/>
  <c r="P256" i="13" s="1"/>
  <c r="N62" i="13"/>
  <c r="Q255" i="13" s="1"/>
  <c r="M62" i="13"/>
  <c r="P255" i="13" s="1"/>
  <c r="G62" i="13"/>
  <c r="Q254" i="13" s="1"/>
  <c r="F62" i="13"/>
  <c r="P254" i="13" s="1"/>
  <c r="U61" i="13"/>
  <c r="Q243" i="13" s="1"/>
  <c r="T61" i="13"/>
  <c r="P243" i="13" s="1"/>
  <c r="N61" i="13"/>
  <c r="Q242" i="13" s="1"/>
  <c r="M61" i="13"/>
  <c r="P242" i="13" s="1"/>
  <c r="G61" i="13"/>
  <c r="Q241" i="13" s="1"/>
  <c r="F61" i="13"/>
  <c r="P241" i="13" s="1"/>
  <c r="U60" i="13"/>
  <c r="Q230" i="13" s="1"/>
  <c r="T60" i="13"/>
  <c r="P230" i="13" s="1"/>
  <c r="N60" i="13"/>
  <c r="Q229" i="13" s="1"/>
  <c r="M60" i="13"/>
  <c r="P229" i="13" s="1"/>
  <c r="G60" i="13"/>
  <c r="Q228" i="13" s="1"/>
  <c r="F60" i="13"/>
  <c r="P228" i="13" s="1"/>
  <c r="U59" i="13"/>
  <c r="Q217" i="13" s="1"/>
  <c r="T59" i="13"/>
  <c r="P217" i="13" s="1"/>
  <c r="N59" i="13"/>
  <c r="Q216" i="13" s="1"/>
  <c r="M59" i="13"/>
  <c r="P216" i="13" s="1"/>
  <c r="G59" i="13"/>
  <c r="Q215" i="13" s="1"/>
  <c r="F59" i="13"/>
  <c r="P215" i="13" s="1"/>
  <c r="S58" i="13"/>
  <c r="R58" i="13"/>
  <c r="Q58" i="13"/>
  <c r="L58" i="13"/>
  <c r="K58" i="13"/>
  <c r="J58" i="13"/>
  <c r="E58" i="13"/>
  <c r="D58" i="13"/>
  <c r="C58" i="13"/>
  <c r="B57" i="13"/>
  <c r="I57" i="13" s="1"/>
  <c r="P57" i="13" s="1"/>
  <c r="U56" i="13"/>
  <c r="H256" i="13" s="1"/>
  <c r="T56" i="13"/>
  <c r="G256" i="13" s="1"/>
  <c r="N56" i="13"/>
  <c r="H255" i="13" s="1"/>
  <c r="M56" i="13"/>
  <c r="G255" i="13" s="1"/>
  <c r="G56" i="13"/>
  <c r="H254" i="13" s="1"/>
  <c r="F56" i="13"/>
  <c r="G254" i="13" s="1"/>
  <c r="U55" i="13"/>
  <c r="H243" i="13" s="1"/>
  <c r="T55" i="13"/>
  <c r="G243" i="13" s="1"/>
  <c r="N55" i="13"/>
  <c r="H242" i="13" s="1"/>
  <c r="M55" i="13"/>
  <c r="G242" i="13" s="1"/>
  <c r="G55" i="13"/>
  <c r="H241" i="13" s="1"/>
  <c r="F55" i="13"/>
  <c r="G241" i="13" s="1"/>
  <c r="U54" i="13"/>
  <c r="H230" i="13" s="1"/>
  <c r="T54" i="13"/>
  <c r="G230" i="13" s="1"/>
  <c r="N54" i="13"/>
  <c r="H229" i="13" s="1"/>
  <c r="M54" i="13"/>
  <c r="G229" i="13" s="1"/>
  <c r="G54" i="13"/>
  <c r="H228" i="13" s="1"/>
  <c r="F54" i="13"/>
  <c r="G228" i="13" s="1"/>
  <c r="U53" i="13"/>
  <c r="H217" i="13" s="1"/>
  <c r="T53" i="13"/>
  <c r="G217" i="13" s="1"/>
  <c r="N53" i="13"/>
  <c r="H216" i="13" s="1"/>
  <c r="M53" i="13"/>
  <c r="G216" i="13" s="1"/>
  <c r="G53" i="13"/>
  <c r="H215" i="13" s="1"/>
  <c r="F53" i="13"/>
  <c r="G215" i="13" s="1"/>
  <c r="S52" i="13"/>
  <c r="R52" i="13"/>
  <c r="Q52" i="13"/>
  <c r="L52" i="13"/>
  <c r="K52" i="13"/>
  <c r="J52" i="13"/>
  <c r="E52" i="13"/>
  <c r="D52" i="13"/>
  <c r="C52" i="13"/>
  <c r="B51" i="13"/>
  <c r="I51" i="13" s="1"/>
  <c r="P51" i="13" s="1"/>
  <c r="T50" i="13"/>
  <c r="P201" i="13" s="1"/>
  <c r="M50" i="13"/>
  <c r="P200" i="13" s="1"/>
  <c r="G50" i="13"/>
  <c r="Q199" i="13" s="1"/>
  <c r="F50" i="13"/>
  <c r="P199" i="13" s="1"/>
  <c r="U49" i="13"/>
  <c r="Q188" i="13" s="1"/>
  <c r="T49" i="13"/>
  <c r="P188" i="13" s="1"/>
  <c r="N49" i="13"/>
  <c r="Q187" i="13" s="1"/>
  <c r="M49" i="13"/>
  <c r="P187" i="13" s="1"/>
  <c r="G49" i="13"/>
  <c r="Q186" i="13" s="1"/>
  <c r="F49" i="13"/>
  <c r="P186" i="13" s="1"/>
  <c r="U48" i="13"/>
  <c r="Q175" i="13" s="1"/>
  <c r="T48" i="13"/>
  <c r="P175" i="13" s="1"/>
  <c r="N48" i="13"/>
  <c r="Q174" i="13" s="1"/>
  <c r="M48" i="13"/>
  <c r="P174" i="13" s="1"/>
  <c r="G48" i="13"/>
  <c r="Q173" i="13" s="1"/>
  <c r="F48" i="13"/>
  <c r="P173" i="13" s="1"/>
  <c r="U47" i="13"/>
  <c r="Q162" i="13" s="1"/>
  <c r="T47" i="13"/>
  <c r="P162" i="13" s="1"/>
  <c r="N47" i="13"/>
  <c r="Q161" i="13" s="1"/>
  <c r="M47" i="13"/>
  <c r="P161" i="13" s="1"/>
  <c r="G47" i="13"/>
  <c r="Q160" i="13" s="1"/>
  <c r="F47" i="13"/>
  <c r="P160" i="13" s="1"/>
  <c r="U46" i="13"/>
  <c r="Q149" i="13" s="1"/>
  <c r="T46" i="13"/>
  <c r="P149" i="13" s="1"/>
  <c r="N46" i="13"/>
  <c r="Q148" i="13" s="1"/>
  <c r="M46" i="13"/>
  <c r="P148" i="13" s="1"/>
  <c r="G46" i="13"/>
  <c r="Q147" i="13" s="1"/>
  <c r="F46" i="13"/>
  <c r="P147" i="13" s="1"/>
  <c r="T45" i="13"/>
  <c r="P136" i="13" s="1"/>
  <c r="N45" i="13"/>
  <c r="Q135" i="13" s="1"/>
  <c r="M45" i="13"/>
  <c r="P135" i="13" s="1"/>
  <c r="F45" i="13"/>
  <c r="P134" i="13" s="1"/>
  <c r="S44" i="13"/>
  <c r="R44" i="13"/>
  <c r="Q44" i="13"/>
  <c r="L44" i="13"/>
  <c r="K44" i="13"/>
  <c r="J44" i="13"/>
  <c r="E44" i="13"/>
  <c r="D44" i="13"/>
  <c r="C44" i="13"/>
  <c r="B43" i="13"/>
  <c r="I43" i="13" s="1"/>
  <c r="P43" i="13" s="1"/>
  <c r="U42" i="13"/>
  <c r="H201" i="13" s="1"/>
  <c r="T42" i="13"/>
  <c r="G201" i="13" s="1"/>
  <c r="M42" i="13"/>
  <c r="G200" i="13" s="1"/>
  <c r="F42" i="13"/>
  <c r="G199" i="13" s="1"/>
  <c r="U41" i="13"/>
  <c r="H188" i="13" s="1"/>
  <c r="T41" i="13"/>
  <c r="G188" i="13" s="1"/>
  <c r="N41" i="13"/>
  <c r="H187" i="13" s="1"/>
  <c r="M41" i="13"/>
  <c r="G187" i="13" s="1"/>
  <c r="G41" i="13"/>
  <c r="H186" i="13" s="1"/>
  <c r="F41" i="13"/>
  <c r="G186" i="13" s="1"/>
  <c r="U40" i="13"/>
  <c r="H175" i="13" s="1"/>
  <c r="T40" i="13"/>
  <c r="G175" i="13" s="1"/>
  <c r="N40" i="13"/>
  <c r="H174" i="13" s="1"/>
  <c r="M40" i="13"/>
  <c r="G174" i="13" s="1"/>
  <c r="G40" i="13"/>
  <c r="H173" i="13" s="1"/>
  <c r="F40" i="13"/>
  <c r="G173" i="13" s="1"/>
  <c r="U39" i="13"/>
  <c r="H162" i="13" s="1"/>
  <c r="T39" i="13"/>
  <c r="G162" i="13" s="1"/>
  <c r="N39" i="13"/>
  <c r="H161" i="13" s="1"/>
  <c r="M39" i="13"/>
  <c r="G161" i="13" s="1"/>
  <c r="G39" i="13"/>
  <c r="H160" i="13" s="1"/>
  <c r="F39" i="13"/>
  <c r="G160" i="13" s="1"/>
  <c r="U38" i="13"/>
  <c r="H149" i="13" s="1"/>
  <c r="T38" i="13"/>
  <c r="G149" i="13" s="1"/>
  <c r="N38" i="13"/>
  <c r="H148" i="13" s="1"/>
  <c r="M38" i="13"/>
  <c r="G148" i="13" s="1"/>
  <c r="G38" i="13"/>
  <c r="H147" i="13" s="1"/>
  <c r="F38" i="13"/>
  <c r="G147" i="13" s="1"/>
  <c r="U37" i="13"/>
  <c r="H136" i="13" s="1"/>
  <c r="T37" i="13"/>
  <c r="G136" i="13" s="1"/>
  <c r="N37" i="13"/>
  <c r="H135" i="13" s="1"/>
  <c r="M37" i="13"/>
  <c r="G135" i="13" s="1"/>
  <c r="G37" i="13"/>
  <c r="H134" i="13" s="1"/>
  <c r="F37" i="13"/>
  <c r="G134" i="13" s="1"/>
  <c r="B35" i="13"/>
  <c r="I35" i="13" s="1"/>
  <c r="P35" i="13" s="1"/>
  <c r="U31" i="13"/>
  <c r="Q253" i="13" s="1"/>
  <c r="T31" i="13"/>
  <c r="P253" i="13" s="1"/>
  <c r="N31" i="13"/>
  <c r="Q252" i="13" s="1"/>
  <c r="M31" i="13"/>
  <c r="P252" i="13" s="1"/>
  <c r="G31" i="13"/>
  <c r="Q251" i="13" s="1"/>
  <c r="F31" i="13"/>
  <c r="P251" i="13" s="1"/>
  <c r="U30" i="13"/>
  <c r="Q240" i="13" s="1"/>
  <c r="T30" i="13"/>
  <c r="P240" i="13" s="1"/>
  <c r="N30" i="13"/>
  <c r="Q239" i="13" s="1"/>
  <c r="M30" i="13"/>
  <c r="P239" i="13" s="1"/>
  <c r="G30" i="13"/>
  <c r="Q238" i="13" s="1"/>
  <c r="F30" i="13"/>
  <c r="P238" i="13" s="1"/>
  <c r="U29" i="13"/>
  <c r="Q227" i="13" s="1"/>
  <c r="T29" i="13"/>
  <c r="P227" i="13" s="1"/>
  <c r="N29" i="13"/>
  <c r="Q226" i="13" s="1"/>
  <c r="M29" i="13"/>
  <c r="P226" i="13" s="1"/>
  <c r="G29" i="13"/>
  <c r="Q225" i="13" s="1"/>
  <c r="F29" i="13"/>
  <c r="P225" i="13" s="1"/>
  <c r="U28" i="13"/>
  <c r="Q214" i="13" s="1"/>
  <c r="T28" i="13"/>
  <c r="P214" i="13" s="1"/>
  <c r="N28" i="13"/>
  <c r="Q213" i="13" s="1"/>
  <c r="M28" i="13"/>
  <c r="P213" i="13" s="1"/>
  <c r="G28" i="13"/>
  <c r="Q212" i="13" s="1"/>
  <c r="F28" i="13"/>
  <c r="P212" i="13" s="1"/>
  <c r="S27" i="13"/>
  <c r="R27" i="13"/>
  <c r="Q27" i="13"/>
  <c r="L27" i="13"/>
  <c r="K27" i="13"/>
  <c r="J27" i="13"/>
  <c r="E27" i="13"/>
  <c r="D27" i="13"/>
  <c r="C27" i="13"/>
  <c r="P26" i="13"/>
  <c r="I26" i="13"/>
  <c r="U25" i="13"/>
  <c r="H253" i="13" s="1"/>
  <c r="T25" i="13"/>
  <c r="G253" i="13" s="1"/>
  <c r="N25" i="13"/>
  <c r="H252" i="13" s="1"/>
  <c r="M25" i="13"/>
  <c r="G252" i="13" s="1"/>
  <c r="F25" i="13"/>
  <c r="G251" i="13" s="1"/>
  <c r="U24" i="13"/>
  <c r="H240" i="13" s="1"/>
  <c r="T24" i="13"/>
  <c r="G240" i="13" s="1"/>
  <c r="N24" i="13"/>
  <c r="H239" i="13" s="1"/>
  <c r="M24" i="13"/>
  <c r="G239" i="13" s="1"/>
  <c r="F24" i="13"/>
  <c r="G238" i="13" s="1"/>
  <c r="U23" i="13"/>
  <c r="H227" i="13" s="1"/>
  <c r="T23" i="13"/>
  <c r="G227" i="13" s="1"/>
  <c r="N23" i="13"/>
  <c r="H226" i="13" s="1"/>
  <c r="M23" i="13"/>
  <c r="G226" i="13" s="1"/>
  <c r="F23" i="13"/>
  <c r="G225" i="13" s="1"/>
  <c r="U22" i="13"/>
  <c r="H214" i="13" s="1"/>
  <c r="T22" i="13"/>
  <c r="G214" i="13" s="1"/>
  <c r="N22" i="13"/>
  <c r="H213" i="13" s="1"/>
  <c r="M22" i="13"/>
  <c r="G213" i="13" s="1"/>
  <c r="F22" i="13"/>
  <c r="G212" i="13" s="1"/>
  <c r="S21" i="13"/>
  <c r="R21" i="13"/>
  <c r="Q21" i="13"/>
  <c r="L21" i="13"/>
  <c r="K21" i="13"/>
  <c r="J21" i="13"/>
  <c r="E21" i="13"/>
  <c r="D21" i="13"/>
  <c r="C21" i="13"/>
  <c r="P20" i="13"/>
  <c r="I20" i="13"/>
  <c r="U19" i="13"/>
  <c r="Q198" i="13" s="1"/>
  <c r="T19" i="13"/>
  <c r="P198" i="13" s="1"/>
  <c r="M19" i="13"/>
  <c r="P197" i="13" s="1"/>
  <c r="F19" i="13"/>
  <c r="P196" i="13" s="1"/>
  <c r="U18" i="13"/>
  <c r="Q185" i="13" s="1"/>
  <c r="T18" i="13"/>
  <c r="P185" i="13" s="1"/>
  <c r="N18" i="13"/>
  <c r="Q184" i="13" s="1"/>
  <c r="M18" i="13"/>
  <c r="P184" i="13" s="1"/>
  <c r="G18" i="13"/>
  <c r="Q183" i="13" s="1"/>
  <c r="F18" i="13"/>
  <c r="P183" i="13" s="1"/>
  <c r="U17" i="13"/>
  <c r="Q172" i="13" s="1"/>
  <c r="T17" i="13"/>
  <c r="P172" i="13" s="1"/>
  <c r="N17" i="13"/>
  <c r="Q171" i="13" s="1"/>
  <c r="M17" i="13"/>
  <c r="P171" i="13" s="1"/>
  <c r="G17" i="13"/>
  <c r="Q170" i="13" s="1"/>
  <c r="F17" i="13"/>
  <c r="P170" i="13" s="1"/>
  <c r="U16" i="13"/>
  <c r="Q159" i="13" s="1"/>
  <c r="T16" i="13"/>
  <c r="P159" i="13" s="1"/>
  <c r="N16" i="13"/>
  <c r="Q158" i="13" s="1"/>
  <c r="M16" i="13"/>
  <c r="P158" i="13" s="1"/>
  <c r="G16" i="13"/>
  <c r="Q157" i="13" s="1"/>
  <c r="F16" i="13"/>
  <c r="P157" i="13" s="1"/>
  <c r="U15" i="13"/>
  <c r="Q146" i="13" s="1"/>
  <c r="T15" i="13"/>
  <c r="P146" i="13" s="1"/>
  <c r="N15" i="13"/>
  <c r="Q145" i="13" s="1"/>
  <c r="M15" i="13"/>
  <c r="P145" i="13" s="1"/>
  <c r="G15" i="13"/>
  <c r="Q144" i="13" s="1"/>
  <c r="F15" i="13"/>
  <c r="P144" i="13" s="1"/>
  <c r="U14" i="13"/>
  <c r="Q133" i="13" s="1"/>
  <c r="T14" i="13"/>
  <c r="P133" i="13" s="1"/>
  <c r="M14" i="13"/>
  <c r="P132" i="13" s="1"/>
  <c r="F14" i="13"/>
  <c r="P131" i="13" s="1"/>
  <c r="S13" i="13"/>
  <c r="R13" i="13"/>
  <c r="Q13" i="13"/>
  <c r="L13" i="13"/>
  <c r="K13" i="13"/>
  <c r="J13" i="13"/>
  <c r="E13" i="13"/>
  <c r="D13" i="13"/>
  <c r="C13" i="13"/>
  <c r="P12" i="13"/>
  <c r="I12" i="13"/>
  <c r="U11" i="13"/>
  <c r="H198" i="13" s="1"/>
  <c r="T11" i="13"/>
  <c r="G198" i="13" s="1"/>
  <c r="M11" i="13"/>
  <c r="G197" i="13" s="1"/>
  <c r="G11" i="13"/>
  <c r="H196" i="13" s="1"/>
  <c r="F11" i="13"/>
  <c r="G196" i="13" s="1"/>
  <c r="U10" i="13"/>
  <c r="H185" i="13" s="1"/>
  <c r="T10" i="13"/>
  <c r="G185" i="13" s="1"/>
  <c r="N10" i="13"/>
  <c r="H184" i="13" s="1"/>
  <c r="M10" i="13"/>
  <c r="G184" i="13" s="1"/>
  <c r="G10" i="13"/>
  <c r="H183" i="13" s="1"/>
  <c r="F10" i="13"/>
  <c r="G183" i="13" s="1"/>
  <c r="U9" i="13"/>
  <c r="H172" i="13" s="1"/>
  <c r="T9" i="13"/>
  <c r="G172" i="13" s="1"/>
  <c r="N9" i="13"/>
  <c r="H171" i="13" s="1"/>
  <c r="M9" i="13"/>
  <c r="G171" i="13" s="1"/>
  <c r="G9" i="13"/>
  <c r="H170" i="13" s="1"/>
  <c r="F9" i="13"/>
  <c r="G170" i="13" s="1"/>
  <c r="U8" i="13"/>
  <c r="H159" i="13" s="1"/>
  <c r="T8" i="13"/>
  <c r="G159" i="13" s="1"/>
  <c r="N8" i="13"/>
  <c r="H158" i="13" s="1"/>
  <c r="M8" i="13"/>
  <c r="G158" i="13" s="1"/>
  <c r="G8" i="13"/>
  <c r="H157" i="13" s="1"/>
  <c r="F8" i="13"/>
  <c r="G157" i="13" s="1"/>
  <c r="U7" i="13"/>
  <c r="H146" i="13" s="1"/>
  <c r="T7" i="13"/>
  <c r="G146" i="13" s="1"/>
  <c r="N7" i="13"/>
  <c r="H145" i="13" s="1"/>
  <c r="M7" i="13"/>
  <c r="G145" i="13" s="1"/>
  <c r="G7" i="13"/>
  <c r="H144" i="13" s="1"/>
  <c r="F7" i="13"/>
  <c r="G144" i="13" s="1"/>
  <c r="U6" i="13"/>
  <c r="H133" i="13" s="1"/>
  <c r="T6" i="13"/>
  <c r="G133" i="13" s="1"/>
  <c r="N6" i="13"/>
  <c r="H132" i="13" s="1"/>
  <c r="M6" i="13"/>
  <c r="G132" i="13" s="1"/>
  <c r="G6" i="13"/>
  <c r="H131" i="13" s="1"/>
  <c r="F6" i="13"/>
  <c r="G131" i="13" s="1"/>
  <c r="P4" i="13"/>
  <c r="I4" i="13"/>
  <c r="A389" i="12"/>
  <c r="B373" i="12" s="1"/>
  <c r="H373" i="12" s="1"/>
  <c r="V378" i="12"/>
  <c r="V377" i="12"/>
  <c r="T377" i="12"/>
  <c r="T378" i="12"/>
  <c r="K409" i="12"/>
  <c r="J409" i="12"/>
  <c r="I409" i="12"/>
  <c r="K408" i="12"/>
  <c r="J408" i="12"/>
  <c r="K407" i="12"/>
  <c r="J407" i="12"/>
  <c r="I407" i="12"/>
  <c r="K406" i="12"/>
  <c r="J406" i="12"/>
  <c r="I406" i="12"/>
  <c r="K405" i="12"/>
  <c r="J405" i="12"/>
  <c r="I405" i="12"/>
  <c r="K404" i="12"/>
  <c r="J404" i="12"/>
  <c r="I404" i="12"/>
  <c r="K403" i="12"/>
  <c r="J403" i="12"/>
  <c r="I403" i="12"/>
  <c r="K402" i="12"/>
  <c r="J402" i="12"/>
  <c r="I402" i="12"/>
  <c r="K401" i="12"/>
  <c r="J401" i="12"/>
  <c r="I401" i="12"/>
  <c r="K400" i="12"/>
  <c r="J400" i="12"/>
  <c r="I400" i="12"/>
  <c r="K399" i="12"/>
  <c r="J399" i="12"/>
  <c r="I399" i="12"/>
  <c r="K398" i="12"/>
  <c r="J398" i="12"/>
  <c r="I398" i="12"/>
  <c r="K397" i="12"/>
  <c r="J397" i="12"/>
  <c r="I397" i="12"/>
  <c r="K396" i="12"/>
  <c r="J396" i="12"/>
  <c r="I396" i="12"/>
  <c r="K395" i="12"/>
  <c r="J395" i="12"/>
  <c r="I395" i="12"/>
  <c r="K394" i="12"/>
  <c r="J394" i="12"/>
  <c r="I394" i="12"/>
  <c r="K393" i="12"/>
  <c r="J393" i="12"/>
  <c r="I393" i="12"/>
  <c r="K392" i="12"/>
  <c r="J392" i="12"/>
  <c r="I392" i="12"/>
  <c r="K391" i="12"/>
  <c r="J391" i="12"/>
  <c r="I391" i="12"/>
  <c r="K390" i="12"/>
  <c r="J390" i="12"/>
  <c r="I390" i="12"/>
  <c r="V371" i="12"/>
  <c r="U371" i="12"/>
  <c r="T371" i="12"/>
  <c r="S371" i="12"/>
  <c r="N371" i="12"/>
  <c r="M371" i="12"/>
  <c r="L371" i="12"/>
  <c r="K371" i="12"/>
  <c r="F371" i="12"/>
  <c r="E371" i="12"/>
  <c r="D371" i="12"/>
  <c r="C371" i="12"/>
  <c r="V370" i="12"/>
  <c r="U370" i="12"/>
  <c r="T370" i="12"/>
  <c r="S370" i="12"/>
  <c r="N370" i="12"/>
  <c r="M370" i="12"/>
  <c r="L370" i="12"/>
  <c r="K370" i="12"/>
  <c r="F370" i="12"/>
  <c r="E370" i="12"/>
  <c r="D370" i="12"/>
  <c r="C370" i="12"/>
  <c r="V369" i="12"/>
  <c r="U369" i="12"/>
  <c r="T369" i="12"/>
  <c r="S369" i="12"/>
  <c r="N369" i="12"/>
  <c r="M369" i="12"/>
  <c r="L369" i="12"/>
  <c r="K369" i="12"/>
  <c r="F369" i="12"/>
  <c r="E369" i="12"/>
  <c r="D369" i="12"/>
  <c r="C369" i="12"/>
  <c r="V368" i="12"/>
  <c r="U368" i="12"/>
  <c r="T368" i="12"/>
  <c r="S368" i="12"/>
  <c r="N368" i="12"/>
  <c r="M368" i="12"/>
  <c r="L368" i="12"/>
  <c r="K368" i="12"/>
  <c r="F368" i="12"/>
  <c r="E368" i="12"/>
  <c r="D368" i="12"/>
  <c r="C368" i="12"/>
  <c r="V367" i="12"/>
  <c r="U367" i="12"/>
  <c r="T367" i="12"/>
  <c r="S367" i="12"/>
  <c r="N367" i="12"/>
  <c r="M367" i="12"/>
  <c r="L367" i="12"/>
  <c r="K367" i="12"/>
  <c r="F367" i="12"/>
  <c r="E367" i="12"/>
  <c r="D367" i="12"/>
  <c r="C367" i="12"/>
  <c r="V366" i="12"/>
  <c r="U366" i="12"/>
  <c r="T366" i="12"/>
  <c r="S366" i="12"/>
  <c r="N366" i="12"/>
  <c r="M366" i="12"/>
  <c r="L366" i="12"/>
  <c r="K366" i="12"/>
  <c r="F366" i="12"/>
  <c r="E366" i="12"/>
  <c r="D366" i="12"/>
  <c r="C366" i="12"/>
  <c r="V365" i="12"/>
  <c r="U365" i="12"/>
  <c r="T365" i="12"/>
  <c r="S365" i="12"/>
  <c r="N365" i="12"/>
  <c r="M365" i="12"/>
  <c r="L365" i="12"/>
  <c r="K365" i="12"/>
  <c r="F365" i="12"/>
  <c r="E365" i="12"/>
  <c r="D365" i="12"/>
  <c r="C365" i="12"/>
  <c r="V364" i="12"/>
  <c r="U364" i="12"/>
  <c r="T364" i="12"/>
  <c r="S364" i="12"/>
  <c r="N364" i="12"/>
  <c r="M364" i="12"/>
  <c r="L364" i="12"/>
  <c r="K364" i="12"/>
  <c r="F364" i="12"/>
  <c r="E364" i="12"/>
  <c r="D364" i="12"/>
  <c r="C364" i="12"/>
  <c r="V363" i="12"/>
  <c r="U363" i="12"/>
  <c r="T363" i="12"/>
  <c r="S363" i="12"/>
  <c r="N363" i="12"/>
  <c r="M363" i="12"/>
  <c r="L363" i="12"/>
  <c r="K363" i="12"/>
  <c r="F363" i="12"/>
  <c r="E363" i="12"/>
  <c r="D363" i="12"/>
  <c r="C363" i="12"/>
  <c r="V362" i="12"/>
  <c r="U362" i="12"/>
  <c r="T362" i="12"/>
  <c r="S362" i="12"/>
  <c r="N362" i="12"/>
  <c r="M362" i="12"/>
  <c r="L362" i="12"/>
  <c r="K362" i="12"/>
  <c r="F362" i="12"/>
  <c r="E362" i="12"/>
  <c r="D362" i="12"/>
  <c r="C362" i="12"/>
  <c r="V361" i="12"/>
  <c r="U361" i="12"/>
  <c r="T361" i="12"/>
  <c r="S361" i="12"/>
  <c r="N361" i="12"/>
  <c r="M361" i="12"/>
  <c r="L361" i="12"/>
  <c r="K361" i="12"/>
  <c r="F361" i="12"/>
  <c r="E361" i="12"/>
  <c r="D361" i="12"/>
  <c r="C361" i="12"/>
  <c r="V360" i="12"/>
  <c r="U360" i="12"/>
  <c r="T360" i="12"/>
  <c r="S360" i="12"/>
  <c r="N360" i="12"/>
  <c r="M360" i="12"/>
  <c r="L360" i="12"/>
  <c r="K360" i="12"/>
  <c r="F360" i="12"/>
  <c r="E360" i="12"/>
  <c r="D360" i="12"/>
  <c r="C360" i="12"/>
  <c r="V359" i="12"/>
  <c r="U359" i="12"/>
  <c r="T359" i="12"/>
  <c r="S359" i="12"/>
  <c r="N359" i="12"/>
  <c r="M359" i="12"/>
  <c r="L359" i="12"/>
  <c r="K359" i="12"/>
  <c r="F359" i="12"/>
  <c r="E359" i="12"/>
  <c r="D359" i="12"/>
  <c r="C359" i="12"/>
  <c r="V358" i="12"/>
  <c r="U358" i="12"/>
  <c r="T358" i="12"/>
  <c r="S358" i="12"/>
  <c r="N358" i="12"/>
  <c r="M358" i="12"/>
  <c r="L358" i="12"/>
  <c r="K358" i="12"/>
  <c r="F358" i="12"/>
  <c r="E358" i="12"/>
  <c r="D358" i="12"/>
  <c r="C358" i="12"/>
  <c r="V357" i="12"/>
  <c r="U357" i="12"/>
  <c r="T357" i="12"/>
  <c r="S357" i="12"/>
  <c r="N357" i="12"/>
  <c r="M357" i="12"/>
  <c r="L357" i="12"/>
  <c r="K357" i="12"/>
  <c r="F357" i="12"/>
  <c r="E357" i="12"/>
  <c r="D357" i="12"/>
  <c r="C357" i="12"/>
  <c r="V356" i="12"/>
  <c r="U356" i="12"/>
  <c r="T356" i="12"/>
  <c r="S356" i="12"/>
  <c r="N356" i="12"/>
  <c r="M356" i="12"/>
  <c r="L356" i="12"/>
  <c r="K356" i="12"/>
  <c r="F356" i="12"/>
  <c r="E356" i="12"/>
  <c r="D356" i="12"/>
  <c r="C356" i="12"/>
  <c r="V355" i="12"/>
  <c r="U355" i="12"/>
  <c r="T355" i="12"/>
  <c r="S355" i="12"/>
  <c r="N355" i="12"/>
  <c r="M355" i="12"/>
  <c r="L355" i="12"/>
  <c r="K355" i="12"/>
  <c r="F355" i="12"/>
  <c r="E355" i="12"/>
  <c r="D355" i="12"/>
  <c r="C355" i="12"/>
  <c r="V354" i="12"/>
  <c r="U354" i="12"/>
  <c r="T354" i="12"/>
  <c r="S354" i="12"/>
  <c r="N354" i="12"/>
  <c r="M354" i="12"/>
  <c r="L354" i="12"/>
  <c r="K354" i="12"/>
  <c r="F354" i="12"/>
  <c r="E354" i="12"/>
  <c r="D354" i="12"/>
  <c r="C354" i="12"/>
  <c r="V353" i="12"/>
  <c r="U353" i="12"/>
  <c r="T353" i="12"/>
  <c r="S353" i="12"/>
  <c r="N353" i="12"/>
  <c r="M353" i="12"/>
  <c r="L353" i="12"/>
  <c r="K353" i="12"/>
  <c r="F353" i="12"/>
  <c r="E353" i="12"/>
  <c r="D353" i="12"/>
  <c r="C353" i="12"/>
  <c r="V352" i="12"/>
  <c r="U352" i="12"/>
  <c r="T352" i="12"/>
  <c r="S352" i="12"/>
  <c r="N352" i="12"/>
  <c r="M352" i="12"/>
  <c r="L352" i="12"/>
  <c r="K352" i="12"/>
  <c r="F352" i="12"/>
  <c r="E352" i="12"/>
  <c r="D352" i="12"/>
  <c r="C352" i="12"/>
  <c r="V350" i="12"/>
  <c r="U350" i="12"/>
  <c r="T350" i="12"/>
  <c r="S350" i="12"/>
  <c r="N350" i="12"/>
  <c r="M350" i="12"/>
  <c r="L350" i="12"/>
  <c r="K350" i="12"/>
  <c r="F350" i="12"/>
  <c r="E350" i="12"/>
  <c r="D350" i="12"/>
  <c r="C350" i="12"/>
  <c r="V349" i="12"/>
  <c r="U349" i="12"/>
  <c r="T349" i="12"/>
  <c r="S349" i="12"/>
  <c r="N349" i="12"/>
  <c r="M349" i="12"/>
  <c r="L349" i="12"/>
  <c r="K349" i="12"/>
  <c r="F349" i="12"/>
  <c r="E349" i="12"/>
  <c r="D349" i="12"/>
  <c r="C349" i="12"/>
  <c r="V348" i="12"/>
  <c r="U348" i="12"/>
  <c r="T348" i="12"/>
  <c r="S348" i="12"/>
  <c r="N348" i="12"/>
  <c r="M348" i="12"/>
  <c r="L348" i="12"/>
  <c r="K348" i="12"/>
  <c r="F348" i="12"/>
  <c r="E348" i="12"/>
  <c r="D348" i="12"/>
  <c r="C348" i="12"/>
  <c r="V347" i="12"/>
  <c r="U347" i="12"/>
  <c r="T347" i="12"/>
  <c r="S347" i="12"/>
  <c r="N347" i="12"/>
  <c r="M347" i="12"/>
  <c r="L347" i="12"/>
  <c r="K347" i="12"/>
  <c r="F347" i="12"/>
  <c r="E347" i="12"/>
  <c r="D347" i="12"/>
  <c r="C347" i="12"/>
  <c r="V346" i="12"/>
  <c r="U346" i="12"/>
  <c r="T346" i="12"/>
  <c r="S346" i="12"/>
  <c r="N346" i="12"/>
  <c r="M346" i="12"/>
  <c r="L346" i="12"/>
  <c r="K346" i="12"/>
  <c r="F346" i="12"/>
  <c r="E346" i="12"/>
  <c r="D346" i="12"/>
  <c r="C346" i="12"/>
  <c r="V345" i="12"/>
  <c r="U345" i="12"/>
  <c r="T345" i="12"/>
  <c r="S345" i="12"/>
  <c r="N345" i="12"/>
  <c r="M345" i="12"/>
  <c r="L345" i="12"/>
  <c r="K345" i="12"/>
  <c r="F345" i="12"/>
  <c r="E345" i="12"/>
  <c r="D345" i="12"/>
  <c r="C345" i="12"/>
  <c r="V344" i="12"/>
  <c r="U344" i="12"/>
  <c r="T344" i="12"/>
  <c r="S344" i="12"/>
  <c r="N344" i="12"/>
  <c r="M344" i="12"/>
  <c r="L344" i="12"/>
  <c r="K344" i="12"/>
  <c r="F344" i="12"/>
  <c r="E344" i="12"/>
  <c r="D344" i="12"/>
  <c r="C344" i="12"/>
  <c r="V343" i="12"/>
  <c r="U343" i="12"/>
  <c r="T343" i="12"/>
  <c r="S343" i="12"/>
  <c r="N343" i="12"/>
  <c r="M343" i="12"/>
  <c r="L343" i="12"/>
  <c r="K343" i="12"/>
  <c r="F343" i="12"/>
  <c r="E343" i="12"/>
  <c r="D343" i="12"/>
  <c r="C343" i="12"/>
  <c r="V342" i="12"/>
  <c r="U342" i="12"/>
  <c r="T342" i="12"/>
  <c r="S342" i="12"/>
  <c r="N342" i="12"/>
  <c r="M342" i="12"/>
  <c r="L342" i="12"/>
  <c r="K342" i="12"/>
  <c r="F342" i="12"/>
  <c r="E342" i="12"/>
  <c r="D342" i="12"/>
  <c r="C342" i="12"/>
  <c r="V341" i="12"/>
  <c r="U341" i="12"/>
  <c r="T341" i="12"/>
  <c r="S341" i="12"/>
  <c r="N341" i="12"/>
  <c r="M341" i="12"/>
  <c r="L341" i="12"/>
  <c r="K341" i="12"/>
  <c r="F341" i="12"/>
  <c r="E341" i="12"/>
  <c r="D341" i="12"/>
  <c r="C341" i="12"/>
  <c r="V340" i="12"/>
  <c r="U340" i="12"/>
  <c r="T340" i="12"/>
  <c r="S340" i="12"/>
  <c r="N340" i="12"/>
  <c r="M340" i="12"/>
  <c r="L340" i="12"/>
  <c r="K340" i="12"/>
  <c r="F340" i="12"/>
  <c r="E340" i="12"/>
  <c r="D340" i="12"/>
  <c r="C340" i="12"/>
  <c r="V339" i="12"/>
  <c r="U339" i="12"/>
  <c r="T339" i="12"/>
  <c r="S339" i="12"/>
  <c r="N339" i="12"/>
  <c r="M339" i="12"/>
  <c r="L339" i="12"/>
  <c r="K339" i="12"/>
  <c r="F339" i="12"/>
  <c r="E339" i="12"/>
  <c r="D339" i="12"/>
  <c r="C339" i="12"/>
  <c r="V338" i="12"/>
  <c r="U338" i="12"/>
  <c r="T338" i="12"/>
  <c r="S338" i="12"/>
  <c r="N338" i="12"/>
  <c r="M338" i="12"/>
  <c r="L338" i="12"/>
  <c r="K338" i="12"/>
  <c r="F338" i="12"/>
  <c r="E338" i="12"/>
  <c r="D338" i="12"/>
  <c r="C338" i="12"/>
  <c r="V337" i="12"/>
  <c r="U337" i="12"/>
  <c r="T337" i="12"/>
  <c r="S337" i="12"/>
  <c r="N337" i="12"/>
  <c r="M337" i="12"/>
  <c r="L337" i="12"/>
  <c r="K337" i="12"/>
  <c r="F337" i="12"/>
  <c r="E337" i="12"/>
  <c r="D337" i="12"/>
  <c r="C337" i="12"/>
  <c r="V336" i="12"/>
  <c r="U336" i="12"/>
  <c r="T336" i="12"/>
  <c r="S336" i="12"/>
  <c r="N336" i="12"/>
  <c r="M336" i="12"/>
  <c r="L336" i="12"/>
  <c r="K336" i="12"/>
  <c r="F336" i="12"/>
  <c r="E336" i="12"/>
  <c r="D336" i="12"/>
  <c r="C336" i="12"/>
  <c r="V335" i="12"/>
  <c r="U335" i="12"/>
  <c r="T335" i="12"/>
  <c r="S335" i="12"/>
  <c r="N335" i="12"/>
  <c r="M335" i="12"/>
  <c r="L335" i="12"/>
  <c r="K335" i="12"/>
  <c r="F335" i="12"/>
  <c r="E335" i="12"/>
  <c r="D335" i="12"/>
  <c r="C335" i="12"/>
  <c r="V334" i="12"/>
  <c r="U334" i="12"/>
  <c r="T334" i="12"/>
  <c r="S334" i="12"/>
  <c r="N334" i="12"/>
  <c r="M334" i="12"/>
  <c r="L334" i="12"/>
  <c r="K334" i="12"/>
  <c r="F334" i="12"/>
  <c r="E334" i="12"/>
  <c r="D334" i="12"/>
  <c r="C334" i="12"/>
  <c r="V333" i="12"/>
  <c r="U333" i="12"/>
  <c r="T333" i="12"/>
  <c r="S333" i="12"/>
  <c r="N333" i="12"/>
  <c r="M333" i="12"/>
  <c r="L333" i="12"/>
  <c r="K333" i="12"/>
  <c r="F333" i="12"/>
  <c r="E333" i="12"/>
  <c r="D333" i="12"/>
  <c r="C333" i="12"/>
  <c r="V332" i="12"/>
  <c r="U332" i="12"/>
  <c r="T332" i="12"/>
  <c r="S332" i="12"/>
  <c r="N332" i="12"/>
  <c r="M332" i="12"/>
  <c r="L332" i="12"/>
  <c r="K332" i="12"/>
  <c r="F332" i="12"/>
  <c r="E332" i="12"/>
  <c r="D332" i="12"/>
  <c r="C332" i="12"/>
  <c r="V331" i="12"/>
  <c r="U331" i="12"/>
  <c r="T331" i="12"/>
  <c r="S331" i="12"/>
  <c r="N331" i="12"/>
  <c r="M331" i="12"/>
  <c r="L331" i="12"/>
  <c r="K331" i="12"/>
  <c r="F331" i="12"/>
  <c r="E331" i="12"/>
  <c r="D331" i="12"/>
  <c r="C331" i="12"/>
  <c r="V329" i="12"/>
  <c r="U329" i="12"/>
  <c r="T329" i="12"/>
  <c r="S329" i="12"/>
  <c r="N329" i="12"/>
  <c r="M329" i="12"/>
  <c r="L329" i="12"/>
  <c r="K329" i="12"/>
  <c r="F329" i="12"/>
  <c r="E329" i="12"/>
  <c r="D329" i="12"/>
  <c r="C329" i="12"/>
  <c r="V328" i="12"/>
  <c r="U328" i="12"/>
  <c r="T328" i="12"/>
  <c r="S328" i="12"/>
  <c r="N328" i="12"/>
  <c r="M328" i="12"/>
  <c r="L328" i="12"/>
  <c r="K328" i="12"/>
  <c r="F328" i="12"/>
  <c r="E328" i="12"/>
  <c r="D328" i="12"/>
  <c r="C328" i="12"/>
  <c r="V327" i="12"/>
  <c r="U327" i="12"/>
  <c r="T327" i="12"/>
  <c r="S327" i="12"/>
  <c r="N327" i="12"/>
  <c r="M327" i="12"/>
  <c r="L327" i="12"/>
  <c r="K327" i="12"/>
  <c r="F327" i="12"/>
  <c r="E327" i="12"/>
  <c r="D327" i="12"/>
  <c r="C327" i="12"/>
  <c r="V326" i="12"/>
  <c r="U326" i="12"/>
  <c r="T326" i="12"/>
  <c r="S326" i="12"/>
  <c r="N326" i="12"/>
  <c r="M326" i="12"/>
  <c r="L326" i="12"/>
  <c r="K326" i="12"/>
  <c r="F326" i="12"/>
  <c r="E326" i="12"/>
  <c r="D326" i="12"/>
  <c r="C326" i="12"/>
  <c r="V325" i="12"/>
  <c r="U325" i="12"/>
  <c r="T325" i="12"/>
  <c r="S325" i="12"/>
  <c r="N325" i="12"/>
  <c r="M325" i="12"/>
  <c r="L325" i="12"/>
  <c r="K325" i="12"/>
  <c r="F325" i="12"/>
  <c r="E325" i="12"/>
  <c r="D325" i="12"/>
  <c r="C325" i="12"/>
  <c r="V324" i="12"/>
  <c r="U324" i="12"/>
  <c r="T324" i="12"/>
  <c r="S324" i="12"/>
  <c r="N324" i="12"/>
  <c r="M324" i="12"/>
  <c r="L324" i="12"/>
  <c r="K324" i="12"/>
  <c r="F324" i="12"/>
  <c r="E324" i="12"/>
  <c r="D324" i="12"/>
  <c r="C324" i="12"/>
  <c r="V323" i="12"/>
  <c r="U323" i="12"/>
  <c r="T323" i="12"/>
  <c r="S323" i="12"/>
  <c r="N323" i="12"/>
  <c r="M323" i="12"/>
  <c r="L323" i="12"/>
  <c r="K323" i="12"/>
  <c r="F323" i="12"/>
  <c r="E323" i="12"/>
  <c r="D323" i="12"/>
  <c r="C323" i="12"/>
  <c r="V322" i="12"/>
  <c r="U322" i="12"/>
  <c r="T322" i="12"/>
  <c r="S322" i="12"/>
  <c r="N322" i="12"/>
  <c r="M322" i="12"/>
  <c r="L322" i="12"/>
  <c r="K322" i="12"/>
  <c r="F322" i="12"/>
  <c r="E322" i="12"/>
  <c r="D322" i="12"/>
  <c r="C322" i="12"/>
  <c r="V321" i="12"/>
  <c r="U321" i="12"/>
  <c r="T321" i="12"/>
  <c r="S321" i="12"/>
  <c r="N321" i="12"/>
  <c r="M321" i="12"/>
  <c r="L321" i="12"/>
  <c r="K321" i="12"/>
  <c r="F321" i="12"/>
  <c r="E321" i="12"/>
  <c r="D321" i="12"/>
  <c r="C321" i="12"/>
  <c r="V320" i="12"/>
  <c r="U320" i="12"/>
  <c r="T320" i="12"/>
  <c r="S320" i="12"/>
  <c r="N320" i="12"/>
  <c r="M320" i="12"/>
  <c r="L320" i="12"/>
  <c r="K320" i="12"/>
  <c r="F320" i="12"/>
  <c r="E320" i="12"/>
  <c r="D320" i="12"/>
  <c r="C320" i="12"/>
  <c r="V319" i="12"/>
  <c r="U319" i="12"/>
  <c r="T319" i="12"/>
  <c r="S319" i="12"/>
  <c r="N319" i="12"/>
  <c r="M319" i="12"/>
  <c r="L319" i="12"/>
  <c r="K319" i="12"/>
  <c r="F319" i="12"/>
  <c r="E319" i="12"/>
  <c r="D319" i="12"/>
  <c r="C319" i="12"/>
  <c r="V318" i="12"/>
  <c r="U318" i="12"/>
  <c r="T318" i="12"/>
  <c r="S318" i="12"/>
  <c r="N318" i="12"/>
  <c r="M318" i="12"/>
  <c r="L318" i="12"/>
  <c r="K318" i="12"/>
  <c r="F318" i="12"/>
  <c r="E318" i="12"/>
  <c r="D318" i="12"/>
  <c r="C318" i="12"/>
  <c r="V317" i="12"/>
  <c r="U317" i="12"/>
  <c r="T317" i="12"/>
  <c r="S317" i="12"/>
  <c r="N317" i="12"/>
  <c r="M317" i="12"/>
  <c r="L317" i="12"/>
  <c r="K317" i="12"/>
  <c r="F317" i="12"/>
  <c r="E317" i="12"/>
  <c r="D317" i="12"/>
  <c r="C317" i="12"/>
  <c r="V316" i="12"/>
  <c r="U316" i="12"/>
  <c r="T316" i="12"/>
  <c r="S316" i="12"/>
  <c r="N316" i="12"/>
  <c r="M316" i="12"/>
  <c r="L316" i="12"/>
  <c r="K316" i="12"/>
  <c r="F316" i="12"/>
  <c r="E316" i="12"/>
  <c r="D316" i="12"/>
  <c r="C316" i="12"/>
  <c r="V315" i="12"/>
  <c r="U315" i="12"/>
  <c r="T315" i="12"/>
  <c r="S315" i="12"/>
  <c r="N315" i="12"/>
  <c r="M315" i="12"/>
  <c r="L315" i="12"/>
  <c r="K315" i="12"/>
  <c r="F315" i="12"/>
  <c r="E315" i="12"/>
  <c r="D315" i="12"/>
  <c r="C315" i="12"/>
  <c r="V314" i="12"/>
  <c r="U314" i="12"/>
  <c r="T314" i="12"/>
  <c r="S314" i="12"/>
  <c r="N314" i="12"/>
  <c r="M314" i="12"/>
  <c r="L314" i="12"/>
  <c r="K314" i="12"/>
  <c r="F314" i="12"/>
  <c r="E314" i="12"/>
  <c r="D314" i="12"/>
  <c r="C314" i="12"/>
  <c r="V313" i="12"/>
  <c r="U313" i="12"/>
  <c r="T313" i="12"/>
  <c r="S313" i="12"/>
  <c r="N313" i="12"/>
  <c r="M313" i="12"/>
  <c r="L313" i="12"/>
  <c r="K313" i="12"/>
  <c r="F313" i="12"/>
  <c r="E313" i="12"/>
  <c r="D313" i="12"/>
  <c r="C313" i="12"/>
  <c r="V312" i="12"/>
  <c r="U312" i="12"/>
  <c r="T312" i="12"/>
  <c r="S312" i="12"/>
  <c r="N312" i="12"/>
  <c r="M312" i="12"/>
  <c r="L312" i="12"/>
  <c r="K312" i="12"/>
  <c r="F312" i="12"/>
  <c r="E312" i="12"/>
  <c r="D312" i="12"/>
  <c r="C312" i="12"/>
  <c r="V311" i="12"/>
  <c r="U311" i="12"/>
  <c r="T311" i="12"/>
  <c r="S311" i="12"/>
  <c r="N311" i="12"/>
  <c r="M311" i="12"/>
  <c r="L311" i="12"/>
  <c r="K311" i="12"/>
  <c r="F311" i="12"/>
  <c r="E311" i="12"/>
  <c r="D311" i="12"/>
  <c r="C311" i="12"/>
  <c r="V310" i="12"/>
  <c r="U310" i="12"/>
  <c r="T310" i="12"/>
  <c r="S310" i="12"/>
  <c r="N310" i="12"/>
  <c r="M310" i="12"/>
  <c r="L310" i="12"/>
  <c r="K310" i="12"/>
  <c r="F310" i="12"/>
  <c r="E310" i="12"/>
  <c r="D310" i="12"/>
  <c r="C310" i="12"/>
  <c r="V308" i="12"/>
  <c r="U308" i="12"/>
  <c r="T308" i="12"/>
  <c r="S308" i="12"/>
  <c r="N308" i="12"/>
  <c r="M308" i="12"/>
  <c r="L308" i="12"/>
  <c r="K308" i="12"/>
  <c r="F308" i="12"/>
  <c r="E308" i="12"/>
  <c r="D308" i="12"/>
  <c r="C308" i="12"/>
  <c r="V307" i="12"/>
  <c r="U307" i="12"/>
  <c r="T307" i="12"/>
  <c r="S307" i="12"/>
  <c r="N307" i="12"/>
  <c r="M307" i="12"/>
  <c r="L307" i="12"/>
  <c r="K307" i="12"/>
  <c r="F307" i="12"/>
  <c r="E307" i="12"/>
  <c r="D307" i="12"/>
  <c r="C307" i="12"/>
  <c r="V306" i="12"/>
  <c r="U306" i="12"/>
  <c r="T306" i="12"/>
  <c r="S306" i="12"/>
  <c r="N306" i="12"/>
  <c r="M306" i="12"/>
  <c r="L306" i="12"/>
  <c r="K306" i="12"/>
  <c r="F306" i="12"/>
  <c r="E306" i="12"/>
  <c r="D306" i="12"/>
  <c r="C306" i="12"/>
  <c r="V305" i="12"/>
  <c r="U305" i="12"/>
  <c r="T305" i="12"/>
  <c r="S305" i="12"/>
  <c r="N305" i="12"/>
  <c r="M305" i="12"/>
  <c r="L305" i="12"/>
  <c r="K305" i="12"/>
  <c r="F305" i="12"/>
  <c r="E305" i="12"/>
  <c r="D305" i="12"/>
  <c r="C305" i="12"/>
  <c r="V304" i="12"/>
  <c r="U304" i="12"/>
  <c r="T304" i="12"/>
  <c r="S304" i="12"/>
  <c r="N304" i="12"/>
  <c r="M304" i="12"/>
  <c r="L304" i="12"/>
  <c r="K304" i="12"/>
  <c r="F304" i="12"/>
  <c r="E304" i="12"/>
  <c r="D304" i="12"/>
  <c r="C304" i="12"/>
  <c r="V303" i="12"/>
  <c r="U303" i="12"/>
  <c r="T303" i="12"/>
  <c r="S303" i="12"/>
  <c r="N303" i="12"/>
  <c r="M303" i="12"/>
  <c r="L303" i="12"/>
  <c r="K303" i="12"/>
  <c r="F303" i="12"/>
  <c r="E303" i="12"/>
  <c r="D303" i="12"/>
  <c r="C303" i="12"/>
  <c r="V302" i="12"/>
  <c r="U302" i="12"/>
  <c r="T302" i="12"/>
  <c r="S302" i="12"/>
  <c r="N302" i="12"/>
  <c r="M302" i="12"/>
  <c r="L302" i="12"/>
  <c r="K302" i="12"/>
  <c r="F302" i="12"/>
  <c r="E302" i="12"/>
  <c r="D302" i="12"/>
  <c r="C302" i="12"/>
  <c r="V301" i="12"/>
  <c r="U301" i="12"/>
  <c r="T301" i="12"/>
  <c r="S301" i="12"/>
  <c r="N301" i="12"/>
  <c r="M301" i="12"/>
  <c r="L301" i="12"/>
  <c r="K301" i="12"/>
  <c r="F301" i="12"/>
  <c r="E301" i="12"/>
  <c r="D301" i="12"/>
  <c r="C301" i="12"/>
  <c r="V300" i="12"/>
  <c r="U300" i="12"/>
  <c r="T300" i="12"/>
  <c r="S300" i="12"/>
  <c r="N300" i="12"/>
  <c r="M300" i="12"/>
  <c r="L300" i="12"/>
  <c r="K300" i="12"/>
  <c r="F300" i="12"/>
  <c r="E300" i="12"/>
  <c r="D300" i="12"/>
  <c r="C300" i="12"/>
  <c r="V299" i="12"/>
  <c r="U299" i="12"/>
  <c r="T299" i="12"/>
  <c r="S299" i="12"/>
  <c r="N299" i="12"/>
  <c r="M299" i="12"/>
  <c r="L299" i="12"/>
  <c r="K299" i="12"/>
  <c r="F299" i="12"/>
  <c r="E299" i="12"/>
  <c r="D299" i="12"/>
  <c r="C299" i="12"/>
  <c r="V298" i="12"/>
  <c r="U298" i="12"/>
  <c r="T298" i="12"/>
  <c r="S298" i="12"/>
  <c r="N298" i="12"/>
  <c r="M298" i="12"/>
  <c r="L298" i="12"/>
  <c r="K298" i="12"/>
  <c r="F298" i="12"/>
  <c r="E298" i="12"/>
  <c r="D298" i="12"/>
  <c r="C298" i="12"/>
  <c r="V297" i="12"/>
  <c r="U297" i="12"/>
  <c r="T297" i="12"/>
  <c r="S297" i="12"/>
  <c r="N297" i="12"/>
  <c r="M297" i="12"/>
  <c r="L297" i="12"/>
  <c r="K297" i="12"/>
  <c r="F297" i="12"/>
  <c r="E297" i="12"/>
  <c r="D297" i="12"/>
  <c r="C297" i="12"/>
  <c r="V296" i="12"/>
  <c r="U296" i="12"/>
  <c r="T296" i="12"/>
  <c r="S296" i="12"/>
  <c r="N296" i="12"/>
  <c r="M296" i="12"/>
  <c r="L296" i="12"/>
  <c r="K296" i="12"/>
  <c r="F296" i="12"/>
  <c r="E296" i="12"/>
  <c r="D296" i="12"/>
  <c r="C296" i="12"/>
  <c r="V295" i="12"/>
  <c r="U295" i="12"/>
  <c r="T295" i="12"/>
  <c r="S295" i="12"/>
  <c r="N295" i="12"/>
  <c r="M295" i="12"/>
  <c r="L295" i="12"/>
  <c r="K295" i="12"/>
  <c r="F295" i="12"/>
  <c r="E295" i="12"/>
  <c r="D295" i="12"/>
  <c r="C295" i="12"/>
  <c r="V294" i="12"/>
  <c r="U294" i="12"/>
  <c r="T294" i="12"/>
  <c r="S294" i="12"/>
  <c r="N294" i="12"/>
  <c r="M294" i="12"/>
  <c r="L294" i="12"/>
  <c r="K294" i="12"/>
  <c r="F294" i="12"/>
  <c r="E294" i="12"/>
  <c r="D294" i="12"/>
  <c r="C294" i="12"/>
  <c r="V293" i="12"/>
  <c r="U293" i="12"/>
  <c r="T293" i="12"/>
  <c r="S293" i="12"/>
  <c r="N293" i="12"/>
  <c r="M293" i="12"/>
  <c r="L293" i="12"/>
  <c r="K293" i="12"/>
  <c r="F293" i="12"/>
  <c r="E293" i="12"/>
  <c r="D293" i="12"/>
  <c r="C293" i="12"/>
  <c r="Z292" i="12"/>
  <c r="V292" i="12"/>
  <c r="U292" i="12"/>
  <c r="T292" i="12"/>
  <c r="S292" i="12"/>
  <c r="N292" i="12"/>
  <c r="M292" i="12"/>
  <c r="L292" i="12"/>
  <c r="K292" i="12"/>
  <c r="F292" i="12"/>
  <c r="E292" i="12"/>
  <c r="D292" i="12"/>
  <c r="C292" i="12"/>
  <c r="Z291" i="12"/>
  <c r="V291" i="12"/>
  <c r="U291" i="12"/>
  <c r="T291" i="12"/>
  <c r="S291" i="12"/>
  <c r="N291" i="12"/>
  <c r="M291" i="12"/>
  <c r="L291" i="12"/>
  <c r="K291" i="12"/>
  <c r="F291" i="12"/>
  <c r="E291" i="12"/>
  <c r="D291" i="12"/>
  <c r="C291" i="12"/>
  <c r="Z290" i="12"/>
  <c r="V290" i="12"/>
  <c r="U290" i="12"/>
  <c r="T290" i="12"/>
  <c r="S290" i="12"/>
  <c r="N290" i="12"/>
  <c r="M290" i="12"/>
  <c r="L290" i="12"/>
  <c r="K290" i="12"/>
  <c r="F290" i="12"/>
  <c r="E290" i="12"/>
  <c r="D290" i="12"/>
  <c r="C290" i="12"/>
  <c r="Z289" i="12"/>
  <c r="V289" i="12"/>
  <c r="U289" i="12"/>
  <c r="T289" i="12"/>
  <c r="S289" i="12"/>
  <c r="N289" i="12"/>
  <c r="M289" i="12"/>
  <c r="L289" i="12"/>
  <c r="K289" i="12"/>
  <c r="F289" i="12"/>
  <c r="E289" i="12"/>
  <c r="D289" i="12"/>
  <c r="C289" i="12"/>
  <c r="Z288" i="12"/>
  <c r="Z287" i="12"/>
  <c r="V287" i="12"/>
  <c r="U287" i="12"/>
  <c r="T287" i="12"/>
  <c r="S287" i="12"/>
  <c r="N287" i="12"/>
  <c r="M287" i="12"/>
  <c r="L287" i="12"/>
  <c r="K287" i="12"/>
  <c r="F287" i="12"/>
  <c r="E287" i="12"/>
  <c r="D287" i="12"/>
  <c r="C287" i="12"/>
  <c r="Z286" i="12"/>
  <c r="V286" i="12"/>
  <c r="U286" i="12"/>
  <c r="T286" i="12"/>
  <c r="S286" i="12"/>
  <c r="N286" i="12"/>
  <c r="M286" i="12"/>
  <c r="L286" i="12"/>
  <c r="K286" i="12"/>
  <c r="F286" i="12"/>
  <c r="E286" i="12"/>
  <c r="D286" i="12"/>
  <c r="C286" i="12"/>
  <c r="Z285" i="12"/>
  <c r="V285" i="12"/>
  <c r="U285" i="12"/>
  <c r="T285" i="12"/>
  <c r="S285" i="12"/>
  <c r="N285" i="12"/>
  <c r="M285" i="12"/>
  <c r="L285" i="12"/>
  <c r="K285" i="12"/>
  <c r="F285" i="12"/>
  <c r="E285" i="12"/>
  <c r="D285" i="12"/>
  <c r="C285" i="12"/>
  <c r="Z284" i="12"/>
  <c r="V284" i="12"/>
  <c r="U284" i="12"/>
  <c r="T284" i="12"/>
  <c r="S284" i="12"/>
  <c r="N284" i="12"/>
  <c r="M284" i="12"/>
  <c r="L284" i="12"/>
  <c r="K284" i="12"/>
  <c r="F284" i="12"/>
  <c r="E284" i="12"/>
  <c r="D284" i="12"/>
  <c r="C284" i="12"/>
  <c r="Z283" i="12"/>
  <c r="V283" i="12"/>
  <c r="U283" i="12"/>
  <c r="T283" i="12"/>
  <c r="S283" i="12"/>
  <c r="N283" i="12"/>
  <c r="M283" i="12"/>
  <c r="L283" i="12"/>
  <c r="K283" i="12"/>
  <c r="F283" i="12"/>
  <c r="E283" i="12"/>
  <c r="D283" i="12"/>
  <c r="C283" i="12"/>
  <c r="Z282" i="12"/>
  <c r="V282" i="12"/>
  <c r="U282" i="12"/>
  <c r="T282" i="12"/>
  <c r="S282" i="12"/>
  <c r="N282" i="12"/>
  <c r="M282" i="12"/>
  <c r="L282" i="12"/>
  <c r="K282" i="12"/>
  <c r="F282" i="12"/>
  <c r="E282" i="12"/>
  <c r="D282" i="12"/>
  <c r="C282" i="12"/>
  <c r="Z281" i="12"/>
  <c r="V281" i="12"/>
  <c r="U281" i="12"/>
  <c r="T281" i="12"/>
  <c r="S281" i="12"/>
  <c r="N281" i="12"/>
  <c r="M281" i="12"/>
  <c r="L281" i="12"/>
  <c r="K281" i="12"/>
  <c r="F281" i="12"/>
  <c r="E281" i="12"/>
  <c r="D281" i="12"/>
  <c r="C281" i="12"/>
  <c r="Z280" i="12"/>
  <c r="V280" i="12"/>
  <c r="U280" i="12"/>
  <c r="T280" i="12"/>
  <c r="S280" i="12"/>
  <c r="N280" i="12"/>
  <c r="M280" i="12"/>
  <c r="L280" i="12"/>
  <c r="K280" i="12"/>
  <c r="F280" i="12"/>
  <c r="E280" i="12"/>
  <c r="D280" i="12"/>
  <c r="C280" i="12"/>
  <c r="Z279" i="12"/>
  <c r="V279" i="12"/>
  <c r="U279" i="12"/>
  <c r="T279" i="12"/>
  <c r="S279" i="12"/>
  <c r="N279" i="12"/>
  <c r="M279" i="12"/>
  <c r="L279" i="12"/>
  <c r="K279" i="12"/>
  <c r="F279" i="12"/>
  <c r="E279" i="12"/>
  <c r="D279" i="12"/>
  <c r="C279" i="12"/>
  <c r="Z278" i="12"/>
  <c r="V278" i="12"/>
  <c r="U278" i="12"/>
  <c r="T278" i="12"/>
  <c r="S278" i="12"/>
  <c r="N278" i="12"/>
  <c r="M278" i="12"/>
  <c r="L278" i="12"/>
  <c r="K278" i="12"/>
  <c r="F278" i="12"/>
  <c r="E278" i="12"/>
  <c r="D278" i="12"/>
  <c r="C278" i="12"/>
  <c r="Z277" i="12"/>
  <c r="V277" i="12"/>
  <c r="U277" i="12"/>
  <c r="T277" i="12"/>
  <c r="S277" i="12"/>
  <c r="N277" i="12"/>
  <c r="M277" i="12"/>
  <c r="L277" i="12"/>
  <c r="K277" i="12"/>
  <c r="F277" i="12"/>
  <c r="E277" i="12"/>
  <c r="D277" i="12"/>
  <c r="C277" i="12"/>
  <c r="Z276" i="12"/>
  <c r="V276" i="12"/>
  <c r="U276" i="12"/>
  <c r="T276" i="12"/>
  <c r="S276" i="12"/>
  <c r="N276" i="12"/>
  <c r="M276" i="12"/>
  <c r="L276" i="12"/>
  <c r="K276" i="12"/>
  <c r="F276" i="12"/>
  <c r="E276" i="12"/>
  <c r="D276" i="12"/>
  <c r="C276" i="12"/>
  <c r="Z275" i="12"/>
  <c r="V275" i="12"/>
  <c r="U275" i="12"/>
  <c r="T275" i="12"/>
  <c r="S275" i="12"/>
  <c r="N275" i="12"/>
  <c r="M275" i="12"/>
  <c r="L275" i="12"/>
  <c r="K275" i="12"/>
  <c r="F275" i="12"/>
  <c r="E275" i="12"/>
  <c r="D275" i="12"/>
  <c r="C275" i="12"/>
  <c r="Z274" i="12"/>
  <c r="V274" i="12"/>
  <c r="U274" i="12"/>
  <c r="T274" i="12"/>
  <c r="S274" i="12"/>
  <c r="N274" i="12"/>
  <c r="M274" i="12"/>
  <c r="L274" i="12"/>
  <c r="K274" i="12"/>
  <c r="F274" i="12"/>
  <c r="E274" i="12"/>
  <c r="D274" i="12"/>
  <c r="C274" i="12"/>
  <c r="Z273" i="12"/>
  <c r="V273" i="12"/>
  <c r="U273" i="12"/>
  <c r="T273" i="12"/>
  <c r="S273" i="12"/>
  <c r="N273" i="12"/>
  <c r="M273" i="12"/>
  <c r="L273" i="12"/>
  <c r="K273" i="12"/>
  <c r="F273" i="12"/>
  <c r="E273" i="12"/>
  <c r="D273" i="12"/>
  <c r="C273" i="12"/>
  <c r="V272" i="12"/>
  <c r="U272" i="12"/>
  <c r="T272" i="12"/>
  <c r="S272" i="12"/>
  <c r="N272" i="12"/>
  <c r="M272" i="12"/>
  <c r="L272" i="12"/>
  <c r="K272" i="12"/>
  <c r="F272" i="12"/>
  <c r="E272" i="12"/>
  <c r="D272" i="12"/>
  <c r="C272" i="12"/>
  <c r="V271" i="12"/>
  <c r="U271" i="12"/>
  <c r="T271" i="12"/>
  <c r="S271" i="12"/>
  <c r="N271" i="12"/>
  <c r="M271" i="12"/>
  <c r="L271" i="12"/>
  <c r="K271" i="12"/>
  <c r="F271" i="12"/>
  <c r="E271" i="12"/>
  <c r="D271" i="12"/>
  <c r="C271" i="12"/>
  <c r="V270" i="12"/>
  <c r="U270" i="12"/>
  <c r="T270" i="12"/>
  <c r="S270" i="12"/>
  <c r="N270" i="12"/>
  <c r="M270" i="12"/>
  <c r="L270" i="12"/>
  <c r="K270" i="12"/>
  <c r="F270" i="12"/>
  <c r="E270" i="12"/>
  <c r="D270" i="12"/>
  <c r="C270" i="12"/>
  <c r="V269" i="12"/>
  <c r="U269" i="12"/>
  <c r="T269" i="12"/>
  <c r="S269" i="12"/>
  <c r="N269" i="12"/>
  <c r="M269" i="12"/>
  <c r="L269" i="12"/>
  <c r="K269" i="12"/>
  <c r="F269" i="12"/>
  <c r="E269" i="12"/>
  <c r="D269" i="12"/>
  <c r="C269" i="12"/>
  <c r="Z268" i="12"/>
  <c r="V268" i="12"/>
  <c r="U268" i="12"/>
  <c r="T268" i="12"/>
  <c r="S268" i="12"/>
  <c r="N268" i="12"/>
  <c r="M268" i="12"/>
  <c r="L268" i="12"/>
  <c r="K268" i="12"/>
  <c r="F268" i="12"/>
  <c r="E268" i="12"/>
  <c r="D268" i="12"/>
  <c r="C268" i="12"/>
  <c r="Z267" i="12"/>
  <c r="Z266" i="12"/>
  <c r="V266" i="12"/>
  <c r="U266" i="12"/>
  <c r="T266" i="12"/>
  <c r="S266" i="12"/>
  <c r="N266" i="12"/>
  <c r="M266" i="12"/>
  <c r="L266" i="12"/>
  <c r="K266" i="12"/>
  <c r="F266" i="12"/>
  <c r="E266" i="12"/>
  <c r="D266" i="12"/>
  <c r="C266" i="12"/>
  <c r="Z265" i="12"/>
  <c r="V265" i="12"/>
  <c r="U265" i="12"/>
  <c r="T265" i="12"/>
  <c r="S265" i="12"/>
  <c r="N265" i="12"/>
  <c r="M265" i="12"/>
  <c r="L265" i="12"/>
  <c r="K265" i="12"/>
  <c r="F265" i="12"/>
  <c r="E265" i="12"/>
  <c r="D265" i="12"/>
  <c r="C265" i="12"/>
  <c r="Z264" i="12"/>
  <c r="V264" i="12"/>
  <c r="U264" i="12"/>
  <c r="T264" i="12"/>
  <c r="S264" i="12"/>
  <c r="N264" i="12"/>
  <c r="M264" i="12"/>
  <c r="L264" i="12"/>
  <c r="K264" i="12"/>
  <c r="F264" i="12"/>
  <c r="E264" i="12"/>
  <c r="D264" i="12"/>
  <c r="C264" i="12"/>
  <c r="Z263" i="12"/>
  <c r="V263" i="12"/>
  <c r="U263" i="12"/>
  <c r="T263" i="12"/>
  <c r="S263" i="12"/>
  <c r="N263" i="12"/>
  <c r="M263" i="12"/>
  <c r="L263" i="12"/>
  <c r="K263" i="12"/>
  <c r="F263" i="12"/>
  <c r="E263" i="12"/>
  <c r="D263" i="12"/>
  <c r="C263" i="12"/>
  <c r="Z262" i="12"/>
  <c r="V262" i="12"/>
  <c r="U262" i="12"/>
  <c r="T262" i="12"/>
  <c r="S262" i="12"/>
  <c r="N262" i="12"/>
  <c r="M262" i="12"/>
  <c r="L262" i="12"/>
  <c r="K262" i="12"/>
  <c r="F262" i="12"/>
  <c r="E262" i="12"/>
  <c r="D262" i="12"/>
  <c r="C262" i="12"/>
  <c r="Z261" i="12"/>
  <c r="V261" i="12"/>
  <c r="U261" i="12"/>
  <c r="T261" i="12"/>
  <c r="S261" i="12"/>
  <c r="N261" i="12"/>
  <c r="M261" i="12"/>
  <c r="L261" i="12"/>
  <c r="K261" i="12"/>
  <c r="F261" i="12"/>
  <c r="E261" i="12"/>
  <c r="D261" i="12"/>
  <c r="C261" i="12"/>
  <c r="Z260" i="12"/>
  <c r="V260" i="12"/>
  <c r="U260" i="12"/>
  <c r="T260" i="12"/>
  <c r="S260" i="12"/>
  <c r="N260" i="12"/>
  <c r="M260" i="12"/>
  <c r="L260" i="12"/>
  <c r="K260" i="12"/>
  <c r="F260" i="12"/>
  <c r="E260" i="12"/>
  <c r="D260" i="12"/>
  <c r="C260" i="12"/>
  <c r="Z259" i="12"/>
  <c r="V259" i="12"/>
  <c r="U259" i="12"/>
  <c r="T259" i="12"/>
  <c r="S259" i="12"/>
  <c r="N259" i="12"/>
  <c r="M259" i="12"/>
  <c r="L259" i="12"/>
  <c r="K259" i="12"/>
  <c r="F259" i="12"/>
  <c r="E259" i="12"/>
  <c r="D259" i="12"/>
  <c r="C259" i="12"/>
  <c r="Z258" i="12"/>
  <c r="V258" i="12"/>
  <c r="U258" i="12"/>
  <c r="T258" i="12"/>
  <c r="S258" i="12"/>
  <c r="N258" i="12"/>
  <c r="M258" i="12"/>
  <c r="L258" i="12"/>
  <c r="K258" i="12"/>
  <c r="F258" i="12"/>
  <c r="E258" i="12"/>
  <c r="D258" i="12"/>
  <c r="C258" i="12"/>
  <c r="Z257" i="12"/>
  <c r="V257" i="12"/>
  <c r="U257" i="12"/>
  <c r="T257" i="12"/>
  <c r="S257" i="12"/>
  <c r="N257" i="12"/>
  <c r="M257" i="12"/>
  <c r="L257" i="12"/>
  <c r="K257" i="12"/>
  <c r="F257" i="12"/>
  <c r="E257" i="12"/>
  <c r="D257" i="12"/>
  <c r="C257" i="12"/>
  <c r="Z256" i="12"/>
  <c r="V256" i="12"/>
  <c r="U256" i="12"/>
  <c r="T256" i="12"/>
  <c r="S256" i="12"/>
  <c r="N256" i="12"/>
  <c r="M256" i="12"/>
  <c r="L256" i="12"/>
  <c r="K256" i="12"/>
  <c r="F256" i="12"/>
  <c r="E256" i="12"/>
  <c r="D256" i="12"/>
  <c r="C256" i="12"/>
  <c r="Z255" i="12"/>
  <c r="V255" i="12"/>
  <c r="U255" i="12"/>
  <c r="T255" i="12"/>
  <c r="S255" i="12"/>
  <c r="N255" i="12"/>
  <c r="M255" i="12"/>
  <c r="L255" i="12"/>
  <c r="K255" i="12"/>
  <c r="F255" i="12"/>
  <c r="E255" i="12"/>
  <c r="D255" i="12"/>
  <c r="C255" i="12"/>
  <c r="Z254" i="12"/>
  <c r="V254" i="12"/>
  <c r="U254" i="12"/>
  <c r="T254" i="12"/>
  <c r="S254" i="12"/>
  <c r="N254" i="12"/>
  <c r="M254" i="12"/>
  <c r="L254" i="12"/>
  <c r="K254" i="12"/>
  <c r="F254" i="12"/>
  <c r="E254" i="12"/>
  <c r="D254" i="12"/>
  <c r="C254" i="12"/>
  <c r="Z253" i="12"/>
  <c r="V253" i="12"/>
  <c r="U253" i="12"/>
  <c r="T253" i="12"/>
  <c r="S253" i="12"/>
  <c r="N253" i="12"/>
  <c r="M253" i="12"/>
  <c r="L253" i="12"/>
  <c r="K253" i="12"/>
  <c r="F253" i="12"/>
  <c r="E253" i="12"/>
  <c r="D253" i="12"/>
  <c r="C253" i="12"/>
  <c r="Z252" i="12"/>
  <c r="V252" i="12"/>
  <c r="U252" i="12"/>
  <c r="T252" i="12"/>
  <c r="S252" i="12"/>
  <c r="N252" i="12"/>
  <c r="M252" i="12"/>
  <c r="L252" i="12"/>
  <c r="K252" i="12"/>
  <c r="F252" i="12"/>
  <c r="E252" i="12"/>
  <c r="D252" i="12"/>
  <c r="C252" i="12"/>
  <c r="Z251" i="12"/>
  <c r="V251" i="12"/>
  <c r="U251" i="12"/>
  <c r="T251" i="12"/>
  <c r="S251" i="12"/>
  <c r="N251" i="12"/>
  <c r="M251" i="12"/>
  <c r="L251" i="12"/>
  <c r="K251" i="12"/>
  <c r="F251" i="12"/>
  <c r="E251" i="12"/>
  <c r="D251" i="12"/>
  <c r="C251" i="12"/>
  <c r="Z250" i="12"/>
  <c r="V250" i="12"/>
  <c r="U250" i="12"/>
  <c r="T250" i="12"/>
  <c r="S250" i="12"/>
  <c r="N250" i="12"/>
  <c r="M250" i="12"/>
  <c r="L250" i="12"/>
  <c r="K250" i="12"/>
  <c r="F250" i="12"/>
  <c r="E250" i="12"/>
  <c r="D250" i="12"/>
  <c r="C250" i="12"/>
  <c r="Z249" i="12"/>
  <c r="V249" i="12"/>
  <c r="U249" i="12"/>
  <c r="T249" i="12"/>
  <c r="S249" i="12"/>
  <c r="N249" i="12"/>
  <c r="M249" i="12"/>
  <c r="L249" i="12"/>
  <c r="K249" i="12"/>
  <c r="F249" i="12"/>
  <c r="E249" i="12"/>
  <c r="D249" i="12"/>
  <c r="C249" i="12"/>
  <c r="V248" i="12"/>
  <c r="U248" i="12"/>
  <c r="T248" i="12"/>
  <c r="S248" i="12"/>
  <c r="N248" i="12"/>
  <c r="M248" i="12"/>
  <c r="L248" i="12"/>
  <c r="K248" i="12"/>
  <c r="F248" i="12"/>
  <c r="E248" i="12"/>
  <c r="D248" i="12"/>
  <c r="C248" i="12"/>
  <c r="V247" i="12"/>
  <c r="U247" i="12"/>
  <c r="T247" i="12"/>
  <c r="S247" i="12"/>
  <c r="N247" i="12"/>
  <c r="M247" i="12"/>
  <c r="L247" i="12"/>
  <c r="K247" i="12"/>
  <c r="F247" i="12"/>
  <c r="E247" i="12"/>
  <c r="D247" i="12"/>
  <c r="C247" i="12"/>
  <c r="V245" i="12"/>
  <c r="U245" i="12"/>
  <c r="T245" i="12"/>
  <c r="S245" i="12"/>
  <c r="N245" i="12"/>
  <c r="M245" i="12"/>
  <c r="L245" i="12"/>
  <c r="K245" i="12"/>
  <c r="F245" i="12"/>
  <c r="E245" i="12"/>
  <c r="D245" i="12"/>
  <c r="C245" i="12"/>
  <c r="Z244" i="12"/>
  <c r="V244" i="12"/>
  <c r="U244" i="12"/>
  <c r="T244" i="12"/>
  <c r="S244" i="12"/>
  <c r="N244" i="12"/>
  <c r="M244" i="12"/>
  <c r="L244" i="12"/>
  <c r="K244" i="12"/>
  <c r="F244" i="12"/>
  <c r="E244" i="12"/>
  <c r="D244" i="12"/>
  <c r="C244" i="12"/>
  <c r="Z243" i="12"/>
  <c r="V243" i="12"/>
  <c r="U243" i="12"/>
  <c r="T243" i="12"/>
  <c r="S243" i="12"/>
  <c r="N243" i="12"/>
  <c r="M243" i="12"/>
  <c r="L243" i="12"/>
  <c r="K243" i="12"/>
  <c r="F243" i="12"/>
  <c r="E243" i="12"/>
  <c r="D243" i="12"/>
  <c r="C243" i="12"/>
  <c r="Z242" i="12"/>
  <c r="V242" i="12"/>
  <c r="U242" i="12"/>
  <c r="T242" i="12"/>
  <c r="S242" i="12"/>
  <c r="N242" i="12"/>
  <c r="M242" i="12"/>
  <c r="L242" i="12"/>
  <c r="K242" i="12"/>
  <c r="F242" i="12"/>
  <c r="E242" i="12"/>
  <c r="D242" i="12"/>
  <c r="C242" i="12"/>
  <c r="Z241" i="12"/>
  <c r="V241" i="12"/>
  <c r="U241" i="12"/>
  <c r="T241" i="12"/>
  <c r="S241" i="12"/>
  <c r="N241" i="12"/>
  <c r="M241" i="12"/>
  <c r="L241" i="12"/>
  <c r="K241" i="12"/>
  <c r="F241" i="12"/>
  <c r="E241" i="12"/>
  <c r="D241" i="12"/>
  <c r="C241" i="12"/>
  <c r="Z240" i="12"/>
  <c r="V240" i="12"/>
  <c r="U240" i="12"/>
  <c r="T240" i="12"/>
  <c r="S240" i="12"/>
  <c r="N240" i="12"/>
  <c r="M240" i="12"/>
  <c r="L240" i="12"/>
  <c r="K240" i="12"/>
  <c r="F240" i="12"/>
  <c r="E240" i="12"/>
  <c r="D240" i="12"/>
  <c r="C240" i="12"/>
  <c r="Z239" i="12"/>
  <c r="V239" i="12"/>
  <c r="U239" i="12"/>
  <c r="T239" i="12"/>
  <c r="S239" i="12"/>
  <c r="N239" i="12"/>
  <c r="M239" i="12"/>
  <c r="L239" i="12"/>
  <c r="K239" i="12"/>
  <c r="F239" i="12"/>
  <c r="E239" i="12"/>
  <c r="D239" i="12"/>
  <c r="C239" i="12"/>
  <c r="Z238" i="12"/>
  <c r="V238" i="12"/>
  <c r="U238" i="12"/>
  <c r="T238" i="12"/>
  <c r="S238" i="12"/>
  <c r="N238" i="12"/>
  <c r="M238" i="12"/>
  <c r="L238" i="12"/>
  <c r="K238" i="12"/>
  <c r="F238" i="12"/>
  <c r="E238" i="12"/>
  <c r="D238" i="12"/>
  <c r="C238" i="12"/>
  <c r="Z237" i="12"/>
  <c r="V237" i="12"/>
  <c r="U237" i="12"/>
  <c r="T237" i="12"/>
  <c r="S237" i="12"/>
  <c r="N237" i="12"/>
  <c r="M237" i="12"/>
  <c r="L237" i="12"/>
  <c r="K237" i="12"/>
  <c r="F237" i="12"/>
  <c r="E237" i="12"/>
  <c r="D237" i="12"/>
  <c r="C237" i="12"/>
  <c r="Z236" i="12"/>
  <c r="V236" i="12"/>
  <c r="U236" i="12"/>
  <c r="T236" i="12"/>
  <c r="S236" i="12"/>
  <c r="N236" i="12"/>
  <c r="M236" i="12"/>
  <c r="L236" i="12"/>
  <c r="K236" i="12"/>
  <c r="F236" i="12"/>
  <c r="E236" i="12"/>
  <c r="D236" i="12"/>
  <c r="C236" i="12"/>
  <c r="Z235" i="12"/>
  <c r="V235" i="12"/>
  <c r="U235" i="12"/>
  <c r="T235" i="12"/>
  <c r="S235" i="12"/>
  <c r="N235" i="12"/>
  <c r="M235" i="12"/>
  <c r="L235" i="12"/>
  <c r="K235" i="12"/>
  <c r="F235" i="12"/>
  <c r="E235" i="12"/>
  <c r="D235" i="12"/>
  <c r="C235" i="12"/>
  <c r="Z234" i="12"/>
  <c r="V234" i="12"/>
  <c r="U234" i="12"/>
  <c r="T234" i="12"/>
  <c r="S234" i="12"/>
  <c r="N234" i="12"/>
  <c r="M234" i="12"/>
  <c r="L234" i="12"/>
  <c r="K234" i="12"/>
  <c r="F234" i="12"/>
  <c r="E234" i="12"/>
  <c r="D234" i="12"/>
  <c r="C234" i="12"/>
  <c r="Z233" i="12"/>
  <c r="V233" i="12"/>
  <c r="U233" i="12"/>
  <c r="T233" i="12"/>
  <c r="S233" i="12"/>
  <c r="N233" i="12"/>
  <c r="M233" i="12"/>
  <c r="L233" i="12"/>
  <c r="K233" i="12"/>
  <c r="F233" i="12"/>
  <c r="E233" i="12"/>
  <c r="D233" i="12"/>
  <c r="C233" i="12"/>
  <c r="Z232" i="12"/>
  <c r="V232" i="12"/>
  <c r="U232" i="12"/>
  <c r="T232" i="12"/>
  <c r="S232" i="12"/>
  <c r="N232" i="12"/>
  <c r="M232" i="12"/>
  <c r="L232" i="12"/>
  <c r="K232" i="12"/>
  <c r="F232" i="12"/>
  <c r="E232" i="12"/>
  <c r="D232" i="12"/>
  <c r="C232" i="12"/>
  <c r="Z231" i="12"/>
  <c r="V231" i="12"/>
  <c r="U231" i="12"/>
  <c r="T231" i="12"/>
  <c r="S231" i="12"/>
  <c r="N231" i="12"/>
  <c r="M231" i="12"/>
  <c r="L231" i="12"/>
  <c r="K231" i="12"/>
  <c r="F231" i="12"/>
  <c r="E231" i="12"/>
  <c r="D231" i="12"/>
  <c r="C231" i="12"/>
  <c r="Z230" i="12"/>
  <c r="V230" i="12"/>
  <c r="U230" i="12"/>
  <c r="T230" i="12"/>
  <c r="S230" i="12"/>
  <c r="N230" i="12"/>
  <c r="M230" i="12"/>
  <c r="L230" i="12"/>
  <c r="K230" i="12"/>
  <c r="F230" i="12"/>
  <c r="E230" i="12"/>
  <c r="D230" i="12"/>
  <c r="C230" i="12"/>
  <c r="Z229" i="12"/>
  <c r="V229" i="12"/>
  <c r="U229" i="12"/>
  <c r="T229" i="12"/>
  <c r="S229" i="12"/>
  <c r="N229" i="12"/>
  <c r="M229" i="12"/>
  <c r="L229" i="12"/>
  <c r="K229" i="12"/>
  <c r="F229" i="12"/>
  <c r="E229" i="12"/>
  <c r="D229" i="12"/>
  <c r="C229" i="12"/>
  <c r="Z228" i="12"/>
  <c r="V228" i="12"/>
  <c r="U228" i="12"/>
  <c r="T228" i="12"/>
  <c r="S228" i="12"/>
  <c r="N228" i="12"/>
  <c r="M228" i="12"/>
  <c r="L228" i="12"/>
  <c r="K228" i="12"/>
  <c r="F228" i="12"/>
  <c r="E228" i="12"/>
  <c r="D228" i="12"/>
  <c r="C228" i="12"/>
  <c r="Z227" i="12"/>
  <c r="V227" i="12"/>
  <c r="U227" i="12"/>
  <c r="T227" i="12"/>
  <c r="S227" i="12"/>
  <c r="N227" i="12"/>
  <c r="M227" i="12"/>
  <c r="L227" i="12"/>
  <c r="K227" i="12"/>
  <c r="F227" i="12"/>
  <c r="E227" i="12"/>
  <c r="D227" i="12"/>
  <c r="C227" i="12"/>
  <c r="Z226" i="12"/>
  <c r="V226" i="12"/>
  <c r="U226" i="12"/>
  <c r="T226" i="12"/>
  <c r="S226" i="12"/>
  <c r="N226" i="12"/>
  <c r="M226" i="12"/>
  <c r="L226" i="12"/>
  <c r="K226" i="12"/>
  <c r="F226" i="12"/>
  <c r="E226" i="12"/>
  <c r="D226" i="12"/>
  <c r="C226" i="12"/>
  <c r="Z225" i="12"/>
  <c r="U220" i="12"/>
  <c r="W371" i="12" s="1"/>
  <c r="O371" i="12"/>
  <c r="G371" i="12"/>
  <c r="U219" i="12"/>
  <c r="W350" i="12" s="1"/>
  <c r="O350" i="12"/>
  <c r="G350" i="12"/>
  <c r="U218" i="12"/>
  <c r="W329" i="12" s="1"/>
  <c r="O329" i="12"/>
  <c r="G329" i="12"/>
  <c r="U217" i="12"/>
  <c r="W308" i="12" s="1"/>
  <c r="O308" i="12"/>
  <c r="G308" i="12"/>
  <c r="U216" i="12"/>
  <c r="W287" i="12" s="1"/>
  <c r="O287" i="12"/>
  <c r="G287" i="12"/>
  <c r="U215" i="12"/>
  <c r="W266" i="12" s="1"/>
  <c r="O266" i="12"/>
  <c r="G266" i="12"/>
  <c r="U214" i="12"/>
  <c r="W245" i="12" s="1"/>
  <c r="O245" i="12"/>
  <c r="G245" i="12"/>
  <c r="L213" i="12"/>
  <c r="S213" i="12" s="1"/>
  <c r="K213" i="12"/>
  <c r="R213" i="12" s="1"/>
  <c r="I211" i="12"/>
  <c r="P211" i="12" s="1"/>
  <c r="U209" i="12"/>
  <c r="W370" i="12" s="1"/>
  <c r="N209" i="12"/>
  <c r="O370" i="12" s="1"/>
  <c r="G209" i="12"/>
  <c r="G370" i="12" s="1"/>
  <c r="U208" i="12"/>
  <c r="W349" i="12" s="1"/>
  <c r="N208" i="12"/>
  <c r="O349" i="12" s="1"/>
  <c r="G208" i="12"/>
  <c r="G349" i="12" s="1"/>
  <c r="U207" i="12"/>
  <c r="W328" i="12" s="1"/>
  <c r="N207" i="12"/>
  <c r="O328" i="12" s="1"/>
  <c r="G207" i="12"/>
  <c r="G328" i="12" s="1"/>
  <c r="U206" i="12"/>
  <c r="W307" i="12" s="1"/>
  <c r="N206" i="12"/>
  <c r="O307" i="12" s="1"/>
  <c r="G206" i="12"/>
  <c r="G307" i="12" s="1"/>
  <c r="U205" i="12"/>
  <c r="W286" i="12" s="1"/>
  <c r="N205" i="12"/>
  <c r="O286" i="12" s="1"/>
  <c r="G205" i="12"/>
  <c r="U204" i="12"/>
  <c r="W265" i="12" s="1"/>
  <c r="N204" i="12"/>
  <c r="O265" i="12" s="1"/>
  <c r="G204" i="12"/>
  <c r="G265" i="12" s="1"/>
  <c r="U203" i="12"/>
  <c r="W244" i="12" s="1"/>
  <c r="N203" i="12"/>
  <c r="O244" i="12" s="1"/>
  <c r="G203" i="12"/>
  <c r="G244" i="12" s="1"/>
  <c r="L202" i="12"/>
  <c r="S202" i="12" s="1"/>
  <c r="K202" i="12"/>
  <c r="R202" i="12" s="1"/>
  <c r="I200" i="12"/>
  <c r="P200" i="12" s="1"/>
  <c r="U198" i="12"/>
  <c r="W369" i="12" s="1"/>
  <c r="N198" i="12"/>
  <c r="O369" i="12" s="1"/>
  <c r="G198" i="12"/>
  <c r="G369" i="12" s="1"/>
  <c r="U197" i="12"/>
  <c r="W348" i="12" s="1"/>
  <c r="N197" i="12"/>
  <c r="O348" i="12" s="1"/>
  <c r="G197" i="12"/>
  <c r="G348" i="12" s="1"/>
  <c r="U196" i="12"/>
  <c r="W327" i="12" s="1"/>
  <c r="N196" i="12"/>
  <c r="O327" i="12" s="1"/>
  <c r="G196" i="12"/>
  <c r="G327" i="12" s="1"/>
  <c r="U195" i="12"/>
  <c r="W306" i="12" s="1"/>
  <c r="N195" i="12"/>
  <c r="O306" i="12" s="1"/>
  <c r="G195" i="12"/>
  <c r="G306" i="12" s="1"/>
  <c r="U194" i="12"/>
  <c r="W285" i="12" s="1"/>
  <c r="N194" i="12"/>
  <c r="O285" i="12" s="1"/>
  <c r="G194" i="12"/>
  <c r="G286" i="12" s="1"/>
  <c r="U193" i="12"/>
  <c r="W264" i="12" s="1"/>
  <c r="N193" i="12"/>
  <c r="O264" i="12" s="1"/>
  <c r="G193" i="12"/>
  <c r="G264" i="12" s="1"/>
  <c r="U192" i="12"/>
  <c r="W243" i="12" s="1"/>
  <c r="N192" i="12"/>
  <c r="O243" i="12" s="1"/>
  <c r="G192" i="12"/>
  <c r="G243" i="12" s="1"/>
  <c r="L191" i="12"/>
  <c r="S191" i="12" s="1"/>
  <c r="K191" i="12"/>
  <c r="R191" i="12" s="1"/>
  <c r="I189" i="12"/>
  <c r="P189" i="12" s="1"/>
  <c r="U187" i="12"/>
  <c r="W368" i="12" s="1"/>
  <c r="N187" i="12"/>
  <c r="O368" i="12" s="1"/>
  <c r="G187" i="12"/>
  <c r="G368" i="12" s="1"/>
  <c r="U186" i="12"/>
  <c r="W347" i="12" s="1"/>
  <c r="N186" i="12"/>
  <c r="O347" i="12" s="1"/>
  <c r="G186" i="12"/>
  <c r="G347" i="12" s="1"/>
  <c r="U185" i="12"/>
  <c r="W326" i="12" s="1"/>
  <c r="N185" i="12"/>
  <c r="O326" i="12" s="1"/>
  <c r="G185" i="12"/>
  <c r="G326" i="12" s="1"/>
  <c r="U184" i="12"/>
  <c r="W305" i="12" s="1"/>
  <c r="N184" i="12"/>
  <c r="O305" i="12" s="1"/>
  <c r="G184" i="12"/>
  <c r="G305" i="12" s="1"/>
  <c r="U183" i="12"/>
  <c r="W284" i="12" s="1"/>
  <c r="N183" i="12"/>
  <c r="O284" i="12" s="1"/>
  <c r="G183" i="12"/>
  <c r="G284" i="12" s="1"/>
  <c r="U182" i="12"/>
  <c r="W263" i="12" s="1"/>
  <c r="N182" i="12"/>
  <c r="O263" i="12" s="1"/>
  <c r="G182" i="12"/>
  <c r="G263" i="12" s="1"/>
  <c r="U181" i="12"/>
  <c r="W242" i="12" s="1"/>
  <c r="N181" i="12"/>
  <c r="O242" i="12" s="1"/>
  <c r="G181" i="12"/>
  <c r="G242" i="12" s="1"/>
  <c r="L180" i="12"/>
  <c r="S180" i="12" s="1"/>
  <c r="K180" i="12"/>
  <c r="R180" i="12" s="1"/>
  <c r="I178" i="12"/>
  <c r="P178" i="12" s="1"/>
  <c r="U176" i="12"/>
  <c r="W367" i="12" s="1"/>
  <c r="N176" i="12"/>
  <c r="O367" i="12" s="1"/>
  <c r="G176" i="12"/>
  <c r="G367" i="12" s="1"/>
  <c r="U175" i="12"/>
  <c r="W346" i="12" s="1"/>
  <c r="N175" i="12"/>
  <c r="O346" i="12" s="1"/>
  <c r="G175" i="12"/>
  <c r="G346" i="12" s="1"/>
  <c r="U174" i="12"/>
  <c r="W325" i="12" s="1"/>
  <c r="N174" i="12"/>
  <c r="O325" i="12" s="1"/>
  <c r="G174" i="12"/>
  <c r="G325" i="12" s="1"/>
  <c r="U173" i="12"/>
  <c r="W304" i="12" s="1"/>
  <c r="N173" i="12"/>
  <c r="O304" i="12" s="1"/>
  <c r="G173" i="12"/>
  <c r="G304" i="12" s="1"/>
  <c r="U172" i="12"/>
  <c r="W283" i="12" s="1"/>
  <c r="N172" i="12"/>
  <c r="O283" i="12" s="1"/>
  <c r="G172" i="12"/>
  <c r="G283" i="12" s="1"/>
  <c r="U171" i="12"/>
  <c r="W262" i="12" s="1"/>
  <c r="N171" i="12"/>
  <c r="O262" i="12" s="1"/>
  <c r="G171" i="12"/>
  <c r="G262" i="12" s="1"/>
  <c r="U170" i="12"/>
  <c r="W241" i="12" s="1"/>
  <c r="N170" i="12"/>
  <c r="O241" i="12" s="1"/>
  <c r="G170" i="12"/>
  <c r="G241" i="12" s="1"/>
  <c r="L169" i="12"/>
  <c r="S169" i="12" s="1"/>
  <c r="K169" i="12"/>
  <c r="R169" i="12" s="1"/>
  <c r="I167" i="12"/>
  <c r="P167" i="12" s="1"/>
  <c r="U165" i="12"/>
  <c r="W366" i="12" s="1"/>
  <c r="N165" i="12"/>
  <c r="O366" i="12" s="1"/>
  <c r="G165" i="12"/>
  <c r="G366" i="12" s="1"/>
  <c r="U164" i="12"/>
  <c r="W345" i="12" s="1"/>
  <c r="N164" i="12"/>
  <c r="O345" i="12" s="1"/>
  <c r="G164" i="12"/>
  <c r="G345" i="12" s="1"/>
  <c r="U163" i="12"/>
  <c r="W324" i="12" s="1"/>
  <c r="N163" i="12"/>
  <c r="O324" i="12" s="1"/>
  <c r="G163" i="12"/>
  <c r="G324" i="12" s="1"/>
  <c r="U162" i="12"/>
  <c r="W303" i="12" s="1"/>
  <c r="N162" i="12"/>
  <c r="O303" i="12" s="1"/>
  <c r="G162" i="12"/>
  <c r="G303" i="12" s="1"/>
  <c r="U161" i="12"/>
  <c r="W282" i="12" s="1"/>
  <c r="N161" i="12"/>
  <c r="O282" i="12" s="1"/>
  <c r="G161" i="12"/>
  <c r="G282" i="12" s="1"/>
  <c r="U160" i="12"/>
  <c r="W261" i="12" s="1"/>
  <c r="N160" i="12"/>
  <c r="O261" i="12" s="1"/>
  <c r="G160" i="12"/>
  <c r="G261" i="12" s="1"/>
  <c r="U159" i="12"/>
  <c r="W240" i="12" s="1"/>
  <c r="N159" i="12"/>
  <c r="O240" i="12" s="1"/>
  <c r="G159" i="12"/>
  <c r="G240" i="12" s="1"/>
  <c r="L158" i="12"/>
  <c r="S158" i="12" s="1"/>
  <c r="K158" i="12"/>
  <c r="R158" i="12" s="1"/>
  <c r="I156" i="12"/>
  <c r="P156" i="12" s="1"/>
  <c r="U154" i="12"/>
  <c r="W365" i="12" s="1"/>
  <c r="N154" i="12"/>
  <c r="O365" i="12" s="1"/>
  <c r="G154" i="12"/>
  <c r="G365" i="12" s="1"/>
  <c r="U153" i="12"/>
  <c r="W344" i="12" s="1"/>
  <c r="N153" i="12"/>
  <c r="O344" i="12" s="1"/>
  <c r="G153" i="12"/>
  <c r="G344" i="12" s="1"/>
  <c r="U152" i="12"/>
  <c r="W323" i="12" s="1"/>
  <c r="N152" i="12"/>
  <c r="O323" i="12" s="1"/>
  <c r="G152" i="12"/>
  <c r="G323" i="12" s="1"/>
  <c r="U151" i="12"/>
  <c r="W302" i="12" s="1"/>
  <c r="N151" i="12"/>
  <c r="G151" i="12"/>
  <c r="G301" i="12" s="1"/>
  <c r="U150" i="12"/>
  <c r="W281" i="12" s="1"/>
  <c r="N150" i="12"/>
  <c r="G150" i="12"/>
  <c r="G281" i="12" s="1"/>
  <c r="U149" i="12"/>
  <c r="W260" i="12" s="1"/>
  <c r="N149" i="12"/>
  <c r="O260" i="12" s="1"/>
  <c r="G149" i="12"/>
  <c r="G260" i="12" s="1"/>
  <c r="U148" i="12"/>
  <c r="W239" i="12" s="1"/>
  <c r="N148" i="12"/>
  <c r="O239" i="12" s="1"/>
  <c r="G148" i="12"/>
  <c r="G239" i="12" s="1"/>
  <c r="L147" i="12"/>
  <c r="S147" i="12" s="1"/>
  <c r="K147" i="12"/>
  <c r="R147" i="12" s="1"/>
  <c r="I145" i="12"/>
  <c r="P145" i="12" s="1"/>
  <c r="U143" i="12"/>
  <c r="W364" i="12" s="1"/>
  <c r="N143" i="12"/>
  <c r="O364" i="12" s="1"/>
  <c r="G143" i="12"/>
  <c r="G364" i="12" s="1"/>
  <c r="U142" i="12"/>
  <c r="W343" i="12" s="1"/>
  <c r="N142" i="12"/>
  <c r="O343" i="12" s="1"/>
  <c r="G142" i="12"/>
  <c r="G343" i="12" s="1"/>
  <c r="U141" i="12"/>
  <c r="W322" i="12" s="1"/>
  <c r="N141" i="12"/>
  <c r="O322" i="12" s="1"/>
  <c r="G141" i="12"/>
  <c r="G322" i="12" s="1"/>
  <c r="U140" i="12"/>
  <c r="W301" i="12" s="1"/>
  <c r="N140" i="12"/>
  <c r="O301" i="12" s="1"/>
  <c r="G140" i="12"/>
  <c r="U139" i="12"/>
  <c r="W280" i="12" s="1"/>
  <c r="N139" i="12"/>
  <c r="O280" i="12" s="1"/>
  <c r="G139" i="12"/>
  <c r="G280" i="12" s="1"/>
  <c r="U138" i="12"/>
  <c r="W259" i="12" s="1"/>
  <c r="N138" i="12"/>
  <c r="O259" i="12" s="1"/>
  <c r="G138" i="12"/>
  <c r="G259" i="12" s="1"/>
  <c r="U137" i="12"/>
  <c r="W238" i="12" s="1"/>
  <c r="N137" i="12"/>
  <c r="O238" i="12" s="1"/>
  <c r="G137" i="12"/>
  <c r="G238" i="12" s="1"/>
  <c r="L136" i="12"/>
  <c r="S136" i="12" s="1"/>
  <c r="K136" i="12"/>
  <c r="R136" i="12" s="1"/>
  <c r="I134" i="12"/>
  <c r="P134" i="12" s="1"/>
  <c r="U132" i="12"/>
  <c r="W363" i="12" s="1"/>
  <c r="N132" i="12"/>
  <c r="O363" i="12" s="1"/>
  <c r="G132" i="12"/>
  <c r="G363" i="12" s="1"/>
  <c r="U131" i="12"/>
  <c r="W342" i="12" s="1"/>
  <c r="N131" i="12"/>
  <c r="O342" i="12" s="1"/>
  <c r="G131" i="12"/>
  <c r="G342" i="12" s="1"/>
  <c r="U130" i="12"/>
  <c r="W321" i="12" s="1"/>
  <c r="N130" i="12"/>
  <c r="O321" i="12" s="1"/>
  <c r="G130" i="12"/>
  <c r="G321" i="12" s="1"/>
  <c r="U129" i="12"/>
  <c r="W300" i="12" s="1"/>
  <c r="N129" i="12"/>
  <c r="O300" i="12" s="1"/>
  <c r="G129" i="12"/>
  <c r="G300" i="12" s="1"/>
  <c r="U128" i="12"/>
  <c r="W279" i="12" s="1"/>
  <c r="N128" i="12"/>
  <c r="O279" i="12" s="1"/>
  <c r="G128" i="12"/>
  <c r="G279" i="12" s="1"/>
  <c r="U127" i="12"/>
  <c r="W258" i="12" s="1"/>
  <c r="N127" i="12"/>
  <c r="O258" i="12" s="1"/>
  <c r="G127" i="12"/>
  <c r="G258" i="12" s="1"/>
  <c r="U126" i="12"/>
  <c r="W237" i="12" s="1"/>
  <c r="N126" i="12"/>
  <c r="O237" i="12" s="1"/>
  <c r="G126" i="12"/>
  <c r="G237" i="12" s="1"/>
  <c r="L125" i="12"/>
  <c r="S125" i="12" s="1"/>
  <c r="K125" i="12"/>
  <c r="R125" i="12" s="1"/>
  <c r="I123" i="12"/>
  <c r="P123" i="12" s="1"/>
  <c r="U121" i="12"/>
  <c r="W362" i="12" s="1"/>
  <c r="N121" i="12"/>
  <c r="O362" i="12" s="1"/>
  <c r="G121" i="12"/>
  <c r="G362" i="12" s="1"/>
  <c r="U120" i="12"/>
  <c r="W341" i="12" s="1"/>
  <c r="N120" i="12"/>
  <c r="O341" i="12" s="1"/>
  <c r="G120" i="12"/>
  <c r="G341" i="12" s="1"/>
  <c r="U119" i="12"/>
  <c r="W320" i="12" s="1"/>
  <c r="N119" i="12"/>
  <c r="O320" i="12" s="1"/>
  <c r="G119" i="12"/>
  <c r="G320" i="12" s="1"/>
  <c r="U118" i="12"/>
  <c r="W299" i="12" s="1"/>
  <c r="N118" i="12"/>
  <c r="O299" i="12" s="1"/>
  <c r="G118" i="12"/>
  <c r="G299" i="12" s="1"/>
  <c r="U117" i="12"/>
  <c r="W278" i="12" s="1"/>
  <c r="N117" i="12"/>
  <c r="O278" i="12" s="1"/>
  <c r="G117" i="12"/>
  <c r="G278" i="12" s="1"/>
  <c r="U116" i="12"/>
  <c r="W257" i="12" s="1"/>
  <c r="N116" i="12"/>
  <c r="O257" i="12" s="1"/>
  <c r="G116" i="12"/>
  <c r="G257" i="12" s="1"/>
  <c r="U115" i="12"/>
  <c r="W236" i="12" s="1"/>
  <c r="N115" i="12"/>
  <c r="O236" i="12" s="1"/>
  <c r="G115" i="12"/>
  <c r="G236" i="12" s="1"/>
  <c r="L114" i="12"/>
  <c r="S114" i="12" s="1"/>
  <c r="K114" i="12"/>
  <c r="R114" i="12" s="1"/>
  <c r="I112" i="12"/>
  <c r="P112" i="12" s="1"/>
  <c r="U110" i="12"/>
  <c r="W361" i="12" s="1"/>
  <c r="N110" i="12"/>
  <c r="O361" i="12" s="1"/>
  <c r="G110" i="12"/>
  <c r="G361" i="12" s="1"/>
  <c r="U109" i="12"/>
  <c r="W340" i="12" s="1"/>
  <c r="N109" i="12"/>
  <c r="O340" i="12" s="1"/>
  <c r="G109" i="12"/>
  <c r="G340" i="12" s="1"/>
  <c r="U108" i="12"/>
  <c r="W319" i="12" s="1"/>
  <c r="N108" i="12"/>
  <c r="O319" i="12" s="1"/>
  <c r="G108" i="12"/>
  <c r="G319" i="12" s="1"/>
  <c r="U107" i="12"/>
  <c r="W298" i="12" s="1"/>
  <c r="N107" i="12"/>
  <c r="O298" i="12" s="1"/>
  <c r="G107" i="12"/>
  <c r="G298" i="12" s="1"/>
  <c r="U106" i="12"/>
  <c r="W277" i="12" s="1"/>
  <c r="N106" i="12"/>
  <c r="O277" i="12" s="1"/>
  <c r="G106" i="12"/>
  <c r="G277" i="12" s="1"/>
  <c r="U105" i="12"/>
  <c r="W256" i="12" s="1"/>
  <c r="N105" i="12"/>
  <c r="O256" i="12" s="1"/>
  <c r="G105" i="12"/>
  <c r="G256" i="12" s="1"/>
  <c r="U104" i="12"/>
  <c r="W235" i="12" s="1"/>
  <c r="N104" i="12"/>
  <c r="O235" i="12" s="1"/>
  <c r="G104" i="12"/>
  <c r="G235" i="12" s="1"/>
  <c r="L103" i="12"/>
  <c r="S103" i="12" s="1"/>
  <c r="K103" i="12"/>
  <c r="R103" i="12" s="1"/>
  <c r="I101" i="12"/>
  <c r="P101" i="12" s="1"/>
  <c r="U99" i="12"/>
  <c r="W360" i="12" s="1"/>
  <c r="N99" i="12"/>
  <c r="O360" i="12" s="1"/>
  <c r="G99" i="12"/>
  <c r="G360" i="12" s="1"/>
  <c r="U98" i="12"/>
  <c r="W339" i="12" s="1"/>
  <c r="N98" i="12"/>
  <c r="O339" i="12" s="1"/>
  <c r="G98" i="12"/>
  <c r="G339" i="12" s="1"/>
  <c r="U97" i="12"/>
  <c r="W318" i="12" s="1"/>
  <c r="N97" i="12"/>
  <c r="O318" i="12" s="1"/>
  <c r="G97" i="12"/>
  <c r="G318" i="12" s="1"/>
  <c r="U96" i="12"/>
  <c r="W297" i="12" s="1"/>
  <c r="N96" i="12"/>
  <c r="O297" i="12" s="1"/>
  <c r="G96" i="12"/>
  <c r="G297" i="12" s="1"/>
  <c r="U95" i="12"/>
  <c r="W276" i="12" s="1"/>
  <c r="N95" i="12"/>
  <c r="O276" i="12" s="1"/>
  <c r="G95" i="12"/>
  <c r="G276" i="12" s="1"/>
  <c r="U94" i="12"/>
  <c r="W255" i="12" s="1"/>
  <c r="N94" i="12"/>
  <c r="O255" i="12" s="1"/>
  <c r="G94" i="12"/>
  <c r="G255" i="12" s="1"/>
  <c r="U93" i="12"/>
  <c r="W234" i="12" s="1"/>
  <c r="N93" i="12"/>
  <c r="O234" i="12" s="1"/>
  <c r="G93" i="12"/>
  <c r="G234" i="12" s="1"/>
  <c r="L92" i="12"/>
  <c r="S92" i="12" s="1"/>
  <c r="K92" i="12"/>
  <c r="R92" i="12" s="1"/>
  <c r="I90" i="12"/>
  <c r="P90" i="12" s="1"/>
  <c r="U88" i="12"/>
  <c r="W359" i="12" s="1"/>
  <c r="N88" i="12"/>
  <c r="O359" i="12" s="1"/>
  <c r="G88" i="12"/>
  <c r="G359" i="12" s="1"/>
  <c r="U87" i="12"/>
  <c r="W338" i="12" s="1"/>
  <c r="N87" i="12"/>
  <c r="O338" i="12" s="1"/>
  <c r="G87" i="12"/>
  <c r="G338" i="12" s="1"/>
  <c r="U86" i="12"/>
  <c r="W317" i="12" s="1"/>
  <c r="N86" i="12"/>
  <c r="O317" i="12" s="1"/>
  <c r="G86" i="12"/>
  <c r="G317" i="12" s="1"/>
  <c r="U85" i="12"/>
  <c r="W296" i="12" s="1"/>
  <c r="N85" i="12"/>
  <c r="O296" i="12" s="1"/>
  <c r="G85" i="12"/>
  <c r="G296" i="12" s="1"/>
  <c r="U84" i="12"/>
  <c r="W275" i="12" s="1"/>
  <c r="N84" i="12"/>
  <c r="O275" i="12" s="1"/>
  <c r="G84" i="12"/>
  <c r="G275" i="12" s="1"/>
  <c r="U83" i="12"/>
  <c r="W254" i="12" s="1"/>
  <c r="N83" i="12"/>
  <c r="O254" i="12" s="1"/>
  <c r="G83" i="12"/>
  <c r="G254" i="12" s="1"/>
  <c r="U82" i="12"/>
  <c r="W233" i="12" s="1"/>
  <c r="N82" i="12"/>
  <c r="O233" i="12" s="1"/>
  <c r="G82" i="12"/>
  <c r="G233" i="12" s="1"/>
  <c r="L81" i="12"/>
  <c r="S81" i="12" s="1"/>
  <c r="K81" i="12"/>
  <c r="R81" i="12" s="1"/>
  <c r="I79" i="12"/>
  <c r="P79" i="12" s="1"/>
  <c r="W358" i="12"/>
  <c r="N77" i="12"/>
  <c r="O358" i="12" s="1"/>
  <c r="G77" i="12"/>
  <c r="G358" i="12" s="1"/>
  <c r="U76" i="12"/>
  <c r="W337" i="12" s="1"/>
  <c r="N76" i="12"/>
  <c r="O337" i="12" s="1"/>
  <c r="G76" i="12"/>
  <c r="G337" i="12" s="1"/>
  <c r="U75" i="12"/>
  <c r="W316" i="12" s="1"/>
  <c r="N75" i="12"/>
  <c r="O316" i="12" s="1"/>
  <c r="G75" i="12"/>
  <c r="G316" i="12" s="1"/>
  <c r="U74" i="12"/>
  <c r="W295" i="12" s="1"/>
  <c r="N74" i="12"/>
  <c r="O295" i="12" s="1"/>
  <c r="G74" i="12"/>
  <c r="G295" i="12" s="1"/>
  <c r="U73" i="12"/>
  <c r="W274" i="12" s="1"/>
  <c r="N73" i="12"/>
  <c r="O274" i="12" s="1"/>
  <c r="G73" i="12"/>
  <c r="G274" i="12" s="1"/>
  <c r="U72" i="12"/>
  <c r="W253" i="12" s="1"/>
  <c r="N72" i="12"/>
  <c r="O253" i="12" s="1"/>
  <c r="G72" i="12"/>
  <c r="G253" i="12" s="1"/>
  <c r="U71" i="12"/>
  <c r="W232" i="12" s="1"/>
  <c r="N71" i="12"/>
  <c r="O232" i="12" s="1"/>
  <c r="G71" i="12"/>
  <c r="G232" i="12" s="1"/>
  <c r="L70" i="12"/>
  <c r="S70" i="12" s="1"/>
  <c r="K70" i="12"/>
  <c r="R70" i="12" s="1"/>
  <c r="I68" i="12"/>
  <c r="P68" i="12" s="1"/>
  <c r="U66" i="12"/>
  <c r="W357" i="12" s="1"/>
  <c r="N66" i="12"/>
  <c r="O357" i="12" s="1"/>
  <c r="G66" i="12"/>
  <c r="G357" i="12" s="1"/>
  <c r="U65" i="12"/>
  <c r="W336" i="12" s="1"/>
  <c r="N65" i="12"/>
  <c r="O336" i="12" s="1"/>
  <c r="G65" i="12"/>
  <c r="G336" i="12" s="1"/>
  <c r="U64" i="12"/>
  <c r="W315" i="12" s="1"/>
  <c r="N64" i="12"/>
  <c r="O315" i="12" s="1"/>
  <c r="G64" i="12"/>
  <c r="G315" i="12" s="1"/>
  <c r="U63" i="12"/>
  <c r="W294" i="12" s="1"/>
  <c r="N63" i="12"/>
  <c r="O294" i="12" s="1"/>
  <c r="G63" i="12"/>
  <c r="G294" i="12" s="1"/>
  <c r="U62" i="12"/>
  <c r="W273" i="12" s="1"/>
  <c r="N62" i="12"/>
  <c r="O273" i="12" s="1"/>
  <c r="G62" i="12"/>
  <c r="G273" i="12" s="1"/>
  <c r="U61" i="12"/>
  <c r="W252" i="12" s="1"/>
  <c r="N61" i="12"/>
  <c r="O252" i="12" s="1"/>
  <c r="G61" i="12"/>
  <c r="G252" i="12" s="1"/>
  <c r="U60" i="12"/>
  <c r="W231" i="12" s="1"/>
  <c r="N60" i="12"/>
  <c r="O231" i="12" s="1"/>
  <c r="G60" i="12"/>
  <c r="G231" i="12" s="1"/>
  <c r="L59" i="12"/>
  <c r="S59" i="12" s="1"/>
  <c r="K59" i="12"/>
  <c r="R59" i="12" s="1"/>
  <c r="I57" i="12"/>
  <c r="P57" i="12" s="1"/>
  <c r="U55" i="12"/>
  <c r="W356" i="12" s="1"/>
  <c r="N55" i="12"/>
  <c r="O356" i="12" s="1"/>
  <c r="G55" i="12"/>
  <c r="G356" i="12" s="1"/>
  <c r="U54" i="12"/>
  <c r="W335" i="12" s="1"/>
  <c r="N54" i="12"/>
  <c r="O335" i="12" s="1"/>
  <c r="G54" i="12"/>
  <c r="G335" i="12" s="1"/>
  <c r="U53" i="12"/>
  <c r="W314" i="12" s="1"/>
  <c r="N53" i="12"/>
  <c r="O314" i="12" s="1"/>
  <c r="G53" i="12"/>
  <c r="G314" i="12" s="1"/>
  <c r="U52" i="12"/>
  <c r="W293" i="12" s="1"/>
  <c r="N52" i="12"/>
  <c r="O293" i="12" s="1"/>
  <c r="G52" i="12"/>
  <c r="G293" i="12" s="1"/>
  <c r="U51" i="12"/>
  <c r="W272" i="12" s="1"/>
  <c r="N51" i="12"/>
  <c r="O272" i="12" s="1"/>
  <c r="G51" i="12"/>
  <c r="G272" i="12" s="1"/>
  <c r="U50" i="12"/>
  <c r="W251" i="12" s="1"/>
  <c r="N50" i="12"/>
  <c r="O251" i="12" s="1"/>
  <c r="G50" i="12"/>
  <c r="G251" i="12" s="1"/>
  <c r="U49" i="12"/>
  <c r="W230" i="12" s="1"/>
  <c r="N49" i="12"/>
  <c r="O230" i="12" s="1"/>
  <c r="G49" i="12"/>
  <c r="G230" i="12" s="1"/>
  <c r="L48" i="12"/>
  <c r="S48" i="12" s="1"/>
  <c r="K48" i="12"/>
  <c r="R48" i="12" s="1"/>
  <c r="I46" i="12"/>
  <c r="P46" i="12" s="1"/>
  <c r="U44" i="12"/>
  <c r="W355" i="12" s="1"/>
  <c r="N44" i="12"/>
  <c r="O355" i="12" s="1"/>
  <c r="G44" i="12"/>
  <c r="G355" i="12" s="1"/>
  <c r="U43" i="12"/>
  <c r="W334" i="12" s="1"/>
  <c r="N43" i="12"/>
  <c r="O334" i="12" s="1"/>
  <c r="G43" i="12"/>
  <c r="G334" i="12" s="1"/>
  <c r="U42" i="12"/>
  <c r="W313" i="12" s="1"/>
  <c r="N42" i="12"/>
  <c r="O313" i="12" s="1"/>
  <c r="G42" i="12"/>
  <c r="G313" i="12" s="1"/>
  <c r="U41" i="12"/>
  <c r="W292" i="12" s="1"/>
  <c r="N41" i="12"/>
  <c r="O292" i="12" s="1"/>
  <c r="G41" i="12"/>
  <c r="G292" i="12" s="1"/>
  <c r="U40" i="12"/>
  <c r="W271" i="12" s="1"/>
  <c r="N40" i="12"/>
  <c r="O271" i="12" s="1"/>
  <c r="G40" i="12"/>
  <c r="G271" i="12" s="1"/>
  <c r="U39" i="12"/>
  <c r="W250" i="12" s="1"/>
  <c r="N39" i="12"/>
  <c r="O250" i="12" s="1"/>
  <c r="G39" i="12"/>
  <c r="G250" i="12" s="1"/>
  <c r="U38" i="12"/>
  <c r="W229" i="12" s="1"/>
  <c r="N38" i="12"/>
  <c r="O229" i="12" s="1"/>
  <c r="G38" i="12"/>
  <c r="G229" i="12" s="1"/>
  <c r="L37" i="12"/>
  <c r="S37" i="12" s="1"/>
  <c r="K37" i="12"/>
  <c r="R37" i="12" s="1"/>
  <c r="I35" i="12"/>
  <c r="P35" i="12" s="1"/>
  <c r="U33" i="12"/>
  <c r="W354" i="12" s="1"/>
  <c r="N33" i="12"/>
  <c r="O354" i="12" s="1"/>
  <c r="G33" i="12"/>
  <c r="G354" i="12" s="1"/>
  <c r="U32" i="12"/>
  <c r="W333" i="12" s="1"/>
  <c r="N32" i="12"/>
  <c r="O333" i="12" s="1"/>
  <c r="G32" i="12"/>
  <c r="G333" i="12" s="1"/>
  <c r="U31" i="12"/>
  <c r="W312" i="12" s="1"/>
  <c r="N31" i="12"/>
  <c r="O312" i="12" s="1"/>
  <c r="G31" i="12"/>
  <c r="G312" i="12" s="1"/>
  <c r="U30" i="12"/>
  <c r="W291" i="12" s="1"/>
  <c r="N30" i="12"/>
  <c r="O291" i="12" s="1"/>
  <c r="G30" i="12"/>
  <c r="G291" i="12" s="1"/>
  <c r="U29" i="12"/>
  <c r="W270" i="12" s="1"/>
  <c r="N29" i="12"/>
  <c r="O270" i="12" s="1"/>
  <c r="G29" i="12"/>
  <c r="G270" i="12" s="1"/>
  <c r="U28" i="12"/>
  <c r="W249" i="12" s="1"/>
  <c r="N28" i="12"/>
  <c r="O249" i="12" s="1"/>
  <c r="G28" i="12"/>
  <c r="G249" i="12" s="1"/>
  <c r="U27" i="12"/>
  <c r="W228" i="12" s="1"/>
  <c r="N27" i="12"/>
  <c r="O228" i="12" s="1"/>
  <c r="G27" i="12"/>
  <c r="G228" i="12" s="1"/>
  <c r="L26" i="12"/>
  <c r="S26" i="12" s="1"/>
  <c r="K26" i="12"/>
  <c r="R26" i="12" s="1"/>
  <c r="I24" i="12"/>
  <c r="P24" i="12" s="1"/>
  <c r="U22" i="12"/>
  <c r="W353" i="12" s="1"/>
  <c r="N22" i="12"/>
  <c r="O353" i="12" s="1"/>
  <c r="G22" i="12"/>
  <c r="G353" i="12" s="1"/>
  <c r="U21" i="12"/>
  <c r="W332" i="12" s="1"/>
  <c r="N21" i="12"/>
  <c r="O332" i="12" s="1"/>
  <c r="G21" i="12"/>
  <c r="G332" i="12" s="1"/>
  <c r="U20" i="12"/>
  <c r="W311" i="12" s="1"/>
  <c r="N20" i="12"/>
  <c r="O311" i="12" s="1"/>
  <c r="G20" i="12"/>
  <c r="G311" i="12" s="1"/>
  <c r="U19" i="12"/>
  <c r="W290" i="12" s="1"/>
  <c r="N19" i="12"/>
  <c r="O290" i="12" s="1"/>
  <c r="G19" i="12"/>
  <c r="G290" i="12" s="1"/>
  <c r="U18" i="12"/>
  <c r="W269" i="12" s="1"/>
  <c r="N18" i="12"/>
  <c r="O269" i="12" s="1"/>
  <c r="G18" i="12"/>
  <c r="G269" i="12" s="1"/>
  <c r="U17" i="12"/>
  <c r="W248" i="12" s="1"/>
  <c r="N17" i="12"/>
  <c r="O248" i="12" s="1"/>
  <c r="G17" i="12"/>
  <c r="G248" i="12" s="1"/>
  <c r="U16" i="12"/>
  <c r="W227" i="12" s="1"/>
  <c r="N16" i="12"/>
  <c r="O227" i="12" s="1"/>
  <c r="G16" i="12"/>
  <c r="G227" i="12" s="1"/>
  <c r="L15" i="12"/>
  <c r="S15" i="12" s="1"/>
  <c r="K15" i="12"/>
  <c r="R15" i="12" s="1"/>
  <c r="I13" i="12"/>
  <c r="P13" i="12" s="1"/>
  <c r="U11" i="12"/>
  <c r="W352" i="12" s="1"/>
  <c r="N11" i="12"/>
  <c r="O352" i="12" s="1"/>
  <c r="G11" i="12"/>
  <c r="G352" i="12" s="1"/>
  <c r="U10" i="12"/>
  <c r="W331" i="12" s="1"/>
  <c r="N10" i="12"/>
  <c r="O331" i="12" s="1"/>
  <c r="G10" i="12"/>
  <c r="G331" i="12" s="1"/>
  <c r="U9" i="12"/>
  <c r="W310" i="12" s="1"/>
  <c r="N9" i="12"/>
  <c r="G9" i="12"/>
  <c r="G310" i="12" s="1"/>
  <c r="U8" i="12"/>
  <c r="W289" i="12" s="1"/>
  <c r="N8" i="12"/>
  <c r="O289" i="12" s="1"/>
  <c r="G8" i="12"/>
  <c r="G289" i="12" s="1"/>
  <c r="U7" i="12"/>
  <c r="W268" i="12" s="1"/>
  <c r="N7" i="12"/>
  <c r="O268" i="12" s="1"/>
  <c r="G7" i="12"/>
  <c r="G268" i="12" s="1"/>
  <c r="U6" i="12"/>
  <c r="W247" i="12" s="1"/>
  <c r="N6" i="12"/>
  <c r="O247" i="12" s="1"/>
  <c r="G6" i="12"/>
  <c r="G247" i="12" s="1"/>
  <c r="U5" i="12"/>
  <c r="W226" i="12" s="1"/>
  <c r="N5" i="12"/>
  <c r="O226" i="12" s="1"/>
  <c r="G5" i="12"/>
  <c r="G226" i="12" s="1"/>
  <c r="L4" i="12"/>
  <c r="S4" i="12" s="1"/>
  <c r="K4" i="12"/>
  <c r="R4" i="12" s="1"/>
  <c r="I2" i="12"/>
  <c r="P2" i="12" s="1"/>
  <c r="K26" i="1" l="1"/>
  <c r="K25" i="1"/>
  <c r="C26" i="1"/>
  <c r="D268" i="13"/>
  <c r="D276" i="13" s="1"/>
  <c r="D284" i="13" s="1"/>
  <c r="D290" i="13" s="1"/>
  <c r="B268" i="13"/>
  <c r="B276" i="13" s="1"/>
  <c r="B284" i="13" s="1"/>
  <c r="B290" i="13" s="1"/>
  <c r="C268" i="13"/>
  <c r="C276" i="13" s="1"/>
  <c r="C284" i="13" s="1"/>
  <c r="C290" i="13" s="1"/>
  <c r="G285" i="12"/>
  <c r="A311" i="13"/>
  <c r="G302" i="12"/>
  <c r="O269" i="13"/>
  <c r="A410" i="12"/>
  <c r="A373" i="12" s="1"/>
  <c r="T373" i="12"/>
  <c r="N373" i="12"/>
  <c r="O302" i="12"/>
  <c r="O281" i="12"/>
  <c r="O310" i="12"/>
  <c r="B375" i="12"/>
  <c r="H375" i="12" s="1"/>
  <c r="N375" i="12" s="1"/>
  <c r="C375" i="12"/>
  <c r="I375" i="12" s="1"/>
  <c r="O375" i="12" s="1"/>
  <c r="D375" i="12"/>
  <c r="J375" i="12" s="1"/>
  <c r="P375" i="12" s="1"/>
  <c r="N298" i="13" l="1"/>
  <c r="N311" i="13" s="1"/>
  <c r="B37" i="5" s="1"/>
  <c r="A265" i="13"/>
  <c r="F279" i="13" s="1"/>
  <c r="E376" i="12"/>
  <c r="D376" i="12"/>
  <c r="C382" i="12"/>
  <c r="E378" i="12"/>
  <c r="C381" i="12"/>
  <c r="C378" i="12"/>
  <c r="B380" i="12"/>
  <c r="A380" i="12"/>
  <c r="D379" i="12"/>
  <c r="B377" i="12"/>
  <c r="E377" i="12"/>
  <c r="B378" i="12"/>
  <c r="B382" i="12"/>
  <c r="G373" i="12"/>
  <c r="H381" i="12" s="1"/>
  <c r="S373" i="12"/>
  <c r="W377" i="12" s="1"/>
  <c r="O390" i="12" s="1"/>
  <c r="E380" i="12"/>
  <c r="A381" i="12"/>
  <c r="C377" i="12"/>
  <c r="D381" i="12"/>
  <c r="D378" i="12"/>
  <c r="B381" i="12"/>
  <c r="C376" i="12"/>
  <c r="D380" i="12"/>
  <c r="B379" i="12"/>
  <c r="A377" i="12"/>
  <c r="D377" i="12"/>
  <c r="E382" i="12"/>
  <c r="C379" i="12"/>
  <c r="C380" i="12"/>
  <c r="A376" i="12"/>
  <c r="E379" i="12"/>
  <c r="D382" i="12"/>
  <c r="A379" i="12"/>
  <c r="A382" i="12"/>
  <c r="B376" i="12"/>
  <c r="A378" i="12"/>
  <c r="E381" i="12"/>
  <c r="H382" i="12"/>
  <c r="K378" i="12"/>
  <c r="H380" i="12" l="1"/>
  <c r="S386" i="12"/>
  <c r="F294" i="13"/>
  <c r="C280" i="13"/>
  <c r="D270" i="13"/>
  <c r="F285" i="13"/>
  <c r="C272" i="13"/>
  <c r="E288" i="13"/>
  <c r="A273" i="13"/>
  <c r="F288" i="13"/>
  <c r="D274" i="13"/>
  <c r="E287" i="13"/>
  <c r="B277" i="13"/>
  <c r="F291" i="13"/>
  <c r="E278" i="13"/>
  <c r="C293" i="13"/>
  <c r="B280" i="13"/>
  <c r="A287" i="13"/>
  <c r="B281" i="13"/>
  <c r="D285" i="13"/>
  <c r="C288" i="13"/>
  <c r="F277" i="13"/>
  <c r="A269" i="13"/>
  <c r="D282" i="13"/>
  <c r="F286" i="13"/>
  <c r="E286" i="13"/>
  <c r="F269" i="13"/>
  <c r="E281" i="13"/>
  <c r="C271" i="13"/>
  <c r="B287" i="13"/>
  <c r="B274" i="13"/>
  <c r="C291" i="13"/>
  <c r="C274" i="13"/>
  <c r="D291" i="13"/>
  <c r="A277" i="13"/>
  <c r="E291" i="13"/>
  <c r="D278" i="13"/>
  <c r="B293" i="13"/>
  <c r="A280" i="13"/>
  <c r="E294" i="13"/>
  <c r="D281" i="13"/>
  <c r="B271" i="13"/>
  <c r="A274" i="13"/>
  <c r="B291" i="13"/>
  <c r="C279" i="13"/>
  <c r="A294" i="13"/>
  <c r="D279" i="13"/>
  <c r="B294" i="13"/>
  <c r="E279" i="13"/>
  <c r="D269" i="13"/>
  <c r="B270" i="13"/>
  <c r="E280" i="13"/>
  <c r="C269" i="13"/>
  <c r="C285" i="13"/>
  <c r="C270" i="13"/>
  <c r="E285" i="13"/>
  <c r="B272" i="13"/>
  <c r="D288" i="13"/>
  <c r="A278" i="13"/>
  <c r="E292" i="13"/>
  <c r="B278" i="13"/>
  <c r="F292" i="13"/>
  <c r="C278" i="13"/>
  <c r="A293" i="13"/>
  <c r="D294" i="13"/>
  <c r="C281" i="13"/>
  <c r="E269" i="13"/>
  <c r="F282" i="13"/>
  <c r="F280" i="13"/>
  <c r="A271" i="13"/>
  <c r="A291" i="13"/>
  <c r="F293" i="13"/>
  <c r="F270" i="13"/>
  <c r="F271" i="13"/>
  <c r="B285" i="13"/>
  <c r="I266" i="13" s="1"/>
  <c r="E273" i="13"/>
  <c r="E277" i="13"/>
  <c r="C292" i="13"/>
  <c r="D280" i="13"/>
  <c r="E270" i="13"/>
  <c r="A286" i="13"/>
  <c r="E271" i="13"/>
  <c r="B286" i="13"/>
  <c r="E272" i="13"/>
  <c r="A285" i="13"/>
  <c r="C273" i="13"/>
  <c r="D286" i="13"/>
  <c r="F274" i="13"/>
  <c r="A288" i="13"/>
  <c r="D277" i="13"/>
  <c r="B292" i="13"/>
  <c r="E282" i="13"/>
  <c r="A281" i="13"/>
  <c r="B279" i="13"/>
  <c r="C282" i="13"/>
  <c r="A279" i="13"/>
  <c r="E293" i="13"/>
  <c r="F281" i="13"/>
  <c r="D271" i="13"/>
  <c r="C287" i="13"/>
  <c r="D272" i="13"/>
  <c r="D287" i="13"/>
  <c r="B273" i="13"/>
  <c r="C286" i="13"/>
  <c r="E274" i="13"/>
  <c r="F287" i="13"/>
  <c r="C277" i="13"/>
  <c r="A292" i="13"/>
  <c r="F278" i="13"/>
  <c r="D293" i="13"/>
  <c r="C294" i="13"/>
  <c r="A272" i="13"/>
  <c r="D292" i="13"/>
  <c r="B269" i="13"/>
  <c r="A270" i="13"/>
  <c r="F273" i="13"/>
  <c r="A282" i="13"/>
  <c r="B282" i="13"/>
  <c r="F272" i="13"/>
  <c r="D273" i="13"/>
  <c r="B288" i="13"/>
  <c r="I381" i="12"/>
  <c r="H379" i="12"/>
  <c r="K381" i="12"/>
  <c r="K382" i="12"/>
  <c r="I382" i="12"/>
  <c r="I380" i="12"/>
  <c r="J381" i="12"/>
  <c r="G378" i="12"/>
  <c r="G376" i="12"/>
  <c r="W378" i="12"/>
  <c r="O391" i="12" s="1"/>
  <c r="J380" i="12"/>
  <c r="W379" i="12"/>
  <c r="O392" i="12" s="1"/>
  <c r="I379" i="12"/>
  <c r="K376" i="12"/>
  <c r="J377" i="12"/>
  <c r="M373" i="12"/>
  <c r="N378" i="12" s="1"/>
  <c r="J382" i="12"/>
  <c r="G377" i="12"/>
  <c r="I378" i="12"/>
  <c r="H377" i="12"/>
  <c r="H376" i="12"/>
  <c r="I377" i="12"/>
  <c r="J376" i="12"/>
  <c r="K380" i="12"/>
  <c r="J379" i="12"/>
  <c r="G381" i="12"/>
  <c r="G382" i="12"/>
  <c r="K377" i="12"/>
  <c r="J378" i="12"/>
  <c r="G380" i="12"/>
  <c r="K379" i="12"/>
  <c r="I376" i="12"/>
  <c r="H378" i="12"/>
  <c r="G379" i="12"/>
  <c r="U377" i="12" l="1"/>
  <c r="N390" i="12" s="1"/>
  <c r="T381" i="12" s="1"/>
  <c r="F14" i="4" s="1"/>
  <c r="K266" i="13"/>
  <c r="H269" i="13"/>
  <c r="N272" i="13" s="1"/>
  <c r="O272" i="13" s="1"/>
  <c r="V23" i="4" s="1"/>
  <c r="I24" i="4"/>
  <c r="Q24" i="4" s="1"/>
  <c r="N269" i="13"/>
  <c r="J266" i="13"/>
  <c r="H266" i="13"/>
  <c r="N268" i="13" s="1"/>
  <c r="F16" i="1" s="1"/>
  <c r="Q380" i="12"/>
  <c r="P378" i="12"/>
  <c r="O377" i="12"/>
  <c r="M382" i="12"/>
  <c r="P382" i="12"/>
  <c r="Q379" i="12"/>
  <c r="P380" i="12"/>
  <c r="O376" i="12"/>
  <c r="M376" i="12"/>
  <c r="Q381" i="12"/>
  <c r="P377" i="12"/>
  <c r="M379" i="12"/>
  <c r="N380" i="12"/>
  <c r="Q382" i="12"/>
  <c r="Q378" i="12"/>
  <c r="N379" i="12"/>
  <c r="O382" i="12"/>
  <c r="P381" i="12"/>
  <c r="M377" i="12"/>
  <c r="N381" i="12"/>
  <c r="P376" i="12"/>
  <c r="N377" i="12"/>
  <c r="Q376" i="12"/>
  <c r="P379" i="12"/>
  <c r="O381" i="12"/>
  <c r="M378" i="12"/>
  <c r="M380" i="12"/>
  <c r="T386" i="12"/>
  <c r="O378" i="12"/>
  <c r="O379" i="12"/>
  <c r="N382" i="12"/>
  <c r="Q377" i="12"/>
  <c r="O380" i="12"/>
  <c r="M381" i="12"/>
  <c r="N376" i="12"/>
  <c r="O268" i="13" l="1"/>
  <c r="H272" i="13" s="1"/>
  <c r="I269" i="13"/>
  <c r="O270" i="13"/>
  <c r="I25" i="4" s="1"/>
  <c r="Q25" i="4" s="1"/>
  <c r="J24" i="4"/>
  <c r="J24" i="1" s="1"/>
  <c r="I24" i="1"/>
  <c r="N271" i="13"/>
  <c r="O271" i="13" s="1"/>
  <c r="I26" i="4" s="1"/>
  <c r="U378" i="12"/>
  <c r="N391" i="12" s="1"/>
  <c r="T382" i="12" s="1"/>
  <c r="F15" i="4" s="1"/>
  <c r="I272" i="13" l="1"/>
  <c r="H274" i="13" s="1"/>
  <c r="F16" i="4" s="1"/>
  <c r="H16" i="1"/>
  <c r="S21" i="4"/>
  <c r="N392" i="12"/>
  <c r="T383" i="12" s="1"/>
  <c r="I26" i="1"/>
  <c r="J26" i="4"/>
  <c r="J26" i="1" s="1"/>
  <c r="I25" i="1"/>
  <c r="J25" i="4"/>
  <c r="J25" i="1" s="1"/>
  <c r="T29" i="4" l="1"/>
  <c r="S29" i="4"/>
  <c r="Y21" i="4"/>
  <c r="B39" i="5" s="1"/>
  <c r="F7" i="1"/>
  <c r="D16" i="16" s="1"/>
  <c r="E7" i="4"/>
  <c r="E7" i="1" s="1"/>
  <c r="A7" i="4"/>
  <c r="A7" i="1" s="1"/>
  <c r="Q26" i="4" l="1"/>
  <c r="P24" i="4" s="1"/>
  <c r="N52" i="4" s="1"/>
  <c r="H1" i="16" s="1"/>
  <c r="J60" i="1"/>
  <c r="B16" i="4" l="1"/>
  <c r="B16" i="1" s="1"/>
  <c r="F34" i="9" l="1"/>
  <c r="F33" i="9"/>
  <c r="F32" i="9"/>
  <c r="B32" i="9"/>
  <c r="B33" i="9"/>
  <c r="B34" i="9"/>
  <c r="B31" i="9"/>
  <c r="F7" i="9"/>
  <c r="F8" i="9"/>
  <c r="F6" i="9"/>
  <c r="E7" i="9"/>
  <c r="B6" i="9"/>
  <c r="B7" i="9"/>
  <c r="B8" i="9"/>
  <c r="B5" i="9"/>
  <c r="B37" i="4" l="1"/>
  <c r="B37" i="1" s="1"/>
  <c r="F11" i="1" l="1"/>
  <c r="D21" i="16" s="1"/>
  <c r="B39" i="4"/>
  <c r="B39" i="1" s="1"/>
  <c r="F5" i="4"/>
  <c r="F5" i="1" s="1"/>
  <c r="D9" i="16" s="1"/>
  <c r="F6" i="4"/>
  <c r="F6" i="1" s="1"/>
  <c r="D10" i="16" s="1"/>
  <c r="F8" i="4"/>
  <c r="F8" i="1" s="1"/>
  <c r="D17" i="16" s="1"/>
  <c r="B52" i="16" s="1"/>
  <c r="B53" i="16" s="1"/>
  <c r="F9" i="4"/>
  <c r="F9" i="1" s="1"/>
  <c r="D19" i="16" s="1"/>
  <c r="F10" i="4"/>
  <c r="F10" i="1" s="1"/>
  <c r="D15" i="16" s="1"/>
  <c r="F4" i="4"/>
  <c r="F4" i="1" s="1"/>
  <c r="D8" i="16" s="1"/>
  <c r="B57" i="16" l="1"/>
  <c r="B56" i="16"/>
  <c r="B55" i="16" s="1"/>
  <c r="D20" i="16" s="1"/>
  <c r="K14" i="9"/>
  <c r="G6" i="9"/>
  <c r="I6" i="9" l="1"/>
  <c r="J6" i="9" s="1"/>
  <c r="G32" i="9"/>
  <c r="I32" i="9" s="1"/>
  <c r="J32" i="9" s="1"/>
  <c r="K6" i="9" l="1"/>
  <c r="K32" i="9"/>
  <c r="G5" i="9" l="1"/>
  <c r="I5" i="9" s="1"/>
  <c r="J5" i="9" l="1"/>
  <c r="K5" i="9"/>
  <c r="E11" i="1" l="1"/>
  <c r="B15" i="1"/>
  <c r="B14" i="1"/>
  <c r="A11" i="1"/>
  <c r="B49" i="4"/>
  <c r="B49" i="1" s="1"/>
  <c r="D18" i="16" s="1"/>
  <c r="B42" i="4"/>
  <c r="B42" i="1" s="1"/>
  <c r="B43" i="4"/>
  <c r="B43" i="1" s="1"/>
  <c r="B38" i="4"/>
  <c r="B38" i="1" s="1"/>
  <c r="B36" i="1"/>
  <c r="E15" i="1"/>
  <c r="E14" i="1"/>
  <c r="E5" i="1"/>
  <c r="E6" i="1"/>
  <c r="E8" i="1"/>
  <c r="E9" i="1"/>
  <c r="E10" i="1"/>
  <c r="E4" i="1"/>
  <c r="G31" i="9" l="1"/>
  <c r="I31" i="9" s="1"/>
  <c r="K31" i="9" s="1"/>
  <c r="A1" i="1"/>
  <c r="J31" i="9" l="1"/>
  <c r="A5" i="4"/>
  <c r="A5" i="1" s="1"/>
  <c r="A6" i="4"/>
  <c r="A6" i="1" s="1"/>
  <c r="A8" i="4"/>
  <c r="A8" i="1" s="1"/>
  <c r="A9" i="4"/>
  <c r="A9" i="1" s="1"/>
  <c r="A10" i="4"/>
  <c r="A10" i="1" s="1"/>
  <c r="A4" i="4"/>
  <c r="A4" i="1" s="1"/>
  <c r="G33" i="9" l="1"/>
  <c r="I33" i="9" s="1"/>
  <c r="G7" i="9"/>
  <c r="I7" i="9" s="1"/>
  <c r="J7" i="9" s="1"/>
  <c r="K7" i="9" l="1"/>
  <c r="G8" i="9"/>
  <c r="I8" i="9" s="1"/>
  <c r="J33" i="9"/>
  <c r="K33" i="9"/>
  <c r="G34" i="9"/>
  <c r="I34" i="9" s="1"/>
  <c r="J8" i="9" l="1"/>
  <c r="J10" i="9" s="1"/>
  <c r="J11" i="9" s="1"/>
  <c r="K8" i="9"/>
  <c r="K10" i="9" s="1"/>
  <c r="K34" i="9"/>
  <c r="K36" i="9" s="1"/>
  <c r="J34" i="9"/>
  <c r="J36" i="9" s="1"/>
  <c r="J37" i="9" s="1"/>
  <c r="J38" i="9" l="1"/>
  <c r="J39" i="9" s="1"/>
  <c r="J40" i="9" s="1"/>
  <c r="M106" i="15" s="1"/>
  <c r="J12" i="9"/>
  <c r="J13" i="9" s="1"/>
  <c r="J14" i="9" s="1"/>
  <c r="M104" i="15" s="1"/>
  <c r="N104" i="15" l="1"/>
  <c r="O104" i="15" s="1"/>
  <c r="P104" i="15" s="1"/>
  <c r="A123" i="15"/>
  <c r="A125" i="15" s="1"/>
  <c r="A129" i="15" l="1"/>
  <c r="A131" i="15" s="1"/>
  <c r="A134" i="15" s="1"/>
  <c r="B47" i="5" s="1"/>
  <c r="B46" i="4" s="1"/>
  <c r="B46" i="1" s="1"/>
  <c r="A128" i="15"/>
  <c r="E2" i="5" s="1"/>
  <c r="A2" i="4" s="1"/>
  <c r="A2" i="1" s="1"/>
  <c r="L31" i="4" l="1"/>
  <c r="L31" i="1" s="1"/>
  <c r="P106" i="15"/>
  <c r="P105" i="15"/>
  <c r="L32" i="4" l="1"/>
  <c r="L32" i="1" s="1"/>
  <c r="L33" i="4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3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Automatis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136" authorId="0" shapeId="0" xr:uid="{53DB9A4A-0C40-49C1-A2BF-9C49A4437013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Spasi</t>
        </r>
      </text>
    </comment>
  </commentList>
</comments>
</file>

<file path=xl/sharedStrings.xml><?xml version="1.0" encoding="utf-8"?>
<sst xmlns="http://schemas.openxmlformats.org/spreadsheetml/2006/main" count="2649" uniqueCount="451">
  <si>
    <t>Merek</t>
  </si>
  <si>
    <t xml:space="preserve">: </t>
  </si>
  <si>
    <t>Model/Tipe</t>
  </si>
  <si>
    <t>No. Seri</t>
  </si>
  <si>
    <t>Tanggal Penerimaan Alat</t>
  </si>
  <si>
    <t>:</t>
  </si>
  <si>
    <t>Tanggal Kalibrasi</t>
  </si>
  <si>
    <t>Tempat Kalibrasi</t>
  </si>
  <si>
    <t>Nama Ruang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</si>
  <si>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</si>
  <si>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</si>
  <si>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</si>
  <si>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</si>
  <si>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</si>
  <si>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</si>
  <si>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</si>
  <si>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</si>
  <si>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 - jala</t>
  </si>
  <si>
    <t>Volt</t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</si>
  <si>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</si>
  <si>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</si>
  <si>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</si>
  <si>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</si>
  <si>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</si>
  <si>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</si>
  <si>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</si>
  <si>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</si>
  <si>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</si>
  <si>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</si>
  <si>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</si>
  <si>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Resistansi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</si>
  <si>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</si>
  <si>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</si>
  <si>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</si>
  <si>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</si>
  <si>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</si>
  <si>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</si>
  <si>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≤ 500</t>
  </si>
  <si>
    <t>IV.</t>
  </si>
  <si>
    <t xml:space="preserve">Hasil Pengukuran Kinerja </t>
  </si>
  <si>
    <t>No</t>
  </si>
  <si>
    <t xml:space="preserve"> Pembacaan Standar</t>
  </si>
  <si>
    <t>I</t>
  </si>
  <si>
    <t>II</t>
  </si>
  <si>
    <t>III</t>
  </si>
  <si>
    <t>IV</t>
  </si>
  <si>
    <t>V</t>
  </si>
  <si>
    <t>Breath Rate (BPM)</t>
  </si>
  <si>
    <t>V.</t>
  </si>
  <si>
    <t>Keterangan</t>
  </si>
  <si>
    <t>Ketidakpastian pengukuran dilaporkan pada tingkat kepercayaan 95 % dengan faktor cakupan k = 2</t>
  </si>
  <si>
    <t>VI.</t>
  </si>
  <si>
    <t>Alat Ukur yang Digunakan</t>
  </si>
  <si>
    <t>Gas Flow Analyzer, Merek : IMT Medical, Model : PF-300, SN (BA 120302/ BA 101580)</t>
  </si>
  <si>
    <t>Gas Flow Analyzer, Merek : Rigel, Model : Ventest 800, SN (BA 120986/ BA 120987/ BA200651)</t>
  </si>
  <si>
    <t>Gas Flow Analyzer, Merek : Fluke, Model : VT 305, SN (BF100519/BF102163/BF102142)</t>
  </si>
  <si>
    <t>Gas Flow Analyzer, Merek : Fluke, Model : VT Plus HF, SN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</si>
  <si>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</si>
  <si>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</si>
  <si>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</si>
  <si>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</si>
  <si>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</si>
  <si>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</si>
  <si>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</si>
  <si>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</si>
  <si>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</si>
  <si>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</si>
  <si>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</si>
  <si>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</si>
  <si>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 xml:space="preserve">Alat yang di kalibrasi dalam batas toleransi dan dinyatakan LAIK PAKAI </t>
  </si>
  <si>
    <t xml:space="preserve">Alat yang di kalibrasi melebihi batas toleransi dan dinyatakan TIDAK LAIK PAKAI </t>
  </si>
  <si>
    <t>Choirul Huda</t>
  </si>
  <si>
    <t>IPPV</t>
  </si>
  <si>
    <t>Dany Firmanto</t>
  </si>
  <si>
    <t>IMV</t>
  </si>
  <si>
    <t>Donny Martha</t>
  </si>
  <si>
    <t>SIMV</t>
  </si>
  <si>
    <t>Supriyanto</t>
  </si>
  <si>
    <t>PSV</t>
  </si>
  <si>
    <t>Rangga Setyo Hantoko</t>
  </si>
  <si>
    <t>VCV</t>
  </si>
  <si>
    <t>: Baik</t>
  </si>
  <si>
    <t>: Tidak Baik</t>
  </si>
  <si>
    <t>3. Electical Safety Analyzer, Merek : Fluke, Model : ESA 615 (2853077)( Tertelusur ke PT. Kaliman )</t>
  </si>
  <si>
    <t>3. Electical Safety Analyzer, Merek : Fluke, Model : ESA 615 (2853078)( Tertelusur ke PT. Kaliman )</t>
  </si>
  <si>
    <t>3. Electical Safety Analyzer, Merek : Fluke, Model : ESA 620 (1834020)( Tertelusur ke Caltek PTE LTD )</t>
  </si>
  <si>
    <t>3. Electical Safety Analyzer, Merek : Fluke, Model : ESA 620 (1837056)( Tertelusur ke Fluke Biomedical )</t>
  </si>
  <si>
    <t>Bbraun</t>
  </si>
  <si>
    <t>Terumo</t>
  </si>
  <si>
    <t>Baik</t>
  </si>
  <si>
    <t>Otsuka</t>
  </si>
  <si>
    <t>Tidak Baik</t>
  </si>
  <si>
    <t>Onemed</t>
  </si>
  <si>
    <t>Other</t>
  </si>
  <si>
    <t>, 10 drops.</t>
  </si>
  <si>
    <t>, 20 drops.</t>
  </si>
  <si>
    <t>, 60 drops.</t>
  </si>
  <si>
    <t>, - .</t>
  </si>
  <si>
    <t>% RH</t>
  </si>
  <si>
    <t>G</t>
  </si>
  <si>
    <t>Toleransi</t>
  </si>
  <si>
    <t>Kelas I</t>
  </si>
  <si>
    <t>Input NC</t>
  </si>
  <si>
    <t>-</t>
  </si>
  <si>
    <t>OL</t>
  </si>
  <si>
    <t>Resistansi Pembumian Protektif (kabel dapat dilepas)</t>
  </si>
  <si>
    <t>Arus bocor peralatan untuk peralatan elektromedik kelas I</t>
  </si>
  <si>
    <t>Alat ukur yang digunakan</t>
  </si>
  <si>
    <t>Flow Analyzer, Merek : Fluke, Model : VT Plus HF, SN : 2847038</t>
  </si>
  <si>
    <t>Electrical Safety Analyzer, Merek : Fluke, Model : ESA 620, SN : 1837056</t>
  </si>
  <si>
    <t>Thermohygrolight, Merek : KIMO, Model : KH-210-AO, SN : 15062873</t>
  </si>
  <si>
    <t>Kesimpulan</t>
  </si>
  <si>
    <t>VIII.</t>
  </si>
  <si>
    <t>Muhammad Irfan Husnuzhzhan</t>
  </si>
  <si>
    <t>IX.</t>
  </si>
  <si>
    <t>Tanggal Pembuatan Laporan</t>
  </si>
  <si>
    <t>M Zaenuri</t>
  </si>
  <si>
    <t>M Arrizal</t>
  </si>
  <si>
    <t>Rangga Setya Hantoko</t>
  </si>
  <si>
    <t>Isra M</t>
  </si>
  <si>
    <t>Muhammad Iqbal Saiful Rahman</t>
  </si>
  <si>
    <t>Muhammad Zainuri Sugiasmoro</t>
  </si>
  <si>
    <t>Isra Mahensa</t>
  </si>
  <si>
    <t>Hary Ernanto</t>
  </si>
  <si>
    <t>Pada titik pengukuran FiO2 melebihi toleransi</t>
  </si>
  <si>
    <t>Catu daya menggunakan baterai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</si>
  <si>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</si>
  <si>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</si>
  <si>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</si>
  <si>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</si>
  <si>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</si>
  <si>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</si>
  <si>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</si>
  <si>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</si>
  <si>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</si>
  <si>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</si>
  <si>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</si>
  <si>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</si>
  <si>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</si>
  <si>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</si>
  <si>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rect.</t>
  </si>
  <si>
    <t>Jumlah</t>
  </si>
  <si>
    <t>Ketidakpastian baku gabungan, uc</t>
  </si>
  <si>
    <r>
      <t>Uc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Ö</t>
    </r>
    <r>
      <rPr>
        <sz val="10"/>
        <rFont val="Times New Roman"/>
        <family val="1"/>
      </rPr>
      <t xml:space="preserve">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</si>
  <si>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</si>
  <si>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= u</t>
    </r>
    <r>
      <rPr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/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 4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</si>
  <si>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</si>
  <si>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</si>
  <si>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</si>
  <si>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</si>
  <si>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cmH2O</t>
  </si>
  <si>
    <t>Metode Kerja</t>
  </si>
  <si>
    <t xml:space="preserve">I.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</si>
  <si>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</si>
  <si>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</si>
  <si>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</si>
  <si>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</si>
  <si>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</si>
  <si>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</si>
  <si>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Pembacaan Standar</t>
  </si>
  <si>
    <t>Koreksi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</si>
  <si>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</si>
  <si>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</si>
  <si>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</si>
  <si>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</si>
  <si>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Nama</t>
  </si>
  <si>
    <t>Tanggal</t>
  </si>
  <si>
    <t>Paraf</t>
  </si>
  <si>
    <t>Diperiksa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</si>
  <si>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</si>
  <si>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</si>
  <si>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</si>
  <si>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</si>
  <si>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: Choirul Huda</t>
  </si>
  <si>
    <t>: Dany Firmanto</t>
  </si>
  <si>
    <t>: Donny Martha</t>
  </si>
  <si>
    <t>: Supriyanto</t>
  </si>
  <si>
    <t>: Rangga Setyo Hantoko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</si>
  <si>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</si>
  <si>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</si>
  <si>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>Hasil Pemeriksaan Kondisi Fisik dan Fungsi komponen alat.</t>
  </si>
  <si>
    <t xml:space="preserve">VI. </t>
  </si>
  <si>
    <t>Menyetujui,</t>
  </si>
  <si>
    <t>Kepala Instalasi Laboratorium</t>
  </si>
  <si>
    <t>Pengujian dan Kalibrasi</t>
  </si>
  <si>
    <t>Choirul Huda, S.Tr. Kes</t>
  </si>
  <si>
    <t>Halaman 2 dari 3 halaman</t>
  </si>
  <si>
    <t>Halaman 3 dari 3 halaman</t>
  </si>
  <si>
    <t>NIP 198103112010121001</t>
  </si>
  <si>
    <t>NIP 198008062010121001</t>
  </si>
  <si>
    <t>SERTIFIKAT KALIBRASI</t>
  </si>
  <si>
    <t xml:space="preserve">                                                                 </t>
  </si>
  <si>
    <t>FV.09</t>
  </si>
  <si>
    <t xml:space="preserve">Nama Alat            : </t>
  </si>
  <si>
    <t>Anasthesi Ventilator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</si>
  <si>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</si>
  <si>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</si>
  <si>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</si>
  <si>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</si>
  <si>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</si>
  <si>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</si>
  <si>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</si>
  <si>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Lokasi Kalibrasi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</si>
  <si>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</si>
  <si>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</si>
  <si>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</si>
  <si>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</si>
  <si>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</si>
  <si>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</si>
  <si>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</si>
  <si>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</si>
  <si>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</si>
  <si>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</si>
  <si>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</si>
  <si>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</si>
  <si>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</si>
  <si>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</si>
  <si>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</si>
  <si>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</si>
  <si>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</si>
  <si>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</si>
  <si>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</si>
  <si>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</si>
  <si>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</si>
  <si>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</si>
  <si>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</si>
  <si>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</si>
  <si>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</si>
  <si>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</si>
  <si>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</si>
  <si>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</si>
  <si>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</si>
  <si>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</si>
  <si>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</si>
  <si>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</si>
  <si>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</si>
  <si>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</si>
  <si>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</si>
  <si>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</si>
  <si>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</si>
  <si>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</si>
  <si>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</si>
  <si>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</si>
  <si>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</si>
  <si>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</si>
  <si>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</si>
  <si>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</si>
  <si>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</si>
  <si>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</si>
  <si>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</si>
  <si>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</si>
  <si>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</si>
  <si>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</si>
  <si>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</si>
  <si>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</si>
  <si>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</si>
  <si>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</si>
  <si>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</si>
  <si>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</si>
  <si>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</si>
  <si>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</si>
  <si>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</si>
  <si>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</si>
  <si>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</si>
  <si>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</si>
  <si>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</si>
  <si>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</si>
  <si>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</si>
  <si>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</si>
  <si>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</si>
  <si>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</si>
  <si>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</si>
  <si>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</si>
  <si>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</si>
  <si>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</si>
  <si>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</si>
  <si>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</si>
  <si>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</si>
  <si>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</si>
  <si>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</si>
  <si>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</si>
  <si>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</si>
  <si>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</si>
  <si>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</si>
  <si>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</si>
  <si>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</si>
  <si>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</si>
  <si>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</si>
  <si>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</si>
  <si>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</si>
  <si>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</si>
  <si>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</si>
  <si>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</si>
  <si>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</si>
  <si>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</si>
  <si>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</si>
  <si>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</si>
  <si>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</si>
  <si>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</si>
  <si>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</si>
  <si>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</si>
  <si>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</si>
  <si>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</si>
  <si>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</si>
  <si>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</si>
  <si>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</si>
  <si>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</si>
  <si>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</si>
  <si>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</si>
  <si>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</si>
  <si>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</si>
  <si>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</si>
  <si>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</si>
  <si>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</si>
  <si>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</si>
  <si>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</si>
  <si>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</si>
  <si>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</si>
  <si>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</si>
  <si>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</si>
  <si>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</si>
  <si>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</si>
  <si>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</si>
  <si>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</si>
  <si>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</si>
  <si>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</si>
  <si>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</si>
  <si>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</si>
  <si>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</si>
  <si>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</si>
  <si>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</si>
  <si>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</si>
  <si>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</si>
  <si>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</si>
  <si>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</si>
  <si>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</si>
  <si>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</si>
  <si>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</si>
  <si>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</si>
  <si>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</si>
  <si>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</si>
  <si>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FLOW ANALYZER</t>
  </si>
  <si>
    <t>INPUT SERTIFIKAT PRESSURE ANALYZER</t>
  </si>
  <si>
    <t>1. KOREKSI VT305 BF100519</t>
  </si>
  <si>
    <t>U95 STD</t>
  </si>
  <si>
    <t>3. KOREKSI PF-300 BA101580</t>
  </si>
  <si>
    <t>5. KOREKSI VT305 BF102142</t>
  </si>
  <si>
    <t>U95    STD</t>
  </si>
  <si>
    <t>Setting Flow</t>
  </si>
  <si>
    <t>Pressure</t>
  </si>
  <si>
    <t>( l/min )</t>
  </si>
  <si>
    <t>2. KOREKSI VT Plus HF 2847038</t>
  </si>
  <si>
    <t>4. KOREKSI PF-300 BA120302</t>
  </si>
  <si>
    <t>6. KOREKSI VT305 BF102163</t>
  </si>
  <si>
    <t>7. KOREKSI RIGEL BA120986</t>
  </si>
  <si>
    <t>Setting Pressure</t>
  </si>
  <si>
    <t>8. KOREKSI RIGEL BA120987</t>
  </si>
  <si>
    <t>9. KOREKSI RIGEL BA200651</t>
  </si>
  <si>
    <t>10. KOREKSI VT900A 5101035-5102036</t>
  </si>
  <si>
    <t>11. KOREKSI VT900A 510175-5102038</t>
  </si>
  <si>
    <t>Drift</t>
  </si>
  <si>
    <t>Koreksi Relatif (%)</t>
  </si>
  <si>
    <t>Baru</t>
  </si>
  <si>
    <t>Lama</t>
  </si>
  <si>
    <t>Hasil kalibrasi Flow tertelusur ke Satuan Internasional ( SI ) melalui PT. CALTEK PTE LTD</t>
  </si>
  <si>
    <t>Hasil kalibrasi Pressure tertelusur ke Satuan Internasional ( SI ) melalui PT. CALTEK PTE LTD</t>
  </si>
  <si>
    <t>Hasil kalibrasi Flow tertelusur ke Satuan Internasional ( SI ) melalui IMT MEDICAL</t>
  </si>
  <si>
    <t>Hasil kalibrasi Pressure tertelusur ke Satuan Internasional ( SI ) melalui IMT MEDICAL</t>
  </si>
  <si>
    <t>Flow Analyzer, Merek : IMT Medical, Model : PF-300, SN : BA121302</t>
  </si>
  <si>
    <t>Flow Analyzer, Merek : Fluke, Model : VT305, SN : BF102142</t>
  </si>
  <si>
    <t>Hasil kalibrasi Flow tertelusur ke Satuan Internasional ( SI ) melalui FLUKE BIOMEDICAL</t>
  </si>
  <si>
    <t>Hasil kalibrasi Pressure tertelusur ke Satuan Internasional ( SI ) melalui FLUKE BIOMEDICAL</t>
  </si>
  <si>
    <t>Flow Analyzer, Merek : Fluke, Model : VT305, SN : BF102163</t>
  </si>
  <si>
    <t>Hasil kalibrasi Flow tertelusur ke Satuan Internasional ( SI ) melalui RIGEL Medical</t>
  </si>
  <si>
    <t>Hasil kalibrasi Pressure tertelusur ke Satuan Internasional ( SI ) melalui RIGEL Medical</t>
  </si>
  <si>
    <t>Flow Analyzer, Merek : RIGEL, Model : Ventest 800, SN : BA120987</t>
  </si>
  <si>
    <t>Flow Analyzer, Merek : RIGEL, Model : Ventest 800, SN : BA200651</t>
  </si>
  <si>
    <t>Azhar Alamsyah</t>
  </si>
  <si>
    <t>Dewi Nofitasari</t>
  </si>
  <si>
    <t>Fatimah Novrianisa</t>
  </si>
  <si>
    <t>Gusti Arya Dinata</t>
  </si>
  <si>
    <t>Hamdan Syarif</t>
  </si>
  <si>
    <t>Muhammad Alpian Hadi</t>
  </si>
  <si>
    <t>Muhammad Ihsan Ilyas</t>
  </si>
  <si>
    <t>Muhammad Zaenuri Sugiasmoro</t>
  </si>
  <si>
    <t>Ryan Rama Chaesar R</t>
  </si>
  <si>
    <t>Septia Khairunnisa</t>
  </si>
  <si>
    <t>Sholihatussa'diah</t>
  </si>
  <si>
    <t>Siti Fathul Jannah</t>
  </si>
  <si>
    <t>Dibuat :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</si>
  <si>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</si>
  <si>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</si>
  <si>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</si>
  <si>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</si>
  <si>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</si>
  <si>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</si>
  <si>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Flow Analyzer, Merek : Rigel, Model : VT900A, SN : 5101035-5102036</t>
  </si>
  <si>
    <t>Flow Analyzer, Merek : Rigel, Model : VT900A, SN : 5101752-5102038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</si>
  <si>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</si>
  <si>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</si>
  <si>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Score (%)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</si>
  <si>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A</t>
    </r>
    <r>
      <rPr>
        <sz val="10"/>
        <rFont val="Symbol"/>
        <family val="1"/>
        <charset val="2"/>
      </rPr>
      <t xml:space="preserve"> </t>
    </r>
  </si>
  <si>
    <t>2. Sertifikat Standar</t>
  </si>
  <si>
    <t>4. Drift Standar</t>
  </si>
  <si>
    <t>3. Resolusi UUT</t>
  </si>
  <si>
    <t>Ketidakpastian Pengukuran</t>
  </si>
  <si>
    <t>±</t>
  </si>
  <si>
    <t>Rata-rata</t>
  </si>
  <si>
    <t>Daya Baca UUT</t>
  </si>
  <si>
    <t>U95 Sertifikat</t>
  </si>
  <si>
    <t>Hasil U95</t>
  </si>
  <si>
    <t>MAX</t>
  </si>
  <si>
    <t>Decimal</t>
  </si>
  <si>
    <t>HASIL 2-SD</t>
  </si>
  <si>
    <t>Score TOTAL KINERJA</t>
  </si>
  <si>
    <t>Koreksi Relatif ABS</t>
  </si>
  <si>
    <t>LEMBAR KERJA BPAP</t>
  </si>
  <si>
    <t>Nomor Sertifikat / Nomor Surat Keterangan : 82 / ……. / …….. - …….. / E - ………………</t>
  </si>
  <si>
    <t>Mode yang digunakan :</t>
  </si>
  <si>
    <t>Peak Inspirasi Pressure (PIP) / (IPAP) (mbar)</t>
  </si>
  <si>
    <t>Positive End Expiratory Pressure (PEEP) / (EPAP) (mbar)</t>
  </si>
  <si>
    <t>Input Data Kalibrasi BPAP</t>
  </si>
  <si>
    <t>Nomor Sertifikat : 82 /</t>
  </si>
  <si>
    <t>Nomor Surat Keterangan : 82 / M -</t>
  </si>
  <si>
    <t>yuwell</t>
  </si>
  <si>
    <t>YH-730</t>
  </si>
  <si>
    <t>YH730A-V20408384</t>
  </si>
  <si>
    <t>Ruang Anggrek</t>
  </si>
  <si>
    <t>Mode yang digunakan : ST</t>
  </si>
  <si>
    <t>mbar</t>
  </si>
  <si>
    <t>BPM</t>
  </si>
  <si>
    <t>MK 069-18</t>
  </si>
  <si>
    <t>HASIL KALIBRASI BPAP</t>
  </si>
  <si>
    <t>Setting Alat</t>
  </si>
  <si>
    <t>FORECAST</t>
  </si>
  <si>
    <t>Konversi mbar</t>
  </si>
  <si>
    <t>TEKANAN</t>
  </si>
  <si>
    <r>
      <t>Hasil Pemeriksaan Kondisi Fisik dan Fungsi komponen alat</t>
    </r>
    <r>
      <rPr>
        <b/>
        <vertAlign val="superscript"/>
        <sz val="11"/>
        <rFont val="Arial"/>
        <family val="2"/>
      </rPr>
      <t>.</t>
    </r>
  </si>
  <si>
    <t>bpm</t>
  </si>
  <si>
    <t>1 / IX - 22 / E - 095.139 DL</t>
  </si>
  <si>
    <t>19 September 2022</t>
  </si>
  <si>
    <t>Ruang Lily</t>
  </si>
  <si>
    <t>Nilai Drift Nol (0)</t>
  </si>
  <si>
    <t>No.</t>
  </si>
  <si>
    <t>Revisi</t>
  </si>
  <si>
    <t>Oleh</t>
  </si>
  <si>
    <t>Rev 0 : 25.9.2022</t>
  </si>
  <si>
    <t>25 September 2022</t>
  </si>
  <si>
    <t>Flow Analyzer, Merek : Fluke, Model : VT305, SN : BF100519</t>
  </si>
  <si>
    <t>Flow Analyzer, Merek : IMT Medical, Model : PF-300, SN : BA101580</t>
  </si>
  <si>
    <t>Flow Analyzer, Merek : RIGEL, Model : Ventest 800, SN : BA120986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</si>
</sst>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"/>
    <numFmt numFmtId="165" formatCode="0.0000"/>
    <numFmt numFmtId="166" formatCode="0.0"/>
    <numFmt numFmtId="167" formatCode="0.00000"/>
    <numFmt numFmtId="168" formatCode="0.0\ \ \ \ \ \ \±"/>
    <numFmt numFmtId="169" formatCode="0.0\ &quot;Volt&quot;"/>
    <numFmt numFmtId="170" formatCode="0.0\ &quot;MΩ&quot;"/>
    <numFmt numFmtId="171" formatCode="0.0000000000"/>
    <numFmt numFmtId="172" formatCode="0.000\ \Ω"/>
    <numFmt numFmtId="173" formatCode="0.0\ \µ\A"/>
    <numFmt numFmtId="174" formatCode="\≤\ 0\ \µ\A"/>
    <numFmt numFmtId="175" formatCode="\≤\ 0.0\ \Ω"/>
    <numFmt numFmtId="176" formatCode="\&gt;\ 0\ &quot;MΩ&quot;"/>
    <numFmt numFmtId="177" formatCode="\&gt;\ 0"/>
    <numFmt numFmtId="178" formatCode="\±\ 0.00"/>
    <numFmt numFmtId="179" formatCode="0.000000"/>
    <numFmt numFmtId="180" formatCode="[$-F800]dddd\,\ mmmm\ dd\,\ yyyy"/>
    <numFmt numFmtId="181" formatCode="\±\ 0\ %"/>
    <numFmt numFmtId="182" formatCode="\±\ 0"/>
    <numFmt numFmtId="183" formatCode="[$-421]dd\ mmmm\ yyyy;@"/>
    <numFmt numFmtId="184" formatCode="\±\ 0\ &quot;%&quot;"/>
    <numFmt numFmtId="185" formatCode="0.0000000"/>
  </numFmts>
  <fonts count="10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3"/>
      <name val="Calibri"/>
      <family val="2"/>
      <scheme val="minor"/>
    </font>
    <font>
      <i/>
      <u/>
      <sz val="8"/>
      <name val="Calibri"/>
      <family val="2"/>
      <scheme val="minor"/>
    </font>
    <font>
      <sz val="10"/>
      <color theme="0" tint="-0.249977111117893"/>
      <name val="Arial"/>
      <family val="2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1"/>
      <name val="Times New Roman"/>
      <family val="1"/>
    </font>
    <font>
      <sz val="10"/>
      <color theme="0" tint="-0.14999847407452621"/>
      <name val="Arial"/>
      <family val="2"/>
    </font>
    <font>
      <b/>
      <i/>
      <sz val="10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b/>
      <sz val="8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8"/>
      <color theme="0"/>
      <name val="Times New Roman"/>
      <family val="1"/>
    </font>
    <font>
      <vertAlign val="subscript"/>
      <sz val="10"/>
      <name val="Times New Roman"/>
      <family val="1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name val="Times New Roman"/>
      <family val="1"/>
    </font>
    <font>
      <b/>
      <i/>
      <sz val="9"/>
      <name val="Arial"/>
      <family val="2"/>
    </font>
    <font>
      <b/>
      <u/>
      <sz val="24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sz val="11"/>
      <color rgb="FF963634"/>
      <name val="Times New Roman"/>
      <family val="1"/>
    </font>
    <font>
      <b/>
      <i/>
      <u/>
      <sz val="11"/>
      <color rgb="FFFFFF00"/>
      <name val="Arial"/>
      <family val="2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Times New Roman"/>
      <family val="1"/>
    </font>
    <font>
      <b/>
      <i/>
      <sz val="11"/>
      <color rgb="FFFFFF00"/>
      <name val="Arial"/>
      <family val="2"/>
    </font>
    <font>
      <sz val="11"/>
      <color rgb="FFFFFF00"/>
      <name val="Arial"/>
      <family val="2"/>
    </font>
    <font>
      <b/>
      <sz val="20"/>
      <color rgb="FFFFFF00"/>
      <name val="Arial"/>
      <family val="2"/>
    </font>
    <font>
      <b/>
      <u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vertAlign val="superscript"/>
      <sz val="11"/>
      <name val="Arial"/>
      <family val="2"/>
    </font>
    <font>
      <b/>
      <u/>
      <sz val="11"/>
      <name val="Arial"/>
      <family val="2"/>
    </font>
    <font>
      <sz val="10"/>
      <color theme="0"/>
      <name val="Arial"/>
      <family val="2"/>
    </font>
    <font>
      <b/>
      <u/>
      <sz val="12"/>
      <name val="Arial"/>
      <family val="2"/>
    </font>
    <font>
      <vertAlign val="superscript"/>
      <sz val="11"/>
      <name val="Arial"/>
      <family val="2"/>
    </font>
    <font>
      <vertAlign val="superscript"/>
      <sz val="9"/>
      <name val="Arial"/>
      <family val="2"/>
    </font>
    <font>
      <u/>
      <sz val="11"/>
      <name val="Arial"/>
      <family val="2"/>
    </font>
    <font>
      <b/>
      <sz val="14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i/>
      <u/>
      <sz val="8"/>
      <name val="Arial"/>
      <family val="2"/>
    </font>
    <font>
      <u/>
      <sz val="10"/>
      <name val="Arial"/>
      <family val="2"/>
    </font>
    <font>
      <sz val="11"/>
      <color theme="0" tint="-0.14999847407452621"/>
      <name val="Arial"/>
      <family val="2"/>
    </font>
    <font>
      <sz val="10"/>
      <color theme="1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261">
    <xf numFmtId="0" fontId="0" fillId="0" borderId="0" xfId="0"/>
    <xf numFmtId="0" fontId="26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2" fillId="2" borderId="26" xfId="2" applyFont="1" applyFill="1" applyBorder="1" applyAlignment="1">
      <alignment horizontal="center"/>
    </xf>
    <xf numFmtId="0" fontId="8" fillId="2" borderId="39" xfId="2" applyFont="1" applyFill="1" applyBorder="1" applyAlignment="1">
      <alignment horizontal="left"/>
    </xf>
    <xf numFmtId="0" fontId="8" fillId="2" borderId="17" xfId="2" applyFont="1" applyFill="1" applyBorder="1" applyAlignment="1">
      <alignment horizontal="center"/>
    </xf>
    <xf numFmtId="164" fontId="8" fillId="2" borderId="18" xfId="2" applyNumberFormat="1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11" fontId="8" fillId="2" borderId="18" xfId="2" applyNumberFormat="1" applyFont="1" applyFill="1" applyBorder="1" applyAlignment="1">
      <alignment horizontal="center"/>
    </xf>
    <xf numFmtId="11" fontId="8" fillId="2" borderId="36" xfId="2" applyNumberFormat="1" applyFont="1" applyFill="1" applyBorder="1" applyAlignment="1">
      <alignment horizontal="center"/>
    </xf>
    <xf numFmtId="0" fontId="8" fillId="2" borderId="37" xfId="2" applyFont="1" applyFill="1" applyBorder="1" applyAlignment="1">
      <alignment horizontal="left"/>
    </xf>
    <xf numFmtId="0" fontId="8" fillId="2" borderId="25" xfId="2" applyFont="1" applyFill="1" applyBorder="1" applyAlignment="1">
      <alignment horizontal="center"/>
    </xf>
    <xf numFmtId="164" fontId="8" fillId="2" borderId="28" xfId="2" applyNumberFormat="1" applyFont="1" applyFill="1" applyBorder="1" applyAlignment="1">
      <alignment horizontal="center"/>
    </xf>
    <xf numFmtId="2" fontId="8" fillId="2" borderId="1" xfId="2" applyNumberFormat="1" applyFont="1" applyFill="1" applyBorder="1" applyAlignment="1">
      <alignment horizontal="center"/>
    </xf>
    <xf numFmtId="165" fontId="8" fillId="2" borderId="25" xfId="2" applyNumberFormat="1" applyFont="1" applyFill="1" applyBorder="1" applyAlignment="1">
      <alignment horizontal="center"/>
    </xf>
    <xf numFmtId="11" fontId="8" fillId="2" borderId="17" xfId="2" applyNumberFormat="1" applyFont="1" applyFill="1" applyBorder="1" applyAlignment="1">
      <alignment horizontal="center"/>
    </xf>
    <xf numFmtId="11" fontId="8" fillId="2" borderId="38" xfId="2" applyNumberFormat="1" applyFont="1" applyFill="1" applyBorder="1" applyAlignment="1">
      <alignment horizontal="center"/>
    </xf>
    <xf numFmtId="164" fontId="8" fillId="2" borderId="17" xfId="2" applyNumberFormat="1" applyFont="1" applyFill="1" applyBorder="1" applyAlignment="1">
      <alignment horizontal="center"/>
    </xf>
    <xf numFmtId="2" fontId="8" fillId="2" borderId="17" xfId="2" applyNumberFormat="1" applyFont="1" applyFill="1" applyBorder="1" applyAlignment="1">
      <alignment horizontal="center"/>
    </xf>
    <xf numFmtId="165" fontId="8" fillId="2" borderId="17" xfId="2" applyNumberFormat="1" applyFont="1" applyFill="1" applyBorder="1" applyAlignment="1">
      <alignment horizontal="center"/>
    </xf>
    <xf numFmtId="11" fontId="8" fillId="2" borderId="40" xfId="2" applyNumberFormat="1" applyFont="1" applyFill="1" applyBorder="1" applyAlignment="1">
      <alignment horizontal="center"/>
    </xf>
    <xf numFmtId="0" fontId="8" fillId="2" borderId="39" xfId="2" applyFont="1" applyFill="1" applyBorder="1"/>
    <xf numFmtId="164" fontId="8" fillId="2" borderId="29" xfId="2" applyNumberFormat="1" applyFont="1" applyFill="1" applyBorder="1" applyAlignment="1">
      <alignment horizontal="center"/>
    </xf>
    <xf numFmtId="2" fontId="10" fillId="2" borderId="0" xfId="2" applyNumberFormat="1" applyFont="1" applyFill="1"/>
    <xf numFmtId="11" fontId="8" fillId="2" borderId="15" xfId="2" applyNumberFormat="1" applyFont="1" applyFill="1" applyBorder="1" applyAlignment="1">
      <alignment horizontal="center"/>
    </xf>
    <xf numFmtId="11" fontId="8" fillId="2" borderId="41" xfId="2" applyNumberFormat="1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right" vertical="center"/>
    </xf>
    <xf numFmtId="0" fontId="32" fillId="2" borderId="36" xfId="0" applyFont="1" applyFill="1" applyBorder="1" applyAlignment="1">
      <alignment horizontal="center" vertical="center"/>
    </xf>
    <xf numFmtId="0" fontId="2" fillId="2" borderId="49" xfId="2" applyFont="1" applyFill="1" applyBorder="1" applyAlignment="1">
      <alignment horizontal="center"/>
    </xf>
    <xf numFmtId="0" fontId="19" fillId="2" borderId="0" xfId="0" applyFont="1" applyFill="1" applyAlignment="1">
      <alignment vertical="center"/>
    </xf>
    <xf numFmtId="164" fontId="19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horizontal="left" vertical="center"/>
    </xf>
    <xf numFmtId="0" fontId="22" fillId="2" borderId="0" xfId="0" quotePrefix="1" applyFont="1" applyFill="1" applyAlignment="1">
      <alignment vertical="center"/>
    </xf>
    <xf numFmtId="2" fontId="14" fillId="5" borderId="17" xfId="2" applyNumberFormat="1" applyFont="1" applyFill="1" applyBorder="1" applyAlignment="1">
      <alignment horizontal="center" vertical="center"/>
    </xf>
    <xf numFmtId="2" fontId="8" fillId="5" borderId="17" xfId="2" applyNumberFormat="1" applyFont="1" applyFill="1" applyBorder="1" applyAlignment="1">
      <alignment horizontal="center" vertical="center"/>
    </xf>
    <xf numFmtId="2" fontId="1" fillId="5" borderId="17" xfId="2" applyNumberForma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62" xfId="2" applyFill="1" applyBorder="1"/>
    <xf numFmtId="0" fontId="1" fillId="2" borderId="63" xfId="2" applyFill="1" applyBorder="1"/>
    <xf numFmtId="0" fontId="47" fillId="2" borderId="17" xfId="2" applyFont="1" applyFill="1" applyBorder="1" applyAlignment="1">
      <alignment horizontal="center"/>
    </xf>
    <xf numFmtId="0" fontId="47" fillId="2" borderId="25" xfId="2" applyFont="1" applyFill="1" applyBorder="1" applyAlignment="1">
      <alignment horizontal="center"/>
    </xf>
    <xf numFmtId="2" fontId="47" fillId="2" borderId="25" xfId="2" applyNumberFormat="1" applyFont="1" applyFill="1" applyBorder="1" applyAlignment="1">
      <alignment horizontal="center"/>
    </xf>
    <xf numFmtId="0" fontId="47" fillId="2" borderId="38" xfId="2" applyFont="1" applyFill="1" applyBorder="1" applyAlignment="1">
      <alignment horizontal="center"/>
    </xf>
    <xf numFmtId="0" fontId="47" fillId="2" borderId="37" xfId="2" applyFont="1" applyFill="1" applyBorder="1" applyAlignment="1">
      <alignment horizontal="center"/>
    </xf>
    <xf numFmtId="0" fontId="47" fillId="2" borderId="35" xfId="2" applyFont="1" applyFill="1" applyBorder="1"/>
    <xf numFmtId="0" fontId="10" fillId="2" borderId="25" xfId="2" applyFont="1" applyFill="1" applyBorder="1"/>
    <xf numFmtId="2" fontId="10" fillId="2" borderId="25" xfId="2" applyNumberFormat="1" applyFont="1" applyFill="1" applyBorder="1"/>
    <xf numFmtId="0" fontId="49" fillId="2" borderId="25" xfId="2" applyFont="1" applyFill="1" applyBorder="1"/>
    <xf numFmtId="167" fontId="8" fillId="2" borderId="20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47" fillId="2" borderId="37" xfId="2" applyFont="1" applyFill="1" applyBorder="1"/>
    <xf numFmtId="0" fontId="8" fillId="2" borderId="36" xfId="2" applyFont="1" applyFill="1" applyBorder="1"/>
    <xf numFmtId="0" fontId="8" fillId="2" borderId="25" xfId="2" applyFont="1" applyFill="1" applyBorder="1"/>
    <xf numFmtId="164" fontId="8" fillId="2" borderId="20" xfId="2" applyNumberFormat="1" applyFont="1" applyFill="1" applyBorder="1" applyAlignment="1">
      <alignment horizontal="center"/>
    </xf>
    <xf numFmtId="0" fontId="1" fillId="2" borderId="36" xfId="2" applyFill="1" applyBorder="1"/>
    <xf numFmtId="0" fontId="32" fillId="2" borderId="35" xfId="0" applyFont="1" applyFill="1" applyBorder="1" applyAlignment="1">
      <alignment horizontal="center" vertical="center"/>
    </xf>
    <xf numFmtId="164" fontId="10" fillId="2" borderId="36" xfId="2" applyNumberFormat="1" applyFont="1" applyFill="1" applyBorder="1" applyAlignment="1">
      <alignment horizont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6" fontId="19" fillId="2" borderId="0" xfId="0" applyNumberFormat="1" applyFont="1" applyFill="1" applyAlignment="1">
      <alignment horizontal="center" vertical="center"/>
    </xf>
    <xf numFmtId="0" fontId="20" fillId="2" borderId="0" xfId="0" quotePrefix="1" applyFont="1" applyFill="1" applyAlignment="1">
      <alignment horizontal="left" vertical="center"/>
    </xf>
    <xf numFmtId="0" fontId="23" fillId="2" borderId="0" xfId="0" quotePrefix="1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2" fontId="20" fillId="2" borderId="0" xfId="1" applyNumberFormat="1" applyFont="1" applyFill="1" applyBorder="1" applyAlignment="1" applyProtection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22" fillId="2" borderId="0" xfId="0" quotePrefix="1" applyFont="1" applyFill="1" applyAlignment="1">
      <alignment horizontal="right" vertical="center"/>
    </xf>
    <xf numFmtId="2" fontId="20" fillId="2" borderId="0" xfId="0" applyNumberFormat="1" applyFont="1" applyFill="1" applyAlignment="1">
      <alignment horizontal="left" vertical="center"/>
    </xf>
    <xf numFmtId="0" fontId="21" fillId="2" borderId="0" xfId="0" quotePrefix="1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7" fillId="2" borderId="0" xfId="0" quotePrefix="1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2" borderId="0" xfId="3" applyFont="1" applyFill="1" applyAlignment="1" applyProtection="1">
      <alignment vertical="center"/>
      <protection locked="0"/>
    </xf>
    <xf numFmtId="0" fontId="51" fillId="2" borderId="0" xfId="3" applyFont="1" applyFill="1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2" fontId="1" fillId="0" borderId="0" xfId="2" applyNumberFormat="1"/>
    <xf numFmtId="2" fontId="2" fillId="6" borderId="39" xfId="2" applyNumberFormat="1" applyFont="1" applyFill="1" applyBorder="1" applyAlignment="1">
      <alignment horizontal="center" vertical="center"/>
    </xf>
    <xf numFmtId="2" fontId="2" fillId="10" borderId="40" xfId="2" applyNumberFormat="1" applyFont="1" applyFill="1" applyBorder="1" applyAlignment="1">
      <alignment horizontal="center" vertical="center"/>
    </xf>
    <xf numFmtId="1" fontId="32" fillId="10" borderId="17" xfId="2" applyNumberFormat="1" applyFont="1" applyFill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1" fillId="10" borderId="17" xfId="2" applyNumberFormat="1" applyFill="1" applyBorder="1" applyAlignment="1">
      <alignment horizontal="center" vertical="center"/>
    </xf>
    <xf numFmtId="2" fontId="2" fillId="6" borderId="56" xfId="2" applyNumberFormat="1" applyFont="1" applyFill="1" applyBorder="1" applyAlignment="1">
      <alignment horizontal="center" vertical="center"/>
    </xf>
    <xf numFmtId="2" fontId="2" fillId="10" borderId="55" xfId="2" applyNumberFormat="1" applyFont="1" applyFill="1" applyBorder="1" applyAlignment="1">
      <alignment horizontal="center" vertical="center"/>
    </xf>
    <xf numFmtId="2" fontId="1" fillId="10" borderId="17" xfId="2" applyNumberFormat="1" applyFill="1" applyBorder="1" applyAlignment="1">
      <alignment horizontal="center"/>
    </xf>
    <xf numFmtId="2" fontId="1" fillId="0" borderId="35" xfId="2" applyNumberFormat="1" applyBorder="1"/>
    <xf numFmtId="2" fontId="8" fillId="0" borderId="0" xfId="2" applyNumberFormat="1" applyFont="1"/>
    <xf numFmtId="2" fontId="1" fillId="10" borderId="17" xfId="2" applyNumberFormat="1" applyFill="1" applyBorder="1"/>
    <xf numFmtId="2" fontId="1" fillId="0" borderId="0" xfId="2" applyNumberFormat="1" applyAlignment="1">
      <alignment horizontal="center"/>
    </xf>
    <xf numFmtId="1" fontId="1" fillId="2" borderId="35" xfId="2" applyNumberFormat="1" applyFill="1" applyBorder="1" applyAlignment="1">
      <alignment horizontal="center" vertical="center"/>
    </xf>
    <xf numFmtId="2" fontId="1" fillId="2" borderId="0" xfId="2" applyNumberFormat="1" applyFill="1" applyAlignment="1">
      <alignment horizontal="center"/>
    </xf>
    <xf numFmtId="2" fontId="1" fillId="2" borderId="0" xfId="2" quotePrefix="1" applyNumberFormat="1" applyFill="1" applyAlignment="1">
      <alignment horizontal="center"/>
    </xf>
    <xf numFmtId="2" fontId="1" fillId="2" borderId="0" xfId="2" applyNumberFormat="1" applyFill="1"/>
    <xf numFmtId="1" fontId="32" fillId="10" borderId="17" xfId="2" quotePrefix="1" applyNumberFormat="1" applyFont="1" applyFill="1" applyBorder="1" applyAlignment="1">
      <alignment horizontal="center" vertical="center"/>
    </xf>
    <xf numFmtId="1" fontId="32" fillId="6" borderId="17" xfId="2" applyNumberFormat="1" applyFont="1" applyFill="1" applyBorder="1" applyAlignment="1">
      <alignment horizontal="center" vertical="center"/>
    </xf>
    <xf numFmtId="2" fontId="1" fillId="0" borderId="62" xfId="2" applyNumberFormat="1" applyBorder="1"/>
    <xf numFmtId="1" fontId="1" fillId="0" borderId="35" xfId="2" applyNumberFormat="1" applyBorder="1" applyAlignment="1">
      <alignment horizontal="center" vertical="center"/>
    </xf>
    <xf numFmtId="2" fontId="1" fillId="0" borderId="0" xfId="2" quotePrefix="1" applyNumberFormat="1" applyAlignment="1">
      <alignment horizontal="center"/>
    </xf>
    <xf numFmtId="1" fontId="1" fillId="0" borderId="0" xfId="2" applyNumberFormat="1"/>
    <xf numFmtId="2" fontId="8" fillId="4" borderId="32" xfId="2" applyNumberFormat="1" applyFont="1" applyFill="1" applyBorder="1"/>
    <xf numFmtId="2" fontId="35" fillId="2" borderId="17" xfId="2" applyNumberFormat="1" applyFont="1" applyFill="1" applyBorder="1" applyAlignment="1">
      <alignment vertical="center"/>
    </xf>
    <xf numFmtId="2" fontId="1" fillId="0" borderId="17" xfId="2" applyNumberFormat="1" applyBorder="1"/>
    <xf numFmtId="2" fontId="35" fillId="2" borderId="62" xfId="2" applyNumberFormat="1" applyFont="1" applyFill="1" applyBorder="1" applyAlignment="1">
      <alignment horizontal="center" vertical="center"/>
    </xf>
    <xf numFmtId="2" fontId="47" fillId="6" borderId="17" xfId="2" applyNumberFormat="1" applyFont="1" applyFill="1" applyBorder="1" applyAlignment="1">
      <alignment horizontal="center" vertical="center"/>
    </xf>
    <xf numFmtId="2" fontId="30" fillId="6" borderId="17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 vertical="center"/>
    </xf>
    <xf numFmtId="2" fontId="10" fillId="7" borderId="40" xfId="2" applyNumberFormat="1" applyFont="1" applyFill="1" applyBorder="1" applyAlignment="1">
      <alignment horizontal="center" vertical="center"/>
    </xf>
    <xf numFmtId="2" fontId="8" fillId="6" borderId="17" xfId="2" applyNumberFormat="1" applyFont="1" applyFill="1" applyBorder="1" applyAlignment="1">
      <alignment horizontal="center" vertical="center"/>
    </xf>
    <xf numFmtId="2" fontId="8" fillId="6" borderId="40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/>
    </xf>
    <xf numFmtId="2" fontId="10" fillId="7" borderId="40" xfId="2" applyNumberFormat="1" applyFont="1" applyFill="1" applyBorder="1" applyAlignment="1">
      <alignment horizontal="center"/>
    </xf>
    <xf numFmtId="2" fontId="8" fillId="6" borderId="17" xfId="2" applyNumberFormat="1" applyFont="1" applyFill="1" applyBorder="1" applyAlignment="1">
      <alignment horizontal="center"/>
    </xf>
    <xf numFmtId="2" fontId="8" fillId="6" borderId="40" xfId="2" applyNumberFormat="1" applyFont="1" applyFill="1" applyBorder="1" applyAlignment="1">
      <alignment horizontal="center"/>
    </xf>
    <xf numFmtId="2" fontId="2" fillId="7" borderId="40" xfId="2" applyNumberFormat="1" applyFont="1" applyFill="1" applyBorder="1" applyAlignment="1">
      <alignment horizontal="center"/>
    </xf>
    <xf numFmtId="2" fontId="10" fillId="7" borderId="56" xfId="2" applyNumberFormat="1" applyFont="1" applyFill="1" applyBorder="1" applyAlignment="1">
      <alignment horizontal="center" vertical="center"/>
    </xf>
    <xf numFmtId="2" fontId="2" fillId="7" borderId="55" xfId="2" applyNumberFormat="1" applyFont="1" applyFill="1" applyBorder="1" applyAlignment="1">
      <alignment horizontal="center"/>
    </xf>
    <xf numFmtId="2" fontId="8" fillId="6" borderId="53" xfId="2" applyNumberFormat="1" applyFont="1" applyFill="1" applyBorder="1" applyAlignment="1">
      <alignment horizontal="center" vertical="center"/>
    </xf>
    <xf numFmtId="2" fontId="8" fillId="6" borderId="53" xfId="2" applyNumberFormat="1" applyFont="1" applyFill="1" applyBorder="1" applyAlignment="1">
      <alignment horizontal="center"/>
    </xf>
    <xf numFmtId="2" fontId="8" fillId="6" borderId="55" xfId="2" applyNumberFormat="1" applyFont="1" applyFill="1" applyBorder="1" applyAlignment="1">
      <alignment horizontal="center"/>
    </xf>
    <xf numFmtId="2" fontId="8" fillId="0" borderId="0" xfId="2" applyNumberFormat="1" applyFont="1" applyAlignment="1">
      <alignment horizontal="center" vertical="center"/>
    </xf>
    <xf numFmtId="2" fontId="8" fillId="0" borderId="33" xfId="2" applyNumberFormat="1" applyFont="1" applyBorder="1"/>
    <xf numFmtId="2" fontId="8" fillId="2" borderId="17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/>
    </xf>
    <xf numFmtId="2" fontId="8" fillId="2" borderId="41" xfId="2" applyNumberFormat="1" applyFont="1" applyFill="1" applyBorder="1" applyAlignment="1">
      <alignment horizontal="center"/>
    </xf>
    <xf numFmtId="2" fontId="8" fillId="2" borderId="0" xfId="2" applyNumberFormat="1" applyFont="1" applyFill="1"/>
    <xf numFmtId="2" fontId="8" fillId="6" borderId="64" xfId="2" applyNumberFormat="1" applyFont="1" applyFill="1" applyBorder="1" applyAlignment="1">
      <alignment horizontal="center" vertical="center"/>
    </xf>
    <xf numFmtId="2" fontId="8" fillId="6" borderId="64" xfId="2" applyNumberFormat="1" applyFont="1" applyFill="1" applyBorder="1" applyAlignment="1">
      <alignment horizontal="center"/>
    </xf>
    <xf numFmtId="2" fontId="8" fillId="6" borderId="66" xfId="2" applyNumberFormat="1" applyFont="1" applyFill="1" applyBorder="1" applyAlignment="1">
      <alignment horizontal="center"/>
    </xf>
    <xf numFmtId="2" fontId="8" fillId="0" borderId="62" xfId="2" applyNumberFormat="1" applyFont="1" applyBorder="1"/>
    <xf numFmtId="2" fontId="53" fillId="7" borderId="40" xfId="2" applyNumberFormat="1" applyFont="1" applyFill="1" applyBorder="1" applyAlignment="1">
      <alignment horizontal="center" vertical="center"/>
    </xf>
    <xf numFmtId="2" fontId="8" fillId="6" borderId="55" xfId="2" applyNumberFormat="1" applyFont="1" applyFill="1" applyBorder="1" applyAlignment="1">
      <alignment horizontal="center" vertical="center"/>
    </xf>
    <xf numFmtId="2" fontId="8" fillId="2" borderId="67" xfId="2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8" fillId="2" borderId="41" xfId="2" applyNumberFormat="1" applyFont="1" applyFill="1" applyBorder="1" applyAlignment="1">
      <alignment horizontal="center" vertical="center"/>
    </xf>
    <xf numFmtId="2" fontId="8" fillId="6" borderId="66" xfId="2" applyNumberFormat="1" applyFont="1" applyFill="1" applyBorder="1" applyAlignment="1">
      <alignment horizontal="center" vertical="center"/>
    </xf>
    <xf numFmtId="2" fontId="8" fillId="2" borderId="22" xfId="2" applyNumberFormat="1" applyFont="1" applyFill="1" applyBorder="1" applyAlignment="1">
      <alignment horizontal="center" vertical="center"/>
    </xf>
    <xf numFmtId="2" fontId="8" fillId="2" borderId="35" xfId="2" applyNumberFormat="1" applyFont="1" applyFill="1" applyBorder="1" applyAlignment="1">
      <alignment horizontal="center" vertical="center"/>
    </xf>
    <xf numFmtId="2" fontId="8" fillId="0" borderId="35" xfId="2" applyNumberFormat="1" applyFont="1" applyBorder="1" applyAlignment="1">
      <alignment horizontal="center" vertical="center"/>
    </xf>
    <xf numFmtId="2" fontId="8" fillId="2" borderId="0" xfId="2" applyNumberFormat="1" applyFont="1" applyFill="1" applyAlignment="1">
      <alignment horizontal="center" vertical="center"/>
    </xf>
    <xf numFmtId="1" fontId="35" fillId="2" borderId="17" xfId="2" applyNumberFormat="1" applyFont="1" applyFill="1" applyBorder="1" applyAlignment="1">
      <alignment horizontal="center" vertical="center"/>
    </xf>
    <xf numFmtId="1" fontId="35" fillId="2" borderId="65" xfId="2" applyNumberFormat="1" applyFont="1" applyFill="1" applyBorder="1" applyAlignment="1">
      <alignment horizontal="center" vertical="center"/>
    </xf>
    <xf numFmtId="2" fontId="35" fillId="2" borderId="62" xfId="2" applyNumberFormat="1" applyFont="1" applyFill="1" applyBorder="1" applyAlignment="1">
      <alignment horizontal="left" vertical="center" wrapText="1"/>
    </xf>
    <xf numFmtId="2" fontId="47" fillId="2" borderId="17" xfId="2" applyNumberFormat="1" applyFont="1" applyFill="1" applyBorder="1" applyAlignment="1">
      <alignment horizontal="center" vertical="center"/>
    </xf>
    <xf numFmtId="2" fontId="30" fillId="2" borderId="17" xfId="2" applyNumberFormat="1" applyFont="1" applyFill="1" applyBorder="1" applyAlignment="1">
      <alignment horizontal="center" vertical="center"/>
    </xf>
    <xf numFmtId="1" fontId="47" fillId="2" borderId="17" xfId="2" applyNumberFormat="1" applyFont="1" applyFill="1" applyBorder="1" applyAlignment="1">
      <alignment horizontal="center" vertical="center"/>
    </xf>
    <xf numFmtId="2" fontId="13" fillId="2" borderId="17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/>
    </xf>
    <xf numFmtId="2" fontId="8" fillId="10" borderId="17" xfId="2" applyNumberFormat="1" applyFont="1" applyFill="1" applyBorder="1" applyAlignment="1">
      <alignment horizontal="center"/>
    </xf>
    <xf numFmtId="2" fontId="8" fillId="2" borderId="40" xfId="2" applyNumberFormat="1" applyFont="1" applyFill="1" applyBorder="1" applyAlignment="1">
      <alignment horizontal="center"/>
    </xf>
    <xf numFmtId="2" fontId="1" fillId="0" borderId="56" xfId="2" applyNumberFormat="1" applyBorder="1" applyAlignment="1">
      <alignment horizontal="center" vertical="center"/>
    </xf>
    <xf numFmtId="2" fontId="1" fillId="10" borderId="53" xfId="2" applyNumberFormat="1" applyFill="1" applyBorder="1" applyAlignment="1">
      <alignment horizontal="center" vertical="center"/>
    </xf>
    <xf numFmtId="2" fontId="1" fillId="0" borderId="53" xfId="2" applyNumberFormat="1" applyBorder="1" applyAlignment="1">
      <alignment horizontal="center" vertical="center"/>
    </xf>
    <xf numFmtId="2" fontId="8" fillId="2" borderId="55" xfId="2" applyNumberFormat="1" applyFont="1" applyFill="1" applyBorder="1" applyAlignment="1">
      <alignment horizontal="center"/>
    </xf>
    <xf numFmtId="2" fontId="8" fillId="2" borderId="35" xfId="2" applyNumberFormat="1" applyFont="1" applyFill="1" applyBorder="1" applyAlignment="1">
      <alignment horizontal="center"/>
    </xf>
    <xf numFmtId="2" fontId="1" fillId="0" borderId="36" xfId="2" applyNumberFormat="1" applyBorder="1"/>
    <xf numFmtId="2" fontId="1" fillId="10" borderId="64" xfId="2" applyNumberFormat="1" applyFill="1" applyBorder="1"/>
    <xf numFmtId="2" fontId="1" fillId="10" borderId="66" xfId="2" applyNumberFormat="1" applyFill="1" applyBorder="1"/>
    <xf numFmtId="2" fontId="13" fillId="2" borderId="0" xfId="2" applyNumberFormat="1" applyFont="1" applyFill="1"/>
    <xf numFmtId="2" fontId="1" fillId="10" borderId="40" xfId="2" applyNumberFormat="1" applyFill="1" applyBorder="1"/>
    <xf numFmtId="2" fontId="8" fillId="2" borderId="35" xfId="2" applyNumberFormat="1" applyFont="1" applyFill="1" applyBorder="1"/>
    <xf numFmtId="2" fontId="1" fillId="10" borderId="53" xfId="2" applyNumberFormat="1" applyFill="1" applyBorder="1"/>
    <xf numFmtId="2" fontId="1" fillId="10" borderId="55" xfId="2" applyNumberFormat="1" applyFill="1" applyBorder="1"/>
    <xf numFmtId="2" fontId="1" fillId="0" borderId="17" xfId="2" applyNumberFormat="1" applyBorder="1" applyAlignment="1">
      <alignment horizontal="center" vertical="center" wrapText="1"/>
    </xf>
    <xf numFmtId="2" fontId="8" fillId="6" borderId="17" xfId="2" applyNumberFormat="1" applyFont="1" applyFill="1" applyBorder="1" applyAlignment="1">
      <alignment vertical="center"/>
    </xf>
    <xf numFmtId="1" fontId="8" fillId="6" borderId="17" xfId="2" applyNumberFormat="1" applyFont="1" applyFill="1" applyBorder="1" applyAlignment="1">
      <alignment horizontal="center" vertical="center"/>
    </xf>
    <xf numFmtId="171" fontId="14" fillId="2" borderId="39" xfId="2" applyNumberFormat="1" applyFont="1" applyFill="1" applyBorder="1" applyAlignment="1">
      <alignment horizontal="center" vertical="center"/>
    </xf>
    <xf numFmtId="2" fontId="14" fillId="2" borderId="17" xfId="2" applyNumberFormat="1" applyFont="1" applyFill="1" applyBorder="1" applyAlignment="1">
      <alignment horizontal="center" vertical="center"/>
    </xf>
    <xf numFmtId="2" fontId="15" fillId="0" borderId="40" xfId="2" applyNumberFormat="1" applyFont="1" applyBorder="1" applyAlignment="1">
      <alignment vertical="center"/>
    </xf>
    <xf numFmtId="2" fontId="14" fillId="2" borderId="39" xfId="2" applyNumberFormat="1" applyFont="1" applyFill="1" applyBorder="1" applyAlignment="1">
      <alignment horizontal="center" vertical="center"/>
    </xf>
    <xf numFmtId="2" fontId="54" fillId="0" borderId="40" xfId="2" applyNumberFormat="1" applyFont="1" applyBorder="1" applyAlignment="1">
      <alignment horizontal="left" vertical="center"/>
    </xf>
    <xf numFmtId="2" fontId="8" fillId="2" borderId="56" xfId="2" applyNumberFormat="1" applyFont="1" applyFill="1" applyBorder="1"/>
    <xf numFmtId="2" fontId="15" fillId="0" borderId="53" xfId="2" applyNumberFormat="1" applyFont="1" applyBorder="1" applyAlignment="1">
      <alignment horizontal="center" vertical="center"/>
    </xf>
    <xf numFmtId="2" fontId="15" fillId="0" borderId="55" xfId="2" applyNumberFormat="1" applyFont="1" applyBorder="1" applyAlignment="1">
      <alignment horizontal="center" vertical="center"/>
    </xf>
    <xf numFmtId="2" fontId="8" fillId="6" borderId="26" xfId="2" applyNumberFormat="1" applyFont="1" applyFill="1" applyBorder="1" applyAlignment="1">
      <alignment vertical="center"/>
    </xf>
    <xf numFmtId="2" fontId="8" fillId="6" borderId="28" xfId="2" applyNumberFormat="1" applyFont="1" applyFill="1" applyBorder="1" applyAlignment="1">
      <alignment vertical="center"/>
    </xf>
    <xf numFmtId="2" fontId="8" fillId="6" borderId="28" xfId="2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2" fontId="30" fillId="0" borderId="17" xfId="2" applyNumberFormat="1" applyFont="1" applyBorder="1" applyAlignment="1">
      <alignment horizontal="center" vertical="center"/>
    </xf>
    <xf numFmtId="2" fontId="32" fillId="0" borderId="17" xfId="2" applyNumberFormat="1" applyFont="1" applyBorder="1" applyAlignment="1">
      <alignment horizontal="center" vertical="center"/>
    </xf>
    <xf numFmtId="2" fontId="32" fillId="0" borderId="17" xfId="2" quotePrefix="1" applyNumberFormat="1" applyFont="1" applyBorder="1" applyAlignment="1">
      <alignment horizontal="center" vertical="center"/>
    </xf>
    <xf numFmtId="2" fontId="32" fillId="2" borderId="0" xfId="2" applyNumberFormat="1" applyFont="1" applyFill="1" applyAlignment="1">
      <alignment horizontal="center" vertical="center"/>
    </xf>
    <xf numFmtId="2" fontId="1" fillId="0" borderId="17" xfId="2" applyNumberFormat="1" applyBorder="1" applyAlignment="1">
      <alignment horizontal="center" vertical="center"/>
    </xf>
    <xf numFmtId="2" fontId="1" fillId="0" borderId="17" xfId="2" applyNumberFormat="1" applyBorder="1" applyAlignment="1">
      <alignment horizontal="center"/>
    </xf>
    <xf numFmtId="2" fontId="42" fillId="0" borderId="17" xfId="2" quotePrefix="1" applyNumberFormat="1" applyFont="1" applyBorder="1" applyAlignment="1">
      <alignment horizontal="center" vertical="center"/>
    </xf>
    <xf numFmtId="2" fontId="1" fillId="0" borderId="17" xfId="2" quotePrefix="1" applyNumberFormat="1" applyBorder="1" applyAlignment="1">
      <alignment horizontal="center" vertical="center"/>
    </xf>
    <xf numFmtId="2" fontId="1" fillId="2" borderId="0" xfId="2" applyNumberFormat="1" applyFill="1" applyAlignment="1">
      <alignment horizontal="center" vertical="center"/>
    </xf>
    <xf numFmtId="2" fontId="1" fillId="2" borderId="0" xfId="2" quotePrefix="1" applyNumberFormat="1" applyFill="1" applyAlignment="1">
      <alignment horizontal="center" vertical="center"/>
    </xf>
    <xf numFmtId="2" fontId="2" fillId="0" borderId="0" xfId="2" applyNumberFormat="1" applyFont="1"/>
    <xf numFmtId="164" fontId="1" fillId="0" borderId="17" xfId="2" quotePrefix="1" applyNumberFormat="1" applyBorder="1" applyAlignment="1">
      <alignment horizontal="center" vertical="center"/>
    </xf>
    <xf numFmtId="2" fontId="1" fillId="2" borderId="35" xfId="2" applyNumberFormat="1" applyFill="1" applyBorder="1"/>
    <xf numFmtId="2" fontId="1" fillId="0" borderId="29" xfId="2" applyNumberFormat="1" applyBorder="1" applyAlignment="1">
      <alignment horizontal="center" vertical="center"/>
    </xf>
    <xf numFmtId="2" fontId="1" fillId="0" borderId="29" xfId="2" quotePrefix="1" applyNumberFormat="1" applyBorder="1" applyAlignment="1">
      <alignment horizontal="center" vertical="center"/>
    </xf>
    <xf numFmtId="2" fontId="1" fillId="0" borderId="29" xfId="2" applyNumberFormat="1" applyBorder="1" applyAlignment="1">
      <alignment horizontal="center"/>
    </xf>
    <xf numFmtId="2" fontId="41" fillId="2" borderId="35" xfId="2" applyNumberFormat="1" applyFont="1" applyFill="1" applyBorder="1" applyAlignment="1">
      <alignment horizontal="center" vertical="center" wrapText="1"/>
    </xf>
    <xf numFmtId="2" fontId="1" fillId="0" borderId="0" xfId="2" applyNumberFormat="1" applyAlignment="1">
      <alignment horizontal="center" vertical="center"/>
    </xf>
    <xf numFmtId="2" fontId="1" fillId="0" borderId="0" xfId="2" quotePrefix="1" applyNumberFormat="1" applyAlignment="1">
      <alignment horizontal="center" vertical="center"/>
    </xf>
    <xf numFmtId="2" fontId="41" fillId="0" borderId="0" xfId="2" applyNumberFormat="1" applyFont="1" applyAlignment="1">
      <alignment horizontal="center" vertical="center" wrapText="1"/>
    </xf>
    <xf numFmtId="2" fontId="1" fillId="0" borderId="0" xfId="2" applyNumberFormat="1" applyAlignment="1">
      <alignment horizontal="right" vertical="center"/>
    </xf>
    <xf numFmtId="2" fontId="42" fillId="0" borderId="17" xfId="2" applyNumberFormat="1" applyFont="1" applyBorder="1" applyAlignment="1">
      <alignment horizontal="center" vertical="center"/>
    </xf>
    <xf numFmtId="164" fontId="1" fillId="0" borderId="17" xfId="2" applyNumberFormat="1" applyBorder="1" applyAlignment="1">
      <alignment horizontal="center" vertical="center"/>
    </xf>
    <xf numFmtId="164" fontId="1" fillId="0" borderId="17" xfId="2" applyNumberFormat="1" applyBorder="1" applyAlignment="1">
      <alignment horizontal="center"/>
    </xf>
    <xf numFmtId="2" fontId="41" fillId="2" borderId="0" xfId="2" applyNumberFormat="1" applyFont="1" applyFill="1" applyAlignment="1">
      <alignment horizontal="center" vertical="center" wrapText="1"/>
    </xf>
    <xf numFmtId="2" fontId="13" fillId="5" borderId="17" xfId="2" applyNumberFormat="1" applyFont="1" applyFill="1" applyBorder="1"/>
    <xf numFmtId="2" fontId="2" fillId="5" borderId="17" xfId="2" applyNumberFormat="1" applyFont="1" applyFill="1" applyBorder="1" applyAlignment="1">
      <alignment horizontal="center" vertical="center"/>
    </xf>
    <xf numFmtId="2" fontId="13" fillId="5" borderId="17" xfId="2" applyNumberFormat="1" applyFont="1" applyFill="1" applyBorder="1" applyAlignment="1">
      <alignment horizontal="center" vertical="center"/>
    </xf>
    <xf numFmtId="2" fontId="1" fillId="5" borderId="17" xfId="2" applyNumberFormat="1" applyFill="1" applyBorder="1" applyAlignment="1">
      <alignment horizontal="center"/>
    </xf>
    <xf numFmtId="2" fontId="1" fillId="2" borderId="17" xfId="2" applyNumberFormat="1" applyFill="1" applyBorder="1" applyAlignment="1">
      <alignment horizontal="center" vertical="center"/>
    </xf>
    <xf numFmtId="2" fontId="1" fillId="2" borderId="17" xfId="2" applyNumberFormat="1" applyFill="1" applyBorder="1"/>
    <xf numFmtId="2" fontId="1" fillId="2" borderId="17" xfId="2" applyNumberFormat="1" applyFill="1" applyBorder="1" applyAlignment="1">
      <alignment horizontal="center"/>
    </xf>
    <xf numFmtId="2" fontId="32" fillId="5" borderId="17" xfId="2" applyNumberFormat="1" applyFont="1" applyFill="1" applyBorder="1" applyAlignment="1">
      <alignment horizontal="center" vertical="center"/>
    </xf>
    <xf numFmtId="2" fontId="30" fillId="5" borderId="17" xfId="2" applyNumberFormat="1" applyFont="1" applyFill="1" applyBorder="1" applyAlignment="1">
      <alignment horizontal="center" vertical="center"/>
    </xf>
    <xf numFmtId="2" fontId="1" fillId="2" borderId="17" xfId="2" applyNumberFormat="1" applyFill="1" applyBorder="1" applyAlignment="1">
      <alignment horizontal="center" vertical="center" wrapText="1"/>
    </xf>
    <xf numFmtId="2" fontId="1" fillId="2" borderId="0" xfId="2" applyNumberFormat="1" applyFill="1" applyAlignment="1">
      <alignment horizontal="center" vertical="center" wrapText="1"/>
    </xf>
    <xf numFmtId="2" fontId="56" fillId="2" borderId="17" xfId="2" applyNumberFormat="1" applyFont="1" applyFill="1" applyBorder="1" applyAlignment="1">
      <alignment horizontal="center" vertical="center"/>
    </xf>
    <xf numFmtId="2" fontId="35" fillId="2" borderId="17" xfId="2" applyNumberFormat="1" applyFont="1" applyFill="1" applyBorder="1" applyAlignment="1">
      <alignment horizontal="center" vertical="center" wrapText="1"/>
    </xf>
    <xf numFmtId="2" fontId="1" fillId="2" borderId="62" xfId="2" applyNumberFormat="1" applyFill="1" applyBorder="1"/>
    <xf numFmtId="2" fontId="35" fillId="2" borderId="0" xfId="2" applyNumberFormat="1" applyFont="1" applyFill="1" applyAlignment="1">
      <alignment horizontal="center" vertical="center"/>
    </xf>
    <xf numFmtId="164" fontId="35" fillId="2" borderId="17" xfId="2" applyNumberFormat="1" applyFont="1" applyFill="1" applyBorder="1" applyAlignment="1">
      <alignment horizontal="center" vertical="center"/>
    </xf>
    <xf numFmtId="1" fontId="32" fillId="2" borderId="17" xfId="2" applyNumberFormat="1" applyFont="1" applyFill="1" applyBorder="1" applyAlignment="1">
      <alignment horizontal="center" vertical="center"/>
    </xf>
    <xf numFmtId="2" fontId="1" fillId="10" borderId="65" xfId="2" applyNumberFormat="1" applyFill="1" applyBorder="1" applyAlignment="1">
      <alignment horizontal="center" vertical="center" wrapText="1"/>
    </xf>
    <xf numFmtId="2" fontId="8" fillId="2" borderId="50" xfId="2" applyNumberFormat="1" applyFont="1" applyFill="1" applyBorder="1" applyAlignment="1">
      <alignment horizontal="center" vertical="center"/>
    </xf>
    <xf numFmtId="164" fontId="35" fillId="2" borderId="17" xfId="2" applyNumberFormat="1" applyFont="1" applyFill="1" applyBorder="1" applyAlignment="1">
      <alignment horizontal="center" vertical="center" wrapText="1"/>
    </xf>
    <xf numFmtId="2" fontId="35" fillId="2" borderId="0" xfId="2" applyNumberFormat="1" applyFont="1" applyFill="1" applyAlignment="1">
      <alignment horizontal="center" vertical="center" wrapText="1"/>
    </xf>
    <xf numFmtId="2" fontId="1" fillId="10" borderId="39" xfId="2" applyNumberFormat="1" applyFill="1" applyBorder="1" applyAlignment="1">
      <alignment horizontal="center" vertical="center" wrapText="1"/>
    </xf>
    <xf numFmtId="2" fontId="44" fillId="2" borderId="0" xfId="2" applyNumberFormat="1" applyFont="1" applyFill="1" applyAlignment="1">
      <alignment vertical="center"/>
    </xf>
    <xf numFmtId="2" fontId="1" fillId="2" borderId="0" xfId="2" applyNumberFormat="1" applyFill="1" applyAlignment="1">
      <alignment horizontal="right" vertical="center"/>
    </xf>
    <xf numFmtId="2" fontId="57" fillId="10" borderId="56" xfId="2" applyNumberFormat="1" applyFont="1" applyFill="1" applyBorder="1" applyAlignment="1">
      <alignment horizontal="center" vertical="center" wrapText="1"/>
    </xf>
    <xf numFmtId="2" fontId="59" fillId="2" borderId="0" xfId="2" applyNumberFormat="1" applyFont="1" applyFill="1" applyAlignment="1">
      <alignment horizontal="center" vertical="center" wrapText="1"/>
    </xf>
    <xf numFmtId="2" fontId="60" fillId="2" borderId="0" xfId="2" applyNumberFormat="1" applyFont="1" applyFill="1" applyAlignment="1">
      <alignment horizontal="center" vertical="center"/>
    </xf>
    <xf numFmtId="2" fontId="61" fillId="2" borderId="36" xfId="2" applyNumberFormat="1" applyFont="1" applyFill="1" applyBorder="1" applyAlignment="1">
      <alignment horizontal="center" vertical="center"/>
    </xf>
    <xf numFmtId="2" fontId="59" fillId="2" borderId="0" xfId="2" applyNumberFormat="1" applyFont="1" applyFill="1"/>
    <xf numFmtId="2" fontId="59" fillId="2" borderId="36" xfId="2" applyNumberFormat="1" applyFont="1" applyFill="1" applyBorder="1"/>
    <xf numFmtId="2" fontId="59" fillId="2" borderId="0" xfId="2" applyNumberFormat="1" applyFont="1" applyFill="1" applyAlignment="1">
      <alignment horizontal="center" vertical="center"/>
    </xf>
    <xf numFmtId="2" fontId="1" fillId="2" borderId="36" xfId="2" applyNumberFormat="1" applyFill="1" applyBorder="1"/>
    <xf numFmtId="2" fontId="10" fillId="2" borderId="36" xfId="2" applyNumberFormat="1" applyFont="1" applyFill="1" applyBorder="1"/>
    <xf numFmtId="2" fontId="10" fillId="0" borderId="0" xfId="2" applyNumberFormat="1" applyFont="1"/>
    <xf numFmtId="2" fontId="35" fillId="2" borderId="36" xfId="2" applyNumberFormat="1" applyFont="1" applyFill="1" applyBorder="1" applyAlignment="1">
      <alignment horizontal="center" vertical="center"/>
    </xf>
    <xf numFmtId="2" fontId="35" fillId="0" borderId="0" xfId="2" applyNumberFormat="1" applyFont="1" applyAlignment="1">
      <alignment horizontal="center" vertical="center"/>
    </xf>
    <xf numFmtId="2" fontId="48" fillId="2" borderId="0" xfId="2" applyNumberFormat="1" applyFont="1" applyFill="1" applyAlignment="1">
      <alignment horizontal="center" vertical="center"/>
    </xf>
    <xf numFmtId="2" fontId="14" fillId="5" borderId="37" xfId="2" applyNumberFormat="1" applyFont="1" applyFill="1" applyBorder="1"/>
    <xf numFmtId="2" fontId="14" fillId="5" borderId="25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vertical="center"/>
    </xf>
    <xf numFmtId="1" fontId="8" fillId="5" borderId="17" xfId="2" applyNumberFormat="1" applyFont="1" applyFill="1" applyBorder="1" applyAlignment="1">
      <alignment horizontal="center" vertical="center"/>
    </xf>
    <xf numFmtId="1" fontId="8" fillId="5" borderId="40" xfId="2" applyNumberFormat="1" applyFont="1" applyFill="1" applyBorder="1" applyAlignment="1">
      <alignment horizontal="center" vertical="center"/>
    </xf>
    <xf numFmtId="1" fontId="5" fillId="0" borderId="39" xfId="2" applyNumberFormat="1" applyFont="1" applyBorder="1" applyAlignment="1">
      <alignment horizontal="center" vertical="center"/>
    </xf>
    <xf numFmtId="2" fontId="5" fillId="0" borderId="20" xfId="2" applyNumberFormat="1" applyFont="1" applyBorder="1"/>
    <xf numFmtId="2" fontId="5" fillId="0" borderId="25" xfId="2" applyNumberFormat="1" applyFont="1" applyBorder="1"/>
    <xf numFmtId="2" fontId="5" fillId="0" borderId="38" xfId="2" applyNumberFormat="1" applyFont="1" applyBorder="1"/>
    <xf numFmtId="2" fontId="8" fillId="5" borderId="1" xfId="2" applyNumberFormat="1" applyFont="1" applyFill="1" applyBorder="1" applyAlignment="1">
      <alignment horizontal="center" vertical="center"/>
    </xf>
    <xf numFmtId="2" fontId="8" fillId="5" borderId="1" xfId="2" applyNumberFormat="1" applyFont="1" applyFill="1" applyBorder="1" applyAlignment="1">
      <alignment vertical="center"/>
    </xf>
    <xf numFmtId="2" fontId="5" fillId="10" borderId="32" xfId="2" applyNumberFormat="1" applyFont="1" applyFill="1" applyBorder="1"/>
    <xf numFmtId="2" fontId="5" fillId="10" borderId="33" xfId="2" applyNumberFormat="1" applyFont="1" applyFill="1" applyBorder="1"/>
    <xf numFmtId="2" fontId="5" fillId="0" borderId="33" xfId="2" applyNumberFormat="1" applyFont="1" applyBorder="1"/>
    <xf numFmtId="2" fontId="5" fillId="0" borderId="34" xfId="2" applyNumberFormat="1" applyFont="1" applyBorder="1"/>
    <xf numFmtId="2" fontId="20" fillId="2" borderId="0" xfId="0" applyNumberFormat="1" applyFont="1" applyFill="1" applyAlignment="1">
      <alignment vertical="center"/>
    </xf>
    <xf numFmtId="0" fontId="51" fillId="0" borderId="17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/>
    </xf>
    <xf numFmtId="174" fontId="7" fillId="0" borderId="17" xfId="0" applyNumberFormat="1" applyFont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1" fillId="2" borderId="29" xfId="0" applyFont="1" applyFill="1" applyBorder="1" applyAlignment="1">
      <alignment vertical="center"/>
    </xf>
    <xf numFmtId="0" fontId="52" fillId="2" borderId="0" xfId="0" applyFont="1" applyFill="1" applyAlignment="1">
      <alignment vertical="center"/>
    </xf>
    <xf numFmtId="0" fontId="47" fillId="2" borderId="61" xfId="2" applyFont="1" applyFill="1" applyBorder="1"/>
    <xf numFmtId="0" fontId="10" fillId="2" borderId="44" xfId="2" applyFont="1" applyFill="1" applyBorder="1"/>
    <xf numFmtId="2" fontId="10" fillId="2" borderId="44" xfId="2" applyNumberFormat="1" applyFont="1" applyFill="1" applyBorder="1"/>
    <xf numFmtId="0" fontId="8" fillId="2" borderId="44" xfId="2" applyFont="1" applyFill="1" applyBorder="1"/>
    <xf numFmtId="165" fontId="10" fillId="2" borderId="54" xfId="2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/>
    <xf numFmtId="0" fontId="32" fillId="8" borderId="64" xfId="0" applyFont="1" applyFill="1" applyBorder="1" applyAlignment="1">
      <alignment horizontal="center" vertical="center"/>
    </xf>
    <xf numFmtId="0" fontId="8" fillId="2" borderId="0" xfId="0" applyFont="1" applyFill="1"/>
    <xf numFmtId="0" fontId="0" fillId="11" borderId="0" xfId="0" applyFill="1"/>
    <xf numFmtId="0" fontId="32" fillId="8" borderId="39" xfId="0" applyFont="1" applyFill="1" applyBorder="1" applyAlignment="1">
      <alignment horizontal="center" vertical="center" wrapText="1"/>
    </xf>
    <xf numFmtId="0" fontId="30" fillId="8" borderId="39" xfId="2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8" borderId="17" xfId="0" quotePrefix="1" applyFont="1" applyFill="1" applyBorder="1" applyAlignment="1">
      <alignment horizontal="center" vertical="center"/>
    </xf>
    <xf numFmtId="1" fontId="0" fillId="8" borderId="39" xfId="0" applyNumberFormat="1" applyFill="1" applyBorder="1" applyAlignment="1">
      <alignment horizontal="center" vertical="center"/>
    </xf>
    <xf numFmtId="164" fontId="1" fillId="8" borderId="17" xfId="0" quotePrefix="1" applyNumberFormat="1" applyFont="1" applyFill="1" applyBorder="1" applyAlignment="1">
      <alignment horizontal="center" vertical="center"/>
    </xf>
    <xf numFmtId="165" fontId="1" fillId="8" borderId="40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" fontId="1" fillId="8" borderId="39" xfId="0" quotePrefix="1" applyNumberFormat="1" applyFont="1" applyFill="1" applyBorder="1" applyAlignment="1">
      <alignment horizontal="center" vertical="center"/>
    </xf>
    <xf numFmtId="165" fontId="1" fillId="8" borderId="40" xfId="0" quotePrefix="1" applyNumberFormat="1" applyFont="1" applyFill="1" applyBorder="1" applyAlignment="1">
      <alignment horizontal="center" vertical="center"/>
    </xf>
    <xf numFmtId="1" fontId="1" fillId="8" borderId="56" xfId="0" quotePrefix="1" applyNumberFormat="1" applyFont="1" applyFill="1" applyBorder="1" applyAlignment="1">
      <alignment horizontal="center" vertical="center"/>
    </xf>
    <xf numFmtId="164" fontId="1" fillId="8" borderId="53" xfId="0" quotePrefix="1" applyNumberFormat="1" applyFont="1" applyFill="1" applyBorder="1" applyAlignment="1">
      <alignment horizontal="center" vertical="center"/>
    </xf>
    <xf numFmtId="165" fontId="1" fillId="8" borderId="55" xfId="0" quotePrefix="1" applyNumberFormat="1" applyFont="1" applyFill="1" applyBorder="1" applyAlignment="1">
      <alignment horizontal="center" vertical="center"/>
    </xf>
    <xf numFmtId="0" fontId="0" fillId="0" borderId="35" xfId="0" applyBorder="1"/>
    <xf numFmtId="0" fontId="8" fillId="0" borderId="36" xfId="0" applyFont="1" applyBorder="1"/>
    <xf numFmtId="2" fontId="0" fillId="11" borderId="32" xfId="0" applyNumberFormat="1" applyFill="1" applyBorder="1" applyAlignment="1">
      <alignment vertical="center"/>
    </xf>
    <xf numFmtId="2" fontId="0" fillId="11" borderId="33" xfId="0" applyNumberFormat="1" applyFill="1" applyBorder="1" applyAlignment="1">
      <alignment vertical="center"/>
    </xf>
    <xf numFmtId="2" fontId="0" fillId="2" borderId="33" xfId="0" applyNumberFormat="1" applyFill="1" applyBorder="1" applyAlignment="1">
      <alignment vertical="center"/>
    </xf>
    <xf numFmtId="2" fontId="0" fillId="2" borderId="34" xfId="0" applyNumberFormat="1" applyFill="1" applyBorder="1" applyAlignment="1">
      <alignment vertical="center"/>
    </xf>
    <xf numFmtId="0" fontId="8" fillId="0" borderId="35" xfId="0" applyFont="1" applyBorder="1"/>
    <xf numFmtId="0" fontId="64" fillId="11" borderId="0" xfId="0" applyFont="1" applyFill="1"/>
    <xf numFmtId="0" fontId="47" fillId="8" borderId="45" xfId="0" applyFont="1" applyFill="1" applyBorder="1" applyAlignment="1">
      <alignment horizontal="center" vertical="center"/>
    </xf>
    <xf numFmtId="0" fontId="47" fillId="8" borderId="18" xfId="0" applyFont="1" applyFill="1" applyBorder="1" applyAlignment="1">
      <alignment horizontal="center" vertical="center"/>
    </xf>
    <xf numFmtId="0" fontId="30" fillId="8" borderId="23" xfId="2" applyFont="1" applyFill="1" applyBorder="1" applyAlignment="1">
      <alignment horizontal="center" vertical="center"/>
    </xf>
    <xf numFmtId="0" fontId="47" fillId="8" borderId="28" xfId="0" applyFont="1" applyFill="1" applyBorder="1" applyAlignment="1">
      <alignment horizontal="center" vertical="center"/>
    </xf>
    <xf numFmtId="0" fontId="35" fillId="8" borderId="17" xfId="0" applyFont="1" applyFill="1" applyBorder="1" applyAlignment="1">
      <alignment horizontal="center" vertical="center" wrapText="1"/>
    </xf>
    <xf numFmtId="1" fontId="3" fillId="8" borderId="17" xfId="0" applyNumberFormat="1" applyFont="1" applyFill="1" applyBorder="1" applyAlignment="1">
      <alignment horizontal="center" vertical="center"/>
    </xf>
    <xf numFmtId="164" fontId="3" fillId="8" borderId="17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5" fontId="3" fillId="3" borderId="17" xfId="0" applyNumberFormat="1" applyFont="1" applyFill="1" applyBorder="1" applyAlignment="1">
      <alignment horizontal="center" vertical="center"/>
    </xf>
    <xf numFmtId="0" fontId="32" fillId="8" borderId="40" xfId="0" applyFont="1" applyFill="1" applyBorder="1" applyAlignment="1">
      <alignment vertical="center" wrapText="1"/>
    </xf>
    <xf numFmtId="1" fontId="17" fillId="3" borderId="17" xfId="0" applyNumberFormat="1" applyFont="1" applyFill="1" applyBorder="1" applyAlignment="1">
      <alignment horizontal="center" vertical="center"/>
    </xf>
    <xf numFmtId="164" fontId="17" fillId="3" borderId="17" xfId="0" applyNumberFormat="1" applyFont="1" applyFill="1" applyBorder="1" applyAlignment="1">
      <alignment horizontal="center" vertical="center"/>
    </xf>
    <xf numFmtId="165" fontId="17" fillId="3" borderId="17" xfId="0" applyNumberFormat="1" applyFont="1" applyFill="1" applyBorder="1" applyAlignment="1">
      <alignment horizontal="center" vertical="center"/>
    </xf>
    <xf numFmtId="1" fontId="17" fillId="3" borderId="17" xfId="0" applyNumberFormat="1" applyFont="1" applyFill="1" applyBorder="1" applyAlignment="1">
      <alignment horizontal="center"/>
    </xf>
    <xf numFmtId="164" fontId="17" fillId="3" borderId="17" xfId="0" applyNumberFormat="1" applyFont="1" applyFill="1" applyBorder="1" applyAlignment="1">
      <alignment horizontal="center"/>
    </xf>
    <xf numFmtId="165" fontId="17" fillId="3" borderId="17" xfId="0" applyNumberFormat="1" applyFont="1" applyFill="1" applyBorder="1" applyAlignment="1">
      <alignment horizontal="center"/>
    </xf>
    <xf numFmtId="0" fontId="68" fillId="8" borderId="39" xfId="0" applyFont="1" applyFill="1" applyBorder="1" applyAlignment="1">
      <alignment horizontal="left"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35" fillId="2" borderId="0" xfId="2" applyFont="1" applyFill="1" applyAlignment="1">
      <alignment vertical="center" wrapText="1"/>
    </xf>
    <xf numFmtId="164" fontId="8" fillId="2" borderId="17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32" fillId="8" borderId="17" xfId="0" applyFont="1" applyFill="1" applyBorder="1" applyAlignment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20" fillId="0" borderId="0" xfId="0" applyFont="1"/>
    <xf numFmtId="0" fontId="52" fillId="9" borderId="0" xfId="0" applyFont="1" applyFill="1" applyAlignment="1">
      <alignment vertical="center"/>
    </xf>
    <xf numFmtId="0" fontId="0" fillId="4" borderId="0" xfId="0" applyFill="1"/>
    <xf numFmtId="2" fontId="0" fillId="4" borderId="32" xfId="0" applyNumberFormat="1" applyFill="1" applyBorder="1" applyAlignment="1">
      <alignment vertical="center"/>
    </xf>
    <xf numFmtId="2" fontId="0" fillId="4" borderId="33" xfId="0" applyNumberFormat="1" applyFill="1" applyBorder="1" applyAlignment="1">
      <alignment vertical="center"/>
    </xf>
    <xf numFmtId="0" fontId="64" fillId="4" borderId="0" xfId="0" applyFont="1" applyFill="1"/>
    <xf numFmtId="0" fontId="30" fillId="8" borderId="17" xfId="2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5" xfId="0" applyFont="1" applyBorder="1"/>
    <xf numFmtId="0" fontId="5" fillId="0" borderId="38" xfId="0" applyFont="1" applyBorder="1"/>
    <xf numFmtId="0" fontId="5" fillId="0" borderId="1" xfId="0" applyFont="1" applyBorder="1"/>
    <xf numFmtId="0" fontId="5" fillId="0" borderId="73" xfId="0" applyFont="1" applyBorder="1"/>
    <xf numFmtId="0" fontId="8" fillId="0" borderId="0" xfId="0" applyFont="1" applyAlignment="1">
      <alignment horizontal="center" vertical="center"/>
    </xf>
    <xf numFmtId="0" fontId="5" fillId="0" borderId="0" xfId="0" applyFont="1"/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43" fillId="0" borderId="0" xfId="0" applyFont="1"/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9" xfId="0" applyFont="1" applyBorder="1"/>
    <xf numFmtId="0" fontId="5" fillId="0" borderId="43" xfId="0" applyFont="1" applyBorder="1"/>
    <xf numFmtId="0" fontId="5" fillId="0" borderId="71" xfId="0" applyFont="1" applyBorder="1" applyAlignment="1">
      <alignment horizontal="center" vertical="center"/>
    </xf>
    <xf numFmtId="164" fontId="1" fillId="10" borderId="39" xfId="2" applyNumberFormat="1" applyFill="1" applyBorder="1" applyAlignment="1">
      <alignment horizontal="center" vertical="center" wrapText="1"/>
    </xf>
    <xf numFmtId="2" fontId="8" fillId="2" borderId="66" xfId="2" applyNumberFormat="1" applyFont="1" applyFill="1" applyBorder="1" applyAlignment="1">
      <alignment horizontal="center" vertical="center"/>
    </xf>
    <xf numFmtId="0" fontId="58" fillId="2" borderId="53" xfId="2" applyFont="1" applyFill="1" applyBorder="1" applyAlignment="1">
      <alignment horizontal="center" vertical="center"/>
    </xf>
    <xf numFmtId="0" fontId="8" fillId="2" borderId="20" xfId="2" applyFont="1" applyFill="1" applyBorder="1" applyAlignment="1">
      <alignment horizontal="center" vertical="center"/>
    </xf>
    <xf numFmtId="2" fontId="5" fillId="0" borderId="21" xfId="2" applyNumberFormat="1" applyFont="1" applyBorder="1"/>
    <xf numFmtId="2" fontId="5" fillId="0" borderId="17" xfId="2" applyNumberFormat="1" applyFont="1" applyBorder="1"/>
    <xf numFmtId="2" fontId="5" fillId="0" borderId="40" xfId="2" applyNumberFormat="1" applyFont="1" applyBorder="1"/>
    <xf numFmtId="1" fontId="5" fillId="0" borderId="56" xfId="2" applyNumberFormat="1" applyFont="1" applyBorder="1" applyAlignment="1">
      <alignment horizontal="center" vertical="center"/>
    </xf>
    <xf numFmtId="2" fontId="5" fillId="0" borderId="53" xfId="2" applyNumberFormat="1" applyFont="1" applyBorder="1"/>
    <xf numFmtId="2" fontId="5" fillId="0" borderId="55" xfId="2" applyNumberFormat="1" applyFont="1" applyBorder="1"/>
    <xf numFmtId="1" fontId="5" fillId="0" borderId="51" xfId="2" applyNumberFormat="1" applyFont="1" applyBorder="1" applyAlignment="1">
      <alignment horizontal="center" vertical="center"/>
    </xf>
    <xf numFmtId="2" fontId="5" fillId="0" borderId="19" xfId="2" applyNumberFormat="1" applyFont="1" applyBorder="1"/>
    <xf numFmtId="2" fontId="5" fillId="0" borderId="43" xfId="2" applyNumberFormat="1" applyFont="1" applyBorder="1"/>
    <xf numFmtId="2" fontId="14" fillId="5" borderId="42" xfId="2" applyNumberFormat="1" applyFont="1" applyFill="1" applyBorder="1"/>
    <xf numFmtId="2" fontId="14" fillId="5" borderId="19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vertical="center"/>
    </xf>
    <xf numFmtId="1" fontId="8" fillId="5" borderId="29" xfId="2" applyNumberFormat="1" applyFont="1" applyFill="1" applyBorder="1" applyAlignment="1">
      <alignment horizontal="center" vertical="center"/>
    </xf>
    <xf numFmtId="1" fontId="8" fillId="5" borderId="52" xfId="2" applyNumberFormat="1" applyFont="1" applyFill="1" applyBorder="1" applyAlignment="1">
      <alignment horizontal="center" vertical="center"/>
    </xf>
    <xf numFmtId="2" fontId="14" fillId="5" borderId="72" xfId="2" applyNumberFormat="1" applyFont="1" applyFill="1" applyBorder="1"/>
    <xf numFmtId="1" fontId="8" fillId="5" borderId="28" xfId="2" applyNumberFormat="1" applyFont="1" applyFill="1" applyBorder="1" applyAlignment="1">
      <alignment horizontal="center" vertical="center"/>
    </xf>
    <xf numFmtId="1" fontId="8" fillId="5" borderId="76" xfId="2" applyNumberFormat="1" applyFont="1" applyFill="1" applyBorder="1" applyAlignment="1">
      <alignment horizontal="center" vertical="center"/>
    </xf>
    <xf numFmtId="2" fontId="8" fillId="2" borderId="23" xfId="2" applyNumberFormat="1" applyFont="1" applyFill="1" applyBorder="1" applyAlignment="1">
      <alignment horizontal="center" vertical="center"/>
    </xf>
    <xf numFmtId="0" fontId="35" fillId="12" borderId="65" xfId="2" applyFont="1" applyFill="1" applyBorder="1" applyAlignment="1">
      <alignment horizontal="center" vertical="center" wrapText="1"/>
    </xf>
    <xf numFmtId="0" fontId="47" fillId="12" borderId="37" xfId="0" applyFont="1" applyFill="1" applyBorder="1" applyAlignment="1">
      <alignment horizontal="center" vertical="center" wrapText="1"/>
    </xf>
    <xf numFmtId="0" fontId="30" fillId="12" borderId="37" xfId="2" applyFont="1" applyFill="1" applyBorder="1" applyAlignment="1">
      <alignment horizontal="center" vertical="center"/>
    </xf>
    <xf numFmtId="0" fontId="47" fillId="12" borderId="17" xfId="0" applyFont="1" applyFill="1" applyBorder="1" applyAlignment="1">
      <alignment horizontal="center" vertical="center"/>
    </xf>
    <xf numFmtId="1" fontId="8" fillId="12" borderId="39" xfId="0" applyNumberFormat="1" applyFont="1" applyFill="1" applyBorder="1" applyAlignment="1">
      <alignment horizontal="center" vertical="center"/>
    </xf>
    <xf numFmtId="1" fontId="8" fillId="12" borderId="56" xfId="0" applyNumberFormat="1" applyFont="1" applyFill="1" applyBorder="1" applyAlignment="1">
      <alignment horizontal="center" vertical="center"/>
    </xf>
    <xf numFmtId="179" fontId="8" fillId="12" borderId="17" xfId="0" applyNumberFormat="1" applyFont="1" applyFill="1" applyBorder="1" applyAlignment="1">
      <alignment horizontal="center" vertical="center"/>
    </xf>
    <xf numFmtId="179" fontId="8" fillId="12" borderId="40" xfId="0" applyNumberFormat="1" applyFont="1" applyFill="1" applyBorder="1" applyAlignment="1">
      <alignment horizontal="center" vertical="center"/>
    </xf>
    <xf numFmtId="179" fontId="8" fillId="12" borderId="53" xfId="0" applyNumberFormat="1" applyFont="1" applyFill="1" applyBorder="1" applyAlignment="1">
      <alignment horizontal="center" vertical="center"/>
    </xf>
    <xf numFmtId="179" fontId="8" fillId="12" borderId="55" xfId="0" applyNumberFormat="1" applyFont="1" applyFill="1" applyBorder="1" applyAlignment="1">
      <alignment horizontal="center" vertical="center"/>
    </xf>
    <xf numFmtId="179" fontId="1" fillId="8" borderId="17" xfId="0" quotePrefix="1" applyNumberFormat="1" applyFont="1" applyFill="1" applyBorder="1" applyAlignment="1">
      <alignment horizontal="center" vertical="center"/>
    </xf>
    <xf numFmtId="179" fontId="0" fillId="8" borderId="17" xfId="0" applyNumberFormat="1" applyFill="1" applyBorder="1" applyAlignment="1">
      <alignment horizontal="center" vertical="center"/>
    </xf>
    <xf numFmtId="179" fontId="1" fillId="8" borderId="17" xfId="0" applyNumberFormat="1" applyFont="1" applyFill="1" applyBorder="1" applyAlignment="1">
      <alignment horizontal="center"/>
    </xf>
    <xf numFmtId="179" fontId="1" fillId="8" borderId="17" xfId="0" applyNumberFormat="1" applyFont="1" applyFill="1" applyBorder="1" applyAlignment="1">
      <alignment horizontal="center" vertical="center"/>
    </xf>
    <xf numFmtId="179" fontId="1" fillId="8" borderId="53" xfId="0" quotePrefix="1" applyNumberFormat="1" applyFont="1" applyFill="1" applyBorder="1" applyAlignment="1">
      <alignment horizontal="center" vertical="center"/>
    </xf>
    <xf numFmtId="179" fontId="1" fillId="8" borderId="53" xfId="0" applyNumberFormat="1" applyFont="1" applyFill="1" applyBorder="1" applyAlignment="1">
      <alignment horizontal="center"/>
    </xf>
    <xf numFmtId="0" fontId="32" fillId="8" borderId="17" xfId="0" applyFont="1" applyFill="1" applyBorder="1" applyAlignment="1">
      <alignment horizontal="center" vertical="center" wrapText="1"/>
    </xf>
    <xf numFmtId="1" fontId="0" fillId="8" borderId="17" xfId="0" applyNumberForma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179" fontId="0" fillId="10" borderId="17" xfId="0" applyNumberFormat="1" applyFill="1" applyBorder="1" applyAlignment="1">
      <alignment horizontal="center" vertical="center"/>
    </xf>
    <xf numFmtId="179" fontId="1" fillId="10" borderId="17" xfId="0" quotePrefix="1" applyNumberFormat="1" applyFont="1" applyFill="1" applyBorder="1" applyAlignment="1">
      <alignment horizontal="center" vertical="center"/>
    </xf>
    <xf numFmtId="179" fontId="1" fillId="10" borderId="17" xfId="0" applyNumberFormat="1" applyFont="1" applyFill="1" applyBorder="1" applyAlignment="1">
      <alignment horizontal="center" vertical="center"/>
    </xf>
    <xf numFmtId="1" fontId="1" fillId="8" borderId="17" xfId="0" quotePrefix="1" applyNumberFormat="1" applyFont="1" applyFill="1" applyBorder="1" applyAlignment="1">
      <alignment horizontal="center" vertical="center"/>
    </xf>
    <xf numFmtId="1" fontId="32" fillId="10" borderId="17" xfId="0" applyNumberFormat="1" applyFont="1" applyFill="1" applyBorder="1" applyAlignment="1">
      <alignment horizontal="center" vertical="center"/>
    </xf>
    <xf numFmtId="179" fontId="1" fillId="10" borderId="40" xfId="0" applyNumberFormat="1" applyFont="1" applyFill="1" applyBorder="1" applyAlignment="1">
      <alignment horizontal="center" vertical="center"/>
    </xf>
    <xf numFmtId="179" fontId="1" fillId="10" borderId="53" xfId="0" quotePrefix="1" applyNumberFormat="1" applyFont="1" applyFill="1" applyBorder="1" applyAlignment="1">
      <alignment horizontal="center" vertical="center"/>
    </xf>
    <xf numFmtId="0" fontId="32" fillId="10" borderId="17" xfId="0" quotePrefix="1" applyFont="1" applyFill="1" applyBorder="1" applyAlignment="1">
      <alignment horizontal="center" vertical="center"/>
    </xf>
    <xf numFmtId="179" fontId="1" fillId="10" borderId="55" xfId="0" applyNumberFormat="1" applyFont="1" applyFill="1" applyBorder="1" applyAlignment="1">
      <alignment horizontal="center" vertical="center"/>
    </xf>
    <xf numFmtId="179" fontId="1" fillId="8" borderId="17" xfId="0" quotePrefix="1" applyNumberFormat="1" applyFont="1" applyFill="1" applyBorder="1" applyAlignment="1">
      <alignment horizontal="center"/>
    </xf>
    <xf numFmtId="2" fontId="0" fillId="2" borderId="0" xfId="0" applyNumberFormat="1" applyFill="1" applyAlignment="1">
      <alignment vertical="center"/>
    </xf>
    <xf numFmtId="2" fontId="0" fillId="2" borderId="36" xfId="0" applyNumberFormat="1" applyFill="1" applyBorder="1" applyAlignment="1">
      <alignment vertical="center"/>
    </xf>
    <xf numFmtId="2" fontId="8" fillId="2" borderId="0" xfId="0" applyNumberFormat="1" applyFont="1" applyFill="1" applyAlignment="1">
      <alignment horizontal="right" vertical="center"/>
    </xf>
    <xf numFmtId="179" fontId="1" fillId="3" borderId="17" xfId="0" applyNumberFormat="1" applyFont="1" applyFill="1" applyBorder="1" applyAlignment="1">
      <alignment horizontal="center"/>
    </xf>
    <xf numFmtId="1" fontId="0" fillId="3" borderId="17" xfId="0" applyNumberFormat="1" applyFill="1" applyBorder="1" applyAlignment="1">
      <alignment horizontal="center" vertical="center"/>
    </xf>
    <xf numFmtId="0" fontId="1" fillId="0" borderId="0" xfId="0" applyFont="1"/>
    <xf numFmtId="0" fontId="13" fillId="0" borderId="20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3" fillId="0" borderId="20" xfId="0" applyFont="1" applyBorder="1" applyAlignment="1">
      <alignment vertical="top"/>
    </xf>
    <xf numFmtId="0" fontId="13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justify" vertical="center" wrapText="1"/>
    </xf>
    <xf numFmtId="0" fontId="71" fillId="0" borderId="0" xfId="0" applyFont="1" applyAlignment="1">
      <alignment vertical="center"/>
    </xf>
    <xf numFmtId="0" fontId="1" fillId="0" borderId="68" xfId="0" applyFont="1" applyBorder="1"/>
    <xf numFmtId="0" fontId="72" fillId="0" borderId="63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5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72" fillId="0" borderId="36" xfId="0" applyFont="1" applyBorder="1"/>
    <xf numFmtId="0" fontId="73" fillId="0" borderId="3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73" fillId="0" borderId="35" xfId="0" applyFont="1" applyBorder="1" applyAlignment="1">
      <alignment wrapText="1"/>
    </xf>
    <xf numFmtId="0" fontId="74" fillId="0" borderId="36" xfId="0" applyFont="1" applyBorder="1" applyAlignment="1">
      <alignment horizontal="left" wrapText="1"/>
    </xf>
    <xf numFmtId="0" fontId="73" fillId="0" borderId="36" xfId="0" applyFont="1" applyBorder="1" applyAlignment="1">
      <alignment wrapText="1"/>
    </xf>
    <xf numFmtId="0" fontId="73" fillId="0" borderId="35" xfId="0" applyFont="1" applyBorder="1"/>
    <xf numFmtId="0" fontId="73" fillId="0" borderId="32" xfId="0" applyFont="1" applyBorder="1"/>
    <xf numFmtId="0" fontId="73" fillId="0" borderId="34" xfId="0" applyFont="1" applyBorder="1" applyAlignment="1">
      <alignment wrapText="1"/>
    </xf>
    <xf numFmtId="2" fontId="8" fillId="6" borderId="20" xfId="2" applyNumberFormat="1" applyFont="1" applyFill="1" applyBorder="1" applyAlignment="1">
      <alignment vertical="center"/>
    </xf>
    <xf numFmtId="2" fontId="8" fillId="6" borderId="23" xfId="2" applyNumberFormat="1" applyFont="1" applyFill="1" applyBorder="1" applyAlignment="1">
      <alignment vertical="center"/>
    </xf>
    <xf numFmtId="2" fontId="8" fillId="6" borderId="1" xfId="2" applyNumberFormat="1" applyFont="1" applyFill="1" applyBorder="1" applyAlignment="1">
      <alignment vertical="center"/>
    </xf>
    <xf numFmtId="1" fontId="8" fillId="6" borderId="23" xfId="2" applyNumberFormat="1" applyFont="1" applyFill="1" applyBorder="1" applyAlignment="1">
      <alignment horizontal="left" vertical="center"/>
    </xf>
    <xf numFmtId="2" fontId="8" fillId="6" borderId="1" xfId="2" applyNumberFormat="1" applyFont="1" applyFill="1" applyBorder="1" applyAlignment="1">
      <alignment horizontal="center" vertical="center"/>
    </xf>
    <xf numFmtId="2" fontId="8" fillId="6" borderId="30" xfId="2" applyNumberFormat="1" applyFont="1" applyFill="1" applyBorder="1" applyAlignment="1">
      <alignment vertical="center"/>
    </xf>
    <xf numFmtId="1" fontId="8" fillId="6" borderId="28" xfId="2" applyNumberFormat="1" applyFont="1" applyFill="1" applyBorder="1" applyAlignment="1">
      <alignment horizontal="center" vertical="center"/>
    </xf>
    <xf numFmtId="1" fontId="8" fillId="2" borderId="17" xfId="2" applyNumberFormat="1" applyFont="1" applyFill="1" applyBorder="1" applyAlignment="1">
      <alignment horizontal="center" vertical="center"/>
    </xf>
    <xf numFmtId="179" fontId="8" fillId="2" borderId="17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1" fillId="10" borderId="17" xfId="2" applyNumberFormat="1" applyFill="1" applyBorder="1" applyAlignment="1">
      <alignment horizontal="center" vertical="center"/>
    </xf>
    <xf numFmtId="1" fontId="1" fillId="10" borderId="17" xfId="2" applyNumberFormat="1" applyFill="1" applyBorder="1" applyAlignment="1">
      <alignment horizontal="center"/>
    </xf>
    <xf numFmtId="179" fontId="1" fillId="10" borderId="17" xfId="2" applyNumberFormat="1" applyFill="1" applyBorder="1" applyAlignment="1">
      <alignment horizontal="center" vertical="center"/>
    </xf>
    <xf numFmtId="179" fontId="1" fillId="6" borderId="17" xfId="2" applyNumberFormat="1" applyFill="1" applyBorder="1" applyAlignment="1">
      <alignment horizontal="center"/>
    </xf>
    <xf numFmtId="179" fontId="1" fillId="10" borderId="17" xfId="2" quotePrefix="1" applyNumberFormat="1" applyFill="1" applyBorder="1" applyAlignment="1">
      <alignment horizontal="center"/>
    </xf>
    <xf numFmtId="179" fontId="1" fillId="10" borderId="17" xfId="2" applyNumberFormat="1" applyFill="1" applyBorder="1" applyAlignment="1">
      <alignment horizontal="center"/>
    </xf>
    <xf numFmtId="179" fontId="1" fillId="10" borderId="17" xfId="2" quotePrefix="1" applyNumberFormat="1" applyFill="1" applyBorder="1" applyAlignment="1">
      <alignment horizontal="center" vertical="center"/>
    </xf>
    <xf numFmtId="1" fontId="1" fillId="2" borderId="0" xfId="2" applyNumberFormat="1" applyFill="1" applyAlignment="1">
      <alignment horizontal="center" vertical="center"/>
    </xf>
    <xf numFmtId="179" fontId="14" fillId="2" borderId="17" xfId="2" applyNumberFormat="1" applyFont="1" applyFill="1" applyBorder="1" applyAlignment="1">
      <alignment horizontal="center" vertical="center"/>
    </xf>
    <xf numFmtId="179" fontId="1" fillId="2" borderId="17" xfId="2" applyNumberFormat="1" applyFill="1" applyBorder="1" applyAlignment="1">
      <alignment horizontal="center" vertical="center"/>
    </xf>
    <xf numFmtId="179" fontId="32" fillId="2" borderId="17" xfId="2" applyNumberFormat="1" applyFont="1" applyFill="1" applyBorder="1" applyAlignment="1">
      <alignment horizontal="center" vertical="center"/>
    </xf>
    <xf numFmtId="179" fontId="30" fillId="2" borderId="17" xfId="2" applyNumberFormat="1" applyFont="1" applyFill="1" applyBorder="1" applyAlignment="1">
      <alignment horizontal="center" vertical="center"/>
    </xf>
    <xf numFmtId="166" fontId="14" fillId="2" borderId="17" xfId="2" applyNumberFormat="1" applyFont="1" applyFill="1" applyBorder="1" applyAlignment="1">
      <alignment horizontal="center" vertical="center"/>
    </xf>
    <xf numFmtId="1" fontId="14" fillId="2" borderId="17" xfId="2" applyNumberFormat="1" applyFont="1" applyFill="1" applyBorder="1" applyAlignment="1">
      <alignment horizontal="center" vertical="center"/>
    </xf>
    <xf numFmtId="1" fontId="1" fillId="2" borderId="17" xfId="2" applyNumberFormat="1" applyFill="1" applyBorder="1" applyAlignment="1">
      <alignment horizontal="center" vertical="center"/>
    </xf>
    <xf numFmtId="164" fontId="8" fillId="2" borderId="20" xfId="2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6" borderId="65" xfId="2" applyFont="1" applyFill="1" applyBorder="1" applyAlignment="1">
      <alignment horizontal="center" vertical="center" wrapText="1"/>
    </xf>
    <xf numFmtId="0" fontId="47" fillId="6" borderId="37" xfId="0" applyFont="1" applyFill="1" applyBorder="1" applyAlignment="1">
      <alignment horizontal="center" vertical="center" wrapText="1"/>
    </xf>
    <xf numFmtId="0" fontId="47" fillId="6" borderId="28" xfId="0" applyFont="1" applyFill="1" applyBorder="1" applyAlignment="1">
      <alignment horizontal="center" vertical="center"/>
    </xf>
    <xf numFmtId="0" fontId="30" fillId="6" borderId="37" xfId="2" applyFont="1" applyFill="1" applyBorder="1" applyAlignment="1">
      <alignment horizontal="center" vertical="center"/>
    </xf>
    <xf numFmtId="0" fontId="47" fillId="6" borderId="17" xfId="0" applyFont="1" applyFill="1" applyBorder="1" applyAlignment="1">
      <alignment horizontal="center" vertical="center"/>
    </xf>
    <xf numFmtId="0" fontId="47" fillId="6" borderId="29" xfId="0" applyFont="1" applyFill="1" applyBorder="1" applyAlignment="1">
      <alignment horizontal="center" vertical="center"/>
    </xf>
    <xf numFmtId="1" fontId="8" fillId="6" borderId="39" xfId="0" applyNumberFormat="1" applyFont="1" applyFill="1" applyBorder="1" applyAlignment="1">
      <alignment horizontal="center" vertical="center"/>
    </xf>
    <xf numFmtId="164" fontId="8" fillId="6" borderId="17" xfId="0" applyNumberFormat="1" applyFont="1" applyFill="1" applyBorder="1" applyAlignment="1">
      <alignment horizontal="center" vertical="center"/>
    </xf>
    <xf numFmtId="1" fontId="8" fillId="6" borderId="56" xfId="0" applyNumberFormat="1" applyFont="1" applyFill="1" applyBorder="1" applyAlignment="1">
      <alignment horizontal="center" vertical="center"/>
    </xf>
    <xf numFmtId="164" fontId="8" fillId="6" borderId="53" xfId="0" applyNumberFormat="1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1" fontId="8" fillId="2" borderId="40" xfId="0" applyNumberFormat="1" applyFont="1" applyFill="1" applyBorder="1" applyAlignment="1">
      <alignment horizontal="center" vertical="center"/>
    </xf>
    <xf numFmtId="1" fontId="8" fillId="2" borderId="76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70" fillId="10" borderId="37" xfId="0" applyFont="1" applyFill="1" applyBorder="1" applyAlignment="1">
      <alignment vertical="center"/>
    </xf>
    <xf numFmtId="0" fontId="14" fillId="10" borderId="25" xfId="0" applyFont="1" applyFill="1" applyBorder="1" applyAlignment="1">
      <alignment vertical="center"/>
    </xf>
    <xf numFmtId="0" fontId="70" fillId="10" borderId="72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43" fillId="2" borderId="31" xfId="0" applyFont="1" applyFill="1" applyBorder="1" applyAlignment="1">
      <alignment horizontal="center" vertical="center"/>
    </xf>
    <xf numFmtId="0" fontId="43" fillId="2" borderId="31" xfId="0" applyFont="1" applyFill="1" applyBorder="1"/>
    <xf numFmtId="0" fontId="43" fillId="2" borderId="48" xfId="0" applyFont="1" applyFill="1" applyBorder="1"/>
    <xf numFmtId="0" fontId="5" fillId="10" borderId="42" xfId="0" quotePrefix="1" applyFont="1" applyFill="1" applyBorder="1" applyAlignment="1">
      <alignment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9" xfId="0" applyFont="1" applyFill="1" applyBorder="1"/>
    <xf numFmtId="0" fontId="5" fillId="10" borderId="43" xfId="0" applyFont="1" applyFill="1" applyBorder="1"/>
    <xf numFmtId="0" fontId="5" fillId="10" borderId="72" xfId="0" quotePrefix="1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5" fillId="10" borderId="73" xfId="0" applyFont="1" applyFill="1" applyBorder="1"/>
    <xf numFmtId="0" fontId="70" fillId="10" borderId="42" xfId="0" applyFont="1" applyFill="1" applyBorder="1" applyAlignment="1">
      <alignment vertical="center"/>
    </xf>
    <xf numFmtId="0" fontId="14" fillId="10" borderId="19" xfId="0" applyFont="1" applyFill="1" applyBorder="1" applyAlignment="1">
      <alignment vertical="center"/>
    </xf>
    <xf numFmtId="0" fontId="14" fillId="2" borderId="29" xfId="0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0" fontId="10" fillId="7" borderId="47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/>
    </xf>
    <xf numFmtId="0" fontId="10" fillId="2" borderId="78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vertical="center"/>
    </xf>
    <xf numFmtId="0" fontId="5" fillId="0" borderId="23" xfId="0" applyFont="1" applyBorder="1"/>
    <xf numFmtId="0" fontId="5" fillId="2" borderId="81" xfId="0" applyFont="1" applyFill="1" applyBorder="1"/>
    <xf numFmtId="0" fontId="5" fillId="2" borderId="31" xfId="0" applyFont="1" applyFill="1" applyBorder="1"/>
    <xf numFmtId="0" fontId="5" fillId="2" borderId="48" xfId="0" applyFont="1" applyFill="1" applyBorder="1"/>
    <xf numFmtId="0" fontId="5" fillId="0" borderId="21" xfId="0" applyFont="1" applyBorder="1"/>
    <xf numFmtId="0" fontId="43" fillId="7" borderId="77" xfId="0" applyFont="1" applyFill="1" applyBorder="1"/>
    <xf numFmtId="0" fontId="5" fillId="0" borderId="37" xfId="0" applyFont="1" applyBorder="1" applyAlignment="1">
      <alignment horizontal="center" vertical="center"/>
    </xf>
    <xf numFmtId="0" fontId="0" fillId="10" borderId="0" xfId="0" applyFill="1"/>
    <xf numFmtId="0" fontId="0" fillId="2" borderId="0" xfId="0" applyFill="1"/>
    <xf numFmtId="0" fontId="5" fillId="10" borderId="21" xfId="0" applyFont="1" applyFill="1" applyBorder="1"/>
    <xf numFmtId="0" fontId="5" fillId="10" borderId="27" xfId="0" applyFont="1" applyFill="1" applyBorder="1"/>
    <xf numFmtId="0" fontId="0" fillId="10" borderId="19" xfId="0" applyFill="1" applyBorder="1"/>
    <xf numFmtId="0" fontId="0" fillId="10" borderId="27" xfId="0" applyFill="1" applyBorder="1"/>
    <xf numFmtId="0" fontId="5" fillId="0" borderId="72" xfId="0" applyFont="1" applyBorder="1" applyAlignment="1">
      <alignment horizontal="center" vertical="center"/>
    </xf>
    <xf numFmtId="0" fontId="5" fillId="10" borderId="15" xfId="0" applyFont="1" applyFill="1" applyBorder="1"/>
    <xf numFmtId="0" fontId="0" fillId="10" borderId="22" xfId="0" applyFill="1" applyBorder="1"/>
    <xf numFmtId="0" fontId="43" fillId="7" borderId="47" xfId="0" applyFont="1" applyFill="1" applyBorder="1"/>
    <xf numFmtId="0" fontId="0" fillId="2" borderId="81" xfId="0" applyFill="1" applyBorder="1"/>
    <xf numFmtId="0" fontId="0" fillId="2" borderId="31" xfId="0" applyFill="1" applyBorder="1"/>
    <xf numFmtId="0" fontId="0" fillId="2" borderId="48" xfId="0" applyFill="1" applyBorder="1"/>
    <xf numFmtId="0" fontId="5" fillId="0" borderId="42" xfId="0" applyFont="1" applyBorder="1" applyAlignment="1">
      <alignment horizontal="center" vertical="center"/>
    </xf>
    <xf numFmtId="0" fontId="47" fillId="3" borderId="17" xfId="0" applyFont="1" applyFill="1" applyBorder="1" applyAlignment="1">
      <alignment horizontal="center" vertical="center"/>
    </xf>
    <xf numFmtId="0" fontId="30" fillId="3" borderId="17" xfId="2" applyFont="1" applyFill="1" applyBorder="1" applyAlignment="1">
      <alignment horizontal="center" vertical="center"/>
    </xf>
    <xf numFmtId="0" fontId="5" fillId="10" borderId="0" xfId="0" applyFont="1" applyFill="1"/>
    <xf numFmtId="0" fontId="8" fillId="10" borderId="0" xfId="0" applyFont="1" applyFill="1" applyAlignment="1">
      <alignment horizontal="center" vertical="center"/>
    </xf>
    <xf numFmtId="0" fontId="8" fillId="10" borderId="0" xfId="0" applyFont="1" applyFill="1"/>
    <xf numFmtId="0" fontId="43" fillId="0" borderId="47" xfId="0" applyFont="1" applyBorder="1" applyAlignment="1">
      <alignment vertical="center"/>
    </xf>
    <xf numFmtId="0" fontId="43" fillId="0" borderId="31" xfId="0" applyFont="1" applyBorder="1" applyAlignment="1">
      <alignment vertical="center"/>
    </xf>
    <xf numFmtId="0" fontId="43" fillId="0" borderId="48" xfId="0" applyFont="1" applyBorder="1" applyAlignment="1">
      <alignment vertical="center"/>
    </xf>
    <xf numFmtId="0" fontId="1" fillId="2" borderId="63" xfId="0" applyFont="1" applyFill="1" applyBorder="1"/>
    <xf numFmtId="0" fontId="0" fillId="0" borderId="36" xfId="0" applyBorder="1"/>
    <xf numFmtId="0" fontId="0" fillId="0" borderId="34" xfId="0" applyBorder="1"/>
    <xf numFmtId="0" fontId="1" fillId="2" borderId="62" xfId="0" applyFont="1" applyFill="1" applyBorder="1"/>
    <xf numFmtId="0" fontId="0" fillId="2" borderId="33" xfId="0" applyFill="1" applyBorder="1"/>
    <xf numFmtId="2" fontId="1" fillId="0" borderId="68" xfId="2" applyNumberFormat="1" applyBorder="1"/>
    <xf numFmtId="0" fontId="0" fillId="0" borderId="62" xfId="0" applyBorder="1"/>
    <xf numFmtId="0" fontId="0" fillId="0" borderId="63" xfId="0" applyBorder="1"/>
    <xf numFmtId="0" fontId="1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10" fillId="7" borderId="80" xfId="0" applyFont="1" applyFill="1" applyBorder="1" applyAlignment="1">
      <alignment horizontal="center" vertical="center"/>
    </xf>
    <xf numFmtId="0" fontId="5" fillId="10" borderId="21" xfId="2" applyFont="1" applyFill="1" applyBorder="1"/>
    <xf numFmtId="0" fontId="5" fillId="0" borderId="52" xfId="0" applyFont="1" applyBorder="1" applyAlignment="1">
      <alignment horizontal="center"/>
    </xf>
    <xf numFmtId="0" fontId="43" fillId="2" borderId="47" xfId="0" applyFont="1" applyFill="1" applyBorder="1" applyAlignment="1">
      <alignment vertical="center"/>
    </xf>
    <xf numFmtId="0" fontId="43" fillId="2" borderId="31" xfId="0" applyFont="1" applyFill="1" applyBorder="1" applyAlignment="1">
      <alignment vertical="center"/>
    </xf>
    <xf numFmtId="0" fontId="43" fillId="2" borderId="48" xfId="0" applyFont="1" applyFill="1" applyBorder="1" applyAlignment="1">
      <alignment vertical="center"/>
    </xf>
    <xf numFmtId="0" fontId="0" fillId="0" borderId="31" xfId="0" applyBorder="1"/>
    <xf numFmtId="0" fontId="5" fillId="10" borderId="23" xfId="2" applyFont="1" applyFill="1" applyBorder="1"/>
    <xf numFmtId="0" fontId="5" fillId="10" borderId="30" xfId="0" applyFont="1" applyFill="1" applyBorder="1"/>
    <xf numFmtId="0" fontId="5" fillId="0" borderId="76" xfId="0" applyFont="1" applyBorder="1" applyAlignment="1">
      <alignment horizontal="center"/>
    </xf>
    <xf numFmtId="0" fontId="43" fillId="0" borderId="31" xfId="0" applyFont="1" applyBorder="1"/>
    <xf numFmtId="0" fontId="43" fillId="0" borderId="48" xfId="0" applyFont="1" applyBorder="1"/>
    <xf numFmtId="0" fontId="20" fillId="2" borderId="17" xfId="0" applyFont="1" applyFill="1" applyBorder="1" applyAlignment="1">
      <alignment horizontal="center" vertical="center"/>
    </xf>
    <xf numFmtId="166" fontId="52" fillId="2" borderId="17" xfId="0" applyNumberFormat="1" applyFont="1" applyFill="1" applyBorder="1" applyAlignment="1">
      <alignment horizontal="center" vertical="center"/>
    </xf>
    <xf numFmtId="166" fontId="52" fillId="2" borderId="24" xfId="0" applyNumberFormat="1" applyFont="1" applyFill="1" applyBorder="1" applyAlignment="1">
      <alignment horizontal="center" vertical="center"/>
    </xf>
    <xf numFmtId="166" fontId="20" fillId="2" borderId="0" xfId="0" applyNumberFormat="1" applyFont="1" applyFill="1" applyAlignment="1">
      <alignment horizontal="center" vertical="center"/>
    </xf>
    <xf numFmtId="0" fontId="7" fillId="0" borderId="0" xfId="0" applyFont="1"/>
    <xf numFmtId="164" fontId="10" fillId="2" borderId="69" xfId="2" applyNumberFormat="1" applyFont="1" applyFill="1" applyBorder="1" applyAlignment="1">
      <alignment horizontal="left"/>
    </xf>
    <xf numFmtId="183" fontId="73" fillId="0" borderId="36" xfId="0" applyNumberFormat="1" applyFont="1" applyBorder="1" applyAlignment="1">
      <alignment horizontal="left"/>
    </xf>
    <xf numFmtId="183" fontId="1" fillId="0" borderId="36" xfId="0" applyNumberFormat="1" applyFont="1" applyBorder="1"/>
    <xf numFmtId="0" fontId="16" fillId="2" borderId="17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horizontal="right" vertical="center"/>
    </xf>
    <xf numFmtId="2" fontId="18" fillId="2" borderId="0" xfId="0" applyNumberFormat="1" applyFont="1" applyFill="1" applyAlignment="1">
      <alignment horizontal="left" vertical="center"/>
    </xf>
    <xf numFmtId="0" fontId="34" fillId="2" borderId="0" xfId="0" applyFont="1" applyFill="1" applyAlignment="1">
      <alignment horizontal="center" vertical="center" wrapText="1"/>
    </xf>
    <xf numFmtId="1" fontId="18" fillId="2" borderId="0" xfId="0" quotePrefix="1" applyNumberFormat="1" applyFont="1" applyFill="1" applyAlignment="1">
      <alignment horizontal="center" vertical="center" wrapText="1"/>
    </xf>
    <xf numFmtId="1" fontId="18" fillId="2" borderId="0" xfId="0" applyNumberFormat="1" applyFont="1" applyFill="1" applyAlignment="1">
      <alignment horizontal="right" vertical="center" wrapText="1"/>
    </xf>
    <xf numFmtId="0" fontId="76" fillId="2" borderId="0" xfId="0" applyFont="1" applyFill="1" applyAlignment="1">
      <alignment horizontal="center" vertical="center"/>
    </xf>
    <xf numFmtId="166" fontId="77" fillId="2" borderId="13" xfId="0" applyNumberFormat="1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166" fontId="77" fillId="2" borderId="14" xfId="0" quotePrefix="1" applyNumberFormat="1" applyFont="1" applyFill="1" applyBorder="1" applyAlignment="1">
      <alignment horizontal="right" vertical="center" wrapText="1"/>
    </xf>
    <xf numFmtId="0" fontId="19" fillId="2" borderId="4" xfId="0" applyFont="1" applyFill="1" applyBorder="1" applyAlignment="1">
      <alignment horizontal="left" vertical="center" wrapText="1"/>
    </xf>
    <xf numFmtId="164" fontId="77" fillId="2" borderId="6" xfId="0" quotePrefix="1" applyNumberFormat="1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left" vertical="center" wrapText="1"/>
    </xf>
    <xf numFmtId="166" fontId="77" fillId="2" borderId="10" xfId="0" quotePrefix="1" applyNumberFormat="1" applyFont="1" applyFill="1" applyBorder="1" applyAlignment="1">
      <alignment horizontal="right" vertical="center" wrapText="1"/>
    </xf>
    <xf numFmtId="0" fontId="8" fillId="2" borderId="12" xfId="0" applyFont="1" applyFill="1" applyBorder="1" applyAlignment="1">
      <alignment horizontal="left" vertical="center"/>
    </xf>
    <xf numFmtId="0" fontId="53" fillId="2" borderId="57" xfId="2" applyFont="1" applyFill="1" applyBorder="1" applyAlignment="1">
      <alignment horizontal="center" vertical="center"/>
    </xf>
    <xf numFmtId="0" fontId="53" fillId="2" borderId="37" xfId="2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81" fontId="1" fillId="0" borderId="0" xfId="0" applyNumberFormat="1" applyFont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2" fontId="35" fillId="2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165" fontId="17" fillId="0" borderId="17" xfId="0" applyNumberFormat="1" applyFont="1" applyBorder="1" applyAlignment="1">
      <alignment horizontal="center" vertical="center"/>
    </xf>
    <xf numFmtId="165" fontId="78" fillId="2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/>
      <protection locked="0"/>
    </xf>
    <xf numFmtId="164" fontId="46" fillId="4" borderId="17" xfId="0" applyNumberFormat="1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 applyProtection="1">
      <alignment horizontal="center" vertical="center"/>
      <protection locked="0"/>
    </xf>
    <xf numFmtId="0" fontId="35" fillId="2" borderId="0" xfId="0" applyFont="1" applyFill="1" applyAlignment="1">
      <alignment vertical="center"/>
    </xf>
    <xf numFmtId="2" fontId="35" fillId="2" borderId="0" xfId="0" applyNumberFormat="1" applyFont="1" applyFill="1" applyAlignment="1">
      <alignment vertical="center"/>
    </xf>
    <xf numFmtId="0" fontId="51" fillId="0" borderId="0" xfId="0" applyFont="1" applyAlignment="1">
      <alignment vertical="center" textRotation="255"/>
    </xf>
    <xf numFmtId="166" fontId="77" fillId="2" borderId="5" xfId="0" quotePrefix="1" applyNumberFormat="1" applyFont="1" applyFill="1" applyBorder="1" applyAlignment="1">
      <alignment horizontal="center" vertical="center"/>
    </xf>
    <xf numFmtId="0" fontId="53" fillId="0" borderId="17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1" fontId="1" fillId="7" borderId="17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2" fontId="1" fillId="7" borderId="20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166" fontId="51" fillId="0" borderId="17" xfId="0" applyNumberFormat="1" applyFont="1" applyBorder="1" applyAlignment="1">
      <alignment horizontal="center" vertical="center"/>
    </xf>
    <xf numFmtId="166" fontId="77" fillId="2" borderId="9" xfId="0" quotePrefix="1" applyNumberFormat="1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/>
    </xf>
    <xf numFmtId="2" fontId="8" fillId="2" borderId="0" xfId="2" applyNumberFormat="1" applyFont="1" applyFill="1" applyAlignment="1">
      <alignment horizontal="center"/>
    </xf>
    <xf numFmtId="165" fontId="8" fillId="2" borderId="0" xfId="2" applyNumberFormat="1" applyFont="1" applyFill="1" applyAlignment="1">
      <alignment horizontal="center"/>
    </xf>
    <xf numFmtId="0" fontId="10" fillId="2" borderId="0" xfId="2" applyFont="1" applyFill="1"/>
    <xf numFmtId="0" fontId="9" fillId="2" borderId="0" xfId="2" applyFont="1" applyFill="1"/>
    <xf numFmtId="0" fontId="8" fillId="2" borderId="0" xfId="2" applyFont="1" applyFill="1"/>
    <xf numFmtId="165" fontId="10" fillId="2" borderId="0" xfId="2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0" fontId="1" fillId="2" borderId="0" xfId="2" applyFill="1"/>
    <xf numFmtId="2" fontId="75" fillId="0" borderId="0" xfId="0" applyNumberFormat="1" applyFont="1" applyAlignment="1">
      <alignment horizontal="right" vertical="center"/>
    </xf>
    <xf numFmtId="1" fontId="81" fillId="0" borderId="0" xfId="0" applyNumberFormat="1" applyFont="1" applyAlignment="1">
      <alignment vertical="center"/>
    </xf>
    <xf numFmtId="165" fontId="3" fillId="0" borderId="17" xfId="0" applyNumberFormat="1" applyFont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/>
    </xf>
    <xf numFmtId="165" fontId="8" fillId="2" borderId="17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 vertical="center" wrapText="1"/>
    </xf>
    <xf numFmtId="165" fontId="8" fillId="2" borderId="17" xfId="0" applyNumberFormat="1" applyFont="1" applyFill="1" applyBorder="1" applyAlignment="1">
      <alignment horizontal="center" vertical="center" wrapText="1"/>
    </xf>
    <xf numFmtId="165" fontId="8" fillId="2" borderId="17" xfId="0" applyNumberFormat="1" applyFont="1" applyFill="1" applyBorder="1" applyAlignment="1">
      <alignment horizontal="center" vertical="center"/>
    </xf>
    <xf numFmtId="2" fontId="78" fillId="2" borderId="17" xfId="0" applyNumberFormat="1" applyFont="1" applyFill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164" fontId="54" fillId="0" borderId="0" xfId="0" applyNumberFormat="1" applyFont="1" applyAlignment="1">
      <alignment vertical="center"/>
    </xf>
    <xf numFmtId="0" fontId="54" fillId="0" borderId="0" xfId="0" applyFont="1" applyAlignment="1">
      <alignment horizontal="right" vertical="center"/>
    </xf>
    <xf numFmtId="0" fontId="84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right" vertical="center"/>
    </xf>
    <xf numFmtId="164" fontId="41" fillId="0" borderId="0" xfId="0" applyNumberFormat="1" applyFont="1" applyAlignment="1">
      <alignment vertical="center"/>
    </xf>
    <xf numFmtId="0" fontId="5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5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85" fillId="0" borderId="0" xfId="0" quotePrefix="1" applyFont="1" applyAlignment="1">
      <alignment horizontal="left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70" fontId="1" fillId="0" borderId="16" xfId="0" applyNumberFormat="1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170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70" fontId="1" fillId="0" borderId="1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6" fontId="1" fillId="2" borderId="17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right" vertical="center" wrapText="1"/>
    </xf>
    <xf numFmtId="2" fontId="1" fillId="0" borderId="26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1" fillId="2" borderId="0" xfId="0" quotePrefix="1" applyNumberFormat="1" applyFont="1" applyFill="1" applyAlignment="1">
      <alignment horizontal="center" vertical="center" wrapText="1"/>
    </xf>
    <xf numFmtId="166" fontId="86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left" vertical="center"/>
    </xf>
    <xf numFmtId="0" fontId="41" fillId="0" borderId="0" xfId="0" applyFont="1" applyAlignment="1" applyProtection="1">
      <alignment vertical="center"/>
      <protection locked="0"/>
    </xf>
    <xf numFmtId="2" fontId="41" fillId="0" borderId="0" xfId="0" applyNumberFormat="1" applyFont="1" applyAlignment="1" applyProtection="1">
      <alignment vertical="center"/>
      <protection locked="0"/>
    </xf>
    <xf numFmtId="0" fontId="54" fillId="0" borderId="0" xfId="0" applyFont="1" applyAlignment="1" applyProtection="1">
      <alignment vertical="center"/>
      <protection locked="0"/>
    </xf>
    <xf numFmtId="164" fontId="54" fillId="0" borderId="0" xfId="0" applyNumberFormat="1" applyFont="1" applyAlignment="1" applyProtection="1">
      <alignment vertical="center"/>
      <protection locked="0"/>
    </xf>
    <xf numFmtId="2" fontId="54" fillId="0" borderId="0" xfId="0" applyNumberFormat="1" applyFont="1" applyAlignment="1" applyProtection="1">
      <alignment vertical="center"/>
      <protection locked="0"/>
    </xf>
    <xf numFmtId="0" fontId="54" fillId="0" borderId="0" xfId="0" applyFont="1" applyAlignment="1">
      <alignment horizontal="left" vertical="center"/>
    </xf>
    <xf numFmtId="0" fontId="54" fillId="2" borderId="0" xfId="0" applyFont="1" applyFill="1" applyAlignment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 hidden="1"/>
    </xf>
    <xf numFmtId="0" fontId="54" fillId="2" borderId="0" xfId="0" applyFont="1" applyFill="1" applyAlignment="1" applyProtection="1">
      <alignment horizontal="center" vertical="center"/>
      <protection locked="0"/>
    </xf>
    <xf numFmtId="0" fontId="41" fillId="2" borderId="0" xfId="3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87" fillId="0" borderId="0" xfId="0" applyFont="1" applyAlignment="1">
      <alignment vertical="center"/>
    </xf>
    <xf numFmtId="0" fontId="87" fillId="0" borderId="0" xfId="0" applyFont="1" applyAlignment="1">
      <alignment horizontal="left" vertical="center"/>
    </xf>
    <xf numFmtId="0" fontId="8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87" fillId="0" borderId="0" xfId="0" applyFont="1" applyAlignment="1" applyProtection="1">
      <alignment horizontal="right" vertical="center"/>
      <protection locked="0"/>
    </xf>
    <xf numFmtId="0" fontId="40" fillId="2" borderId="0" xfId="0" applyFont="1" applyFill="1" applyAlignment="1">
      <alignment vertical="center"/>
    </xf>
    <xf numFmtId="0" fontId="83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85" fillId="2" borderId="0" xfId="0" quotePrefix="1" applyFont="1" applyFill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2" fontId="1" fillId="2" borderId="14" xfId="0" applyNumberFormat="1" applyFont="1" applyFill="1" applyBorder="1" applyAlignment="1">
      <alignment horizontal="right" vertical="center"/>
    </xf>
    <xf numFmtId="170" fontId="1" fillId="0" borderId="16" xfId="0" applyNumberFormat="1" applyFont="1" applyBorder="1" applyAlignment="1">
      <alignment vertical="center" wrapText="1"/>
    </xf>
    <xf numFmtId="176" fontId="1" fillId="2" borderId="0" xfId="0" quotePrefix="1" applyNumberFormat="1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right" vertical="center"/>
    </xf>
    <xf numFmtId="172" fontId="1" fillId="0" borderId="8" xfId="0" applyNumberFormat="1" applyFont="1" applyBorder="1" applyAlignment="1">
      <alignment vertical="center" wrapText="1"/>
    </xf>
    <xf numFmtId="175" fontId="1" fillId="2" borderId="0" xfId="0" quotePrefix="1" applyNumberFormat="1" applyFont="1" applyFill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166" fontId="1" fillId="2" borderId="10" xfId="0" applyNumberFormat="1" applyFont="1" applyFill="1" applyBorder="1" applyAlignment="1">
      <alignment horizontal="right" vertical="center"/>
    </xf>
    <xf numFmtId="173" fontId="1" fillId="0" borderId="12" xfId="0" applyNumberFormat="1" applyFont="1" applyBorder="1" applyAlignment="1">
      <alignment vertical="center" wrapText="1"/>
    </xf>
    <xf numFmtId="174" fontId="1" fillId="2" borderId="0" xfId="0" quotePrefix="1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173" fontId="1" fillId="0" borderId="0" xfId="0" applyNumberFormat="1" applyFont="1" applyAlignment="1">
      <alignment vertical="center" wrapText="1"/>
    </xf>
    <xf numFmtId="174" fontId="1" fillId="2" borderId="0" xfId="0" quotePrefix="1" applyNumberFormat="1" applyFont="1" applyFill="1" applyAlignment="1">
      <alignment horizontal="center" vertical="center"/>
    </xf>
    <xf numFmtId="0" fontId="1" fillId="0" borderId="20" xfId="3" applyBorder="1" applyAlignment="1">
      <alignment vertical="center"/>
    </xf>
    <xf numFmtId="0" fontId="1" fillId="0" borderId="25" xfId="0" applyFont="1" applyBorder="1"/>
    <xf numFmtId="0" fontId="1" fillId="0" borderId="26" xfId="0" applyFont="1" applyBorder="1"/>
    <xf numFmtId="0" fontId="1" fillId="0" borderId="17" xfId="0" applyFont="1" applyBorder="1" applyAlignment="1">
      <alignment horizontal="center" vertical="center"/>
    </xf>
    <xf numFmtId="0" fontId="1" fillId="0" borderId="21" xfId="3" applyBorder="1" applyAlignment="1">
      <alignment vertical="center"/>
    </xf>
    <xf numFmtId="0" fontId="1" fillId="0" borderId="19" xfId="0" applyFont="1" applyBorder="1"/>
    <xf numFmtId="0" fontId="1" fillId="0" borderId="27" xfId="0" applyFont="1" applyBorder="1"/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29" xfId="0" applyFont="1" applyBorder="1"/>
    <xf numFmtId="182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vertical="center"/>
    </xf>
    <xf numFmtId="0" fontId="51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51" fillId="2" borderId="0" xfId="0" applyFont="1" applyFill="1" applyAlignment="1" applyProtection="1">
      <alignment vertical="center"/>
      <protection locked="0"/>
    </xf>
    <xf numFmtId="0" fontId="51" fillId="2" borderId="0" xfId="0" quotePrefix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0" fontId="1" fillId="2" borderId="20" xfId="0" applyFont="1" applyFill="1" applyBorder="1" applyAlignment="1" applyProtection="1">
      <alignment horizontal="left" vertical="center"/>
      <protection locked="0"/>
    </xf>
    <xf numFmtId="0" fontId="1" fillId="2" borderId="25" xfId="0" applyFont="1" applyFill="1" applyBorder="1" applyAlignment="1" applyProtection="1">
      <alignment vertical="center"/>
      <protection locked="0"/>
    </xf>
    <xf numFmtId="0" fontId="1" fillId="2" borderId="26" xfId="0" applyFont="1" applyFill="1" applyBorder="1" applyAlignment="1" applyProtection="1">
      <alignment vertical="center"/>
      <protection locked="0"/>
    </xf>
    <xf numFmtId="166" fontId="1" fillId="2" borderId="20" xfId="0" applyNumberFormat="1" applyFont="1" applyFill="1" applyBorder="1" applyProtection="1">
      <protection locked="0"/>
    </xf>
    <xf numFmtId="166" fontId="1" fillId="2" borderId="26" xfId="0" applyNumberFormat="1" applyFont="1" applyFill="1" applyBorder="1" applyProtection="1"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165" fontId="1" fillId="2" borderId="20" xfId="0" applyNumberFormat="1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90" fillId="2" borderId="0" xfId="0" applyFont="1" applyFill="1" applyAlignment="1">
      <alignment vertical="center"/>
    </xf>
    <xf numFmtId="0" fontId="91" fillId="2" borderId="0" xfId="0" applyFont="1" applyFill="1" applyAlignment="1">
      <alignment vertical="center"/>
    </xf>
    <xf numFmtId="0" fontId="92" fillId="2" borderId="0" xfId="0" applyFont="1" applyFill="1"/>
    <xf numFmtId="0" fontId="82" fillId="2" borderId="0" xfId="0" applyFont="1" applyFill="1"/>
    <xf numFmtId="0" fontId="41" fillId="2" borderId="0" xfId="0" applyFont="1" applyFill="1"/>
    <xf numFmtId="0" fontId="84" fillId="2" borderId="0" xfId="0" applyFont="1" applyFill="1"/>
    <xf numFmtId="164" fontId="1" fillId="2" borderId="0" xfId="0" applyNumberFormat="1" applyFont="1" applyFill="1"/>
    <xf numFmtId="0" fontId="54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164" fontId="7" fillId="2" borderId="0" xfId="0" applyNumberFormat="1" applyFont="1" applyFill="1"/>
    <xf numFmtId="0" fontId="7" fillId="2" borderId="7" xfId="0" applyFont="1" applyFill="1" applyBorder="1" applyAlignment="1">
      <alignment horizontal="left"/>
    </xf>
    <xf numFmtId="0" fontId="7" fillId="2" borderId="7" xfId="0" applyFont="1" applyFill="1" applyBorder="1"/>
    <xf numFmtId="0" fontId="51" fillId="2" borderId="0" xfId="0" applyFont="1" applyFill="1"/>
    <xf numFmtId="0" fontId="7" fillId="2" borderId="2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93" fillId="2" borderId="0" xfId="0" quotePrefix="1" applyFont="1" applyFill="1" applyAlignment="1">
      <alignment horizontal="left"/>
    </xf>
    <xf numFmtId="0" fontId="51" fillId="2" borderId="0" xfId="0" applyFont="1" applyFill="1" applyAlignment="1">
      <alignment horizontal="left"/>
    </xf>
    <xf numFmtId="0" fontId="53" fillId="2" borderId="17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vertical="center" wrapText="1"/>
    </xf>
    <xf numFmtId="0" fontId="84" fillId="2" borderId="13" xfId="0" applyFont="1" applyFill="1" applyBorder="1" applyAlignment="1">
      <alignment horizontal="center" vertical="center"/>
    </xf>
    <xf numFmtId="0" fontId="84" fillId="2" borderId="2" xfId="0" applyFont="1" applyFill="1" applyBorder="1" applyAlignment="1">
      <alignment vertical="center"/>
    </xf>
    <xf numFmtId="0" fontId="84" fillId="2" borderId="3" xfId="0" applyFont="1" applyFill="1" applyBorder="1" applyAlignment="1">
      <alignment vertical="center"/>
    </xf>
    <xf numFmtId="0" fontId="84" fillId="2" borderId="7" xfId="0" applyFont="1" applyFill="1" applyBorder="1" applyAlignment="1">
      <alignment vertical="center"/>
    </xf>
    <xf numFmtId="166" fontId="84" fillId="2" borderId="6" xfId="0" quotePrefix="1" applyNumberFormat="1" applyFont="1" applyFill="1" applyBorder="1" applyAlignment="1">
      <alignment vertical="center" wrapText="1"/>
    </xf>
    <xf numFmtId="0" fontId="84" fillId="2" borderId="4" xfId="0" applyFont="1" applyFill="1" applyBorder="1" applyAlignment="1">
      <alignment horizontal="center" vertical="center" wrapText="1"/>
    </xf>
    <xf numFmtId="177" fontId="84" fillId="2" borderId="6" xfId="0" applyNumberFormat="1" applyFont="1" applyFill="1" applyBorder="1" applyAlignment="1">
      <alignment horizontal="right" vertical="center" wrapText="1"/>
    </xf>
    <xf numFmtId="0" fontId="84" fillId="2" borderId="8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0" fontId="84" fillId="2" borderId="5" xfId="0" applyFont="1" applyFill="1" applyBorder="1" applyAlignment="1">
      <alignment horizontal="center" vertical="center"/>
    </xf>
    <xf numFmtId="0" fontId="84" fillId="2" borderId="6" xfId="0" applyFont="1" applyFill="1" applyBorder="1" applyAlignment="1">
      <alignment vertical="center"/>
    </xf>
    <xf numFmtId="0" fontId="84" fillId="2" borderId="8" xfId="0" applyFont="1" applyFill="1" applyBorder="1" applyAlignment="1">
      <alignment horizontal="center" vertical="center" wrapText="1"/>
    </xf>
    <xf numFmtId="0" fontId="84" fillId="2" borderId="6" xfId="0" applyFont="1" applyFill="1" applyBorder="1" applyAlignment="1">
      <alignment horizontal="right" vertical="center" wrapText="1"/>
    </xf>
    <xf numFmtId="0" fontId="84" fillId="2" borderId="9" xfId="0" applyFont="1" applyFill="1" applyBorder="1" applyAlignment="1">
      <alignment horizontal="center" vertical="center"/>
    </xf>
    <xf numFmtId="0" fontId="84" fillId="2" borderId="10" xfId="0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166" fontId="84" fillId="2" borderId="10" xfId="0" quotePrefix="1" applyNumberFormat="1" applyFont="1" applyFill="1" applyBorder="1" applyAlignment="1">
      <alignment vertical="center" wrapText="1"/>
    </xf>
    <xf numFmtId="0" fontId="84" fillId="2" borderId="12" xfId="0" applyFont="1" applyFill="1" applyBorder="1" applyAlignment="1">
      <alignment horizontal="center" vertical="center"/>
    </xf>
    <xf numFmtId="0" fontId="84" fillId="2" borderId="10" xfId="0" applyFont="1" applyFill="1" applyBorder="1" applyAlignment="1">
      <alignment horizontal="right" vertical="center" wrapText="1"/>
    </xf>
    <xf numFmtId="0" fontId="84" fillId="2" borderId="12" xfId="0" applyFont="1" applyFill="1" applyBorder="1" applyAlignment="1">
      <alignment horizontal="left" vertical="center"/>
    </xf>
    <xf numFmtId="0" fontId="84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vertical="center"/>
    </xf>
    <xf numFmtId="0" fontId="94" fillId="2" borderId="0" xfId="0" quotePrefix="1" applyFont="1" applyFill="1" applyAlignment="1">
      <alignment horizontal="left" vertical="center"/>
    </xf>
    <xf numFmtId="166" fontId="84" fillId="2" borderId="0" xfId="0" quotePrefix="1" applyNumberFormat="1" applyFont="1" applyFill="1" applyAlignment="1">
      <alignment horizontal="center" vertical="center" wrapText="1"/>
    </xf>
    <xf numFmtId="0" fontId="53" fillId="2" borderId="0" xfId="0" applyFont="1" applyFill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vertical="center"/>
    </xf>
    <xf numFmtId="0" fontId="1" fillId="2" borderId="13" xfId="0" applyFont="1" applyFill="1" applyBorder="1"/>
    <xf numFmtId="2" fontId="84" fillId="2" borderId="13" xfId="0" applyNumberFormat="1" applyFont="1" applyFill="1" applyBorder="1" applyAlignment="1">
      <alignment vertical="center"/>
    </xf>
    <xf numFmtId="2" fontId="84" fillId="2" borderId="0" xfId="0" applyNumberFormat="1" applyFont="1" applyFill="1" applyAlignment="1">
      <alignment vertical="center"/>
    </xf>
    <xf numFmtId="2" fontId="7" fillId="2" borderId="0" xfId="1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9" fontId="95" fillId="2" borderId="0" xfId="0" quotePrefix="1" applyNumberFormat="1" applyFont="1" applyFill="1" applyAlignment="1">
      <alignment horizontal="center" vertical="center" wrapText="1"/>
    </xf>
    <xf numFmtId="0" fontId="95" fillId="2" borderId="0" xfId="0" quotePrefix="1" applyFont="1" applyFill="1" applyAlignment="1">
      <alignment horizontal="right"/>
    </xf>
    <xf numFmtId="2" fontId="7" fillId="2" borderId="0" xfId="0" applyNumberFormat="1" applyFont="1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/>
    <xf numFmtId="2" fontId="84" fillId="2" borderId="5" xfId="0" applyNumberFormat="1" applyFont="1" applyFill="1" applyBorder="1" applyAlignment="1">
      <alignment horizontal="center" vertical="center"/>
    </xf>
    <xf numFmtId="2" fontId="84" fillId="2" borderId="0" xfId="0" applyNumberFormat="1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vertical="center"/>
    </xf>
    <xf numFmtId="0" fontId="1" fillId="2" borderId="9" xfId="0" applyFont="1" applyFill="1" applyBorder="1"/>
    <xf numFmtId="2" fontId="84" fillId="2" borderId="9" xfId="0" applyNumberFormat="1" applyFont="1" applyFill="1" applyBorder="1" applyAlignment="1">
      <alignment vertical="center"/>
    </xf>
    <xf numFmtId="0" fontId="96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 wrapText="1"/>
    </xf>
    <xf numFmtId="1" fontId="84" fillId="2" borderId="0" xfId="0" quotePrefix="1" applyNumberFormat="1" applyFont="1" applyFill="1" applyAlignment="1">
      <alignment vertical="center" wrapText="1"/>
    </xf>
    <xf numFmtId="1" fontId="84" fillId="2" borderId="0" xfId="0" quotePrefix="1" applyNumberFormat="1" applyFont="1" applyFill="1" applyAlignment="1">
      <alignment horizontal="center" vertical="center" wrapText="1"/>
    </xf>
    <xf numFmtId="1" fontId="84" fillId="2" borderId="0" xfId="0" applyNumberFormat="1" applyFont="1" applyFill="1" applyAlignment="1">
      <alignment horizontal="right" vertical="center" wrapText="1"/>
    </xf>
    <xf numFmtId="2" fontId="84" fillId="2" borderId="0" xfId="0" applyNumberFormat="1" applyFont="1" applyFill="1" applyAlignment="1">
      <alignment horizontal="left" vertical="center"/>
    </xf>
    <xf numFmtId="2" fontId="84" fillId="2" borderId="0" xfId="0" applyNumberFormat="1" applyFont="1" applyFill="1" applyAlignment="1">
      <alignment horizontal="right" vertical="center"/>
    </xf>
    <xf numFmtId="0" fontId="51" fillId="2" borderId="0" xfId="0" quotePrefix="1" applyFont="1" applyFill="1" applyAlignment="1">
      <alignment horizontal="left"/>
    </xf>
    <xf numFmtId="165" fontId="97" fillId="2" borderId="0" xfId="0" applyNumberFormat="1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5" fillId="2" borderId="0" xfId="0" quotePrefix="1" applyFont="1" applyFill="1"/>
    <xf numFmtId="164" fontId="7" fillId="2" borderId="0" xfId="0" applyNumberFormat="1" applyFont="1" applyFill="1" applyAlignment="1">
      <alignment horizontal="left"/>
    </xf>
    <xf numFmtId="164" fontId="97" fillId="2" borderId="3" xfId="0" applyNumberFormat="1" applyFont="1" applyFill="1" applyBorder="1" applyAlignment="1">
      <alignment vertical="center"/>
    </xf>
    <xf numFmtId="164" fontId="97" fillId="2" borderId="3" xfId="0" applyNumberFormat="1" applyFont="1" applyFill="1" applyBorder="1" applyAlignment="1">
      <alignment horizontal="center"/>
    </xf>
    <xf numFmtId="165" fontId="97" fillId="2" borderId="3" xfId="0" applyNumberFormat="1" applyFont="1" applyFill="1" applyBorder="1" applyAlignment="1">
      <alignment horizontal="center"/>
    </xf>
    <xf numFmtId="0" fontId="99" fillId="2" borderId="0" xfId="0" applyFont="1" applyFill="1" applyAlignment="1">
      <alignment vertical="center" wrapText="1"/>
    </xf>
    <xf numFmtId="0" fontId="99" fillId="2" borderId="0" xfId="0" applyFont="1" applyFill="1" applyAlignment="1">
      <alignment horizontal="center" vertical="center" wrapText="1"/>
    </xf>
    <xf numFmtId="0" fontId="51" fillId="2" borderId="17" xfId="0" applyFont="1" applyFill="1" applyBorder="1" applyAlignment="1">
      <alignment horizontal="left"/>
    </xf>
    <xf numFmtId="0" fontId="7" fillId="2" borderId="0" xfId="0" applyFont="1" applyFill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2" borderId="17" xfId="0" quotePrefix="1" applyFont="1" applyFill="1" applyBorder="1"/>
    <xf numFmtId="0" fontId="7" fillId="2" borderId="0" xfId="0" quotePrefix="1" applyFont="1" applyFill="1"/>
    <xf numFmtId="0" fontId="7" fillId="2" borderId="17" xfId="0" applyFont="1" applyFill="1" applyBorder="1"/>
    <xf numFmtId="0" fontId="100" fillId="2" borderId="0" xfId="0" applyFont="1" applyFill="1"/>
    <xf numFmtId="0" fontId="51" fillId="2" borderId="3" xfId="0" quotePrefix="1" applyFont="1" applyFill="1" applyBorder="1" applyAlignment="1">
      <alignment horizontal="left"/>
    </xf>
    <xf numFmtId="0" fontId="27" fillId="2" borderId="0" xfId="0" quotePrefix="1" applyFont="1" applyFill="1"/>
    <xf numFmtId="0" fontId="27" fillId="2" borderId="0" xfId="0" applyFont="1" applyFill="1"/>
    <xf numFmtId="0" fontId="31" fillId="2" borderId="0" xfId="0" applyFont="1" applyFill="1"/>
    <xf numFmtId="0" fontId="101" fillId="2" borderId="0" xfId="0" applyFont="1" applyFill="1"/>
    <xf numFmtId="2" fontId="8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center" vertical="center"/>
    </xf>
    <xf numFmtId="165" fontId="1" fillId="2" borderId="25" xfId="0" applyNumberFormat="1" applyFont="1" applyFill="1" applyBorder="1" applyAlignment="1" applyProtection="1">
      <alignment vertical="center"/>
      <protection locked="0"/>
    </xf>
    <xf numFmtId="185" fontId="78" fillId="2" borderId="17" xfId="0" applyNumberFormat="1" applyFont="1" applyFill="1" applyBorder="1" applyAlignment="1">
      <alignment horizontal="center" vertical="center"/>
    </xf>
    <xf numFmtId="0" fontId="102" fillId="0" borderId="17" xfId="0" applyFont="1" applyBorder="1" applyAlignment="1">
      <alignment horizontal="center" vertical="center"/>
    </xf>
    <xf numFmtId="183" fontId="1" fillId="0" borderId="17" xfId="0" applyNumberFormat="1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0" fillId="0" borderId="17" xfId="0" applyBorder="1"/>
    <xf numFmtId="183" fontId="102" fillId="0" borderId="1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02" fillId="0" borderId="17" xfId="0" applyFont="1" applyBorder="1" applyAlignment="1">
      <alignment horizontal="center" vertical="center" wrapText="1"/>
    </xf>
    <xf numFmtId="0" fontId="7" fillId="14" borderId="17" xfId="0" applyFont="1" applyFill="1" applyBorder="1" applyAlignment="1" applyProtection="1">
      <alignment horizontal="center" vertical="top" wrapText="1"/>
      <protection hidden="1"/>
    </xf>
    <xf numFmtId="0" fontId="27" fillId="0" borderId="0" xfId="0" applyFont="1"/>
    <xf numFmtId="0" fontId="2" fillId="0" borderId="0" xfId="0" applyFont="1" applyAlignment="1">
      <alignment horizontal="center" vertical="center"/>
    </xf>
    <xf numFmtId="166" fontId="51" fillId="0" borderId="17" xfId="0" applyNumberFormat="1" applyFont="1" applyBorder="1" applyAlignment="1" applyProtection="1">
      <alignment horizontal="center" vertical="center"/>
      <protection locked="0"/>
    </xf>
    <xf numFmtId="2" fontId="18" fillId="0" borderId="0" xfId="0" applyNumberFormat="1" applyFont="1" applyAlignment="1">
      <alignment vertical="center"/>
    </xf>
    <xf numFmtId="2" fontId="18" fillId="0" borderId="0" xfId="0" quotePrefix="1" applyNumberFormat="1" applyFont="1" applyAlignment="1">
      <alignment vertical="center"/>
    </xf>
    <xf numFmtId="164" fontId="20" fillId="2" borderId="0" xfId="0" applyNumberFormat="1" applyFont="1" applyFill="1" applyAlignment="1">
      <alignment horizontal="center" vertical="center"/>
    </xf>
    <xf numFmtId="165" fontId="20" fillId="2" borderId="0" xfId="0" applyNumberFormat="1" applyFont="1" applyFill="1" applyAlignment="1">
      <alignment horizontal="center" vertical="center"/>
    </xf>
    <xf numFmtId="164" fontId="20" fillId="9" borderId="0" xfId="0" applyNumberFormat="1" applyFont="1" applyFill="1" applyAlignment="1">
      <alignment horizontal="center" vertical="center"/>
    </xf>
    <xf numFmtId="0" fontId="1" fillId="2" borderId="0" xfId="0" quotePrefix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0" fillId="3" borderId="0" xfId="0" quotePrefix="1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166" fontId="1" fillId="2" borderId="0" xfId="0" applyNumberFormat="1" applyFont="1" applyFill="1" applyAlignment="1">
      <alignment horizontal="center" vertical="center" wrapText="1"/>
    </xf>
    <xf numFmtId="0" fontId="51" fillId="0" borderId="0" xfId="0" applyFont="1" applyProtection="1">
      <protection locked="0"/>
    </xf>
    <xf numFmtId="0" fontId="7" fillId="0" borderId="0" xfId="0" applyFont="1" applyProtection="1">
      <protection locked="0"/>
    </xf>
    <xf numFmtId="2" fontId="44" fillId="0" borderId="0" xfId="0" applyNumberFormat="1" applyFont="1" applyAlignment="1">
      <alignment horizontal="center" vertical="center"/>
    </xf>
    <xf numFmtId="2" fontId="104" fillId="0" borderId="0" xfId="0" applyNumberFormat="1" applyFont="1" applyAlignment="1">
      <alignment vertical="center"/>
    </xf>
    <xf numFmtId="2" fontId="104" fillId="0" borderId="0" xfId="0" applyNumberFormat="1" applyFont="1" applyAlignment="1">
      <alignment horizontal="left" vertical="center"/>
    </xf>
    <xf numFmtId="0" fontId="105" fillId="0" borderId="0" xfId="0" applyFont="1"/>
    <xf numFmtId="2" fontId="86" fillId="0" borderId="14" xfId="0" applyNumberFormat="1" applyFont="1" applyBorder="1" applyAlignment="1">
      <alignment horizontal="right" vertical="center"/>
    </xf>
    <xf numFmtId="164" fontId="86" fillId="0" borderId="6" xfId="0" applyNumberFormat="1" applyFont="1" applyBorder="1" applyAlignment="1">
      <alignment horizontal="right" vertical="center"/>
    </xf>
    <xf numFmtId="166" fontId="86" fillId="0" borderId="10" xfId="0" applyNumberFormat="1" applyFont="1" applyBorder="1" applyAlignment="1">
      <alignment horizontal="right" vertical="center"/>
    </xf>
    <xf numFmtId="166" fontId="86" fillId="2" borderId="17" xfId="0" applyNumberFormat="1" applyFont="1" applyFill="1" applyBorder="1" applyAlignment="1">
      <alignment horizontal="center" vertical="center"/>
    </xf>
    <xf numFmtId="2" fontId="86" fillId="2" borderId="17" xfId="0" applyNumberFormat="1" applyFont="1" applyFill="1" applyBorder="1" applyAlignment="1">
      <alignment horizontal="center" vertical="center"/>
    </xf>
    <xf numFmtId="2" fontId="86" fillId="0" borderId="26" xfId="0" applyNumberFormat="1" applyFont="1" applyBorder="1" applyAlignment="1">
      <alignment horizontal="left" vertical="center"/>
    </xf>
    <xf numFmtId="0" fontId="104" fillId="0" borderId="0" xfId="0" applyFont="1" applyAlignment="1" applyProtection="1">
      <alignment vertical="center"/>
      <protection locked="0"/>
    </xf>
    <xf numFmtId="0" fontId="104" fillId="0" borderId="0" xfId="0" applyFont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10" xfId="0" applyFont="1" applyBorder="1" applyAlignment="1">
      <alignment vertical="center"/>
    </xf>
    <xf numFmtId="1" fontId="1" fillId="8" borderId="17" xfId="0" applyNumberFormat="1" applyFont="1" applyFill="1" applyBorder="1" applyAlignment="1">
      <alignment horizontal="center"/>
    </xf>
    <xf numFmtId="167" fontId="1" fillId="8" borderId="17" xfId="0" applyNumberFormat="1" applyFont="1" applyFill="1" applyBorder="1" applyAlignment="1">
      <alignment horizontal="center"/>
    </xf>
    <xf numFmtId="167" fontId="0" fillId="8" borderId="17" xfId="0" applyNumberFormat="1" applyFill="1" applyBorder="1" applyAlignment="1">
      <alignment horizontal="center" vertical="center"/>
    </xf>
    <xf numFmtId="167" fontId="1" fillId="8" borderId="17" xfId="0" applyNumberFormat="1" applyFont="1" applyFill="1" applyBorder="1" applyAlignment="1">
      <alignment horizontal="center" vertical="center"/>
    </xf>
    <xf numFmtId="167" fontId="1" fillId="8" borderId="17" xfId="0" quotePrefix="1" applyNumberFormat="1" applyFont="1" applyFill="1" applyBorder="1" applyAlignment="1">
      <alignment horizontal="center" vertical="center"/>
    </xf>
    <xf numFmtId="167" fontId="1" fillId="8" borderId="53" xfId="0" applyNumberFormat="1" applyFont="1" applyFill="1" applyBorder="1" applyAlignment="1">
      <alignment horizontal="center"/>
    </xf>
    <xf numFmtId="0" fontId="10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40" fillId="2" borderId="0" xfId="0" applyFont="1" applyFill="1" applyAlignment="1">
      <alignment horizontal="center"/>
    </xf>
    <xf numFmtId="0" fontId="83" fillId="2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9" fontId="95" fillId="2" borderId="0" xfId="0" quotePrefix="1" applyNumberFormat="1" applyFont="1" applyFill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81" fontId="1" fillId="0" borderId="17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0" fontId="53" fillId="2" borderId="17" xfId="0" applyFont="1" applyFill="1" applyBorder="1" applyAlignment="1">
      <alignment horizontal="center" vertical="center" wrapText="1"/>
    </xf>
    <xf numFmtId="0" fontId="53" fillId="2" borderId="20" xfId="0" applyFont="1" applyFill="1" applyBorder="1" applyAlignment="1">
      <alignment horizontal="center" vertical="center" wrapText="1"/>
    </xf>
    <xf numFmtId="0" fontId="53" fillId="2" borderId="25" xfId="0" applyFont="1" applyFill="1" applyBorder="1" applyAlignment="1">
      <alignment horizontal="center" vertical="center" wrapText="1"/>
    </xf>
    <xf numFmtId="0" fontId="53" fillId="2" borderId="2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1" fillId="2" borderId="58" xfId="2" applyNumberFormat="1" applyFill="1" applyBorder="1" applyAlignment="1">
      <alignment horizontal="center"/>
    </xf>
    <xf numFmtId="1" fontId="1" fillId="2" borderId="49" xfId="2" applyNumberFormat="1" applyFill="1" applyBorder="1" applyAlignment="1">
      <alignment horizontal="center"/>
    </xf>
    <xf numFmtId="166" fontId="1" fillId="2" borderId="58" xfId="2" applyNumberFormat="1" applyFill="1" applyBorder="1" applyAlignment="1">
      <alignment horizontal="center"/>
    </xf>
    <xf numFmtId="166" fontId="1" fillId="2" borderId="49" xfId="2" applyNumberFormat="1" applyFill="1" applyBorder="1" applyAlignment="1">
      <alignment horizontal="center"/>
    </xf>
    <xf numFmtId="166" fontId="1" fillId="2" borderId="25" xfId="2" applyNumberFormat="1" applyFill="1" applyBorder="1" applyAlignment="1">
      <alignment horizontal="center" vertical="center"/>
    </xf>
    <xf numFmtId="166" fontId="1" fillId="2" borderId="26" xfId="2" applyNumberFormat="1" applyFill="1" applyBorder="1" applyAlignment="1">
      <alignment horizontal="center" vertical="center"/>
    </xf>
    <xf numFmtId="0" fontId="32" fillId="2" borderId="68" xfId="0" applyFont="1" applyFill="1" applyBorder="1" applyAlignment="1">
      <alignment horizontal="center" vertical="center"/>
    </xf>
    <xf numFmtId="0" fontId="32" fillId="2" borderId="62" xfId="0" applyFont="1" applyFill="1" applyBorder="1" applyAlignment="1">
      <alignment horizontal="center" vertical="center"/>
    </xf>
    <xf numFmtId="0" fontId="32" fillId="2" borderId="63" xfId="0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1" fontId="81" fillId="0" borderId="28" xfId="0" applyNumberFormat="1" applyFont="1" applyBorder="1" applyAlignment="1">
      <alignment horizontal="center" vertical="center"/>
    </xf>
    <xf numFmtId="1" fontId="81" fillId="0" borderId="29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  <xf numFmtId="2" fontId="80" fillId="0" borderId="17" xfId="0" applyNumberFormat="1" applyFont="1" applyBorder="1" applyAlignment="1">
      <alignment horizontal="center" vertical="center"/>
    </xf>
    <xf numFmtId="2" fontId="79" fillId="0" borderId="17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84" fontId="1" fillId="0" borderId="17" xfId="0" applyNumberFormat="1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/>
    </xf>
    <xf numFmtId="0" fontId="51" fillId="0" borderId="20" xfId="3" applyFont="1" applyBorder="1" applyAlignment="1">
      <alignment horizontal="center" vertical="center"/>
    </xf>
    <xf numFmtId="0" fontId="51" fillId="0" borderId="25" xfId="3" applyFont="1" applyBorder="1" applyAlignment="1">
      <alignment horizontal="center" vertical="center"/>
    </xf>
    <xf numFmtId="0" fontId="51" fillId="0" borderId="26" xfId="3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68" fontId="7" fillId="2" borderId="0" xfId="0" applyNumberFormat="1" applyFont="1" applyFill="1" applyAlignment="1">
      <alignment horizontal="left" vertical="center"/>
    </xf>
    <xf numFmtId="169" fontId="7" fillId="2" borderId="0" xfId="0" applyNumberFormat="1" applyFont="1" applyFill="1" applyAlignment="1">
      <alignment horizontal="left" vertical="center"/>
    </xf>
    <xf numFmtId="180" fontId="7" fillId="2" borderId="0" xfId="0" applyNumberFormat="1" applyFont="1" applyFill="1" applyAlignment="1">
      <alignment horizontal="left" vertical="center"/>
    </xf>
    <xf numFmtId="0" fontId="83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1" fontId="7" fillId="7" borderId="28" xfId="0" applyNumberFormat="1" applyFont="1" applyFill="1" applyBorder="1" applyAlignment="1">
      <alignment horizontal="center" vertical="center"/>
    </xf>
    <xf numFmtId="1" fontId="7" fillId="7" borderId="18" xfId="0" applyNumberFormat="1" applyFont="1" applyFill="1" applyBorder="1" applyAlignment="1">
      <alignment horizontal="center" vertical="center"/>
    </xf>
    <xf numFmtId="1" fontId="7" fillId="7" borderId="29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1" fontId="32" fillId="2" borderId="17" xfId="0" applyNumberFormat="1" applyFont="1" applyFill="1" applyBorder="1" applyAlignment="1" applyProtection="1">
      <alignment horizontal="center" vertical="center"/>
      <protection locked="0"/>
    </xf>
    <xf numFmtId="166" fontId="2" fillId="2" borderId="20" xfId="0" applyNumberFormat="1" applyFont="1" applyFill="1" applyBorder="1" applyAlignment="1" applyProtection="1">
      <alignment horizontal="center" vertical="center"/>
      <protection locked="0"/>
    </xf>
    <xf numFmtId="166" fontId="2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17" xfId="0" applyNumberFormat="1" applyFont="1" applyFill="1" applyBorder="1" applyAlignment="1" applyProtection="1">
      <alignment horizontal="center" vertical="center"/>
      <protection locked="0"/>
    </xf>
    <xf numFmtId="14" fontId="1" fillId="2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15" fontId="52" fillId="9" borderId="0" xfId="0" quotePrefix="1" applyNumberFormat="1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2" fillId="0" borderId="0" xfId="0" applyFont="1" applyAlignment="1" applyProtection="1">
      <alignment horizontal="center" vertical="center"/>
      <protection locked="0"/>
    </xf>
    <xf numFmtId="174" fontId="19" fillId="2" borderId="10" xfId="0" applyNumberFormat="1" applyFont="1" applyFill="1" applyBorder="1" applyAlignment="1">
      <alignment horizontal="center" vertical="center" wrapText="1"/>
    </xf>
    <xf numFmtId="174" fontId="19" fillId="2" borderId="12" xfId="0" applyNumberFormat="1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52" fillId="9" borderId="0" xfId="0" quotePrefix="1" applyFont="1" applyFill="1" applyAlignment="1">
      <alignment horizontal="left" vertical="center"/>
    </xf>
    <xf numFmtId="0" fontId="52" fillId="9" borderId="0" xfId="0" applyFont="1" applyFill="1" applyAlignment="1">
      <alignment horizontal="left" vertical="center"/>
    </xf>
    <xf numFmtId="0" fontId="52" fillId="2" borderId="0" xfId="0" applyFont="1" applyFill="1" applyAlignment="1">
      <alignment horizontal="left" vertical="top" wrapText="1"/>
    </xf>
    <xf numFmtId="0" fontId="77" fillId="2" borderId="13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175" fontId="19" fillId="2" borderId="6" xfId="0" applyNumberFormat="1" applyFont="1" applyFill="1" applyBorder="1" applyAlignment="1">
      <alignment horizontal="center" vertical="center" wrapText="1"/>
    </xf>
    <xf numFmtId="175" fontId="19" fillId="2" borderId="8" xfId="0" applyNumberFormat="1" applyFont="1" applyFill="1" applyBorder="1" applyAlignment="1">
      <alignment horizontal="center" vertical="center" wrapText="1"/>
    </xf>
    <xf numFmtId="176" fontId="19" fillId="2" borderId="14" xfId="0" applyNumberFormat="1" applyFont="1" applyFill="1" applyBorder="1" applyAlignment="1">
      <alignment horizontal="center" vertical="center" wrapText="1"/>
    </xf>
    <xf numFmtId="176" fontId="19" fillId="2" borderId="16" xfId="0" applyNumberFormat="1" applyFont="1" applyFill="1" applyBorder="1" applyAlignment="1">
      <alignment horizontal="center" vertical="center" wrapText="1"/>
    </xf>
    <xf numFmtId="0" fontId="52" fillId="2" borderId="7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52" fillId="2" borderId="3" xfId="0" applyFont="1" applyFill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2" borderId="0" xfId="0" applyFont="1" applyFill="1" applyAlignment="1">
      <alignment horizontal="center" vertical="center" wrapText="1"/>
    </xf>
    <xf numFmtId="9" fontId="22" fillId="2" borderId="0" xfId="0" quotePrefix="1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77" fillId="2" borderId="5" xfId="0" applyFont="1" applyFill="1" applyBorder="1" applyAlignment="1">
      <alignment horizontal="center" vertical="center" wrapText="1"/>
    </xf>
    <xf numFmtId="1" fontId="77" fillId="2" borderId="9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183" fontId="20" fillId="2" borderId="0" xfId="0" quotePrefix="1" applyNumberFormat="1" applyFont="1" applyFill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77" fillId="2" borderId="6" xfId="0" applyFont="1" applyFill="1" applyBorder="1" applyAlignment="1">
      <alignment vertical="center"/>
    </xf>
    <xf numFmtId="0" fontId="77" fillId="2" borderId="7" xfId="0" applyFont="1" applyFill="1" applyBorder="1" applyAlignment="1">
      <alignment vertical="center"/>
    </xf>
    <xf numFmtId="0" fontId="77" fillId="2" borderId="8" xfId="0" applyFont="1" applyFill="1" applyBorder="1" applyAlignment="1">
      <alignment vertical="center"/>
    </xf>
    <xf numFmtId="0" fontId="77" fillId="2" borderId="10" xfId="0" applyFont="1" applyFill="1" applyBorder="1" applyAlignment="1">
      <alignment vertical="center"/>
    </xf>
    <xf numFmtId="0" fontId="77" fillId="2" borderId="11" xfId="0" applyFont="1" applyFill="1" applyBorder="1" applyAlignment="1">
      <alignment vertical="center"/>
    </xf>
    <xf numFmtId="0" fontId="77" fillId="2" borderId="12" xfId="0" applyFont="1" applyFill="1" applyBorder="1" applyAlignment="1">
      <alignment vertical="center"/>
    </xf>
    <xf numFmtId="0" fontId="86" fillId="2" borderId="17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left" vertical="top" wrapText="1"/>
    </xf>
    <xf numFmtId="175" fontId="1" fillId="0" borderId="6" xfId="0" applyNumberFormat="1" applyFont="1" applyBorder="1" applyAlignment="1">
      <alignment horizontal="center" vertical="center" wrapText="1"/>
    </xf>
    <xf numFmtId="175" fontId="1" fillId="0" borderId="8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174" fontId="1" fillId="0" borderId="12" xfId="0" applyNumberFormat="1" applyFont="1" applyBorder="1" applyAlignment="1">
      <alignment horizontal="center" vertical="center" wrapText="1"/>
    </xf>
    <xf numFmtId="0" fontId="51" fillId="2" borderId="17" xfId="0" applyFont="1" applyFill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180" fontId="54" fillId="0" borderId="0" xfId="0" applyNumberFormat="1" applyFont="1" applyAlignment="1">
      <alignment horizontal="left" vertical="center"/>
    </xf>
    <xf numFmtId="176" fontId="1" fillId="0" borderId="14" xfId="0" applyNumberFormat="1" applyFont="1" applyBorder="1" applyAlignment="1">
      <alignment horizontal="center" vertical="center" wrapText="1"/>
    </xf>
    <xf numFmtId="176" fontId="1" fillId="0" borderId="16" xfId="0" applyNumberFormat="1" applyFont="1" applyBorder="1" applyAlignment="1">
      <alignment horizontal="center" vertical="center" wrapText="1"/>
    </xf>
    <xf numFmtId="1" fontId="2" fillId="5" borderId="47" xfId="2" applyNumberFormat="1" applyFont="1" applyFill="1" applyBorder="1" applyAlignment="1">
      <alignment horizontal="center"/>
    </xf>
    <xf numFmtId="1" fontId="2" fillId="5" borderId="31" xfId="2" applyNumberFormat="1" applyFont="1" applyFill="1" applyBorder="1" applyAlignment="1">
      <alignment horizontal="center"/>
    </xf>
    <xf numFmtId="1" fontId="2" fillId="5" borderId="48" xfId="2" applyNumberFormat="1" applyFont="1" applyFill="1" applyBorder="1" applyAlignment="1">
      <alignment horizontal="center"/>
    </xf>
    <xf numFmtId="2" fontId="48" fillId="2" borderId="0" xfId="2" applyNumberFormat="1" applyFont="1" applyFill="1" applyAlignment="1">
      <alignment horizontal="center" vertical="center" wrapText="1"/>
    </xf>
    <xf numFmtId="179" fontId="32" fillId="2" borderId="17" xfId="2" applyNumberFormat="1" applyFont="1" applyFill="1" applyBorder="1" applyAlignment="1">
      <alignment horizontal="center" vertical="center" wrapText="1"/>
    </xf>
    <xf numFmtId="2" fontId="13" fillId="5" borderId="42" xfId="2" applyNumberFormat="1" applyFont="1" applyFill="1" applyBorder="1" applyAlignment="1">
      <alignment horizontal="center"/>
    </xf>
    <xf numFmtId="2" fontId="13" fillId="5" borderId="19" xfId="2" applyNumberFormat="1" applyFont="1" applyFill="1" applyBorder="1" applyAlignment="1">
      <alignment horizontal="center"/>
    </xf>
    <xf numFmtId="1" fontId="5" fillId="0" borderId="47" xfId="2" applyNumberFormat="1" applyFont="1" applyBorder="1" applyAlignment="1">
      <alignment horizontal="center"/>
    </xf>
    <xf numFmtId="1" fontId="5" fillId="0" borderId="31" xfId="2" applyNumberFormat="1" applyFont="1" applyBorder="1" applyAlignment="1">
      <alignment horizontal="center"/>
    </xf>
    <xf numFmtId="1" fontId="5" fillId="0" borderId="48" xfId="2" applyNumberFormat="1" applyFont="1" applyBorder="1" applyAlignment="1">
      <alignment horizontal="center"/>
    </xf>
    <xf numFmtId="2" fontId="10" fillId="2" borderId="65" xfId="2" applyNumberFormat="1" applyFont="1" applyFill="1" applyBorder="1" applyAlignment="1">
      <alignment horizontal="center" vertical="center"/>
    </xf>
    <xf numFmtId="2" fontId="10" fillId="2" borderId="64" xfId="2" applyNumberFormat="1" applyFont="1" applyFill="1" applyBorder="1" applyAlignment="1">
      <alignment horizontal="center" vertical="center"/>
    </xf>
    <xf numFmtId="2" fontId="10" fillId="2" borderId="66" xfId="2" applyNumberFormat="1" applyFont="1" applyFill="1" applyBorder="1" applyAlignment="1">
      <alignment horizontal="center" vertical="center"/>
    </xf>
    <xf numFmtId="2" fontId="45" fillId="2" borderId="57" xfId="2" applyNumberFormat="1" applyFont="1" applyFill="1" applyBorder="1" applyAlignment="1">
      <alignment horizontal="center" vertical="center"/>
    </xf>
    <xf numFmtId="2" fontId="45" fillId="2" borderId="58" xfId="2" applyNumberFormat="1" applyFont="1" applyFill="1" applyBorder="1" applyAlignment="1">
      <alignment horizontal="center" vertical="center"/>
    </xf>
    <xf numFmtId="2" fontId="45" fillId="2" borderId="59" xfId="2" applyNumberFormat="1" applyFont="1" applyFill="1" applyBorder="1" applyAlignment="1">
      <alignment horizontal="center" vertical="center"/>
    </xf>
    <xf numFmtId="2" fontId="35" fillId="2" borderId="0" xfId="2" applyNumberFormat="1" applyFont="1" applyFill="1" applyAlignment="1">
      <alignment horizontal="center" vertical="center" wrapText="1"/>
    </xf>
    <xf numFmtId="2" fontId="1" fillId="5" borderId="17" xfId="2" applyNumberFormat="1" applyFill="1" applyBorder="1" applyAlignment="1">
      <alignment horizontal="center" vertical="center" wrapText="1"/>
    </xf>
    <xf numFmtId="2" fontId="56" fillId="2" borderId="17" xfId="2" applyNumberFormat="1" applyFont="1" applyFill="1" applyBorder="1" applyAlignment="1">
      <alignment horizontal="center" vertical="center" wrapText="1"/>
    </xf>
    <xf numFmtId="2" fontId="46" fillId="2" borderId="65" xfId="2" applyNumberFormat="1" applyFont="1" applyFill="1" applyBorder="1" applyAlignment="1">
      <alignment horizontal="center" vertical="center" wrapText="1"/>
    </xf>
    <xf numFmtId="2" fontId="46" fillId="2" borderId="39" xfId="2" applyNumberFormat="1" applyFont="1" applyFill="1" applyBorder="1" applyAlignment="1">
      <alignment horizontal="center" vertical="center" wrapText="1"/>
    </xf>
    <xf numFmtId="2" fontId="46" fillId="2" borderId="71" xfId="2" applyNumberFormat="1" applyFont="1" applyFill="1" applyBorder="1" applyAlignment="1">
      <alignment horizontal="center" vertical="center" wrapText="1"/>
    </xf>
    <xf numFmtId="2" fontId="46" fillId="2" borderId="45" xfId="2" applyNumberFormat="1" applyFont="1" applyFill="1" applyBorder="1" applyAlignment="1">
      <alignment horizontal="center" vertical="center" wrapText="1"/>
    </xf>
    <xf numFmtId="2" fontId="46" fillId="2" borderId="18" xfId="2" applyNumberFormat="1" applyFont="1" applyFill="1" applyBorder="1" applyAlignment="1">
      <alignment horizontal="center" vertical="center" wrapText="1"/>
    </xf>
    <xf numFmtId="2" fontId="2" fillId="2" borderId="46" xfId="2" applyNumberFormat="1" applyFont="1" applyFill="1" applyBorder="1" applyAlignment="1">
      <alignment horizontal="center" vertical="center" wrapText="1"/>
    </xf>
    <xf numFmtId="2" fontId="2" fillId="2" borderId="41" xfId="2" applyNumberFormat="1" applyFont="1" applyFill="1" applyBorder="1" applyAlignment="1">
      <alignment horizontal="center" vertical="center" wrapText="1"/>
    </xf>
    <xf numFmtId="2" fontId="30" fillId="2" borderId="17" xfId="2" applyNumberFormat="1" applyFont="1" applyFill="1" applyBorder="1" applyAlignment="1">
      <alignment horizontal="center" vertical="center" wrapText="1"/>
    </xf>
    <xf numFmtId="2" fontId="32" fillId="2" borderId="17" xfId="2" applyNumberFormat="1" applyFont="1" applyFill="1" applyBorder="1" applyAlignment="1">
      <alignment horizontal="center" vertical="center"/>
    </xf>
    <xf numFmtId="2" fontId="2" fillId="5" borderId="17" xfId="2" applyNumberFormat="1" applyFont="1" applyFill="1" applyBorder="1" applyAlignment="1">
      <alignment horizontal="center" vertical="center"/>
    </xf>
    <xf numFmtId="2" fontId="37" fillId="5" borderId="17" xfId="2" applyNumberFormat="1" applyFont="1" applyFill="1" applyBorder="1" applyAlignment="1">
      <alignment horizontal="center" vertical="center" wrapText="1"/>
    </xf>
    <xf numFmtId="2" fontId="13" fillId="5" borderId="17" xfId="2" applyNumberFormat="1" applyFont="1" applyFill="1" applyBorder="1" applyAlignment="1">
      <alignment horizontal="center"/>
    </xf>
    <xf numFmtId="2" fontId="13" fillId="5" borderId="17" xfId="2" applyNumberFormat="1" applyFont="1" applyFill="1" applyBorder="1" applyAlignment="1">
      <alignment horizontal="center" vertical="center"/>
    </xf>
    <xf numFmtId="2" fontId="32" fillId="2" borderId="17" xfId="2" applyNumberFormat="1" applyFont="1" applyFill="1" applyBorder="1" applyAlignment="1">
      <alignment horizontal="center" vertical="center" wrapText="1"/>
    </xf>
    <xf numFmtId="2" fontId="1" fillId="5" borderId="17" xfId="2" applyNumberFormat="1" applyFill="1" applyBorder="1" applyAlignment="1">
      <alignment horizontal="center" vertical="center"/>
    </xf>
    <xf numFmtId="2" fontId="2" fillId="2" borderId="17" xfId="2" applyNumberFormat="1" applyFont="1" applyFill="1" applyBorder="1" applyAlignment="1">
      <alignment horizontal="center" vertical="center" wrapText="1"/>
    </xf>
    <xf numFmtId="2" fontId="32" fillId="0" borderId="17" xfId="2" applyNumberFormat="1" applyFont="1" applyBorder="1" applyAlignment="1">
      <alignment horizontal="center" vertical="center"/>
    </xf>
    <xf numFmtId="2" fontId="41" fillId="4" borderId="35" xfId="2" applyNumberFormat="1" applyFont="1" applyFill="1" applyBorder="1" applyAlignment="1">
      <alignment horizontal="center" vertical="center" wrapText="1"/>
    </xf>
    <xf numFmtId="2" fontId="41" fillId="4" borderId="0" xfId="2" applyNumberFormat="1" applyFont="1" applyFill="1" applyAlignment="1">
      <alignment horizontal="center" vertical="center" wrapText="1"/>
    </xf>
    <xf numFmtId="2" fontId="13" fillId="5" borderId="20" xfId="2" applyNumberFormat="1" applyFont="1" applyFill="1" applyBorder="1" applyAlignment="1">
      <alignment horizontal="center"/>
    </xf>
    <xf numFmtId="2" fontId="13" fillId="5" borderId="25" xfId="2" applyNumberFormat="1" applyFont="1" applyFill="1" applyBorder="1" applyAlignment="1">
      <alignment horizontal="center"/>
    </xf>
    <xf numFmtId="2" fontId="13" fillId="5" borderId="26" xfId="2" applyNumberFormat="1" applyFont="1" applyFill="1" applyBorder="1" applyAlignment="1">
      <alignment horizontal="center"/>
    </xf>
    <xf numFmtId="2" fontId="2" fillId="2" borderId="17" xfId="2" applyNumberFormat="1" applyFont="1" applyFill="1" applyBorder="1" applyAlignment="1">
      <alignment horizontal="center" vertical="center"/>
    </xf>
    <xf numFmtId="2" fontId="32" fillId="0" borderId="17" xfId="2" applyNumberFormat="1" applyFont="1" applyBorder="1" applyAlignment="1">
      <alignment horizontal="center" vertical="center" wrapText="1"/>
    </xf>
    <xf numFmtId="2" fontId="55" fillId="0" borderId="17" xfId="2" applyNumberFormat="1" applyFont="1" applyBorder="1" applyAlignment="1">
      <alignment horizontal="center" vertical="center" wrapText="1"/>
    </xf>
    <xf numFmtId="2" fontId="37" fillId="0" borderId="17" xfId="2" applyNumberFormat="1" applyFont="1" applyBorder="1" applyAlignment="1">
      <alignment horizontal="center" vertical="center"/>
    </xf>
    <xf numFmtId="2" fontId="30" fillId="0" borderId="17" xfId="2" applyNumberFormat="1" applyFont="1" applyBorder="1" applyAlignment="1">
      <alignment horizontal="center" vertical="center"/>
    </xf>
    <xf numFmtId="2" fontId="55" fillId="2" borderId="17" xfId="2" applyNumberFormat="1" applyFont="1" applyFill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30" fillId="0" borderId="17" xfId="2" applyNumberFormat="1" applyFont="1" applyBorder="1" applyAlignment="1">
      <alignment horizontal="center"/>
    </xf>
    <xf numFmtId="2" fontId="40" fillId="4" borderId="42" xfId="2" applyNumberFormat="1" applyFont="1" applyFill="1" applyBorder="1" applyAlignment="1">
      <alignment horizontal="center" vertical="center"/>
    </xf>
    <xf numFmtId="2" fontId="40" fillId="4" borderId="19" xfId="2" applyNumberFormat="1" applyFont="1" applyFill="1" applyBorder="1" applyAlignment="1">
      <alignment horizontal="center" vertical="center"/>
    </xf>
    <xf numFmtId="0" fontId="12" fillId="4" borderId="68" xfId="0" applyFont="1" applyFill="1" applyBorder="1" applyAlignment="1">
      <alignment horizontal="center" vertical="center"/>
    </xf>
    <xf numFmtId="0" fontId="12" fillId="4" borderId="62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11" borderId="68" xfId="0" applyFont="1" applyFill="1" applyBorder="1" applyAlignment="1">
      <alignment horizontal="center" vertical="center"/>
    </xf>
    <xf numFmtId="0" fontId="12" fillId="11" borderId="62" xfId="0" applyFont="1" applyFill="1" applyBorder="1" applyAlignment="1">
      <alignment horizontal="center" vertical="center"/>
    </xf>
    <xf numFmtId="0" fontId="12" fillId="11" borderId="31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47" fillId="10" borderId="17" xfId="2" applyFont="1" applyFill="1" applyBorder="1" applyAlignment="1">
      <alignment horizontal="center" vertical="center"/>
    </xf>
    <xf numFmtId="0" fontId="32" fillId="8" borderId="17" xfId="0" applyFont="1" applyFill="1" applyBorder="1" applyAlignment="1">
      <alignment horizontal="center" vertical="center" wrapText="1"/>
    </xf>
    <xf numFmtId="0" fontId="67" fillId="10" borderId="17" xfId="2" applyFont="1" applyFill="1" applyBorder="1" applyAlignment="1">
      <alignment horizontal="center" vertical="center"/>
    </xf>
    <xf numFmtId="0" fontId="47" fillId="8" borderId="17" xfId="2" applyFont="1" applyFill="1" applyBorder="1" applyAlignment="1">
      <alignment horizontal="center" vertical="center"/>
    </xf>
    <xf numFmtId="0" fontId="32" fillId="8" borderId="17" xfId="0" applyFont="1" applyFill="1" applyBorder="1" applyAlignment="1">
      <alignment horizontal="center" vertical="center"/>
    </xf>
    <xf numFmtId="0" fontId="67" fillId="8" borderId="17" xfId="2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18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/>
    </xf>
    <xf numFmtId="0" fontId="32" fillId="8" borderId="66" xfId="0" applyFont="1" applyFill="1" applyBorder="1" applyAlignment="1">
      <alignment horizontal="center" vertical="center" wrapText="1"/>
    </xf>
    <xf numFmtId="0" fontId="32" fillId="8" borderId="4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47" fillId="3" borderId="17" xfId="0" applyFont="1" applyFill="1" applyBorder="1" applyAlignment="1">
      <alignment horizontal="center" vertical="center" wrapText="1"/>
    </xf>
    <xf numFmtId="0" fontId="47" fillId="3" borderId="17" xfId="0" applyFont="1" applyFill="1" applyBorder="1" applyAlignment="1">
      <alignment horizontal="center" vertical="center"/>
    </xf>
    <xf numFmtId="0" fontId="47" fillId="8" borderId="65" xfId="2" applyFont="1" applyFill="1" applyBorder="1" applyAlignment="1">
      <alignment horizontal="center" vertical="center"/>
    </xf>
    <xf numFmtId="0" fontId="47" fillId="8" borderId="64" xfId="2" applyFont="1" applyFill="1" applyBorder="1" applyAlignment="1">
      <alignment horizontal="center" vertical="center"/>
    </xf>
    <xf numFmtId="0" fontId="10" fillId="8" borderId="70" xfId="0" applyFont="1" applyFill="1" applyBorder="1" applyAlignment="1">
      <alignment horizontal="center" vertical="center"/>
    </xf>
    <xf numFmtId="0" fontId="10" fillId="8" borderId="67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47" fillId="8" borderId="45" xfId="0" applyFont="1" applyFill="1" applyBorder="1" applyAlignment="1">
      <alignment horizontal="center" vertical="center" wrapText="1"/>
    </xf>
    <xf numFmtId="0" fontId="47" fillId="8" borderId="29" xfId="0" applyFont="1" applyFill="1" applyBorder="1" applyAlignment="1">
      <alignment horizontal="center" vertical="center" wrapText="1"/>
    </xf>
    <xf numFmtId="0" fontId="47" fillId="8" borderId="74" xfId="0" applyFont="1" applyFill="1" applyBorder="1" applyAlignment="1">
      <alignment horizontal="center" vertical="center"/>
    </xf>
    <xf numFmtId="0" fontId="47" fillId="8" borderId="75" xfId="0" applyFont="1" applyFill="1" applyBorder="1" applyAlignment="1">
      <alignment horizontal="center" vertical="center"/>
    </xf>
    <xf numFmtId="0" fontId="47" fillId="8" borderId="21" xfId="0" applyFont="1" applyFill="1" applyBorder="1" applyAlignment="1">
      <alignment horizontal="center" vertical="center"/>
    </xf>
    <xf numFmtId="0" fontId="47" fillId="8" borderId="27" xfId="0" applyFont="1" applyFill="1" applyBorder="1" applyAlignment="1">
      <alignment horizontal="center" vertical="center"/>
    </xf>
    <xf numFmtId="0" fontId="47" fillId="8" borderId="46" xfId="0" applyFont="1" applyFill="1" applyBorder="1" applyAlignment="1">
      <alignment horizontal="center" vertical="center" wrapText="1"/>
    </xf>
    <xf numFmtId="0" fontId="47" fillId="8" borderId="41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32" fillId="8" borderId="46" xfId="0" applyFont="1" applyFill="1" applyBorder="1" applyAlignment="1">
      <alignment horizontal="center" vertical="center" wrapText="1"/>
    </xf>
    <xf numFmtId="0" fontId="32" fillId="8" borderId="52" xfId="0" applyFont="1" applyFill="1" applyBorder="1" applyAlignment="1">
      <alignment horizontal="center" vertical="center" wrapText="1"/>
    </xf>
    <xf numFmtId="0" fontId="67" fillId="8" borderId="65" xfId="2" applyFont="1" applyFill="1" applyBorder="1" applyAlignment="1">
      <alignment horizontal="left" vertical="center"/>
    </xf>
    <xf numFmtId="0" fontId="67" fillId="8" borderId="64" xfId="2" applyFont="1" applyFill="1" applyBorder="1" applyAlignment="1">
      <alignment horizontal="left" vertical="center"/>
    </xf>
    <xf numFmtId="0" fontId="67" fillId="10" borderId="65" xfId="2" applyFont="1" applyFill="1" applyBorder="1" applyAlignment="1">
      <alignment horizontal="left" vertical="center"/>
    </xf>
    <xf numFmtId="0" fontId="67" fillId="10" borderId="64" xfId="2" applyFont="1" applyFill="1" applyBorder="1" applyAlignment="1">
      <alignment horizontal="left" vertical="center"/>
    </xf>
    <xf numFmtId="0" fontId="32" fillId="8" borderId="41" xfId="0" applyFont="1" applyFill="1" applyBorder="1" applyAlignment="1">
      <alignment horizontal="center" vertical="center" wrapText="1"/>
    </xf>
    <xf numFmtId="0" fontId="32" fillId="8" borderId="45" xfId="0" applyFont="1" applyFill="1" applyBorder="1" applyAlignment="1">
      <alignment horizontal="center" vertical="center"/>
    </xf>
    <xf numFmtId="0" fontId="35" fillId="12" borderId="50" xfId="2" applyFont="1" applyFill="1" applyBorder="1" applyAlignment="1">
      <alignment horizontal="left" vertical="center" wrapText="1"/>
    </xf>
    <xf numFmtId="0" fontId="35" fillId="12" borderId="58" xfId="2" applyFont="1" applyFill="1" applyBorder="1" applyAlignment="1">
      <alignment horizontal="left" vertical="center" wrapText="1"/>
    </xf>
    <xf numFmtId="0" fontId="35" fillId="12" borderId="59" xfId="2" applyFont="1" applyFill="1" applyBorder="1" applyAlignment="1">
      <alignment horizontal="left" vertical="center" wrapText="1"/>
    </xf>
    <xf numFmtId="0" fontId="35" fillId="6" borderId="50" xfId="2" applyFont="1" applyFill="1" applyBorder="1" applyAlignment="1">
      <alignment horizontal="left" vertical="center" wrapText="1"/>
    </xf>
    <xf numFmtId="0" fontId="35" fillId="6" borderId="58" xfId="2" applyFont="1" applyFill="1" applyBorder="1" applyAlignment="1">
      <alignment horizontal="left" vertical="center" wrapText="1"/>
    </xf>
    <xf numFmtId="0" fontId="35" fillId="6" borderId="59" xfId="2" applyFont="1" applyFill="1" applyBorder="1" applyAlignment="1">
      <alignment horizontal="left" vertical="center" wrapText="1"/>
    </xf>
    <xf numFmtId="0" fontId="47" fillId="12" borderId="28" xfId="0" applyFont="1" applyFill="1" applyBorder="1" applyAlignment="1">
      <alignment horizontal="center" vertical="center"/>
    </xf>
    <xf numFmtId="0" fontId="47" fillId="12" borderId="29" xfId="0" applyFont="1" applyFill="1" applyBorder="1" applyAlignment="1">
      <alignment horizontal="center" vertical="center"/>
    </xf>
    <xf numFmtId="0" fontId="67" fillId="10" borderId="65" xfId="2" applyFont="1" applyFill="1" applyBorder="1" applyAlignment="1">
      <alignment horizontal="center" vertical="center"/>
    </xf>
    <xf numFmtId="0" fontId="67" fillId="10" borderId="64" xfId="2" applyFont="1" applyFill="1" applyBorder="1" applyAlignment="1">
      <alignment horizontal="center" vertical="center"/>
    </xf>
    <xf numFmtId="0" fontId="43" fillId="0" borderId="61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0" fontId="43" fillId="0" borderId="69" xfId="0" applyFont="1" applyBorder="1" applyAlignment="1">
      <alignment horizontal="center"/>
    </xf>
    <xf numFmtId="0" fontId="43" fillId="0" borderId="47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43" fillId="0" borderId="48" xfId="0" applyFont="1" applyBorder="1" applyAlignment="1">
      <alignment horizontal="center" vertical="center"/>
    </xf>
    <xf numFmtId="0" fontId="43" fillId="2" borderId="77" xfId="0" applyFont="1" applyFill="1" applyBorder="1" applyAlignment="1">
      <alignment horizontal="center" vertical="center"/>
    </xf>
    <xf numFmtId="0" fontId="43" fillId="2" borderId="78" xfId="0" applyFont="1" applyFill="1" applyBorder="1" applyAlignment="1">
      <alignment horizontal="center" vertical="center"/>
    </xf>
    <xf numFmtId="0" fontId="43" fillId="2" borderId="79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47" fillId="12" borderId="20" xfId="0" applyFont="1" applyFill="1" applyBorder="1" applyAlignment="1">
      <alignment horizontal="center" vertical="center"/>
    </xf>
    <xf numFmtId="0" fontId="47" fillId="12" borderId="26" xfId="0" applyFont="1" applyFill="1" applyBorder="1" applyAlignment="1">
      <alignment horizontal="center" vertical="center"/>
    </xf>
    <xf numFmtId="0" fontId="47" fillId="12" borderId="76" xfId="0" applyFont="1" applyFill="1" applyBorder="1" applyAlignment="1">
      <alignment horizontal="center" vertical="center" wrapText="1"/>
    </xf>
    <xf numFmtId="0" fontId="47" fillId="12" borderId="52" xfId="0" applyFont="1" applyFill="1" applyBorder="1" applyAlignment="1">
      <alignment horizontal="center" vertical="center" wrapText="1"/>
    </xf>
    <xf numFmtId="0" fontId="47" fillId="6" borderId="20" xfId="0" applyFont="1" applyFill="1" applyBorder="1" applyAlignment="1">
      <alignment horizontal="center" vertical="center"/>
    </xf>
    <xf numFmtId="0" fontId="47" fillId="6" borderId="26" xfId="0" applyFont="1" applyFill="1" applyBorder="1" applyAlignment="1">
      <alignment horizontal="center" vertical="center"/>
    </xf>
    <xf numFmtId="0" fontId="47" fillId="6" borderId="76" xfId="0" applyFont="1" applyFill="1" applyBorder="1" applyAlignment="1">
      <alignment horizontal="center" vertical="center" wrapText="1"/>
    </xf>
    <xf numFmtId="0" fontId="47" fillId="6" borderId="52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1" fillId="0" borderId="35" xfId="0" applyFont="1" applyBorder="1"/>
    <xf numFmtId="0" fontId="1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71" fillId="0" borderId="0" xfId="0" applyFont="1" applyAlignment="1">
      <alignment vertical="center"/>
    </xf>
    <xf numFmtId="0" fontId="13" fillId="0" borderId="20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justify" vertical="top" wrapText="1"/>
    </xf>
    <xf numFmtId="183" fontId="13" fillId="0" borderId="0" xfId="0" applyNumberFormat="1" applyFont="1" applyAlignment="1">
      <alignment horizontal="left" vertical="top" wrapText="1"/>
    </xf>
    <xf numFmtId="0" fontId="13" fillId="13" borderId="0" xfId="0" applyFont="1" applyFill="1" applyAlignment="1">
      <alignment horizontal="justify" vertical="center" wrapText="1"/>
    </xf>
    <xf numFmtId="180" fontId="13" fillId="0" borderId="0" xfId="0" applyNumberFormat="1" applyFont="1" applyAlignment="1">
      <alignment horizontal="left" vertical="center" wrapText="1"/>
    </xf>
    <xf numFmtId="0" fontId="6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3" fillId="0" borderId="0" xfId="0" applyFont="1" applyAlignment="1">
      <alignment horizontal="right" vertical="center"/>
    </xf>
    <xf numFmtId="2" fontId="10" fillId="10" borderId="17" xfId="2" applyNumberFormat="1" applyFont="1" applyFill="1" applyBorder="1" applyAlignment="1">
      <alignment horizontal="center" vertical="center"/>
    </xf>
    <xf numFmtId="2" fontId="10" fillId="10" borderId="28" xfId="2" applyNumberFormat="1" applyFont="1" applyFill="1" applyBorder="1" applyAlignment="1">
      <alignment horizontal="center" vertical="center"/>
    </xf>
    <xf numFmtId="1" fontId="10" fillId="6" borderId="17" xfId="2" applyNumberFormat="1" applyFont="1" applyFill="1" applyBorder="1" applyAlignment="1">
      <alignment horizontal="center" vertical="center"/>
    </xf>
    <xf numFmtId="2" fontId="35" fillId="2" borderId="39" xfId="2" applyNumberFormat="1" applyFont="1" applyFill="1" applyBorder="1" applyAlignment="1">
      <alignment horizontal="center" vertical="center" wrapText="1"/>
    </xf>
    <xf numFmtId="2" fontId="35" fillId="2" borderId="17" xfId="2" applyNumberFormat="1" applyFont="1" applyFill="1" applyBorder="1" applyAlignment="1">
      <alignment horizontal="center" vertical="center" wrapText="1"/>
    </xf>
    <xf numFmtId="2" fontId="10" fillId="2" borderId="40" xfId="2" applyNumberFormat="1" applyFont="1" applyFill="1" applyBorder="1" applyAlignment="1">
      <alignment horizontal="center" vertical="center" wrapText="1"/>
    </xf>
    <xf numFmtId="2" fontId="8" fillId="2" borderId="65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 vertical="center"/>
    </xf>
    <xf numFmtId="2" fontId="8" fillId="2" borderId="56" xfId="2" applyNumberFormat="1" applyFont="1" applyFill="1" applyBorder="1" applyAlignment="1">
      <alignment horizontal="center" vertical="center"/>
    </xf>
    <xf numFmtId="2" fontId="35" fillId="2" borderId="64" xfId="2" applyNumberFormat="1" applyFont="1" applyFill="1" applyBorder="1" applyAlignment="1">
      <alignment horizontal="left" vertical="center" wrapText="1"/>
    </xf>
    <xf numFmtId="2" fontId="35" fillId="2" borderId="66" xfId="2" applyNumberFormat="1" applyFont="1" applyFill="1" applyBorder="1" applyAlignment="1">
      <alignment horizontal="left" vertical="center" wrapText="1"/>
    </xf>
    <xf numFmtId="2" fontId="47" fillId="2" borderId="17" xfId="2" applyNumberFormat="1" applyFont="1" applyFill="1" applyBorder="1" applyAlignment="1">
      <alignment horizontal="center" vertical="center"/>
    </xf>
    <xf numFmtId="2" fontId="8" fillId="6" borderId="17" xfId="2" applyNumberFormat="1" applyFont="1" applyFill="1" applyBorder="1" applyAlignment="1">
      <alignment horizontal="center" vertical="center"/>
    </xf>
    <xf numFmtId="2" fontId="8" fillId="6" borderId="64" xfId="2" applyNumberFormat="1" applyFont="1" applyFill="1" applyBorder="1" applyAlignment="1">
      <alignment horizontal="center" vertical="center"/>
    </xf>
    <xf numFmtId="2" fontId="8" fillId="6" borderId="53" xfId="2" applyNumberFormat="1" applyFont="1" applyFill="1" applyBorder="1" applyAlignment="1">
      <alignment horizontal="center" vertical="center"/>
    </xf>
    <xf numFmtId="2" fontId="8" fillId="6" borderId="45" xfId="2" applyNumberFormat="1" applyFont="1" applyFill="1" applyBorder="1" applyAlignment="1">
      <alignment horizontal="center" vertical="center"/>
    </xf>
    <xf numFmtId="2" fontId="8" fillId="6" borderId="18" xfId="2" applyNumberFormat="1" applyFont="1" applyFill="1" applyBorder="1" applyAlignment="1">
      <alignment horizontal="center" vertical="center"/>
    </xf>
    <xf numFmtId="2" fontId="8" fillId="6" borderId="60" xfId="2" applyNumberFormat="1" applyFont="1" applyFill="1" applyBorder="1" applyAlignment="1">
      <alignment horizontal="center" vertical="center"/>
    </xf>
    <xf numFmtId="2" fontId="35" fillId="7" borderId="65" xfId="2" applyNumberFormat="1" applyFont="1" applyFill="1" applyBorder="1" applyAlignment="1">
      <alignment horizontal="center" vertical="center"/>
    </xf>
    <xf numFmtId="2" fontId="35" fillId="7" borderId="66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 vertical="center"/>
    </xf>
    <xf numFmtId="2" fontId="10" fillId="7" borderId="40" xfId="2" applyNumberFormat="1" applyFont="1" applyFill="1" applyBorder="1" applyAlignment="1">
      <alignment horizontal="center" vertical="center"/>
    </xf>
    <xf numFmtId="2" fontId="8" fillId="6" borderId="28" xfId="2" applyNumberFormat="1" applyFont="1" applyFill="1" applyBorder="1" applyAlignment="1">
      <alignment horizontal="center" vertical="center"/>
    </xf>
    <xf numFmtId="2" fontId="47" fillId="6" borderId="17" xfId="2" applyNumberFormat="1" applyFont="1" applyFill="1" applyBorder="1" applyAlignment="1">
      <alignment horizontal="center" vertical="center"/>
    </xf>
    <xf numFmtId="2" fontId="47" fillId="6" borderId="23" xfId="2" applyNumberFormat="1" applyFont="1" applyFill="1" applyBorder="1" applyAlignment="1">
      <alignment horizontal="center" vertical="center"/>
    </xf>
    <xf numFmtId="2" fontId="47" fillId="6" borderId="1" xfId="2" applyNumberFormat="1" applyFont="1" applyFill="1" applyBorder="1" applyAlignment="1">
      <alignment horizontal="center" vertical="center"/>
    </xf>
    <xf numFmtId="2" fontId="47" fillId="6" borderId="30" xfId="2" applyNumberFormat="1" applyFont="1" applyFill="1" applyBorder="1" applyAlignment="1">
      <alignment horizontal="center" vertical="center"/>
    </xf>
    <xf numFmtId="2" fontId="47" fillId="6" borderId="40" xfId="2" applyNumberFormat="1" applyFont="1" applyFill="1" applyBorder="1" applyAlignment="1">
      <alignment horizontal="center" vertical="center"/>
    </xf>
    <xf numFmtId="2" fontId="8" fillId="4" borderId="0" xfId="2" applyNumberFormat="1" applyFont="1" applyFill="1" applyAlignment="1">
      <alignment horizontal="center"/>
    </xf>
    <xf numFmtId="2" fontId="36" fillId="6" borderId="17" xfId="2" applyNumberFormat="1" applyFont="1" applyFill="1" applyBorder="1" applyAlignment="1">
      <alignment horizontal="center" vertical="center"/>
    </xf>
    <xf numFmtId="2" fontId="30" fillId="6" borderId="17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35" fillId="6" borderId="17" xfId="2" applyNumberFormat="1" applyFont="1" applyFill="1" applyBorder="1" applyAlignment="1">
      <alignment horizontal="center" vertical="center"/>
    </xf>
    <xf numFmtId="2" fontId="10" fillId="6" borderId="17" xfId="2" applyNumberFormat="1" applyFont="1" applyFill="1" applyBorder="1" applyAlignment="1">
      <alignment horizontal="center" vertical="center"/>
    </xf>
    <xf numFmtId="2" fontId="10" fillId="6" borderId="17" xfId="2" applyNumberFormat="1" applyFont="1" applyFill="1" applyBorder="1" applyAlignment="1">
      <alignment horizontal="center" vertical="center" wrapText="1"/>
    </xf>
    <xf numFmtId="2" fontId="35" fillId="6" borderId="17" xfId="2" applyNumberFormat="1" applyFont="1" applyFill="1" applyBorder="1" applyAlignment="1">
      <alignment horizontal="center" vertical="center"/>
    </xf>
    <xf numFmtId="2" fontId="10" fillId="6" borderId="64" xfId="2" applyNumberFormat="1" applyFont="1" applyFill="1" applyBorder="1" applyAlignment="1">
      <alignment horizontal="center" vertical="center"/>
    </xf>
    <xf numFmtId="2" fontId="10" fillId="6" borderId="64" xfId="2" applyNumberFormat="1" applyFont="1" applyFill="1" applyBorder="1" applyAlignment="1">
      <alignment horizontal="center" vertical="center" wrapText="1"/>
    </xf>
    <xf numFmtId="2" fontId="35" fillId="6" borderId="64" xfId="2" applyNumberFormat="1" applyFont="1" applyFill="1" applyBorder="1" applyAlignment="1">
      <alignment horizontal="center" vertical="center"/>
    </xf>
    <xf numFmtId="2" fontId="35" fillId="6" borderId="66" xfId="2" applyNumberFormat="1" applyFont="1" applyFill="1" applyBorder="1" applyAlignment="1">
      <alignment horizontal="center" vertical="center"/>
    </xf>
    <xf numFmtId="2" fontId="46" fillId="6" borderId="65" xfId="2" applyNumberFormat="1" applyFont="1" applyFill="1" applyBorder="1" applyAlignment="1">
      <alignment horizontal="center" vertical="center"/>
    </xf>
    <xf numFmtId="2" fontId="46" fillId="6" borderId="66" xfId="2" applyNumberFormat="1" applyFont="1" applyFill="1" applyBorder="1" applyAlignment="1">
      <alignment horizontal="center" vertical="center"/>
    </xf>
    <xf numFmtId="2" fontId="32" fillId="6" borderId="17" xfId="2" applyNumberFormat="1" applyFont="1" applyFill="1" applyBorder="1" applyAlignment="1">
      <alignment horizontal="center" vertical="center"/>
    </xf>
    <xf numFmtId="1" fontId="1" fillId="0" borderId="17" xfId="2" applyNumberFormat="1" applyBorder="1" applyAlignment="1">
      <alignment horizontal="center" vertical="center"/>
    </xf>
    <xf numFmtId="2" fontId="32" fillId="6" borderId="20" xfId="2" applyNumberFormat="1" applyFont="1" applyFill="1" applyBorder="1" applyAlignment="1">
      <alignment horizontal="center" vertical="center"/>
    </xf>
    <xf numFmtId="2" fontId="32" fillId="6" borderId="25" xfId="2" applyNumberFormat="1" applyFont="1" applyFill="1" applyBorder="1" applyAlignment="1">
      <alignment horizontal="center" vertical="center"/>
    </xf>
    <xf numFmtId="2" fontId="32" fillId="6" borderId="26" xfId="2" applyNumberFormat="1" applyFont="1" applyFill="1" applyBorder="1" applyAlignment="1">
      <alignment horizontal="center" vertical="center"/>
    </xf>
    <xf numFmtId="1" fontId="1" fillId="0" borderId="28" xfId="2" applyNumberFormat="1" applyBorder="1" applyAlignment="1">
      <alignment horizontal="center" vertical="center"/>
    </xf>
    <xf numFmtId="1" fontId="1" fillId="0" borderId="18" xfId="2" applyNumberFormat="1" applyBorder="1" applyAlignment="1">
      <alignment horizontal="center" vertical="center"/>
    </xf>
    <xf numFmtId="1" fontId="1" fillId="0" borderId="29" xfId="2" applyNumberFormat="1" applyBorder="1" applyAlignment="1">
      <alignment horizontal="center" vertical="center"/>
    </xf>
    <xf numFmtId="2" fontId="45" fillId="4" borderId="35" xfId="2" applyNumberFormat="1" applyFont="1" applyFill="1" applyBorder="1" applyAlignment="1">
      <alignment horizontal="center" vertical="center"/>
    </xf>
    <xf numFmtId="2" fontId="45" fillId="4" borderId="0" xfId="2" applyNumberFormat="1" applyFont="1" applyFill="1" applyAlignment="1">
      <alignment horizontal="center" vertical="center"/>
    </xf>
    <xf numFmtId="164" fontId="8" fillId="2" borderId="17" xfId="0" quotePrefix="1" applyNumberFormat="1" applyFont="1" applyFill="1" applyBorder="1" applyAlignment="1">
      <alignment horizontal="center" vertical="center"/>
    </xf>
    <xf numFmtId="164" fontId="0" fillId="0" borderId="17" xfId="0" applyNumberFormat="1" applyBorder="1"/>
    <xf numFmtId="164" fontId="8" fillId="0" borderId="17" xfId="0" applyNumberFormat="1" applyFont="1" applyBorder="1"/>
    <xf numFmtId="0" fontId="8" fillId="0" borderId="17" xfId="0" applyFont="1" applyBorder="1"/>
    <xf numFmtId="165" fontId="8" fillId="0" borderId="17" xfId="0" applyNumberFormat="1" applyFont="1" applyBorder="1"/>
    <xf numFmtId="176" fontId="1" fillId="0" borderId="20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175" fontId="1" fillId="0" borderId="20" xfId="0" applyNumberFormat="1" applyFont="1" applyBorder="1" applyAlignment="1">
      <alignment horizontal="center" vertical="center"/>
    </xf>
    <xf numFmtId="175" fontId="1" fillId="0" borderId="26" xfId="0" applyNumberFormat="1" applyFont="1" applyBorder="1" applyAlignment="1">
      <alignment horizontal="center" vertical="center"/>
    </xf>
    <xf numFmtId="174" fontId="1" fillId="0" borderId="20" xfId="0" applyNumberFormat="1" applyFont="1" applyBorder="1" applyAlignment="1">
      <alignment horizontal="center" vertical="center"/>
    </xf>
    <xf numFmtId="174" fontId="1" fillId="0" borderId="26" xfId="0" applyNumberFormat="1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CDA50B13-D9DD-4616-BA77-33704220214A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colors>
    <mruColors>
      <color rgb="FFC8C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55</xdr:row>
          <xdr:rowOff>28575</xdr:rowOff>
        </xdr:from>
        <xdr:to>
          <xdr:col>17</xdr:col>
          <xdr:colOff>314325</xdr:colOff>
          <xdr:row>55</xdr:row>
          <xdr:rowOff>28575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55</xdr:row>
          <xdr:rowOff>28575</xdr:rowOff>
        </xdr:from>
        <xdr:to>
          <xdr:col>17</xdr:col>
          <xdr:colOff>323850</xdr:colOff>
          <xdr:row>55</xdr:row>
          <xdr:rowOff>28575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88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88</xdr:row>
          <xdr:rowOff>0</xdr:rowOff>
        </xdr:from>
        <xdr:to>
          <xdr:col>12</xdr:col>
          <xdr:colOff>409575</xdr:colOff>
          <xdr:row>88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88</xdr:row>
          <xdr:rowOff>0</xdr:rowOff>
        </xdr:from>
        <xdr:to>
          <xdr:col>12</xdr:col>
          <xdr:colOff>419100</xdr:colOff>
          <xdr:row>88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80C1-F13F-42AD-8BEB-57CCCA8AEE06}">
  <sheetPr codeName="Sheet1"/>
  <dimension ref="A2:E100"/>
  <sheetViews>
    <sheetView workbookViewId="0">
      <selection activeCell="C16" sqref="C16"/>
    </sheetView>
  </sheetViews>
  <sheetFormatPr defaultRowHeight="12.75" x14ac:dyDescent="0.2"/>
  <cols>
    <col min="2" max="2" width="14.5703125" customWidth="1"/>
    <col min="3" max="3" width="60.5703125" customWidth="1"/>
    <col min="4" max="4" width="72" customWidth="1"/>
    <col min="5" max="5" width="32" customWidth="1"/>
  </cols>
  <sheetData>
    <row r="2" spans="1:5" x14ac:dyDescent="0.2">
      <c r="A2" s="920" t="s">
        <v>443</v>
      </c>
      <c r="B2" s="920" t="s">
        <v>166</v>
      </c>
      <c r="C2" s="920" t="s">
        <v>444</v>
      </c>
      <c r="D2" s="920"/>
      <c r="E2" s="921" t="s">
        <v>445</v>
      </c>
    </row>
    <row r="3" spans="1:5" x14ac:dyDescent="0.2">
      <c r="A3" s="920"/>
      <c r="B3" s="920"/>
      <c r="C3" s="875" t="s">
        <v>11</v>
      </c>
      <c r="D3" s="875" t="s">
        <v>12</v>
      </c>
      <c r="E3" s="921"/>
    </row>
    <row r="4" spans="1:5" ht="14.25" x14ac:dyDescent="0.2">
      <c r="A4" s="875"/>
      <c r="B4" s="876"/>
      <c r="C4" s="877"/>
      <c r="D4" s="877"/>
      <c r="E4" s="878"/>
    </row>
    <row r="5" spans="1:5" x14ac:dyDescent="0.2">
      <c r="A5" s="875"/>
      <c r="B5" s="879"/>
      <c r="C5" s="880"/>
      <c r="D5" s="881"/>
      <c r="E5" s="878"/>
    </row>
    <row r="6" spans="1:5" x14ac:dyDescent="0.2">
      <c r="A6" s="875"/>
      <c r="B6" s="879"/>
      <c r="C6" s="882"/>
      <c r="D6" s="882"/>
      <c r="E6" s="878"/>
    </row>
    <row r="7" spans="1:5" ht="14.25" x14ac:dyDescent="0.2">
      <c r="A7" s="875"/>
      <c r="B7" s="879"/>
      <c r="C7" s="883"/>
      <c r="D7" s="883"/>
      <c r="E7" s="878"/>
    </row>
    <row r="8" spans="1:5" x14ac:dyDescent="0.2">
      <c r="A8" s="875"/>
      <c r="B8" s="879"/>
      <c r="C8" s="875"/>
      <c r="D8" s="875"/>
      <c r="E8" s="878"/>
    </row>
    <row r="9" spans="1:5" x14ac:dyDescent="0.2">
      <c r="A9" s="875"/>
      <c r="B9" s="879"/>
      <c r="C9" s="875"/>
      <c r="D9" s="875"/>
      <c r="E9" s="878"/>
    </row>
    <row r="10" spans="1:5" x14ac:dyDescent="0.2">
      <c r="A10" s="875"/>
      <c r="B10" s="879"/>
      <c r="C10" s="875"/>
      <c r="D10" s="875"/>
      <c r="E10" s="878"/>
    </row>
    <row r="11" spans="1:5" x14ac:dyDescent="0.2">
      <c r="A11" s="875"/>
      <c r="B11" s="879"/>
      <c r="C11" s="875"/>
      <c r="D11" s="875"/>
      <c r="E11" s="878"/>
    </row>
    <row r="12" spans="1:5" x14ac:dyDescent="0.2">
      <c r="A12" s="875"/>
      <c r="B12" s="879"/>
      <c r="C12" s="875"/>
      <c r="D12" s="875"/>
      <c r="E12" s="878"/>
    </row>
    <row r="13" spans="1:5" x14ac:dyDescent="0.2">
      <c r="A13" s="875"/>
      <c r="B13" s="879"/>
      <c r="C13" s="875"/>
      <c r="D13" s="875"/>
      <c r="E13" s="878"/>
    </row>
    <row r="14" spans="1:5" x14ac:dyDescent="0.2">
      <c r="A14" s="875"/>
      <c r="B14" s="879"/>
      <c r="C14" s="875"/>
      <c r="D14" s="875"/>
      <c r="E14" s="878"/>
    </row>
    <row r="15" spans="1:5" x14ac:dyDescent="0.2">
      <c r="A15" s="875"/>
      <c r="B15" s="879"/>
      <c r="C15" s="875"/>
      <c r="D15" s="875"/>
      <c r="E15" s="878"/>
    </row>
    <row r="16" spans="1:5" x14ac:dyDescent="0.2">
      <c r="A16" s="875"/>
      <c r="B16" s="879"/>
      <c r="C16" s="875"/>
      <c r="D16" s="875"/>
      <c r="E16" s="878"/>
    </row>
    <row r="17" spans="1:5" x14ac:dyDescent="0.2">
      <c r="A17" s="875"/>
      <c r="B17" s="879"/>
      <c r="C17" s="875"/>
      <c r="D17" s="875"/>
      <c r="E17" s="878"/>
    </row>
    <row r="18" spans="1:5" x14ac:dyDescent="0.2">
      <c r="A18" s="875"/>
      <c r="B18" s="879"/>
      <c r="C18" s="875"/>
      <c r="D18" s="875"/>
      <c r="E18" s="878"/>
    </row>
    <row r="19" spans="1:5" x14ac:dyDescent="0.2">
      <c r="A19" s="875"/>
      <c r="B19" s="879"/>
      <c r="C19" s="875"/>
      <c r="D19" s="875"/>
      <c r="E19" s="878"/>
    </row>
    <row r="20" spans="1:5" x14ac:dyDescent="0.2">
      <c r="A20" s="875"/>
      <c r="B20" s="879"/>
      <c r="C20" s="875"/>
      <c r="D20" s="875"/>
      <c r="E20" s="878"/>
    </row>
    <row r="21" spans="1:5" x14ac:dyDescent="0.2">
      <c r="A21" s="875"/>
      <c r="B21" s="879"/>
      <c r="C21" s="875"/>
      <c r="D21" s="875"/>
      <c r="E21" s="878"/>
    </row>
    <row r="22" spans="1:5" x14ac:dyDescent="0.2">
      <c r="A22" s="875"/>
      <c r="B22" s="879"/>
      <c r="C22" s="875"/>
      <c r="D22" s="875"/>
      <c r="E22" s="878"/>
    </row>
    <row r="23" spans="1:5" x14ac:dyDescent="0.2">
      <c r="A23" s="875"/>
      <c r="B23" s="879"/>
      <c r="C23" s="875"/>
      <c r="D23" s="875"/>
      <c r="E23" s="878"/>
    </row>
    <row r="24" spans="1:5" x14ac:dyDescent="0.2">
      <c r="A24" s="875"/>
      <c r="B24" s="879"/>
      <c r="C24" s="875"/>
      <c r="D24" s="875"/>
      <c r="E24" s="878"/>
    </row>
    <row r="25" spans="1:5" x14ac:dyDescent="0.2">
      <c r="A25" s="875"/>
      <c r="B25" s="879"/>
      <c r="C25" s="875"/>
      <c r="D25" s="875"/>
      <c r="E25" s="878"/>
    </row>
    <row r="26" spans="1:5" x14ac:dyDescent="0.2">
      <c r="A26" s="875"/>
      <c r="B26" s="879"/>
      <c r="C26" s="875"/>
      <c r="D26" s="875"/>
      <c r="E26" s="878"/>
    </row>
    <row r="27" spans="1:5" x14ac:dyDescent="0.2">
      <c r="A27" s="875"/>
      <c r="B27" s="879"/>
      <c r="C27" s="875"/>
      <c r="D27" s="875"/>
      <c r="E27" s="878"/>
    </row>
    <row r="28" spans="1:5" x14ac:dyDescent="0.2">
      <c r="A28" s="875"/>
      <c r="B28" s="879"/>
      <c r="C28" s="875"/>
      <c r="D28" s="875"/>
      <c r="E28" s="878"/>
    </row>
    <row r="29" spans="1:5" x14ac:dyDescent="0.2">
      <c r="A29" s="875"/>
      <c r="B29" s="879"/>
      <c r="C29" s="875"/>
      <c r="D29" s="875"/>
      <c r="E29" s="878"/>
    </row>
    <row r="30" spans="1:5" x14ac:dyDescent="0.2">
      <c r="A30" s="875"/>
      <c r="B30" s="879"/>
      <c r="C30" s="875"/>
      <c r="D30" s="875"/>
      <c r="E30" s="878"/>
    </row>
    <row r="31" spans="1:5" x14ac:dyDescent="0.2">
      <c r="A31" s="875"/>
      <c r="B31" s="879"/>
      <c r="C31" s="875"/>
      <c r="D31" s="875"/>
      <c r="E31" s="878"/>
    </row>
    <row r="100" spans="1:1" x14ac:dyDescent="0.2">
      <c r="A100" s="884" t="s">
        <v>446</v>
      </c>
    </row>
  </sheetData>
  <sheetProtection algorithmName="SHA-512" hashValue="6bO3J/2g3LRN6KE6qVxp2w5mAeBmFOOGaVupZatlAEautDN41m/gh9zB4Q6/uREv/XHKj7p4eyhrMYLBik1Krg==" saltValue="3xg0pUy+dX2la6hDMCdX7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00B0F0"/>
    <pageSetUpPr fitToPage="1"/>
  </sheetPr>
  <dimension ref="A1:AL410"/>
  <sheetViews>
    <sheetView topLeftCell="P374" zoomScaleNormal="100" zoomScaleSheetLayoutView="85" workbookViewId="0">
      <selection activeCell="W385" sqref="W385"/>
    </sheetView>
  </sheetViews>
  <sheetFormatPr defaultColWidth="8.7109375" defaultRowHeight="12.75" x14ac:dyDescent="0.2"/>
  <cols>
    <col min="1" max="1" width="9.42578125" style="100" bestFit="1" customWidth="1"/>
    <col min="2" max="2" width="8.7109375" style="100"/>
    <col min="3" max="3" width="9.28515625" style="100" bestFit="1" customWidth="1"/>
    <col min="4" max="4" width="10.140625" style="100" bestFit="1" customWidth="1"/>
    <col min="5" max="5" width="9.42578125" style="100" bestFit="1" customWidth="1"/>
    <col min="6" max="6" width="8.7109375" style="100" customWidth="1"/>
    <col min="7" max="7" width="9.5703125" style="100" bestFit="1" customWidth="1"/>
    <col min="8" max="8" width="9.42578125" style="100" bestFit="1" customWidth="1"/>
    <col min="9" max="10" width="8.7109375" style="100"/>
    <col min="11" max="11" width="9.140625" style="100" bestFit="1" customWidth="1"/>
    <col min="12" max="12" width="9" style="100" customWidth="1"/>
    <col min="13" max="13" width="8.7109375" style="100"/>
    <col min="14" max="14" width="8.85546875" style="100" bestFit="1" customWidth="1"/>
    <col min="15" max="15" width="8.7109375" style="100"/>
    <col min="16" max="16" width="9.140625" style="100" bestFit="1" customWidth="1"/>
    <col min="17" max="17" width="9.5703125" style="100" customWidth="1"/>
    <col min="18" max="18" width="10.42578125" style="100" bestFit="1" customWidth="1"/>
    <col min="19" max="19" width="9.140625" style="100" customWidth="1"/>
    <col min="20" max="20" width="10" style="100" bestFit="1" customWidth="1"/>
    <col min="21" max="21" width="8.85546875" style="100" customWidth="1"/>
    <col min="22" max="16384" width="8.7109375" style="100"/>
  </cols>
  <sheetData>
    <row r="1" spans="1:24" ht="19.5" thickBot="1" x14ac:dyDescent="0.25">
      <c r="A1" s="1248" t="s">
        <v>222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</row>
    <row r="2" spans="1:24" x14ac:dyDescent="0.2">
      <c r="A2" s="1241">
        <v>1</v>
      </c>
      <c r="B2" s="1233" t="s">
        <v>223</v>
      </c>
      <c r="C2" s="1233"/>
      <c r="D2" s="1233"/>
      <c r="E2" s="1233"/>
      <c r="F2" s="1233"/>
      <c r="G2" s="1233"/>
      <c r="I2" s="1233" t="str">
        <f>B2</f>
        <v>KOREKSI KIMO THERMOHYGROMETER 15062873</v>
      </c>
      <c r="J2" s="1233"/>
      <c r="K2" s="1233"/>
      <c r="L2" s="1233"/>
      <c r="M2" s="1233"/>
      <c r="N2" s="1233"/>
      <c r="P2" s="1233" t="str">
        <f>I2</f>
        <v>KOREKSI KIMO THERMOHYGROMETER 15062873</v>
      </c>
      <c r="Q2" s="1233"/>
      <c r="R2" s="1233"/>
      <c r="S2" s="1233"/>
      <c r="T2" s="1233"/>
      <c r="U2" s="1233"/>
      <c r="W2" s="1238" t="s">
        <v>224</v>
      </c>
      <c r="X2" s="1239"/>
    </row>
    <row r="3" spans="1:24" x14ac:dyDescent="0.2">
      <c r="A3" s="1241"/>
      <c r="B3" s="1240" t="s">
        <v>225</v>
      </c>
      <c r="C3" s="1240"/>
      <c r="D3" s="1240" t="s">
        <v>226</v>
      </c>
      <c r="E3" s="1240"/>
      <c r="F3" s="1240"/>
      <c r="G3" s="1240" t="s">
        <v>227</v>
      </c>
      <c r="I3" s="1240" t="s">
        <v>228</v>
      </c>
      <c r="J3" s="1240"/>
      <c r="K3" s="1240" t="s">
        <v>226</v>
      </c>
      <c r="L3" s="1240"/>
      <c r="M3" s="1240"/>
      <c r="N3" s="1240" t="s">
        <v>227</v>
      </c>
      <c r="P3" s="1240" t="s">
        <v>229</v>
      </c>
      <c r="Q3" s="1240"/>
      <c r="R3" s="1240" t="s">
        <v>226</v>
      </c>
      <c r="S3" s="1240"/>
      <c r="T3" s="1240"/>
      <c r="U3" s="1240" t="s">
        <v>227</v>
      </c>
      <c r="W3" s="101" t="s">
        <v>225</v>
      </c>
      <c r="X3" s="102">
        <v>0.6</v>
      </c>
    </row>
    <row r="4" spans="1:24" ht="15" x14ac:dyDescent="0.2">
      <c r="A4" s="1241"/>
      <c r="B4" s="1228" t="s">
        <v>230</v>
      </c>
      <c r="C4" s="1228"/>
      <c r="D4" s="103">
        <v>2020</v>
      </c>
      <c r="E4" s="103">
        <v>2017</v>
      </c>
      <c r="F4" s="103" t="s">
        <v>103</v>
      </c>
      <c r="G4" s="1240"/>
      <c r="I4" s="1227" t="s">
        <v>16</v>
      </c>
      <c r="J4" s="1228"/>
      <c r="K4" s="118">
        <f>D4</f>
        <v>2020</v>
      </c>
      <c r="L4" s="118">
        <f>E4</f>
        <v>2017</v>
      </c>
      <c r="M4" s="118" t="str">
        <f>F4</f>
        <v>-</v>
      </c>
      <c r="N4" s="1240"/>
      <c r="P4" s="1227" t="s">
        <v>231</v>
      </c>
      <c r="Q4" s="1228"/>
      <c r="R4" s="118">
        <f>K4</f>
        <v>2020</v>
      </c>
      <c r="S4" s="118">
        <f>L4</f>
        <v>2017</v>
      </c>
      <c r="T4" s="118" t="str">
        <f>M4</f>
        <v>-</v>
      </c>
      <c r="U4" s="1240"/>
      <c r="W4" s="101" t="s">
        <v>16</v>
      </c>
      <c r="X4" s="102">
        <v>3.1</v>
      </c>
    </row>
    <row r="5" spans="1:24" ht="13.5" thickBot="1" x14ac:dyDescent="0.25">
      <c r="A5" s="1241"/>
      <c r="B5" s="467">
        <v>1</v>
      </c>
      <c r="C5" s="468">
        <v>15</v>
      </c>
      <c r="D5" s="470">
        <v>-0.5</v>
      </c>
      <c r="E5" s="470">
        <v>0.3</v>
      </c>
      <c r="F5" s="470" t="s">
        <v>103</v>
      </c>
      <c r="G5" s="471">
        <f>0.5*(MAX(D5:F5)-MIN(D5:F5))</f>
        <v>0.4</v>
      </c>
      <c r="I5" s="467">
        <v>1</v>
      </c>
      <c r="J5" s="468">
        <v>35</v>
      </c>
      <c r="K5" s="470">
        <v>-6</v>
      </c>
      <c r="L5" s="470">
        <v>-9.4</v>
      </c>
      <c r="M5" s="470" t="s">
        <v>103</v>
      </c>
      <c r="N5" s="471">
        <f>0.5*(MAX(K5:M5)-MIN(K5:M5))</f>
        <v>1.7000000000000002</v>
      </c>
      <c r="P5" s="467">
        <v>1</v>
      </c>
      <c r="Q5" s="468">
        <v>750</v>
      </c>
      <c r="R5" s="470" t="s">
        <v>103</v>
      </c>
      <c r="S5" s="470" t="s">
        <v>103</v>
      </c>
      <c r="T5" s="470" t="s">
        <v>103</v>
      </c>
      <c r="U5" s="471">
        <f>0.5*(MAX(R5:T5)-MIN(R5:T5))</f>
        <v>0</v>
      </c>
      <c r="W5" s="106" t="s">
        <v>231</v>
      </c>
      <c r="X5" s="107">
        <v>0</v>
      </c>
    </row>
    <row r="6" spans="1:24" x14ac:dyDescent="0.2">
      <c r="A6" s="1241"/>
      <c r="B6" s="467">
        <v>2</v>
      </c>
      <c r="C6" s="468">
        <v>20</v>
      </c>
      <c r="D6" s="470">
        <v>-0.2</v>
      </c>
      <c r="E6" s="470">
        <v>0.2</v>
      </c>
      <c r="F6" s="470" t="s">
        <v>103</v>
      </c>
      <c r="G6" s="471">
        <f t="shared" ref="G6:G11" si="0">0.5*(MAX(D6:F6)-MIN(D6:F6))</f>
        <v>0.2</v>
      </c>
      <c r="I6" s="467">
        <v>2</v>
      </c>
      <c r="J6" s="468">
        <v>40</v>
      </c>
      <c r="K6" s="470">
        <v>-6</v>
      </c>
      <c r="L6" s="470">
        <v>-8.6</v>
      </c>
      <c r="M6" s="470" t="s">
        <v>103</v>
      </c>
      <c r="N6" s="471">
        <f t="shared" ref="N6:N11" si="1">0.5*(MAX(K6:M6)-MIN(K6:M6))</f>
        <v>1.2999999999999998</v>
      </c>
      <c r="P6" s="467">
        <v>2</v>
      </c>
      <c r="Q6" s="468">
        <v>800</v>
      </c>
      <c r="R6" s="470" t="s">
        <v>103</v>
      </c>
      <c r="S6" s="470" t="s">
        <v>103</v>
      </c>
      <c r="T6" s="470" t="s">
        <v>103</v>
      </c>
      <c r="U6" s="471">
        <f t="shared" ref="U6:U11" si="2">0.5*(MAX(R6:T6)-MIN(R6:T6))</f>
        <v>0</v>
      </c>
    </row>
    <row r="7" spans="1:24" x14ac:dyDescent="0.2">
      <c r="A7" s="1241"/>
      <c r="B7" s="467">
        <v>3</v>
      </c>
      <c r="C7" s="468">
        <v>25</v>
      </c>
      <c r="D7" s="470">
        <v>9.9999999999999995E-7</v>
      </c>
      <c r="E7" s="470">
        <v>0.1</v>
      </c>
      <c r="F7" s="470" t="s">
        <v>103</v>
      </c>
      <c r="G7" s="471">
        <f t="shared" si="0"/>
        <v>4.9999500000000002E-2</v>
      </c>
      <c r="I7" s="467">
        <v>3</v>
      </c>
      <c r="J7" s="468">
        <v>50</v>
      </c>
      <c r="K7" s="470">
        <v>-5.8</v>
      </c>
      <c r="L7" s="470">
        <v>-7.2</v>
      </c>
      <c r="M7" s="470" t="s">
        <v>103</v>
      </c>
      <c r="N7" s="471">
        <f t="shared" si="1"/>
        <v>0.70000000000000018</v>
      </c>
      <c r="P7" s="467">
        <v>3</v>
      </c>
      <c r="Q7" s="468">
        <v>850</v>
      </c>
      <c r="R7" s="470" t="s">
        <v>103</v>
      </c>
      <c r="S7" s="470" t="s">
        <v>103</v>
      </c>
      <c r="T7" s="470" t="s">
        <v>103</v>
      </c>
      <c r="U7" s="471">
        <f t="shared" si="2"/>
        <v>0</v>
      </c>
    </row>
    <row r="8" spans="1:24" x14ac:dyDescent="0.2">
      <c r="A8" s="1241"/>
      <c r="B8" s="467">
        <v>4</v>
      </c>
      <c r="C8" s="469">
        <v>30</v>
      </c>
      <c r="D8" s="473">
        <v>9.9999999999999995E-7</v>
      </c>
      <c r="E8" s="472">
        <v>-0.2</v>
      </c>
      <c r="F8" s="470" t="s">
        <v>103</v>
      </c>
      <c r="G8" s="471">
        <f t="shared" si="0"/>
        <v>0.10000050000000001</v>
      </c>
      <c r="I8" s="467">
        <v>4</v>
      </c>
      <c r="J8" s="469">
        <v>60</v>
      </c>
      <c r="K8" s="473">
        <v>-5.3</v>
      </c>
      <c r="L8" s="472">
        <v>-5.2</v>
      </c>
      <c r="M8" s="470" t="s">
        <v>103</v>
      </c>
      <c r="N8" s="471">
        <f t="shared" si="1"/>
        <v>4.9999999999999822E-2</v>
      </c>
      <c r="P8" s="467">
        <v>4</v>
      </c>
      <c r="Q8" s="469">
        <v>900</v>
      </c>
      <c r="R8" s="473" t="s">
        <v>103</v>
      </c>
      <c r="S8" s="472" t="s">
        <v>103</v>
      </c>
      <c r="T8" s="470" t="s">
        <v>103</v>
      </c>
      <c r="U8" s="471">
        <f t="shared" si="2"/>
        <v>0</v>
      </c>
    </row>
    <row r="9" spans="1:24" x14ac:dyDescent="0.2">
      <c r="A9" s="1241"/>
      <c r="B9" s="467">
        <v>5</v>
      </c>
      <c r="C9" s="469">
        <v>35</v>
      </c>
      <c r="D9" s="473">
        <v>-0.1</v>
      </c>
      <c r="E9" s="472">
        <v>-0.5</v>
      </c>
      <c r="F9" s="470" t="s">
        <v>103</v>
      </c>
      <c r="G9" s="471">
        <f t="shared" si="0"/>
        <v>0.2</v>
      </c>
      <c r="I9" s="467">
        <v>5</v>
      </c>
      <c r="J9" s="469">
        <v>70</v>
      </c>
      <c r="K9" s="473">
        <v>-4.4000000000000004</v>
      </c>
      <c r="L9" s="472">
        <v>-2.6</v>
      </c>
      <c r="M9" s="470" t="s">
        <v>103</v>
      </c>
      <c r="N9" s="471">
        <f t="shared" si="1"/>
        <v>0.90000000000000013</v>
      </c>
      <c r="P9" s="467">
        <v>5</v>
      </c>
      <c r="Q9" s="469">
        <v>1000</v>
      </c>
      <c r="R9" s="473" t="s">
        <v>103</v>
      </c>
      <c r="S9" s="472" t="s">
        <v>103</v>
      </c>
      <c r="T9" s="470" t="s">
        <v>103</v>
      </c>
      <c r="U9" s="471">
        <f t="shared" si="2"/>
        <v>0</v>
      </c>
    </row>
    <row r="10" spans="1:24" x14ac:dyDescent="0.2">
      <c r="A10" s="1241"/>
      <c r="B10" s="467">
        <v>6</v>
      </c>
      <c r="C10" s="469">
        <v>37</v>
      </c>
      <c r="D10" s="473">
        <v>-0.2</v>
      </c>
      <c r="E10" s="472">
        <v>-0.6</v>
      </c>
      <c r="F10" s="470" t="s">
        <v>103</v>
      </c>
      <c r="G10" s="471">
        <f t="shared" si="0"/>
        <v>0.19999999999999998</v>
      </c>
      <c r="I10" s="467">
        <v>6</v>
      </c>
      <c r="J10" s="469">
        <v>80</v>
      </c>
      <c r="K10" s="473">
        <v>-3.2</v>
      </c>
      <c r="L10" s="472">
        <v>0.7</v>
      </c>
      <c r="M10" s="470" t="s">
        <v>103</v>
      </c>
      <c r="N10" s="471">
        <f t="shared" si="1"/>
        <v>1.9500000000000002</v>
      </c>
      <c r="P10" s="467">
        <v>6</v>
      </c>
      <c r="Q10" s="469">
        <v>1005</v>
      </c>
      <c r="R10" s="473" t="s">
        <v>103</v>
      </c>
      <c r="S10" s="472" t="s">
        <v>103</v>
      </c>
      <c r="T10" s="470" t="s">
        <v>103</v>
      </c>
      <c r="U10" s="471">
        <f t="shared" si="2"/>
        <v>0</v>
      </c>
    </row>
    <row r="11" spans="1:24" x14ac:dyDescent="0.2">
      <c r="A11" s="1241"/>
      <c r="B11" s="467">
        <v>7</v>
      </c>
      <c r="C11" s="469">
        <v>40</v>
      </c>
      <c r="D11" s="473">
        <v>-0.3</v>
      </c>
      <c r="E11" s="472">
        <v>-0.8</v>
      </c>
      <c r="F11" s="470" t="s">
        <v>103</v>
      </c>
      <c r="G11" s="471">
        <f t="shared" si="0"/>
        <v>0.25</v>
      </c>
      <c r="I11" s="467">
        <v>7</v>
      </c>
      <c r="J11" s="469">
        <v>90</v>
      </c>
      <c r="K11" s="473">
        <v>-1.6</v>
      </c>
      <c r="L11" s="472">
        <v>4.5</v>
      </c>
      <c r="M11" s="470" t="s">
        <v>103</v>
      </c>
      <c r="N11" s="471">
        <f t="shared" si="1"/>
        <v>3.05</v>
      </c>
      <c r="P11" s="467">
        <v>7</v>
      </c>
      <c r="Q11" s="469">
        <v>1020</v>
      </c>
      <c r="R11" s="473" t="s">
        <v>103</v>
      </c>
      <c r="S11" s="472" t="s">
        <v>103</v>
      </c>
      <c r="T11" s="470" t="s">
        <v>103</v>
      </c>
      <c r="U11" s="471">
        <f t="shared" si="2"/>
        <v>0</v>
      </c>
    </row>
    <row r="12" spans="1:24" ht="13.5" thickBot="1" x14ac:dyDescent="0.25">
      <c r="A12" s="122"/>
      <c r="P12" s="110"/>
    </row>
    <row r="13" spans="1:24" x14ac:dyDescent="0.2">
      <c r="A13" s="1241">
        <v>2</v>
      </c>
      <c r="B13" s="1233" t="s">
        <v>232</v>
      </c>
      <c r="C13" s="1233"/>
      <c r="D13" s="1233"/>
      <c r="E13" s="1233"/>
      <c r="F13" s="1233"/>
      <c r="G13" s="1233"/>
      <c r="I13" s="1233" t="str">
        <f>B13</f>
        <v>KOREKSI KIMO THERMOHYGROMETER 15062874</v>
      </c>
      <c r="J13" s="1233"/>
      <c r="K13" s="1233"/>
      <c r="L13" s="1233"/>
      <c r="M13" s="1233"/>
      <c r="N13" s="1233"/>
      <c r="P13" s="1233" t="str">
        <f>I13</f>
        <v>KOREKSI KIMO THERMOHYGROMETER 15062874</v>
      </c>
      <c r="Q13" s="1233"/>
      <c r="R13" s="1233"/>
      <c r="S13" s="1233"/>
      <c r="T13" s="1233"/>
      <c r="U13" s="1233"/>
      <c r="W13" s="1238" t="s">
        <v>224</v>
      </c>
      <c r="X13" s="1239"/>
    </row>
    <row r="14" spans="1:24" x14ac:dyDescent="0.2">
      <c r="A14" s="1241"/>
      <c r="B14" s="1240" t="s">
        <v>225</v>
      </c>
      <c r="C14" s="1240"/>
      <c r="D14" s="1240" t="s">
        <v>226</v>
      </c>
      <c r="E14" s="1240"/>
      <c r="F14" s="1240"/>
      <c r="G14" s="1240" t="s">
        <v>227</v>
      </c>
      <c r="I14" s="1240" t="s">
        <v>228</v>
      </c>
      <c r="J14" s="1240"/>
      <c r="K14" s="1240" t="s">
        <v>226</v>
      </c>
      <c r="L14" s="1240"/>
      <c r="M14" s="1240"/>
      <c r="N14" s="1240" t="s">
        <v>227</v>
      </c>
      <c r="P14" s="1240" t="s">
        <v>229</v>
      </c>
      <c r="Q14" s="1240"/>
      <c r="R14" s="1240" t="s">
        <v>226</v>
      </c>
      <c r="S14" s="1240"/>
      <c r="T14" s="1240"/>
      <c r="U14" s="1240" t="s">
        <v>227</v>
      </c>
      <c r="W14" s="101" t="s">
        <v>225</v>
      </c>
      <c r="X14" s="102">
        <v>0.8</v>
      </c>
    </row>
    <row r="15" spans="1:24" ht="15" x14ac:dyDescent="0.2">
      <c r="A15" s="1241"/>
      <c r="B15" s="1228" t="s">
        <v>230</v>
      </c>
      <c r="C15" s="1228"/>
      <c r="D15" s="103">
        <v>2021</v>
      </c>
      <c r="E15" s="103">
        <v>2018</v>
      </c>
      <c r="F15" s="103" t="s">
        <v>103</v>
      </c>
      <c r="G15" s="1240"/>
      <c r="I15" s="1227" t="s">
        <v>16</v>
      </c>
      <c r="J15" s="1228"/>
      <c r="K15" s="118">
        <f>D15</f>
        <v>2021</v>
      </c>
      <c r="L15" s="118">
        <f>E15</f>
        <v>2018</v>
      </c>
      <c r="M15" s="118" t="str">
        <f>F15</f>
        <v>-</v>
      </c>
      <c r="N15" s="1240"/>
      <c r="P15" s="1227" t="s">
        <v>231</v>
      </c>
      <c r="Q15" s="1228"/>
      <c r="R15" s="118">
        <f>K15</f>
        <v>2021</v>
      </c>
      <c r="S15" s="118">
        <f>L15</f>
        <v>2018</v>
      </c>
      <c r="T15" s="118" t="str">
        <f>M15</f>
        <v>-</v>
      </c>
      <c r="U15" s="1240"/>
      <c r="W15" s="101" t="s">
        <v>16</v>
      </c>
      <c r="X15" s="102">
        <v>2.2000000000000002</v>
      </c>
    </row>
    <row r="16" spans="1:24" ht="13.5" thickBot="1" x14ac:dyDescent="0.25">
      <c r="A16" s="1241"/>
      <c r="B16" s="467">
        <v>1</v>
      </c>
      <c r="C16" s="468">
        <v>15</v>
      </c>
      <c r="D16" s="470">
        <v>0.4</v>
      </c>
      <c r="E16" s="470">
        <v>9.9999999999999995E-7</v>
      </c>
      <c r="F16" s="470" t="s">
        <v>103</v>
      </c>
      <c r="G16" s="471">
        <f>0.5*(MAX(D16:F16)-MIN(D16:F16))</f>
        <v>0.19999950000000002</v>
      </c>
      <c r="I16" s="467">
        <v>1</v>
      </c>
      <c r="J16" s="468">
        <v>35</v>
      </c>
      <c r="K16" s="470">
        <v>-6.9</v>
      </c>
      <c r="L16" s="470">
        <v>-1.6</v>
      </c>
      <c r="M16" s="470" t="s">
        <v>103</v>
      </c>
      <c r="N16" s="471">
        <f>0.5*(MAX(K16:M16)-MIN(K16:M16))</f>
        <v>2.6500000000000004</v>
      </c>
      <c r="P16" s="467">
        <v>1</v>
      </c>
      <c r="Q16" s="468">
        <v>750</v>
      </c>
      <c r="R16" s="470" t="s">
        <v>103</v>
      </c>
      <c r="S16" s="470" t="s">
        <v>103</v>
      </c>
      <c r="T16" s="470" t="s">
        <v>103</v>
      </c>
      <c r="U16" s="471">
        <f>0.5*(MAX(R16:T16)-MIN(R16:T16))</f>
        <v>0</v>
      </c>
      <c r="W16" s="106" t="s">
        <v>231</v>
      </c>
      <c r="X16" s="107">
        <v>0</v>
      </c>
    </row>
    <row r="17" spans="1:24" x14ac:dyDescent="0.2">
      <c r="A17" s="1241"/>
      <c r="B17" s="467">
        <v>2</v>
      </c>
      <c r="C17" s="468">
        <v>20</v>
      </c>
      <c r="D17" s="470">
        <v>0.7</v>
      </c>
      <c r="E17" s="470">
        <v>-0.1</v>
      </c>
      <c r="F17" s="470" t="s">
        <v>103</v>
      </c>
      <c r="G17" s="471">
        <f t="shared" ref="G17:G22" si="3">0.5*(MAX(D17:F17)-MIN(D17:F17))</f>
        <v>0.39999999999999997</v>
      </c>
      <c r="I17" s="467">
        <v>2</v>
      </c>
      <c r="J17" s="468">
        <v>40</v>
      </c>
      <c r="K17" s="470">
        <v>-6.2</v>
      </c>
      <c r="L17" s="470">
        <v>-1.6</v>
      </c>
      <c r="M17" s="470" t="s">
        <v>103</v>
      </c>
      <c r="N17" s="471">
        <f t="shared" ref="N17:N22" si="4">0.5*(MAX(K17:M17)-MIN(K17:M17))</f>
        <v>2.2999999999999998</v>
      </c>
      <c r="P17" s="467">
        <v>2</v>
      </c>
      <c r="Q17" s="468">
        <v>800</v>
      </c>
      <c r="R17" s="470" t="s">
        <v>103</v>
      </c>
      <c r="S17" s="470" t="s">
        <v>103</v>
      </c>
      <c r="T17" s="470" t="s">
        <v>103</v>
      </c>
      <c r="U17" s="471">
        <f t="shared" ref="U17:U22" si="5">0.5*(MAX(R17:T17)-MIN(R17:T17))</f>
        <v>0</v>
      </c>
    </row>
    <row r="18" spans="1:24" x14ac:dyDescent="0.2">
      <c r="A18" s="1241"/>
      <c r="B18" s="467">
        <v>3</v>
      </c>
      <c r="C18" s="468">
        <v>25</v>
      </c>
      <c r="D18" s="470">
        <v>0.5</v>
      </c>
      <c r="E18" s="470">
        <v>-0.2</v>
      </c>
      <c r="F18" s="470" t="s">
        <v>103</v>
      </c>
      <c r="G18" s="471">
        <f t="shared" si="3"/>
        <v>0.35</v>
      </c>
      <c r="I18" s="467">
        <v>3</v>
      </c>
      <c r="J18" s="468">
        <v>50</v>
      </c>
      <c r="K18" s="470">
        <v>-5.3</v>
      </c>
      <c r="L18" s="470">
        <v>-1.5</v>
      </c>
      <c r="M18" s="470" t="s">
        <v>103</v>
      </c>
      <c r="N18" s="471">
        <f t="shared" si="4"/>
        <v>1.9</v>
      </c>
      <c r="P18" s="467">
        <v>3</v>
      </c>
      <c r="Q18" s="468">
        <v>850</v>
      </c>
      <c r="R18" s="470" t="s">
        <v>103</v>
      </c>
      <c r="S18" s="470" t="s">
        <v>103</v>
      </c>
      <c r="T18" s="470" t="s">
        <v>103</v>
      </c>
      <c r="U18" s="471">
        <f t="shared" si="5"/>
        <v>0</v>
      </c>
    </row>
    <row r="19" spans="1:24" x14ac:dyDescent="0.2">
      <c r="A19" s="1241"/>
      <c r="B19" s="467">
        <v>4</v>
      </c>
      <c r="C19" s="469">
        <v>30</v>
      </c>
      <c r="D19" s="473">
        <v>0.2</v>
      </c>
      <c r="E19" s="472">
        <v>-0.3</v>
      </c>
      <c r="F19" s="470" t="s">
        <v>103</v>
      </c>
      <c r="G19" s="471">
        <f t="shared" si="3"/>
        <v>0.25</v>
      </c>
      <c r="I19" s="467">
        <v>4</v>
      </c>
      <c r="J19" s="469">
        <v>60</v>
      </c>
      <c r="K19" s="473">
        <v>-4</v>
      </c>
      <c r="L19" s="472">
        <v>-1.3</v>
      </c>
      <c r="M19" s="470" t="s">
        <v>103</v>
      </c>
      <c r="N19" s="471">
        <f t="shared" si="4"/>
        <v>1.35</v>
      </c>
      <c r="P19" s="467">
        <v>4</v>
      </c>
      <c r="Q19" s="469">
        <v>900</v>
      </c>
      <c r="R19" s="473" t="s">
        <v>103</v>
      </c>
      <c r="S19" s="472" t="s">
        <v>103</v>
      </c>
      <c r="T19" s="470" t="s">
        <v>103</v>
      </c>
      <c r="U19" s="471">
        <f t="shared" si="5"/>
        <v>0</v>
      </c>
    </row>
    <row r="20" spans="1:24" x14ac:dyDescent="0.2">
      <c r="A20" s="1241"/>
      <c r="B20" s="467">
        <v>5</v>
      </c>
      <c r="C20" s="469">
        <v>35</v>
      </c>
      <c r="D20" s="473">
        <v>-0.1</v>
      </c>
      <c r="E20" s="472">
        <v>-0.3</v>
      </c>
      <c r="F20" s="470" t="s">
        <v>103</v>
      </c>
      <c r="G20" s="471">
        <f t="shared" si="3"/>
        <v>9.9999999999999992E-2</v>
      </c>
      <c r="I20" s="467">
        <v>5</v>
      </c>
      <c r="J20" s="469">
        <v>70</v>
      </c>
      <c r="K20" s="473">
        <v>-2.4</v>
      </c>
      <c r="L20" s="472">
        <v>-1.1000000000000001</v>
      </c>
      <c r="M20" s="470" t="s">
        <v>103</v>
      </c>
      <c r="N20" s="471">
        <f t="shared" si="4"/>
        <v>0.64999999999999991</v>
      </c>
      <c r="P20" s="467">
        <v>5</v>
      </c>
      <c r="Q20" s="469">
        <v>1000</v>
      </c>
      <c r="R20" s="473" t="s">
        <v>103</v>
      </c>
      <c r="S20" s="472" t="s">
        <v>103</v>
      </c>
      <c r="T20" s="470" t="s">
        <v>103</v>
      </c>
      <c r="U20" s="471">
        <f t="shared" si="5"/>
        <v>0</v>
      </c>
    </row>
    <row r="21" spans="1:24" x14ac:dyDescent="0.2">
      <c r="A21" s="1241"/>
      <c r="B21" s="467">
        <v>6</v>
      </c>
      <c r="C21" s="469">
        <v>37</v>
      </c>
      <c r="D21" s="473">
        <v>-0.2</v>
      </c>
      <c r="E21" s="472">
        <v>-0.3</v>
      </c>
      <c r="F21" s="470" t="s">
        <v>103</v>
      </c>
      <c r="G21" s="471">
        <f t="shared" si="3"/>
        <v>4.9999999999999989E-2</v>
      </c>
      <c r="I21" s="467">
        <v>6</v>
      </c>
      <c r="J21" s="469">
        <v>80</v>
      </c>
      <c r="K21" s="473">
        <v>-0.5</v>
      </c>
      <c r="L21" s="472">
        <v>-0.7</v>
      </c>
      <c r="M21" s="470" t="s">
        <v>103</v>
      </c>
      <c r="N21" s="471">
        <f t="shared" si="4"/>
        <v>9.9999999999999978E-2</v>
      </c>
      <c r="P21" s="467">
        <v>6</v>
      </c>
      <c r="Q21" s="469">
        <v>1005</v>
      </c>
      <c r="R21" s="473" t="s">
        <v>103</v>
      </c>
      <c r="S21" s="472" t="s">
        <v>103</v>
      </c>
      <c r="T21" s="470" t="s">
        <v>103</v>
      </c>
      <c r="U21" s="471">
        <f t="shared" si="5"/>
        <v>0</v>
      </c>
    </row>
    <row r="22" spans="1:24" x14ac:dyDescent="0.2">
      <c r="A22" s="1241"/>
      <c r="B22" s="467">
        <v>7</v>
      </c>
      <c r="C22" s="469">
        <v>40</v>
      </c>
      <c r="D22" s="473">
        <v>-0.1</v>
      </c>
      <c r="E22" s="472">
        <v>-0.3</v>
      </c>
      <c r="F22" s="470" t="s">
        <v>103</v>
      </c>
      <c r="G22" s="471">
        <f t="shared" si="3"/>
        <v>9.9999999999999992E-2</v>
      </c>
      <c r="I22" s="467">
        <v>7</v>
      </c>
      <c r="J22" s="469">
        <v>90</v>
      </c>
      <c r="K22" s="473">
        <v>1.7</v>
      </c>
      <c r="L22" s="472">
        <v>-0.3</v>
      </c>
      <c r="M22" s="470" t="s">
        <v>103</v>
      </c>
      <c r="N22" s="471">
        <f t="shared" si="4"/>
        <v>1</v>
      </c>
      <c r="P22" s="467">
        <v>7</v>
      </c>
      <c r="Q22" s="469">
        <v>1020</v>
      </c>
      <c r="R22" s="473" t="s">
        <v>103</v>
      </c>
      <c r="S22" s="472" t="s">
        <v>103</v>
      </c>
      <c r="T22" s="470" t="s">
        <v>103</v>
      </c>
      <c r="U22" s="471">
        <f t="shared" si="5"/>
        <v>0</v>
      </c>
    </row>
    <row r="23" spans="1:24" ht="13.5" thickBot="1" x14ac:dyDescent="0.25">
      <c r="A23" s="122"/>
      <c r="P23" s="110"/>
    </row>
    <row r="24" spans="1:24" x14ac:dyDescent="0.2">
      <c r="A24" s="1245">
        <v>3</v>
      </c>
      <c r="B24" s="1233" t="s">
        <v>233</v>
      </c>
      <c r="C24" s="1233"/>
      <c r="D24" s="1233"/>
      <c r="E24" s="1233"/>
      <c r="F24" s="1233"/>
      <c r="G24" s="1233"/>
      <c r="I24" s="1233" t="str">
        <f>B24</f>
        <v>KOREKSI KIMO THERMOHYGROMETER 14082463</v>
      </c>
      <c r="J24" s="1233"/>
      <c r="K24" s="1233"/>
      <c r="L24" s="1233"/>
      <c r="M24" s="1233"/>
      <c r="N24" s="1233"/>
      <c r="P24" s="1233" t="str">
        <f>I24</f>
        <v>KOREKSI KIMO THERMOHYGROMETER 14082463</v>
      </c>
      <c r="Q24" s="1233"/>
      <c r="R24" s="1233"/>
      <c r="S24" s="1233"/>
      <c r="T24" s="1233"/>
      <c r="U24" s="1233"/>
      <c r="W24" s="1238" t="s">
        <v>224</v>
      </c>
      <c r="X24" s="1239"/>
    </row>
    <row r="25" spans="1:24" x14ac:dyDescent="0.2">
      <c r="A25" s="1246"/>
      <c r="B25" s="1240" t="s">
        <v>225</v>
      </c>
      <c r="C25" s="1240"/>
      <c r="D25" s="1240" t="s">
        <v>226</v>
      </c>
      <c r="E25" s="1240"/>
      <c r="F25" s="1240"/>
      <c r="G25" s="1240" t="s">
        <v>227</v>
      </c>
      <c r="I25" s="1240" t="s">
        <v>228</v>
      </c>
      <c r="J25" s="1240"/>
      <c r="K25" s="1240" t="s">
        <v>226</v>
      </c>
      <c r="L25" s="1240"/>
      <c r="M25" s="1240"/>
      <c r="N25" s="1240" t="s">
        <v>227</v>
      </c>
      <c r="P25" s="1240" t="s">
        <v>229</v>
      </c>
      <c r="Q25" s="1240"/>
      <c r="R25" s="1240" t="s">
        <v>226</v>
      </c>
      <c r="S25" s="1240"/>
      <c r="T25" s="1240"/>
      <c r="U25" s="1240" t="s">
        <v>227</v>
      </c>
      <c r="W25" s="101" t="s">
        <v>225</v>
      </c>
      <c r="X25" s="102">
        <v>0.5</v>
      </c>
    </row>
    <row r="26" spans="1:24" ht="15" x14ac:dyDescent="0.2">
      <c r="A26" s="1246"/>
      <c r="B26" s="1228" t="s">
        <v>230</v>
      </c>
      <c r="C26" s="1228"/>
      <c r="D26" s="103">
        <v>2021</v>
      </c>
      <c r="E26" s="103">
        <v>2018</v>
      </c>
      <c r="F26" s="103" t="s">
        <v>103</v>
      </c>
      <c r="G26" s="1240"/>
      <c r="I26" s="1227" t="s">
        <v>16</v>
      </c>
      <c r="J26" s="1228"/>
      <c r="K26" s="118">
        <f>D26</f>
        <v>2021</v>
      </c>
      <c r="L26" s="118">
        <f>E26</f>
        <v>2018</v>
      </c>
      <c r="M26" s="118" t="str">
        <f>F26</f>
        <v>-</v>
      </c>
      <c r="N26" s="1240"/>
      <c r="P26" s="1227" t="s">
        <v>231</v>
      </c>
      <c r="Q26" s="1228"/>
      <c r="R26" s="118">
        <f>K26</f>
        <v>2021</v>
      </c>
      <c r="S26" s="118">
        <f>L26</f>
        <v>2018</v>
      </c>
      <c r="T26" s="118" t="str">
        <f>M26</f>
        <v>-</v>
      </c>
      <c r="U26" s="1240"/>
      <c r="W26" s="101" t="s">
        <v>16</v>
      </c>
      <c r="X26" s="102">
        <v>3.1</v>
      </c>
    </row>
    <row r="27" spans="1:24" ht="13.5" thickBot="1" x14ac:dyDescent="0.25">
      <c r="A27" s="1246"/>
      <c r="B27" s="467">
        <v>1</v>
      </c>
      <c r="C27" s="468">
        <v>15</v>
      </c>
      <c r="D27" s="470">
        <v>0.4</v>
      </c>
      <c r="E27" s="470">
        <v>9.9999999999999995E-7</v>
      </c>
      <c r="F27" s="470" t="s">
        <v>103</v>
      </c>
      <c r="G27" s="471">
        <f>0.5*(MAX(D27:F27)-MIN(D27:F27))</f>
        <v>0.19999950000000002</v>
      </c>
      <c r="I27" s="467">
        <v>1</v>
      </c>
      <c r="J27" s="468">
        <v>30</v>
      </c>
      <c r="K27" s="470">
        <v>-7.3</v>
      </c>
      <c r="L27" s="470">
        <v>-5.7</v>
      </c>
      <c r="M27" s="470"/>
      <c r="N27" s="471">
        <f>0.5*(MAX(K27:M27)-MIN(K27:M27))</f>
        <v>0.79999999999999982</v>
      </c>
      <c r="P27" s="467">
        <v>1</v>
      </c>
      <c r="Q27" s="468">
        <v>750</v>
      </c>
      <c r="R27" s="470" t="s">
        <v>103</v>
      </c>
      <c r="S27" s="470" t="s">
        <v>103</v>
      </c>
      <c r="T27" s="470" t="s">
        <v>103</v>
      </c>
      <c r="U27" s="471">
        <f>0.5*(MAX(R27:T27)-MIN(R27:S27))</f>
        <v>0</v>
      </c>
      <c r="W27" s="106" t="s">
        <v>231</v>
      </c>
      <c r="X27" s="107">
        <v>0</v>
      </c>
    </row>
    <row r="28" spans="1:24" x14ac:dyDescent="0.2">
      <c r="A28" s="1246"/>
      <c r="B28" s="467">
        <v>2</v>
      </c>
      <c r="C28" s="468">
        <v>20</v>
      </c>
      <c r="D28" s="470">
        <v>1</v>
      </c>
      <c r="E28" s="470">
        <v>9.9999999999999995E-7</v>
      </c>
      <c r="F28" s="470" t="s">
        <v>103</v>
      </c>
      <c r="G28" s="471">
        <f t="shared" ref="G28:G33" si="6">0.5*(MAX(D28:F28)-MIN(D28:F28))</f>
        <v>0.49999949999999999</v>
      </c>
      <c r="I28" s="467">
        <v>2</v>
      </c>
      <c r="J28" s="468">
        <v>40</v>
      </c>
      <c r="K28" s="470">
        <v>-5.9</v>
      </c>
      <c r="L28" s="470">
        <v>-5.3</v>
      </c>
      <c r="M28" s="470"/>
      <c r="N28" s="471">
        <f t="shared" ref="N28:N33" si="7">0.5*(MAX(K28:M28)-MIN(K28:M28))</f>
        <v>0.30000000000000027</v>
      </c>
      <c r="P28" s="467">
        <v>2</v>
      </c>
      <c r="Q28" s="468">
        <v>800</v>
      </c>
      <c r="R28" s="470" t="s">
        <v>103</v>
      </c>
      <c r="S28" s="470" t="s">
        <v>103</v>
      </c>
      <c r="T28" s="470" t="s">
        <v>103</v>
      </c>
      <c r="U28" s="471">
        <f t="shared" ref="U28:U33" si="8">0.5*(MAX(R28:T28)-MIN(R28:S28))</f>
        <v>0</v>
      </c>
    </row>
    <row r="29" spans="1:24" x14ac:dyDescent="0.2">
      <c r="A29" s="1246"/>
      <c r="B29" s="467">
        <v>3</v>
      </c>
      <c r="C29" s="468">
        <v>25</v>
      </c>
      <c r="D29" s="470">
        <v>0.7</v>
      </c>
      <c r="E29" s="470">
        <v>-0.1</v>
      </c>
      <c r="F29" s="470" t="s">
        <v>103</v>
      </c>
      <c r="G29" s="471">
        <f t="shared" si="6"/>
        <v>0.39999999999999997</v>
      </c>
      <c r="I29" s="467">
        <v>3</v>
      </c>
      <c r="J29" s="468">
        <v>50</v>
      </c>
      <c r="K29" s="470">
        <v>-4.5</v>
      </c>
      <c r="L29" s="470">
        <v>-4.9000000000000004</v>
      </c>
      <c r="M29" s="470"/>
      <c r="N29" s="471">
        <f t="shared" si="7"/>
        <v>0.20000000000000018</v>
      </c>
      <c r="P29" s="467">
        <v>3</v>
      </c>
      <c r="Q29" s="468">
        <v>850</v>
      </c>
      <c r="R29" s="470" t="s">
        <v>103</v>
      </c>
      <c r="S29" s="470" t="s">
        <v>103</v>
      </c>
      <c r="T29" s="470" t="s">
        <v>103</v>
      </c>
      <c r="U29" s="471">
        <f t="shared" si="8"/>
        <v>0</v>
      </c>
    </row>
    <row r="30" spans="1:24" x14ac:dyDescent="0.2">
      <c r="A30" s="1246"/>
      <c r="B30" s="467">
        <v>4</v>
      </c>
      <c r="C30" s="469">
        <v>30</v>
      </c>
      <c r="D30" s="473">
        <v>9.9999999999999995E-7</v>
      </c>
      <c r="E30" s="472">
        <v>-0.3</v>
      </c>
      <c r="F30" s="470" t="s">
        <v>103</v>
      </c>
      <c r="G30" s="471">
        <f t="shared" si="6"/>
        <v>0.15000049999999998</v>
      </c>
      <c r="I30" s="467">
        <v>4</v>
      </c>
      <c r="J30" s="469">
        <v>60</v>
      </c>
      <c r="K30" s="473">
        <v>-3.2</v>
      </c>
      <c r="L30" s="472">
        <v>-4.3</v>
      </c>
      <c r="M30" s="470"/>
      <c r="N30" s="471">
        <f t="shared" si="7"/>
        <v>0.54999999999999982</v>
      </c>
      <c r="P30" s="467">
        <v>4</v>
      </c>
      <c r="Q30" s="469">
        <v>900</v>
      </c>
      <c r="R30" s="473" t="s">
        <v>103</v>
      </c>
      <c r="S30" s="472" t="s">
        <v>103</v>
      </c>
      <c r="T30" s="470" t="s">
        <v>103</v>
      </c>
      <c r="U30" s="471">
        <f t="shared" si="8"/>
        <v>0</v>
      </c>
    </row>
    <row r="31" spans="1:24" x14ac:dyDescent="0.2">
      <c r="A31" s="1246"/>
      <c r="B31" s="467">
        <v>5</v>
      </c>
      <c r="C31" s="469">
        <v>35</v>
      </c>
      <c r="D31" s="473">
        <v>-0.3</v>
      </c>
      <c r="E31" s="472">
        <v>-0.5</v>
      </c>
      <c r="F31" s="470" t="s">
        <v>103</v>
      </c>
      <c r="G31" s="471">
        <f t="shared" si="6"/>
        <v>0.1</v>
      </c>
      <c r="I31" s="467">
        <v>5</v>
      </c>
      <c r="J31" s="469">
        <v>70</v>
      </c>
      <c r="K31" s="473">
        <v>-2</v>
      </c>
      <c r="L31" s="472">
        <v>-3.6</v>
      </c>
      <c r="M31" s="470"/>
      <c r="N31" s="471">
        <f t="shared" si="7"/>
        <v>0.8</v>
      </c>
      <c r="P31" s="467">
        <v>5</v>
      </c>
      <c r="Q31" s="469">
        <v>1000</v>
      </c>
      <c r="R31" s="473" t="s">
        <v>103</v>
      </c>
      <c r="S31" s="472" t="s">
        <v>103</v>
      </c>
      <c r="T31" s="470" t="s">
        <v>103</v>
      </c>
      <c r="U31" s="471">
        <f t="shared" si="8"/>
        <v>0</v>
      </c>
    </row>
    <row r="32" spans="1:24" x14ac:dyDescent="0.2">
      <c r="A32" s="1246"/>
      <c r="B32" s="467">
        <v>6</v>
      </c>
      <c r="C32" s="469">
        <v>37</v>
      </c>
      <c r="D32" s="473">
        <v>-0.2</v>
      </c>
      <c r="E32" s="472">
        <v>-0.6</v>
      </c>
      <c r="F32" s="470" t="s">
        <v>103</v>
      </c>
      <c r="G32" s="471">
        <f t="shared" si="6"/>
        <v>0.19999999999999998</v>
      </c>
      <c r="I32" s="467">
        <v>6</v>
      </c>
      <c r="J32" s="469">
        <v>80</v>
      </c>
      <c r="K32" s="473">
        <v>-0.8</v>
      </c>
      <c r="L32" s="472">
        <v>-2.9</v>
      </c>
      <c r="M32" s="470"/>
      <c r="N32" s="471">
        <f t="shared" si="7"/>
        <v>1.0499999999999998</v>
      </c>
      <c r="P32" s="467">
        <v>6</v>
      </c>
      <c r="Q32" s="469">
        <v>1005</v>
      </c>
      <c r="R32" s="473" t="s">
        <v>103</v>
      </c>
      <c r="S32" s="472" t="s">
        <v>103</v>
      </c>
      <c r="T32" s="470" t="s">
        <v>103</v>
      </c>
      <c r="U32" s="471">
        <f t="shared" si="8"/>
        <v>0</v>
      </c>
    </row>
    <row r="33" spans="1:24" x14ac:dyDescent="0.2">
      <c r="A33" s="1247"/>
      <c r="B33" s="467">
        <v>7</v>
      </c>
      <c r="C33" s="469">
        <v>40</v>
      </c>
      <c r="D33" s="473">
        <v>0.2</v>
      </c>
      <c r="E33" s="472">
        <v>-0.7</v>
      </c>
      <c r="F33" s="470" t="s">
        <v>103</v>
      </c>
      <c r="G33" s="471">
        <f t="shared" si="6"/>
        <v>0.44999999999999996</v>
      </c>
      <c r="I33" s="467">
        <v>7</v>
      </c>
      <c r="J33" s="469">
        <v>90</v>
      </c>
      <c r="K33" s="473">
        <v>0.3</v>
      </c>
      <c r="L33" s="472">
        <v>-2</v>
      </c>
      <c r="M33" s="470"/>
      <c r="N33" s="471">
        <f t="shared" si="7"/>
        <v>1.1499999999999999</v>
      </c>
      <c r="P33" s="467">
        <v>7</v>
      </c>
      <c r="Q33" s="469">
        <v>1020</v>
      </c>
      <c r="R33" s="473" t="s">
        <v>103</v>
      </c>
      <c r="S33" s="472" t="s">
        <v>103</v>
      </c>
      <c r="T33" s="470" t="s">
        <v>103</v>
      </c>
      <c r="U33" s="471">
        <f t="shared" si="8"/>
        <v>0</v>
      </c>
    </row>
    <row r="34" spans="1:24" ht="13.5" thickBot="1" x14ac:dyDescent="0.25">
      <c r="A34" s="122"/>
      <c r="H34" s="112"/>
      <c r="P34" s="110"/>
    </row>
    <row r="35" spans="1:24" x14ac:dyDescent="0.2">
      <c r="A35" s="1245">
        <v>4</v>
      </c>
      <c r="B35" s="1233" t="s">
        <v>234</v>
      </c>
      <c r="C35" s="1233"/>
      <c r="D35" s="1233"/>
      <c r="E35" s="1233"/>
      <c r="F35" s="1233"/>
      <c r="G35" s="1233"/>
      <c r="I35" s="1233" t="str">
        <f>B35</f>
        <v>KOREKSI KIMO THERMOHYGROMETER 15062872</v>
      </c>
      <c r="J35" s="1233"/>
      <c r="K35" s="1233"/>
      <c r="L35" s="1233"/>
      <c r="M35" s="1233"/>
      <c r="N35" s="1233"/>
      <c r="P35" s="1233" t="str">
        <f>I35</f>
        <v>KOREKSI KIMO THERMOHYGROMETER 15062872</v>
      </c>
      <c r="Q35" s="1233"/>
      <c r="R35" s="1233"/>
      <c r="S35" s="1233"/>
      <c r="T35" s="1233"/>
      <c r="U35" s="1233"/>
      <c r="W35" s="1238" t="s">
        <v>224</v>
      </c>
      <c r="X35" s="1239"/>
    </row>
    <row r="36" spans="1:24" x14ac:dyDescent="0.2">
      <c r="A36" s="1246"/>
      <c r="B36" s="1240" t="s">
        <v>225</v>
      </c>
      <c r="C36" s="1240"/>
      <c r="D36" s="1240" t="s">
        <v>226</v>
      </c>
      <c r="E36" s="1240"/>
      <c r="F36" s="1240"/>
      <c r="G36" s="1240" t="s">
        <v>227</v>
      </c>
      <c r="I36" s="1240" t="s">
        <v>228</v>
      </c>
      <c r="J36" s="1240"/>
      <c r="K36" s="1240" t="s">
        <v>226</v>
      </c>
      <c r="L36" s="1240"/>
      <c r="M36" s="1240"/>
      <c r="N36" s="1240" t="s">
        <v>227</v>
      </c>
      <c r="P36" s="1240" t="s">
        <v>229</v>
      </c>
      <c r="Q36" s="1240"/>
      <c r="R36" s="1240" t="s">
        <v>226</v>
      </c>
      <c r="S36" s="1240"/>
      <c r="T36" s="1240"/>
      <c r="U36" s="1240" t="s">
        <v>227</v>
      </c>
      <c r="W36" s="101" t="s">
        <v>225</v>
      </c>
      <c r="X36" s="102">
        <v>0.3</v>
      </c>
    </row>
    <row r="37" spans="1:24" ht="15" x14ac:dyDescent="0.2">
      <c r="A37" s="1246"/>
      <c r="B37" s="1228" t="s">
        <v>230</v>
      </c>
      <c r="C37" s="1228"/>
      <c r="D37" s="103">
        <v>2019</v>
      </c>
      <c r="E37" s="103">
        <v>2017</v>
      </c>
      <c r="F37" s="103" t="s">
        <v>103</v>
      </c>
      <c r="G37" s="1240"/>
      <c r="I37" s="1227" t="s">
        <v>16</v>
      </c>
      <c r="J37" s="1228"/>
      <c r="K37" s="118">
        <f>D37</f>
        <v>2019</v>
      </c>
      <c r="L37" s="118">
        <f>E37</f>
        <v>2017</v>
      </c>
      <c r="M37" s="118" t="str">
        <f>F37</f>
        <v>-</v>
      </c>
      <c r="N37" s="1240"/>
      <c r="P37" s="1227" t="s">
        <v>231</v>
      </c>
      <c r="Q37" s="1228"/>
      <c r="R37" s="118">
        <f>K37</f>
        <v>2019</v>
      </c>
      <c r="S37" s="118">
        <f>L37</f>
        <v>2017</v>
      </c>
      <c r="T37" s="118" t="str">
        <f>M37</f>
        <v>-</v>
      </c>
      <c r="U37" s="1240"/>
      <c r="W37" s="101" t="s">
        <v>16</v>
      </c>
      <c r="X37" s="102">
        <v>1.3</v>
      </c>
    </row>
    <row r="38" spans="1:24" ht="13.5" thickBot="1" x14ac:dyDescent="0.25">
      <c r="A38" s="1246"/>
      <c r="B38" s="467">
        <v>1</v>
      </c>
      <c r="C38" s="468">
        <v>15</v>
      </c>
      <c r="D38" s="470">
        <v>-0.2</v>
      </c>
      <c r="E38" s="470">
        <v>-0.1</v>
      </c>
      <c r="F38" s="470" t="s">
        <v>103</v>
      </c>
      <c r="G38" s="471">
        <f>0.5*(MAX(D38:F38)-MIN(D38:F38))</f>
        <v>0.05</v>
      </c>
      <c r="I38" s="467">
        <v>1</v>
      </c>
      <c r="J38" s="468">
        <v>35</v>
      </c>
      <c r="K38" s="470">
        <v>-4.5</v>
      </c>
      <c r="L38" s="470">
        <v>-1.7</v>
      </c>
      <c r="M38" s="470" t="s">
        <v>103</v>
      </c>
      <c r="N38" s="471">
        <f>0.5*(MAX(K38:M38)-MIN(K38:M38))</f>
        <v>1.4</v>
      </c>
      <c r="P38" s="467">
        <v>1</v>
      </c>
      <c r="Q38" s="468">
        <v>750</v>
      </c>
      <c r="R38" s="470" t="s">
        <v>103</v>
      </c>
      <c r="S38" s="470" t="s">
        <v>103</v>
      </c>
      <c r="T38" s="470" t="s">
        <v>103</v>
      </c>
      <c r="U38" s="471">
        <f>0.5*(MAX(R38:T38)-MIN(R38:T38))</f>
        <v>0</v>
      </c>
      <c r="W38" s="106" t="s">
        <v>231</v>
      </c>
      <c r="X38" s="107">
        <v>0</v>
      </c>
    </row>
    <row r="39" spans="1:24" x14ac:dyDescent="0.2">
      <c r="A39" s="1246"/>
      <c r="B39" s="467">
        <v>2</v>
      </c>
      <c r="C39" s="468">
        <v>20</v>
      </c>
      <c r="D39" s="470">
        <v>-0.1</v>
      </c>
      <c r="E39" s="470">
        <v>-0.3</v>
      </c>
      <c r="F39" s="470" t="s">
        <v>103</v>
      </c>
      <c r="G39" s="471">
        <f t="shared" ref="G39:G44" si="9">0.5*(MAX(D39:F39)-MIN(D39:F39))</f>
        <v>9.9999999999999992E-2</v>
      </c>
      <c r="I39" s="467">
        <v>2</v>
      </c>
      <c r="J39" s="468">
        <v>40</v>
      </c>
      <c r="K39" s="470">
        <v>-4.4000000000000004</v>
      </c>
      <c r="L39" s="470">
        <v>-1.5</v>
      </c>
      <c r="M39" s="470" t="s">
        <v>103</v>
      </c>
      <c r="N39" s="471">
        <f t="shared" ref="N39:N44" si="10">0.5*(MAX(K39:L39)-MIN(K39:L39))</f>
        <v>1.4500000000000002</v>
      </c>
      <c r="P39" s="467">
        <v>2</v>
      </c>
      <c r="Q39" s="468">
        <v>800</v>
      </c>
      <c r="R39" s="470" t="s">
        <v>103</v>
      </c>
      <c r="S39" s="470" t="s">
        <v>103</v>
      </c>
      <c r="T39" s="470" t="s">
        <v>103</v>
      </c>
      <c r="U39" s="471">
        <f t="shared" ref="U39:U44" si="11">0.5*(MAX(R39:T39)-MIN(R39:T39))</f>
        <v>0</v>
      </c>
    </row>
    <row r="40" spans="1:24" x14ac:dyDescent="0.2">
      <c r="A40" s="1246"/>
      <c r="B40" s="467">
        <v>3</v>
      </c>
      <c r="C40" s="468">
        <v>25</v>
      </c>
      <c r="D40" s="470">
        <v>-0.1</v>
      </c>
      <c r="E40" s="470">
        <v>-0.5</v>
      </c>
      <c r="F40" s="470" t="s">
        <v>103</v>
      </c>
      <c r="G40" s="471">
        <f t="shared" si="9"/>
        <v>0.2</v>
      </c>
      <c r="I40" s="467">
        <v>3</v>
      </c>
      <c r="J40" s="468">
        <v>50</v>
      </c>
      <c r="K40" s="470">
        <v>-4.3</v>
      </c>
      <c r="L40" s="470">
        <v>-1</v>
      </c>
      <c r="M40" s="470" t="s">
        <v>103</v>
      </c>
      <c r="N40" s="471">
        <f t="shared" si="10"/>
        <v>1.65</v>
      </c>
      <c r="P40" s="467">
        <v>3</v>
      </c>
      <c r="Q40" s="468">
        <v>850</v>
      </c>
      <c r="R40" s="470" t="s">
        <v>103</v>
      </c>
      <c r="S40" s="470" t="s">
        <v>103</v>
      </c>
      <c r="T40" s="470" t="s">
        <v>103</v>
      </c>
      <c r="U40" s="471">
        <f t="shared" si="11"/>
        <v>0</v>
      </c>
    </row>
    <row r="41" spans="1:24" x14ac:dyDescent="0.2">
      <c r="A41" s="1246"/>
      <c r="B41" s="467">
        <v>4</v>
      </c>
      <c r="C41" s="469">
        <v>30</v>
      </c>
      <c r="D41" s="473">
        <v>-0.1</v>
      </c>
      <c r="E41" s="472">
        <v>-0.6</v>
      </c>
      <c r="F41" s="470" t="s">
        <v>103</v>
      </c>
      <c r="G41" s="471">
        <f t="shared" si="9"/>
        <v>0.25</v>
      </c>
      <c r="I41" s="467">
        <v>4</v>
      </c>
      <c r="J41" s="469">
        <v>60</v>
      </c>
      <c r="K41" s="473">
        <v>-4.2</v>
      </c>
      <c r="L41" s="472">
        <v>-0.3</v>
      </c>
      <c r="M41" s="470" t="s">
        <v>103</v>
      </c>
      <c r="N41" s="471">
        <f t="shared" si="10"/>
        <v>1.9500000000000002</v>
      </c>
      <c r="P41" s="467">
        <v>4</v>
      </c>
      <c r="Q41" s="469">
        <v>900</v>
      </c>
      <c r="R41" s="473" t="s">
        <v>103</v>
      </c>
      <c r="S41" s="472" t="s">
        <v>103</v>
      </c>
      <c r="T41" s="470" t="s">
        <v>103</v>
      </c>
      <c r="U41" s="471">
        <f t="shared" si="11"/>
        <v>0</v>
      </c>
    </row>
    <row r="42" spans="1:24" x14ac:dyDescent="0.2">
      <c r="A42" s="1246"/>
      <c r="B42" s="467">
        <v>5</v>
      </c>
      <c r="C42" s="469">
        <v>35</v>
      </c>
      <c r="D42" s="473">
        <v>-0.3</v>
      </c>
      <c r="E42" s="472">
        <v>-0.6</v>
      </c>
      <c r="F42" s="470" t="s">
        <v>103</v>
      </c>
      <c r="G42" s="471">
        <f t="shared" si="9"/>
        <v>0.15</v>
      </c>
      <c r="I42" s="467">
        <v>5</v>
      </c>
      <c r="J42" s="469">
        <v>70</v>
      </c>
      <c r="K42" s="473">
        <v>-4</v>
      </c>
      <c r="L42" s="472">
        <v>0.7</v>
      </c>
      <c r="M42" s="470" t="s">
        <v>103</v>
      </c>
      <c r="N42" s="471">
        <f t="shared" si="10"/>
        <v>2.35</v>
      </c>
      <c r="P42" s="467">
        <v>5</v>
      </c>
      <c r="Q42" s="469">
        <v>1000</v>
      </c>
      <c r="R42" s="473" t="s">
        <v>103</v>
      </c>
      <c r="S42" s="472" t="s">
        <v>103</v>
      </c>
      <c r="T42" s="470" t="s">
        <v>103</v>
      </c>
      <c r="U42" s="471">
        <f t="shared" si="11"/>
        <v>0</v>
      </c>
    </row>
    <row r="43" spans="1:24" x14ac:dyDescent="0.2">
      <c r="A43" s="1246"/>
      <c r="B43" s="467">
        <v>6</v>
      </c>
      <c r="C43" s="469">
        <v>37</v>
      </c>
      <c r="D43" s="473">
        <v>-0.4</v>
      </c>
      <c r="E43" s="472">
        <v>-0.6</v>
      </c>
      <c r="F43" s="470" t="s">
        <v>103</v>
      </c>
      <c r="G43" s="471">
        <f t="shared" si="9"/>
        <v>9.9999999999999978E-2</v>
      </c>
      <c r="I43" s="467">
        <v>6</v>
      </c>
      <c r="J43" s="469">
        <v>80</v>
      </c>
      <c r="K43" s="473">
        <v>-3.8</v>
      </c>
      <c r="L43" s="472">
        <v>1.9</v>
      </c>
      <c r="M43" s="470" t="s">
        <v>103</v>
      </c>
      <c r="N43" s="471">
        <f t="shared" si="10"/>
        <v>2.8499999999999996</v>
      </c>
      <c r="P43" s="467">
        <v>6</v>
      </c>
      <c r="Q43" s="469">
        <v>1005</v>
      </c>
      <c r="R43" s="473" t="s">
        <v>103</v>
      </c>
      <c r="S43" s="472" t="s">
        <v>103</v>
      </c>
      <c r="T43" s="470" t="s">
        <v>103</v>
      </c>
      <c r="U43" s="471">
        <f t="shared" si="11"/>
        <v>0</v>
      </c>
    </row>
    <row r="44" spans="1:24" x14ac:dyDescent="0.2">
      <c r="A44" s="1247"/>
      <c r="B44" s="467">
        <v>7</v>
      </c>
      <c r="C44" s="469">
        <v>40</v>
      </c>
      <c r="D44" s="473">
        <v>-0.5</v>
      </c>
      <c r="E44" s="472">
        <v>-0.6</v>
      </c>
      <c r="F44" s="470" t="s">
        <v>103</v>
      </c>
      <c r="G44" s="471">
        <f t="shared" si="9"/>
        <v>4.9999999999999989E-2</v>
      </c>
      <c r="I44" s="467">
        <v>7</v>
      </c>
      <c r="J44" s="469">
        <v>90</v>
      </c>
      <c r="K44" s="473">
        <v>-3.5</v>
      </c>
      <c r="L44" s="472">
        <v>3.3</v>
      </c>
      <c r="M44" s="470" t="s">
        <v>103</v>
      </c>
      <c r="N44" s="471">
        <f t="shared" si="10"/>
        <v>3.4</v>
      </c>
      <c r="P44" s="467">
        <v>7</v>
      </c>
      <c r="Q44" s="469">
        <v>1020</v>
      </c>
      <c r="R44" s="473" t="s">
        <v>103</v>
      </c>
      <c r="S44" s="472" t="s">
        <v>103</v>
      </c>
      <c r="T44" s="470" t="s">
        <v>103</v>
      </c>
      <c r="U44" s="471">
        <f t="shared" si="11"/>
        <v>0</v>
      </c>
    </row>
    <row r="45" spans="1:24" ht="13.5" thickBot="1" x14ac:dyDescent="0.25">
      <c r="A45" s="122"/>
      <c r="P45" s="110"/>
    </row>
    <row r="46" spans="1:24" x14ac:dyDescent="0.2">
      <c r="A46" s="1245">
        <v>5</v>
      </c>
      <c r="B46" s="1233" t="s">
        <v>235</v>
      </c>
      <c r="C46" s="1233"/>
      <c r="D46" s="1233"/>
      <c r="E46" s="1233"/>
      <c r="F46" s="1233"/>
      <c r="G46" s="1233"/>
      <c r="I46" s="1233" t="str">
        <f>B46</f>
        <v>KOREKSI KIMO THERMOHYGROMETER 15062875</v>
      </c>
      <c r="J46" s="1233"/>
      <c r="K46" s="1233"/>
      <c r="L46" s="1233"/>
      <c r="M46" s="1233"/>
      <c r="N46" s="1233"/>
      <c r="P46" s="1233" t="str">
        <f>I46</f>
        <v>KOREKSI KIMO THERMOHYGROMETER 15062875</v>
      </c>
      <c r="Q46" s="1233"/>
      <c r="R46" s="1233"/>
      <c r="S46" s="1233"/>
      <c r="T46" s="1233"/>
      <c r="U46" s="1233"/>
      <c r="W46" s="1238" t="s">
        <v>224</v>
      </c>
      <c r="X46" s="1239"/>
    </row>
    <row r="47" spans="1:24" x14ac:dyDescent="0.2">
      <c r="A47" s="1246"/>
      <c r="B47" s="1240" t="s">
        <v>225</v>
      </c>
      <c r="C47" s="1240"/>
      <c r="D47" s="1240" t="s">
        <v>226</v>
      </c>
      <c r="E47" s="1240"/>
      <c r="F47" s="1240"/>
      <c r="G47" s="1240" t="s">
        <v>227</v>
      </c>
      <c r="I47" s="1240" t="s">
        <v>228</v>
      </c>
      <c r="J47" s="1240"/>
      <c r="K47" s="1240" t="s">
        <v>226</v>
      </c>
      <c r="L47" s="1240"/>
      <c r="M47" s="1240"/>
      <c r="N47" s="1240" t="s">
        <v>227</v>
      </c>
      <c r="P47" s="1240" t="s">
        <v>229</v>
      </c>
      <c r="Q47" s="1240"/>
      <c r="R47" s="1240" t="s">
        <v>226</v>
      </c>
      <c r="S47" s="1240"/>
      <c r="T47" s="1240"/>
      <c r="U47" s="1240" t="s">
        <v>227</v>
      </c>
      <c r="W47" s="101" t="s">
        <v>225</v>
      </c>
      <c r="X47" s="102">
        <v>0.4</v>
      </c>
    </row>
    <row r="48" spans="1:24" ht="15" x14ac:dyDescent="0.2">
      <c r="A48" s="1246"/>
      <c r="B48" s="1228" t="s">
        <v>230</v>
      </c>
      <c r="C48" s="1228"/>
      <c r="D48" s="103">
        <v>2020</v>
      </c>
      <c r="E48" s="103">
        <v>2017</v>
      </c>
      <c r="F48" s="103">
        <v>2016</v>
      </c>
      <c r="G48" s="1240"/>
      <c r="I48" s="1227" t="s">
        <v>16</v>
      </c>
      <c r="J48" s="1228"/>
      <c r="K48" s="118">
        <f>D48</f>
        <v>2020</v>
      </c>
      <c r="L48" s="118">
        <f>E48</f>
        <v>2017</v>
      </c>
      <c r="M48" s="118">
        <v>2016</v>
      </c>
      <c r="N48" s="1240"/>
      <c r="P48" s="1227" t="s">
        <v>231</v>
      </c>
      <c r="Q48" s="1228"/>
      <c r="R48" s="118">
        <f>K48</f>
        <v>2020</v>
      </c>
      <c r="S48" s="118">
        <f>L48</f>
        <v>2017</v>
      </c>
      <c r="T48" s="118">
        <v>2016</v>
      </c>
      <c r="U48" s="1240"/>
      <c r="W48" s="101" t="s">
        <v>16</v>
      </c>
      <c r="X48" s="102">
        <v>2.8</v>
      </c>
    </row>
    <row r="49" spans="1:24" ht="13.5" thickBot="1" x14ac:dyDescent="0.25">
      <c r="A49" s="1246"/>
      <c r="B49" s="467">
        <v>1</v>
      </c>
      <c r="C49" s="468">
        <v>15</v>
      </c>
      <c r="D49" s="470">
        <v>-0.3</v>
      </c>
      <c r="E49" s="470">
        <v>0.3</v>
      </c>
      <c r="F49" s="470" t="s">
        <v>103</v>
      </c>
      <c r="G49" s="471">
        <f>0.5*(MAX(D49:F49)-MIN(D49:F49))</f>
        <v>0.3</v>
      </c>
      <c r="I49" s="467">
        <v>1</v>
      </c>
      <c r="J49" s="468">
        <v>35</v>
      </c>
      <c r="K49" s="470">
        <v>-7.7</v>
      </c>
      <c r="L49" s="470">
        <v>-9.6</v>
      </c>
      <c r="M49" s="470" t="s">
        <v>103</v>
      </c>
      <c r="N49" s="471">
        <f>0.5*(MAX(K49:M49)-MIN(K49:M49))</f>
        <v>0.94999999999999973</v>
      </c>
      <c r="P49" s="467">
        <v>1</v>
      </c>
      <c r="Q49" s="468">
        <v>750</v>
      </c>
      <c r="R49" s="470" t="s">
        <v>103</v>
      </c>
      <c r="S49" s="470" t="s">
        <v>103</v>
      </c>
      <c r="T49" s="470" t="s">
        <v>103</v>
      </c>
      <c r="U49" s="471">
        <f>0.5*(MAX(R49:T49)-MIN(R49:T49))</f>
        <v>0</v>
      </c>
      <c r="W49" s="106" t="s">
        <v>231</v>
      </c>
      <c r="X49" s="107">
        <v>0</v>
      </c>
    </row>
    <row r="50" spans="1:24" x14ac:dyDescent="0.2">
      <c r="A50" s="1246"/>
      <c r="B50" s="467">
        <v>2</v>
      </c>
      <c r="C50" s="468">
        <v>20</v>
      </c>
      <c r="D50" s="470">
        <v>0.1</v>
      </c>
      <c r="E50" s="470">
        <v>0.3</v>
      </c>
      <c r="F50" s="470" t="s">
        <v>103</v>
      </c>
      <c r="G50" s="471">
        <f t="shared" ref="G50:G55" si="12">0.5*(MAX(D50:F50)-MIN(D50:F50))</f>
        <v>9.9999999999999992E-2</v>
      </c>
      <c r="I50" s="467">
        <v>2</v>
      </c>
      <c r="J50" s="468">
        <v>40</v>
      </c>
      <c r="K50" s="470">
        <v>-7.2</v>
      </c>
      <c r="L50" s="470">
        <v>-8</v>
      </c>
      <c r="M50" s="470" t="s">
        <v>103</v>
      </c>
      <c r="N50" s="471">
        <f t="shared" ref="N50:N55" si="13">0.5*(MAX(K50:M50)-MIN(K50:M50))</f>
        <v>0.39999999999999991</v>
      </c>
      <c r="P50" s="467">
        <v>2</v>
      </c>
      <c r="Q50" s="468">
        <v>800</v>
      </c>
      <c r="R50" s="470" t="s">
        <v>103</v>
      </c>
      <c r="S50" s="470" t="s">
        <v>103</v>
      </c>
      <c r="T50" s="470" t="s">
        <v>103</v>
      </c>
      <c r="U50" s="471">
        <f t="shared" ref="U50:U55" si="14">0.5*(MAX(R50:T50)-MIN(R50:T50))</f>
        <v>0</v>
      </c>
    </row>
    <row r="51" spans="1:24" x14ac:dyDescent="0.2">
      <c r="A51" s="1246"/>
      <c r="B51" s="467">
        <v>3</v>
      </c>
      <c r="C51" s="468">
        <v>25</v>
      </c>
      <c r="D51" s="470">
        <v>0.4</v>
      </c>
      <c r="E51" s="470">
        <v>0.2</v>
      </c>
      <c r="F51" s="470" t="s">
        <v>103</v>
      </c>
      <c r="G51" s="471">
        <f t="shared" si="12"/>
        <v>0.1</v>
      </c>
      <c r="I51" s="467">
        <v>3</v>
      </c>
      <c r="J51" s="468">
        <v>50</v>
      </c>
      <c r="K51" s="470">
        <v>-6.2</v>
      </c>
      <c r="L51" s="470">
        <v>-6.2</v>
      </c>
      <c r="M51" s="470" t="s">
        <v>103</v>
      </c>
      <c r="N51" s="471">
        <f t="shared" si="13"/>
        <v>0</v>
      </c>
      <c r="P51" s="467">
        <v>3</v>
      </c>
      <c r="Q51" s="468">
        <v>850</v>
      </c>
      <c r="R51" s="470" t="s">
        <v>103</v>
      </c>
      <c r="S51" s="470" t="s">
        <v>103</v>
      </c>
      <c r="T51" s="470" t="s">
        <v>103</v>
      </c>
      <c r="U51" s="471">
        <f t="shared" si="14"/>
        <v>0</v>
      </c>
    </row>
    <row r="52" spans="1:24" x14ac:dyDescent="0.2">
      <c r="A52" s="1246"/>
      <c r="B52" s="467">
        <v>4</v>
      </c>
      <c r="C52" s="469">
        <v>30</v>
      </c>
      <c r="D52" s="473">
        <v>0.6</v>
      </c>
      <c r="E52" s="472">
        <v>0.1</v>
      </c>
      <c r="F52" s="470" t="s">
        <v>103</v>
      </c>
      <c r="G52" s="471">
        <f t="shared" si="12"/>
        <v>0.25</v>
      </c>
      <c r="I52" s="467">
        <v>4</v>
      </c>
      <c r="J52" s="469">
        <v>60</v>
      </c>
      <c r="K52" s="473">
        <v>-5.2</v>
      </c>
      <c r="L52" s="472">
        <v>-4.2</v>
      </c>
      <c r="M52" s="470" t="s">
        <v>103</v>
      </c>
      <c r="N52" s="471">
        <f t="shared" si="13"/>
        <v>0.5</v>
      </c>
      <c r="P52" s="467">
        <v>4</v>
      </c>
      <c r="Q52" s="469">
        <v>900</v>
      </c>
      <c r="R52" s="473" t="s">
        <v>103</v>
      </c>
      <c r="S52" s="472" t="s">
        <v>103</v>
      </c>
      <c r="T52" s="470" t="s">
        <v>103</v>
      </c>
      <c r="U52" s="471">
        <f t="shared" si="14"/>
        <v>0</v>
      </c>
    </row>
    <row r="53" spans="1:24" x14ac:dyDescent="0.2">
      <c r="A53" s="1246"/>
      <c r="B53" s="467">
        <v>5</v>
      </c>
      <c r="C53" s="469">
        <v>35</v>
      </c>
      <c r="D53" s="473">
        <v>0.7</v>
      </c>
      <c r="E53" s="472">
        <v>9.9999999999999995E-7</v>
      </c>
      <c r="F53" s="470" t="s">
        <v>103</v>
      </c>
      <c r="G53" s="471">
        <f t="shared" si="12"/>
        <v>0.34999949999999996</v>
      </c>
      <c r="I53" s="467">
        <v>5</v>
      </c>
      <c r="J53" s="469">
        <v>70</v>
      </c>
      <c r="K53" s="473">
        <v>-4.0999999999999996</v>
      </c>
      <c r="L53" s="472">
        <v>-2.1</v>
      </c>
      <c r="M53" s="470" t="s">
        <v>103</v>
      </c>
      <c r="N53" s="471">
        <f t="shared" si="13"/>
        <v>0.99999999999999978</v>
      </c>
      <c r="P53" s="467">
        <v>5</v>
      </c>
      <c r="Q53" s="469">
        <v>1000</v>
      </c>
      <c r="R53" s="473" t="s">
        <v>103</v>
      </c>
      <c r="S53" s="472" t="s">
        <v>103</v>
      </c>
      <c r="T53" s="470" t="s">
        <v>103</v>
      </c>
      <c r="U53" s="471">
        <f t="shared" si="14"/>
        <v>0</v>
      </c>
    </row>
    <row r="54" spans="1:24" x14ac:dyDescent="0.2">
      <c r="A54" s="1246"/>
      <c r="B54" s="467">
        <v>6</v>
      </c>
      <c r="C54" s="469">
        <v>37</v>
      </c>
      <c r="D54" s="473">
        <v>0.7</v>
      </c>
      <c r="E54" s="472">
        <v>9.9999999999999995E-7</v>
      </c>
      <c r="F54" s="470" t="s">
        <v>103</v>
      </c>
      <c r="G54" s="471">
        <f t="shared" si="12"/>
        <v>0.34999949999999996</v>
      </c>
      <c r="I54" s="467">
        <v>6</v>
      </c>
      <c r="J54" s="469">
        <v>80</v>
      </c>
      <c r="K54" s="473">
        <v>-3</v>
      </c>
      <c r="L54" s="472">
        <v>0.2</v>
      </c>
      <c r="M54" s="470" t="s">
        <v>103</v>
      </c>
      <c r="N54" s="471">
        <f t="shared" si="13"/>
        <v>1.6</v>
      </c>
      <c r="P54" s="467">
        <v>6</v>
      </c>
      <c r="Q54" s="469">
        <v>1005</v>
      </c>
      <c r="R54" s="473" t="s">
        <v>103</v>
      </c>
      <c r="S54" s="472" t="s">
        <v>103</v>
      </c>
      <c r="T54" s="470" t="s">
        <v>103</v>
      </c>
      <c r="U54" s="471">
        <f t="shared" si="14"/>
        <v>0</v>
      </c>
    </row>
    <row r="55" spans="1:24" x14ac:dyDescent="0.2">
      <c r="A55" s="1247"/>
      <c r="B55" s="467">
        <v>7</v>
      </c>
      <c r="C55" s="469">
        <v>40</v>
      </c>
      <c r="D55" s="473">
        <v>0.7</v>
      </c>
      <c r="E55" s="472">
        <v>-0.1</v>
      </c>
      <c r="F55" s="470" t="s">
        <v>103</v>
      </c>
      <c r="G55" s="471">
        <f t="shared" si="12"/>
        <v>0.39999999999999997</v>
      </c>
      <c r="I55" s="467">
        <v>7</v>
      </c>
      <c r="J55" s="469">
        <v>90</v>
      </c>
      <c r="K55" s="473">
        <v>-1.8</v>
      </c>
      <c r="L55" s="472">
        <v>2.7</v>
      </c>
      <c r="M55" s="470" t="s">
        <v>103</v>
      </c>
      <c r="N55" s="471">
        <f t="shared" si="13"/>
        <v>2.25</v>
      </c>
      <c r="P55" s="467">
        <v>7</v>
      </c>
      <c r="Q55" s="469">
        <v>1020</v>
      </c>
      <c r="R55" s="473" t="s">
        <v>103</v>
      </c>
      <c r="S55" s="472" t="s">
        <v>103</v>
      </c>
      <c r="T55" s="470" t="s">
        <v>103</v>
      </c>
      <c r="U55" s="471">
        <f t="shared" si="14"/>
        <v>0</v>
      </c>
    </row>
    <row r="56" spans="1:24" ht="13.5" thickBot="1" x14ac:dyDescent="0.25">
      <c r="A56" s="475"/>
      <c r="B56" s="114"/>
      <c r="C56" s="114"/>
      <c r="D56" s="114"/>
      <c r="E56" s="115"/>
      <c r="F56" s="114"/>
      <c r="G56" s="116"/>
      <c r="H56" s="114"/>
      <c r="I56" s="114"/>
      <c r="J56" s="114"/>
      <c r="K56" s="115"/>
      <c r="L56" s="114"/>
      <c r="P56" s="110"/>
    </row>
    <row r="57" spans="1:24" x14ac:dyDescent="0.2">
      <c r="A57" s="1241">
        <v>6</v>
      </c>
      <c r="B57" s="1233" t="s">
        <v>236</v>
      </c>
      <c r="C57" s="1233"/>
      <c r="D57" s="1233"/>
      <c r="E57" s="1233"/>
      <c r="F57" s="1233"/>
      <c r="G57" s="1233"/>
      <c r="I57" s="1233" t="str">
        <f>B57</f>
        <v>KOREKSI GREISINGER 34903046</v>
      </c>
      <c r="J57" s="1233"/>
      <c r="K57" s="1233"/>
      <c r="L57" s="1233"/>
      <c r="M57" s="1233"/>
      <c r="N57" s="1233"/>
      <c r="P57" s="1233" t="str">
        <f>I57</f>
        <v>KOREKSI GREISINGER 34903046</v>
      </c>
      <c r="Q57" s="1233"/>
      <c r="R57" s="1233"/>
      <c r="S57" s="1233"/>
      <c r="T57" s="1233"/>
      <c r="U57" s="1233"/>
      <c r="W57" s="1238" t="s">
        <v>224</v>
      </c>
      <c r="X57" s="1239"/>
    </row>
    <row r="58" spans="1:24" x14ac:dyDescent="0.2">
      <c r="A58" s="1241"/>
      <c r="B58" s="1240" t="s">
        <v>225</v>
      </c>
      <c r="C58" s="1240"/>
      <c r="D58" s="1240" t="s">
        <v>226</v>
      </c>
      <c r="E58" s="1240"/>
      <c r="F58" s="1240"/>
      <c r="G58" s="1240" t="s">
        <v>227</v>
      </c>
      <c r="I58" s="1240" t="s">
        <v>228</v>
      </c>
      <c r="J58" s="1240"/>
      <c r="K58" s="1240" t="s">
        <v>226</v>
      </c>
      <c r="L58" s="1240"/>
      <c r="M58" s="1240"/>
      <c r="N58" s="1240" t="s">
        <v>227</v>
      </c>
      <c r="P58" s="1240" t="s">
        <v>229</v>
      </c>
      <c r="Q58" s="1240"/>
      <c r="R58" s="1242" t="s">
        <v>226</v>
      </c>
      <c r="S58" s="1243"/>
      <c r="T58" s="1244"/>
      <c r="U58" s="1240" t="s">
        <v>227</v>
      </c>
      <c r="W58" s="101" t="s">
        <v>225</v>
      </c>
      <c r="X58" s="102">
        <v>0.8</v>
      </c>
    </row>
    <row r="59" spans="1:24" ht="15" x14ac:dyDescent="0.2">
      <c r="A59" s="1241"/>
      <c r="B59" s="1228" t="s">
        <v>230</v>
      </c>
      <c r="C59" s="1228"/>
      <c r="D59" s="103">
        <v>2019</v>
      </c>
      <c r="E59" s="103">
        <v>2018</v>
      </c>
      <c r="F59" s="103" t="s">
        <v>103</v>
      </c>
      <c r="G59" s="1240"/>
      <c r="I59" s="1227" t="s">
        <v>16</v>
      </c>
      <c r="J59" s="1228"/>
      <c r="K59" s="118">
        <f>D59</f>
        <v>2019</v>
      </c>
      <c r="L59" s="118">
        <f>E59</f>
        <v>2018</v>
      </c>
      <c r="M59" s="118" t="str">
        <f>F59</f>
        <v>-</v>
      </c>
      <c r="N59" s="1240"/>
      <c r="P59" s="1227" t="s">
        <v>231</v>
      </c>
      <c r="Q59" s="1228"/>
      <c r="R59" s="118">
        <f>K59</f>
        <v>2019</v>
      </c>
      <c r="S59" s="118">
        <f>L59</f>
        <v>2018</v>
      </c>
      <c r="T59" s="118" t="str">
        <f>M59</f>
        <v>-</v>
      </c>
      <c r="U59" s="1240"/>
      <c r="W59" s="101" t="s">
        <v>16</v>
      </c>
      <c r="X59" s="102">
        <v>2.6</v>
      </c>
    </row>
    <row r="60" spans="1:24" ht="13.5" thickBot="1" x14ac:dyDescent="0.25">
      <c r="A60" s="1241"/>
      <c r="B60" s="467">
        <v>1</v>
      </c>
      <c r="C60" s="468">
        <v>15</v>
      </c>
      <c r="D60" s="470">
        <v>0.4</v>
      </c>
      <c r="E60" s="470">
        <v>0.4</v>
      </c>
      <c r="F60" s="470" t="s">
        <v>103</v>
      </c>
      <c r="G60" s="471">
        <f>0.5*(MAX(D60:F60)-MIN(D60:F60))</f>
        <v>0</v>
      </c>
      <c r="I60" s="467">
        <v>1</v>
      </c>
      <c r="J60" s="468">
        <v>30</v>
      </c>
      <c r="K60" s="470">
        <v>-1.5</v>
      </c>
      <c r="L60" s="470">
        <v>1.7</v>
      </c>
      <c r="M60" s="470" t="s">
        <v>103</v>
      </c>
      <c r="N60" s="471">
        <f>0.5*(MAX(K60:M60)-MIN(K60:M60))</f>
        <v>1.6</v>
      </c>
      <c r="P60" s="467">
        <v>1</v>
      </c>
      <c r="Q60" s="468">
        <v>750</v>
      </c>
      <c r="R60" s="470">
        <v>0.9</v>
      </c>
      <c r="S60" s="470">
        <v>2.1</v>
      </c>
      <c r="T60" s="470" t="s">
        <v>103</v>
      </c>
      <c r="U60" s="471">
        <f>0.5*(MAX(R60:T60)-MIN(R60:T60))</f>
        <v>0.60000000000000009</v>
      </c>
      <c r="W60" s="106" t="s">
        <v>231</v>
      </c>
      <c r="X60" s="107">
        <v>1.6</v>
      </c>
    </row>
    <row r="61" spans="1:24" x14ac:dyDescent="0.2">
      <c r="A61" s="1241"/>
      <c r="B61" s="467">
        <v>2</v>
      </c>
      <c r="C61" s="468">
        <v>20</v>
      </c>
      <c r="D61" s="470">
        <v>0.3</v>
      </c>
      <c r="E61" s="470">
        <v>0.2</v>
      </c>
      <c r="F61" s="470" t="s">
        <v>103</v>
      </c>
      <c r="G61" s="471">
        <f t="shared" ref="G61:G66" si="15">0.5*(MAX(D61:F61)-MIN(D61:F61))</f>
        <v>4.9999999999999989E-2</v>
      </c>
      <c r="I61" s="467">
        <v>2</v>
      </c>
      <c r="J61" s="468">
        <v>40</v>
      </c>
      <c r="K61" s="470">
        <v>-3.8</v>
      </c>
      <c r="L61" s="470">
        <v>1.5</v>
      </c>
      <c r="M61" s="470" t="s">
        <v>103</v>
      </c>
      <c r="N61" s="471">
        <f t="shared" ref="N61:N66" si="16">0.5*(MAX(K61:M61)-MIN(K61:M61))</f>
        <v>2.65</v>
      </c>
      <c r="P61" s="467">
        <v>2</v>
      </c>
      <c r="Q61" s="468">
        <v>800</v>
      </c>
      <c r="R61" s="470">
        <v>0.9</v>
      </c>
      <c r="S61" s="470">
        <v>1.6</v>
      </c>
      <c r="T61" s="470" t="s">
        <v>103</v>
      </c>
      <c r="U61" s="471">
        <f t="shared" ref="U61:U66" si="17">0.5*(MAX(R61:T61)-MIN(R61:T61))</f>
        <v>0.35000000000000003</v>
      </c>
    </row>
    <row r="62" spans="1:24" x14ac:dyDescent="0.2">
      <c r="A62" s="1241"/>
      <c r="B62" s="467">
        <v>3</v>
      </c>
      <c r="C62" s="468">
        <v>25</v>
      </c>
      <c r="D62" s="470">
        <v>0.2</v>
      </c>
      <c r="E62" s="470">
        <v>-0.1</v>
      </c>
      <c r="F62" s="470" t="s">
        <v>103</v>
      </c>
      <c r="G62" s="471">
        <f t="shared" si="15"/>
        <v>0.15000000000000002</v>
      </c>
      <c r="I62" s="467">
        <v>3</v>
      </c>
      <c r="J62" s="468">
        <v>50</v>
      </c>
      <c r="K62" s="470">
        <v>-5.4</v>
      </c>
      <c r="L62" s="470">
        <v>1.2</v>
      </c>
      <c r="M62" s="470" t="s">
        <v>103</v>
      </c>
      <c r="N62" s="471">
        <f t="shared" si="16"/>
        <v>3.3000000000000003</v>
      </c>
      <c r="P62" s="467">
        <v>3</v>
      </c>
      <c r="Q62" s="468">
        <v>850</v>
      </c>
      <c r="R62" s="470">
        <v>0.9</v>
      </c>
      <c r="S62" s="470">
        <v>1.1000000000000001</v>
      </c>
      <c r="T62" s="470" t="s">
        <v>103</v>
      </c>
      <c r="U62" s="471">
        <f t="shared" si="17"/>
        <v>0.10000000000000003</v>
      </c>
    </row>
    <row r="63" spans="1:24" x14ac:dyDescent="0.2">
      <c r="A63" s="1241"/>
      <c r="B63" s="467">
        <v>4</v>
      </c>
      <c r="C63" s="469">
        <v>30</v>
      </c>
      <c r="D63" s="473">
        <v>0.1</v>
      </c>
      <c r="E63" s="472">
        <v>-0.5</v>
      </c>
      <c r="F63" s="470" t="s">
        <v>103</v>
      </c>
      <c r="G63" s="471">
        <f t="shared" si="15"/>
        <v>0.3</v>
      </c>
      <c r="I63" s="467">
        <v>4</v>
      </c>
      <c r="J63" s="469">
        <v>60</v>
      </c>
      <c r="K63" s="473">
        <v>-6.4</v>
      </c>
      <c r="L63" s="472">
        <v>1.1000000000000001</v>
      </c>
      <c r="M63" s="470" t="s">
        <v>103</v>
      </c>
      <c r="N63" s="471">
        <f t="shared" si="16"/>
        <v>3.75</v>
      </c>
      <c r="P63" s="467">
        <v>4</v>
      </c>
      <c r="Q63" s="469">
        <v>900</v>
      </c>
      <c r="R63" s="473">
        <v>0.9</v>
      </c>
      <c r="S63" s="472">
        <v>0.7</v>
      </c>
      <c r="T63" s="470" t="s">
        <v>103</v>
      </c>
      <c r="U63" s="471">
        <f t="shared" si="17"/>
        <v>0.10000000000000003</v>
      </c>
    </row>
    <row r="64" spans="1:24" x14ac:dyDescent="0.2">
      <c r="A64" s="1241"/>
      <c r="B64" s="467">
        <v>5</v>
      </c>
      <c r="C64" s="469">
        <v>35</v>
      </c>
      <c r="D64" s="473">
        <v>0.1</v>
      </c>
      <c r="E64" s="472">
        <v>-0.9</v>
      </c>
      <c r="F64" s="470" t="s">
        <v>103</v>
      </c>
      <c r="G64" s="471">
        <f t="shared" si="15"/>
        <v>0.5</v>
      </c>
      <c r="I64" s="467">
        <v>5</v>
      </c>
      <c r="J64" s="469">
        <v>70</v>
      </c>
      <c r="K64" s="473">
        <v>-6.7</v>
      </c>
      <c r="L64" s="472">
        <v>0.9</v>
      </c>
      <c r="M64" s="470" t="s">
        <v>103</v>
      </c>
      <c r="N64" s="471">
        <f t="shared" si="16"/>
        <v>3.8000000000000003</v>
      </c>
      <c r="P64" s="467">
        <v>5</v>
      </c>
      <c r="Q64" s="469">
        <v>1000</v>
      </c>
      <c r="R64" s="473">
        <v>0.9</v>
      </c>
      <c r="S64" s="472">
        <v>-0.3</v>
      </c>
      <c r="T64" s="470" t="s">
        <v>103</v>
      </c>
      <c r="U64" s="471">
        <f t="shared" si="17"/>
        <v>0.6</v>
      </c>
    </row>
    <row r="65" spans="1:24" x14ac:dyDescent="0.2">
      <c r="A65" s="1241"/>
      <c r="B65" s="467">
        <v>6</v>
      </c>
      <c r="C65" s="469">
        <v>37</v>
      </c>
      <c r="D65" s="473">
        <v>0.1</v>
      </c>
      <c r="E65" s="472">
        <v>-1.1000000000000001</v>
      </c>
      <c r="F65" s="470" t="s">
        <v>103</v>
      </c>
      <c r="G65" s="471">
        <f t="shared" si="15"/>
        <v>0.60000000000000009</v>
      </c>
      <c r="I65" s="467">
        <v>6</v>
      </c>
      <c r="J65" s="469">
        <v>80</v>
      </c>
      <c r="K65" s="473">
        <v>-6.3</v>
      </c>
      <c r="L65" s="472">
        <v>0.8</v>
      </c>
      <c r="M65" s="470" t="s">
        <v>103</v>
      </c>
      <c r="N65" s="471">
        <f t="shared" si="16"/>
        <v>3.55</v>
      </c>
      <c r="P65" s="467">
        <v>6</v>
      </c>
      <c r="Q65" s="469">
        <v>1005</v>
      </c>
      <c r="R65" s="473">
        <v>0.9</v>
      </c>
      <c r="S65" s="472">
        <v>-0.3</v>
      </c>
      <c r="T65" s="470" t="s">
        <v>103</v>
      </c>
      <c r="U65" s="471">
        <f t="shared" si="17"/>
        <v>0.6</v>
      </c>
    </row>
    <row r="66" spans="1:24" x14ac:dyDescent="0.2">
      <c r="A66" s="1241"/>
      <c r="B66" s="467">
        <v>7</v>
      </c>
      <c r="C66" s="469">
        <v>40</v>
      </c>
      <c r="D66" s="473">
        <v>0.1</v>
      </c>
      <c r="E66" s="472">
        <v>-1.4</v>
      </c>
      <c r="F66" s="470" t="s">
        <v>103</v>
      </c>
      <c r="G66" s="471">
        <f t="shared" si="15"/>
        <v>0.75</v>
      </c>
      <c r="I66" s="467">
        <v>7</v>
      </c>
      <c r="J66" s="469">
        <v>90</v>
      </c>
      <c r="K66" s="473">
        <v>-5.2</v>
      </c>
      <c r="L66" s="472">
        <v>0.7</v>
      </c>
      <c r="M66" s="470" t="s">
        <v>103</v>
      </c>
      <c r="N66" s="471">
        <f t="shared" si="16"/>
        <v>2.95</v>
      </c>
      <c r="P66" s="467">
        <v>7</v>
      </c>
      <c r="Q66" s="469">
        <v>1020</v>
      </c>
      <c r="R66" s="473">
        <v>0.9</v>
      </c>
      <c r="S66" s="472">
        <v>9.9999999999999995E-7</v>
      </c>
      <c r="T66" s="470" t="s">
        <v>103</v>
      </c>
      <c r="U66" s="471">
        <f t="shared" si="17"/>
        <v>0.4499995</v>
      </c>
    </row>
    <row r="67" spans="1:24" ht="13.5" thickBot="1" x14ac:dyDescent="0.25">
      <c r="A67" s="113"/>
      <c r="B67" s="114"/>
      <c r="C67" s="114"/>
      <c r="D67" s="114"/>
      <c r="E67" s="115"/>
      <c r="F67" s="114"/>
      <c r="G67" s="116"/>
      <c r="I67" s="114"/>
      <c r="J67" s="114"/>
      <c r="K67" s="114"/>
      <c r="L67" s="115"/>
      <c r="M67" s="114"/>
      <c r="R67" s="110"/>
    </row>
    <row r="68" spans="1:24" x14ac:dyDescent="0.2">
      <c r="A68" s="1241">
        <v>7</v>
      </c>
      <c r="B68" s="1233" t="s">
        <v>237</v>
      </c>
      <c r="C68" s="1233"/>
      <c r="D68" s="1233"/>
      <c r="E68" s="1233"/>
      <c r="F68" s="1233"/>
      <c r="G68" s="1233"/>
      <c r="I68" s="1233" t="str">
        <f>B68</f>
        <v>KOREKSI GREISINGER 34903053</v>
      </c>
      <c r="J68" s="1233"/>
      <c r="K68" s="1233"/>
      <c r="L68" s="1233"/>
      <c r="M68" s="1233"/>
      <c r="N68" s="1233"/>
      <c r="P68" s="1233" t="str">
        <f>I68</f>
        <v>KOREKSI GREISINGER 34903053</v>
      </c>
      <c r="Q68" s="1233"/>
      <c r="R68" s="1233"/>
      <c r="S68" s="1233"/>
      <c r="T68" s="1233"/>
      <c r="U68" s="1233"/>
      <c r="W68" s="1238" t="s">
        <v>224</v>
      </c>
      <c r="X68" s="1239"/>
    </row>
    <row r="69" spans="1:24" x14ac:dyDescent="0.2">
      <c r="A69" s="1241"/>
      <c r="B69" s="1240" t="s">
        <v>225</v>
      </c>
      <c r="C69" s="1240"/>
      <c r="D69" s="1240" t="s">
        <v>226</v>
      </c>
      <c r="E69" s="1240"/>
      <c r="F69" s="1240"/>
      <c r="G69" s="1240" t="s">
        <v>227</v>
      </c>
      <c r="I69" s="1240" t="s">
        <v>228</v>
      </c>
      <c r="J69" s="1240"/>
      <c r="K69" s="1240" t="s">
        <v>226</v>
      </c>
      <c r="L69" s="1240"/>
      <c r="M69" s="1240"/>
      <c r="N69" s="1240" t="s">
        <v>227</v>
      </c>
      <c r="P69" s="1240" t="s">
        <v>229</v>
      </c>
      <c r="Q69" s="1240"/>
      <c r="R69" s="1240" t="s">
        <v>226</v>
      </c>
      <c r="S69" s="1240"/>
      <c r="T69" s="1240"/>
      <c r="U69" s="1240" t="s">
        <v>227</v>
      </c>
      <c r="W69" s="101" t="s">
        <v>225</v>
      </c>
      <c r="X69" s="102">
        <v>0.2</v>
      </c>
    </row>
    <row r="70" spans="1:24" ht="15" x14ac:dyDescent="0.2">
      <c r="A70" s="1241"/>
      <c r="B70" s="1228" t="s">
        <v>230</v>
      </c>
      <c r="C70" s="1228"/>
      <c r="D70" s="103">
        <v>2021</v>
      </c>
      <c r="E70" s="103">
        <v>2018</v>
      </c>
      <c r="F70" s="103" t="s">
        <v>103</v>
      </c>
      <c r="G70" s="1240"/>
      <c r="I70" s="1227" t="s">
        <v>16</v>
      </c>
      <c r="J70" s="1228"/>
      <c r="K70" s="118">
        <f>D70</f>
        <v>2021</v>
      </c>
      <c r="L70" s="118">
        <f>E70</f>
        <v>2018</v>
      </c>
      <c r="M70" s="118" t="str">
        <f>F70</f>
        <v>-</v>
      </c>
      <c r="N70" s="1240"/>
      <c r="P70" s="1227" t="s">
        <v>231</v>
      </c>
      <c r="Q70" s="1228"/>
      <c r="R70" s="118">
        <f>K70</f>
        <v>2021</v>
      </c>
      <c r="S70" s="118">
        <f>L70</f>
        <v>2018</v>
      </c>
      <c r="T70" s="118" t="str">
        <f>M70</f>
        <v>-</v>
      </c>
      <c r="U70" s="1240"/>
      <c r="W70" s="101" t="s">
        <v>16</v>
      </c>
      <c r="X70" s="102">
        <v>2.4</v>
      </c>
    </row>
    <row r="71" spans="1:24" ht="13.5" thickBot="1" x14ac:dyDescent="0.25">
      <c r="A71" s="1241"/>
      <c r="B71" s="467">
        <v>1</v>
      </c>
      <c r="C71" s="468">
        <v>15</v>
      </c>
      <c r="D71" s="470">
        <v>0.1</v>
      </c>
      <c r="E71" s="470">
        <v>0.3</v>
      </c>
      <c r="F71" s="470" t="s">
        <v>103</v>
      </c>
      <c r="G71" s="471">
        <f>0.5*(MAX(D71:F71)-MIN(D71:F71))</f>
        <v>9.9999999999999992E-2</v>
      </c>
      <c r="I71" s="467">
        <v>1</v>
      </c>
      <c r="J71" s="468">
        <v>30</v>
      </c>
      <c r="K71" s="470">
        <v>-1.9</v>
      </c>
      <c r="L71" s="470">
        <v>1.8</v>
      </c>
      <c r="M71" s="470" t="s">
        <v>103</v>
      </c>
      <c r="N71" s="471">
        <f>0.5*(MAX(K71:M71)-MIN(K71:M71))</f>
        <v>1.85</v>
      </c>
      <c r="P71" s="467">
        <v>1</v>
      </c>
      <c r="Q71" s="468">
        <v>750</v>
      </c>
      <c r="R71" s="470">
        <v>9.9999999999999995E-7</v>
      </c>
      <c r="S71" s="470">
        <v>3.2</v>
      </c>
      <c r="T71" s="470" t="s">
        <v>103</v>
      </c>
      <c r="U71" s="471">
        <f>0.5*(MAX(R71:T71)-MIN(R71:T71))</f>
        <v>1.5999995</v>
      </c>
      <c r="W71" s="106" t="s">
        <v>231</v>
      </c>
      <c r="X71" s="107">
        <v>2.4</v>
      </c>
    </row>
    <row r="72" spans="1:24" x14ac:dyDescent="0.2">
      <c r="A72" s="1241"/>
      <c r="B72" s="467">
        <v>2</v>
      </c>
      <c r="C72" s="468">
        <v>20</v>
      </c>
      <c r="D72" s="470">
        <v>9.9999999999999995E-7</v>
      </c>
      <c r="E72" s="470">
        <v>0.1</v>
      </c>
      <c r="F72" s="470" t="s">
        <v>103</v>
      </c>
      <c r="G72" s="471">
        <f t="shared" ref="G72:G77" si="18">0.5*(MAX(D72:F72)-MIN(D72:F72))</f>
        <v>4.9999500000000002E-2</v>
      </c>
      <c r="I72" s="467">
        <v>2</v>
      </c>
      <c r="J72" s="468">
        <v>40</v>
      </c>
      <c r="K72" s="470">
        <v>-1.9</v>
      </c>
      <c r="L72" s="470">
        <v>1.2</v>
      </c>
      <c r="M72" s="470" t="s">
        <v>103</v>
      </c>
      <c r="N72" s="471">
        <f t="shared" ref="N72:N77" si="19">0.5*(MAX(K72:M72)-MIN(K72:M72))</f>
        <v>1.5499999999999998</v>
      </c>
      <c r="P72" s="467">
        <v>2</v>
      </c>
      <c r="Q72" s="468">
        <v>800</v>
      </c>
      <c r="R72" s="470">
        <v>9.9999999999999995E-7</v>
      </c>
      <c r="S72" s="470">
        <v>2.5</v>
      </c>
      <c r="T72" s="470" t="s">
        <v>103</v>
      </c>
      <c r="U72" s="471">
        <f t="shared" ref="U72:U76" si="20">0.5*(MAX(R72:T72)-MIN(R72:T72))</f>
        <v>1.2499994999999999</v>
      </c>
    </row>
    <row r="73" spans="1:24" x14ac:dyDescent="0.2">
      <c r="A73" s="1241"/>
      <c r="B73" s="467">
        <v>3</v>
      </c>
      <c r="C73" s="468">
        <v>25</v>
      </c>
      <c r="D73" s="470">
        <v>9.9999999999999995E-7</v>
      </c>
      <c r="E73" s="470">
        <v>-0.2</v>
      </c>
      <c r="F73" s="470" t="s">
        <v>103</v>
      </c>
      <c r="G73" s="471">
        <f t="shared" si="18"/>
        <v>0.10000050000000001</v>
      </c>
      <c r="I73" s="467">
        <v>3</v>
      </c>
      <c r="J73" s="468">
        <v>50</v>
      </c>
      <c r="K73" s="470">
        <v>-1.9</v>
      </c>
      <c r="L73" s="470">
        <v>0.8</v>
      </c>
      <c r="M73" s="470" t="s">
        <v>103</v>
      </c>
      <c r="N73" s="471">
        <f t="shared" si="19"/>
        <v>1.35</v>
      </c>
      <c r="P73" s="467">
        <v>3</v>
      </c>
      <c r="Q73" s="468">
        <v>850</v>
      </c>
      <c r="R73" s="470">
        <v>9.9999999999999995E-7</v>
      </c>
      <c r="S73" s="470">
        <v>1.7</v>
      </c>
      <c r="T73" s="470" t="s">
        <v>103</v>
      </c>
      <c r="U73" s="471">
        <f t="shared" si="20"/>
        <v>0.84999950000000002</v>
      </c>
    </row>
    <row r="74" spans="1:24" x14ac:dyDescent="0.2">
      <c r="A74" s="1241"/>
      <c r="B74" s="467">
        <v>4</v>
      </c>
      <c r="C74" s="469">
        <v>30</v>
      </c>
      <c r="D74" s="473">
        <v>9.9999999999999995E-7</v>
      </c>
      <c r="E74" s="472">
        <v>-0.6</v>
      </c>
      <c r="F74" s="470" t="s">
        <v>103</v>
      </c>
      <c r="G74" s="471">
        <f t="shared" si="18"/>
        <v>0.3000005</v>
      </c>
      <c r="I74" s="467">
        <v>4</v>
      </c>
      <c r="J74" s="469">
        <v>60</v>
      </c>
      <c r="K74" s="473">
        <v>-2.1</v>
      </c>
      <c r="L74" s="472">
        <v>0.7</v>
      </c>
      <c r="M74" s="470" t="s">
        <v>103</v>
      </c>
      <c r="N74" s="471">
        <f t="shared" si="19"/>
        <v>1.4</v>
      </c>
      <c r="P74" s="467">
        <v>4</v>
      </c>
      <c r="Q74" s="469">
        <v>900</v>
      </c>
      <c r="R74" s="473">
        <v>9.9999999999999995E-7</v>
      </c>
      <c r="S74" s="472">
        <v>1</v>
      </c>
      <c r="T74" s="470" t="s">
        <v>103</v>
      </c>
      <c r="U74" s="471">
        <f t="shared" si="20"/>
        <v>0.49999949999999999</v>
      </c>
    </row>
    <row r="75" spans="1:24" x14ac:dyDescent="0.2">
      <c r="A75" s="1241"/>
      <c r="B75" s="467">
        <v>5</v>
      </c>
      <c r="C75" s="469">
        <v>35</v>
      </c>
      <c r="D75" s="473">
        <v>9.9999999999999995E-7</v>
      </c>
      <c r="E75" s="472">
        <v>-1.1000000000000001</v>
      </c>
      <c r="F75" s="470" t="s">
        <v>103</v>
      </c>
      <c r="G75" s="471">
        <f t="shared" si="18"/>
        <v>0.5500005</v>
      </c>
      <c r="I75" s="467">
        <v>5</v>
      </c>
      <c r="J75" s="469">
        <v>70</v>
      </c>
      <c r="K75" s="473">
        <v>-2.2999999999999998</v>
      </c>
      <c r="L75" s="472">
        <v>0.9</v>
      </c>
      <c r="M75" s="470" t="s">
        <v>103</v>
      </c>
      <c r="N75" s="471">
        <f t="shared" si="19"/>
        <v>1.5999999999999999</v>
      </c>
      <c r="P75" s="467">
        <v>5</v>
      </c>
      <c r="Q75" s="469">
        <v>1000</v>
      </c>
      <c r="R75" s="473">
        <v>-3.9</v>
      </c>
      <c r="S75" s="472">
        <v>-0.4</v>
      </c>
      <c r="T75" s="470" t="s">
        <v>103</v>
      </c>
      <c r="U75" s="471">
        <f t="shared" si="20"/>
        <v>1.75</v>
      </c>
    </row>
    <row r="76" spans="1:24" x14ac:dyDescent="0.2">
      <c r="A76" s="1241"/>
      <c r="B76" s="467">
        <v>6</v>
      </c>
      <c r="C76" s="469">
        <v>37</v>
      </c>
      <c r="D76" s="473">
        <v>9.9999999999999995E-7</v>
      </c>
      <c r="E76" s="472">
        <v>-1.4</v>
      </c>
      <c r="F76" s="470" t="s">
        <v>103</v>
      </c>
      <c r="G76" s="471">
        <f t="shared" si="18"/>
        <v>0.70000049999999991</v>
      </c>
      <c r="I76" s="467">
        <v>6</v>
      </c>
      <c r="J76" s="469">
        <v>80</v>
      </c>
      <c r="K76" s="473">
        <v>-2.6</v>
      </c>
      <c r="L76" s="472">
        <v>1.2</v>
      </c>
      <c r="M76" s="470" t="s">
        <v>103</v>
      </c>
      <c r="N76" s="471">
        <f t="shared" si="19"/>
        <v>1.9</v>
      </c>
      <c r="P76" s="467">
        <v>6</v>
      </c>
      <c r="Q76" s="469">
        <v>1005</v>
      </c>
      <c r="R76" s="473">
        <v>-3.8</v>
      </c>
      <c r="S76" s="472">
        <v>-0.5</v>
      </c>
      <c r="T76" s="470" t="s">
        <v>103</v>
      </c>
      <c r="U76" s="471">
        <f t="shared" si="20"/>
        <v>1.65</v>
      </c>
    </row>
    <row r="77" spans="1:24" x14ac:dyDescent="0.2">
      <c r="A77" s="1241"/>
      <c r="B77" s="467">
        <v>7</v>
      </c>
      <c r="C77" s="469">
        <v>40</v>
      </c>
      <c r="D77" s="473">
        <v>0.1</v>
      </c>
      <c r="E77" s="472">
        <v>-1.7</v>
      </c>
      <c r="F77" s="470" t="s">
        <v>103</v>
      </c>
      <c r="G77" s="471">
        <f t="shared" si="18"/>
        <v>0.9</v>
      </c>
      <c r="I77" s="467">
        <v>7</v>
      </c>
      <c r="J77" s="469">
        <v>90</v>
      </c>
      <c r="K77" s="473">
        <v>-3</v>
      </c>
      <c r="L77" s="472">
        <v>1.8</v>
      </c>
      <c r="M77" s="470" t="s">
        <v>103</v>
      </c>
      <c r="N77" s="471">
        <f t="shared" si="19"/>
        <v>2.4</v>
      </c>
      <c r="P77" s="467">
        <v>7</v>
      </c>
      <c r="Q77" s="469">
        <v>1020</v>
      </c>
      <c r="R77" s="473">
        <v>-3.8</v>
      </c>
      <c r="S77" s="472">
        <v>9.9999999999999995E-7</v>
      </c>
      <c r="T77" s="470" t="s">
        <v>103</v>
      </c>
      <c r="U77" s="471">
        <f>0.5*(MAX(R77:T77)-MIN(R77:T77))</f>
        <v>1.9000005</v>
      </c>
    </row>
    <row r="78" spans="1:24" ht="13.5" thickBot="1" x14ac:dyDescent="0.25">
      <c r="A78" s="113"/>
      <c r="B78" s="114"/>
      <c r="C78" s="114"/>
      <c r="D78" s="114"/>
      <c r="E78" s="115"/>
      <c r="F78" s="114"/>
      <c r="G78" s="116"/>
      <c r="H78" s="114"/>
      <c r="I78" s="114"/>
      <c r="J78" s="114"/>
      <c r="K78" s="115"/>
      <c r="L78" s="114"/>
      <c r="P78" s="110"/>
    </row>
    <row r="79" spans="1:24" x14ac:dyDescent="0.2">
      <c r="A79" s="1241">
        <v>8</v>
      </c>
      <c r="B79" s="1233" t="s">
        <v>238</v>
      </c>
      <c r="C79" s="1233"/>
      <c r="D79" s="1233"/>
      <c r="E79" s="1233"/>
      <c r="F79" s="1233"/>
      <c r="G79" s="1233"/>
      <c r="I79" s="1233" t="str">
        <f>B79</f>
        <v>KOREKSI GREISINGER 34903051</v>
      </c>
      <c r="J79" s="1233"/>
      <c r="K79" s="1233"/>
      <c r="L79" s="1233"/>
      <c r="M79" s="1233"/>
      <c r="N79" s="1233"/>
      <c r="P79" s="1233" t="str">
        <f>I79</f>
        <v>KOREKSI GREISINGER 34903051</v>
      </c>
      <c r="Q79" s="1233"/>
      <c r="R79" s="1233"/>
      <c r="S79" s="1233"/>
      <c r="T79" s="1233"/>
      <c r="U79" s="1233"/>
      <c r="W79" s="1238" t="s">
        <v>224</v>
      </c>
      <c r="X79" s="1239"/>
    </row>
    <row r="80" spans="1:24" x14ac:dyDescent="0.2">
      <c r="A80" s="1241"/>
      <c r="B80" s="1240" t="s">
        <v>225</v>
      </c>
      <c r="C80" s="1240"/>
      <c r="D80" s="1240" t="s">
        <v>226</v>
      </c>
      <c r="E80" s="1240"/>
      <c r="F80" s="1240"/>
      <c r="G80" s="1240" t="s">
        <v>227</v>
      </c>
      <c r="I80" s="1240" t="s">
        <v>228</v>
      </c>
      <c r="J80" s="1240"/>
      <c r="K80" s="1240" t="s">
        <v>226</v>
      </c>
      <c r="L80" s="1240"/>
      <c r="M80" s="1240"/>
      <c r="N80" s="1240" t="s">
        <v>227</v>
      </c>
      <c r="P80" s="1240" t="s">
        <v>229</v>
      </c>
      <c r="Q80" s="1240"/>
      <c r="R80" s="1240" t="s">
        <v>226</v>
      </c>
      <c r="S80" s="1240"/>
      <c r="T80" s="1240"/>
      <c r="U80" s="1240" t="s">
        <v>227</v>
      </c>
      <c r="W80" s="101" t="s">
        <v>225</v>
      </c>
      <c r="X80" s="102">
        <v>0.3</v>
      </c>
    </row>
    <row r="81" spans="1:24" ht="15" x14ac:dyDescent="0.2">
      <c r="A81" s="1241"/>
      <c r="B81" s="1228" t="s">
        <v>230</v>
      </c>
      <c r="C81" s="1228"/>
      <c r="D81" s="103">
        <v>2021</v>
      </c>
      <c r="E81" s="103">
        <v>2019</v>
      </c>
      <c r="F81" s="103" t="s">
        <v>103</v>
      </c>
      <c r="G81" s="1240"/>
      <c r="I81" s="1227" t="s">
        <v>16</v>
      </c>
      <c r="J81" s="1228"/>
      <c r="K81" s="118">
        <f>D81</f>
        <v>2021</v>
      </c>
      <c r="L81" s="118">
        <f>E81</f>
        <v>2019</v>
      </c>
      <c r="M81" s="118" t="str">
        <f>F81</f>
        <v>-</v>
      </c>
      <c r="N81" s="1240"/>
      <c r="P81" s="1227" t="s">
        <v>231</v>
      </c>
      <c r="Q81" s="1228"/>
      <c r="R81" s="118">
        <f>K81</f>
        <v>2021</v>
      </c>
      <c r="S81" s="118">
        <f>L81</f>
        <v>2019</v>
      </c>
      <c r="T81" s="118" t="str">
        <f>M81</f>
        <v>-</v>
      </c>
      <c r="U81" s="1240"/>
      <c r="W81" s="101" t="s">
        <v>16</v>
      </c>
      <c r="X81" s="102">
        <v>2.5</v>
      </c>
    </row>
    <row r="82" spans="1:24" ht="13.5" thickBot="1" x14ac:dyDescent="0.25">
      <c r="A82" s="1241"/>
      <c r="B82" s="467">
        <v>1</v>
      </c>
      <c r="C82" s="468">
        <v>15</v>
      </c>
      <c r="D82" s="470">
        <v>0.1</v>
      </c>
      <c r="E82" s="470">
        <v>9.9999999999999995E-7</v>
      </c>
      <c r="F82" s="470" t="s">
        <v>103</v>
      </c>
      <c r="G82" s="471">
        <f>0.5*(MAX(D82:F82)-MIN(D82:F82))</f>
        <v>4.9999500000000002E-2</v>
      </c>
      <c r="I82" s="467">
        <v>1</v>
      </c>
      <c r="J82" s="468">
        <v>30</v>
      </c>
      <c r="K82" s="470">
        <v>-4</v>
      </c>
      <c r="L82" s="470">
        <v>-1.4</v>
      </c>
      <c r="M82" s="470" t="s">
        <v>103</v>
      </c>
      <c r="N82" s="471">
        <f>0.5*(MAX(K82:M82)-MIN(K82:M82))</f>
        <v>1.3</v>
      </c>
      <c r="P82" s="467">
        <v>1</v>
      </c>
      <c r="Q82" s="468">
        <v>750</v>
      </c>
      <c r="R82" s="470">
        <v>9.9999999999999995E-7</v>
      </c>
      <c r="S82" s="470">
        <v>9.9999999999999995E-7</v>
      </c>
      <c r="T82" s="470" t="s">
        <v>103</v>
      </c>
      <c r="U82" s="471">
        <f>0.5*(MAX(R82:T82)-MIN(R82:T82))</f>
        <v>0</v>
      </c>
      <c r="W82" s="106" t="s">
        <v>231</v>
      </c>
      <c r="X82" s="107">
        <v>2.1</v>
      </c>
    </row>
    <row r="83" spans="1:24" x14ac:dyDescent="0.2">
      <c r="A83" s="1241"/>
      <c r="B83" s="467">
        <v>2</v>
      </c>
      <c r="C83" s="468">
        <v>20</v>
      </c>
      <c r="D83" s="470">
        <v>9.9999999999999995E-7</v>
      </c>
      <c r="E83" s="470">
        <v>-0.2</v>
      </c>
      <c r="F83" s="470" t="s">
        <v>103</v>
      </c>
      <c r="G83" s="471">
        <f t="shared" ref="G83:G88" si="21">0.5*(MAX(D83:F83)-MIN(D83:F83))</f>
        <v>0.10000050000000001</v>
      </c>
      <c r="I83" s="467">
        <v>2</v>
      </c>
      <c r="J83" s="468">
        <v>40</v>
      </c>
      <c r="K83" s="470">
        <v>-3.8</v>
      </c>
      <c r="L83" s="470">
        <v>-1.2</v>
      </c>
      <c r="M83" s="470" t="s">
        <v>103</v>
      </c>
      <c r="N83" s="471">
        <f t="shared" ref="N83:N88" si="22">0.5*(MAX(K83:M83)-MIN(K83:M83))</f>
        <v>1.2999999999999998</v>
      </c>
      <c r="P83" s="467">
        <v>2</v>
      </c>
      <c r="Q83" s="468">
        <v>800</v>
      </c>
      <c r="R83" s="470">
        <v>9.9999999999999995E-7</v>
      </c>
      <c r="S83" s="470">
        <v>9.9999999999999995E-7</v>
      </c>
      <c r="T83" s="470" t="s">
        <v>103</v>
      </c>
      <c r="U83" s="471">
        <f t="shared" ref="U83:U88" si="23">0.5*(MAX(R83:T83)-MIN(R83:T83))</f>
        <v>0</v>
      </c>
    </row>
    <row r="84" spans="1:24" x14ac:dyDescent="0.2">
      <c r="A84" s="1241"/>
      <c r="B84" s="467">
        <v>3</v>
      </c>
      <c r="C84" s="468">
        <v>25</v>
      </c>
      <c r="D84" s="470">
        <v>-0.1</v>
      </c>
      <c r="E84" s="470">
        <v>-0.4</v>
      </c>
      <c r="F84" s="470" t="s">
        <v>103</v>
      </c>
      <c r="G84" s="471">
        <f t="shared" si="21"/>
        <v>0.15000000000000002</v>
      </c>
      <c r="I84" s="467">
        <v>3</v>
      </c>
      <c r="J84" s="468">
        <v>50</v>
      </c>
      <c r="K84" s="470">
        <v>-3.8</v>
      </c>
      <c r="L84" s="470">
        <v>-1.2</v>
      </c>
      <c r="M84" s="470" t="s">
        <v>103</v>
      </c>
      <c r="N84" s="471">
        <f t="shared" si="22"/>
        <v>1.2999999999999998</v>
      </c>
      <c r="P84" s="467">
        <v>3</v>
      </c>
      <c r="Q84" s="468">
        <v>850</v>
      </c>
      <c r="R84" s="470">
        <v>9.9999999999999995E-7</v>
      </c>
      <c r="S84" s="470">
        <v>9.9999999999999995E-7</v>
      </c>
      <c r="T84" s="470" t="s">
        <v>103</v>
      </c>
      <c r="U84" s="471">
        <f t="shared" si="23"/>
        <v>0</v>
      </c>
    </row>
    <row r="85" spans="1:24" x14ac:dyDescent="0.2">
      <c r="A85" s="1241"/>
      <c r="B85" s="467">
        <v>4</v>
      </c>
      <c r="C85" s="469">
        <v>30</v>
      </c>
      <c r="D85" s="473">
        <v>-0.2</v>
      </c>
      <c r="E85" s="472">
        <v>-0.4</v>
      </c>
      <c r="F85" s="470" t="s">
        <v>103</v>
      </c>
      <c r="G85" s="471">
        <f t="shared" si="21"/>
        <v>0.1</v>
      </c>
      <c r="I85" s="467">
        <v>4</v>
      </c>
      <c r="J85" s="469">
        <v>60</v>
      </c>
      <c r="K85" s="473">
        <v>-3.9</v>
      </c>
      <c r="L85" s="472">
        <v>-1.1000000000000001</v>
      </c>
      <c r="M85" s="470" t="s">
        <v>103</v>
      </c>
      <c r="N85" s="471">
        <f t="shared" si="22"/>
        <v>1.4</v>
      </c>
      <c r="P85" s="467">
        <v>4</v>
      </c>
      <c r="Q85" s="469">
        <v>900</v>
      </c>
      <c r="R85" s="473">
        <v>-4.4000000000000004</v>
      </c>
      <c r="S85" s="472">
        <v>9.9999999999999995E-7</v>
      </c>
      <c r="T85" s="470" t="s">
        <v>103</v>
      </c>
      <c r="U85" s="471">
        <f t="shared" si="23"/>
        <v>2.2000005000000002</v>
      </c>
    </row>
    <row r="86" spans="1:24" x14ac:dyDescent="0.2">
      <c r="A86" s="1241"/>
      <c r="B86" s="467">
        <v>5</v>
      </c>
      <c r="C86" s="469">
        <v>35</v>
      </c>
      <c r="D86" s="473">
        <v>-0.1</v>
      </c>
      <c r="E86" s="472">
        <v>-0.5</v>
      </c>
      <c r="F86" s="470" t="s">
        <v>103</v>
      </c>
      <c r="G86" s="471">
        <f t="shared" si="21"/>
        <v>0.2</v>
      </c>
      <c r="I86" s="467">
        <v>5</v>
      </c>
      <c r="J86" s="469">
        <v>70</v>
      </c>
      <c r="K86" s="473">
        <v>-4.0999999999999996</v>
      </c>
      <c r="L86" s="472">
        <v>-1.2</v>
      </c>
      <c r="M86" s="470" t="s">
        <v>103</v>
      </c>
      <c r="N86" s="471">
        <f t="shared" si="22"/>
        <v>1.4499999999999997</v>
      </c>
      <c r="P86" s="467">
        <v>5</v>
      </c>
      <c r="Q86" s="469">
        <v>1000</v>
      </c>
      <c r="R86" s="473">
        <v>-3.5</v>
      </c>
      <c r="S86" s="472">
        <v>0.2</v>
      </c>
      <c r="T86" s="470" t="s">
        <v>103</v>
      </c>
      <c r="U86" s="471">
        <f t="shared" si="23"/>
        <v>1.85</v>
      </c>
    </row>
    <row r="87" spans="1:24" x14ac:dyDescent="0.2">
      <c r="A87" s="1241"/>
      <c r="B87" s="467">
        <v>6</v>
      </c>
      <c r="C87" s="469">
        <v>37</v>
      </c>
      <c r="D87" s="473">
        <v>-0.1</v>
      </c>
      <c r="E87" s="472">
        <v>-0.5</v>
      </c>
      <c r="F87" s="470" t="s">
        <v>103</v>
      </c>
      <c r="G87" s="471">
        <f t="shared" si="21"/>
        <v>0.2</v>
      </c>
      <c r="I87" s="467">
        <v>6</v>
      </c>
      <c r="J87" s="469">
        <v>80</v>
      </c>
      <c r="K87" s="473">
        <v>-4.5</v>
      </c>
      <c r="L87" s="472">
        <v>-1.2</v>
      </c>
      <c r="M87" s="470" t="s">
        <v>103</v>
      </c>
      <c r="N87" s="471">
        <f t="shared" si="22"/>
        <v>1.65</v>
      </c>
      <c r="P87" s="467">
        <v>6</v>
      </c>
      <c r="Q87" s="469">
        <v>1005</v>
      </c>
      <c r="R87" s="473">
        <v>-3.4</v>
      </c>
      <c r="S87" s="472">
        <v>0.2</v>
      </c>
      <c r="T87" s="470" t="s">
        <v>103</v>
      </c>
      <c r="U87" s="471">
        <f t="shared" si="23"/>
        <v>1.8</v>
      </c>
    </row>
    <row r="88" spans="1:24" x14ac:dyDescent="0.2">
      <c r="A88" s="1241"/>
      <c r="B88" s="467">
        <v>7</v>
      </c>
      <c r="C88" s="469">
        <v>40</v>
      </c>
      <c r="D88" s="473">
        <v>9.9999999999999995E-7</v>
      </c>
      <c r="E88" s="472">
        <v>-0.4</v>
      </c>
      <c r="F88" s="470" t="s">
        <v>103</v>
      </c>
      <c r="G88" s="471">
        <f t="shared" si="21"/>
        <v>0.2000005</v>
      </c>
      <c r="I88" s="467">
        <v>7</v>
      </c>
      <c r="J88" s="469">
        <v>90</v>
      </c>
      <c r="K88" s="473">
        <v>-4.9000000000000004</v>
      </c>
      <c r="L88" s="472">
        <v>-1.3</v>
      </c>
      <c r="M88" s="470" t="s">
        <v>103</v>
      </c>
      <c r="N88" s="471">
        <f t="shared" si="22"/>
        <v>1.8000000000000003</v>
      </c>
      <c r="P88" s="467">
        <v>7</v>
      </c>
      <c r="Q88" s="469">
        <v>1020</v>
      </c>
      <c r="R88" s="473">
        <v>-3.4</v>
      </c>
      <c r="S88" s="472">
        <v>9.9999999999999995E-7</v>
      </c>
      <c r="T88" s="470" t="s">
        <v>103</v>
      </c>
      <c r="U88" s="471">
        <f t="shared" si="23"/>
        <v>1.7000005</v>
      </c>
    </row>
    <row r="89" spans="1:24" ht="13.5" thickBot="1" x14ac:dyDescent="0.25">
      <c r="A89" s="113"/>
      <c r="B89" s="114"/>
      <c r="C89" s="114"/>
      <c r="D89" s="114"/>
      <c r="E89" s="115"/>
      <c r="G89" s="114"/>
      <c r="I89" s="114"/>
      <c r="J89" s="114"/>
      <c r="K89" s="114"/>
      <c r="L89" s="115"/>
      <c r="N89" s="114"/>
      <c r="R89" s="110"/>
    </row>
    <row r="90" spans="1:24" x14ac:dyDescent="0.2">
      <c r="A90" s="1241">
        <v>9</v>
      </c>
      <c r="B90" s="1233" t="s">
        <v>239</v>
      </c>
      <c r="C90" s="1233"/>
      <c r="D90" s="1233"/>
      <c r="E90" s="1233"/>
      <c r="F90" s="1233"/>
      <c r="G90" s="1233"/>
      <c r="I90" s="1233" t="str">
        <f>B90</f>
        <v>KOREKSI GREISINGER 34904091</v>
      </c>
      <c r="J90" s="1233"/>
      <c r="K90" s="1233"/>
      <c r="L90" s="1233"/>
      <c r="M90" s="1233"/>
      <c r="N90" s="1233"/>
      <c r="P90" s="1233" t="str">
        <f>I90</f>
        <v>KOREKSI GREISINGER 34904091</v>
      </c>
      <c r="Q90" s="1233"/>
      <c r="R90" s="1233"/>
      <c r="S90" s="1233"/>
      <c r="T90" s="1233"/>
      <c r="U90" s="1233"/>
      <c r="W90" s="1238" t="s">
        <v>224</v>
      </c>
      <c r="X90" s="1239"/>
    </row>
    <row r="91" spans="1:24" x14ac:dyDescent="0.2">
      <c r="A91" s="1241"/>
      <c r="B91" s="1240" t="s">
        <v>225</v>
      </c>
      <c r="C91" s="1240"/>
      <c r="D91" s="1240" t="s">
        <v>226</v>
      </c>
      <c r="E91" s="1240"/>
      <c r="F91" s="1240"/>
      <c r="G91" s="1240" t="s">
        <v>227</v>
      </c>
      <c r="I91" s="1240" t="s">
        <v>228</v>
      </c>
      <c r="J91" s="1240"/>
      <c r="K91" s="1240" t="s">
        <v>226</v>
      </c>
      <c r="L91" s="1240"/>
      <c r="M91" s="1240"/>
      <c r="N91" s="1240" t="s">
        <v>227</v>
      </c>
      <c r="P91" s="1240" t="s">
        <v>229</v>
      </c>
      <c r="Q91" s="1240"/>
      <c r="R91" s="1240" t="s">
        <v>226</v>
      </c>
      <c r="S91" s="1240"/>
      <c r="T91" s="1240"/>
      <c r="U91" s="1240" t="s">
        <v>227</v>
      </c>
      <c r="W91" s="101" t="s">
        <v>225</v>
      </c>
      <c r="X91" s="102">
        <v>0.3</v>
      </c>
    </row>
    <row r="92" spans="1:24" ht="15" x14ac:dyDescent="0.2">
      <c r="A92" s="1241"/>
      <c r="B92" s="1228" t="s">
        <v>230</v>
      </c>
      <c r="C92" s="1228"/>
      <c r="D92" s="103">
        <v>2019</v>
      </c>
      <c r="E92" s="117" t="s">
        <v>103</v>
      </c>
      <c r="F92" s="103" t="s">
        <v>103</v>
      </c>
      <c r="G92" s="1240"/>
      <c r="I92" s="1227" t="s">
        <v>16</v>
      </c>
      <c r="J92" s="1228"/>
      <c r="K92" s="118">
        <f>D92</f>
        <v>2019</v>
      </c>
      <c r="L92" s="118" t="str">
        <f>E92</f>
        <v>-</v>
      </c>
      <c r="M92" s="118" t="str">
        <f>F92</f>
        <v>-</v>
      </c>
      <c r="N92" s="1240"/>
      <c r="P92" s="1227" t="s">
        <v>231</v>
      </c>
      <c r="Q92" s="1228"/>
      <c r="R92" s="118">
        <f>K92</f>
        <v>2019</v>
      </c>
      <c r="S92" s="118" t="str">
        <f>L92</f>
        <v>-</v>
      </c>
      <c r="T92" s="118" t="str">
        <f>M92</f>
        <v>-</v>
      </c>
      <c r="U92" s="1240"/>
      <c r="W92" s="101" t="s">
        <v>16</v>
      </c>
      <c r="X92" s="102">
        <v>2.4</v>
      </c>
    </row>
    <row r="93" spans="1:24" ht="13.5" thickBot="1" x14ac:dyDescent="0.25">
      <c r="A93" s="1241"/>
      <c r="B93" s="467">
        <v>1</v>
      </c>
      <c r="C93" s="468">
        <v>15</v>
      </c>
      <c r="D93" s="470">
        <v>9.9999999999999995E-7</v>
      </c>
      <c r="E93" s="470" t="s">
        <v>103</v>
      </c>
      <c r="F93" s="470" t="s">
        <v>103</v>
      </c>
      <c r="G93" s="471">
        <f>0.5*(MAX(D93:F93)-MIN(D93:F93))</f>
        <v>0</v>
      </c>
      <c r="I93" s="467">
        <v>1</v>
      </c>
      <c r="J93" s="468">
        <v>30</v>
      </c>
      <c r="K93" s="470">
        <v>-1.2</v>
      </c>
      <c r="L93" s="470" t="s">
        <v>103</v>
      </c>
      <c r="M93" s="470" t="s">
        <v>103</v>
      </c>
      <c r="N93" s="471">
        <f>0.5*(MAX(K93:M93)-MIN(K93:M93))</f>
        <v>0</v>
      </c>
      <c r="P93" s="467">
        <v>1</v>
      </c>
      <c r="Q93" s="468">
        <v>750</v>
      </c>
      <c r="R93" s="470">
        <v>9.9999999999999995E-7</v>
      </c>
      <c r="S93" s="470" t="s">
        <v>103</v>
      </c>
      <c r="T93" s="470" t="s">
        <v>103</v>
      </c>
      <c r="U93" s="471">
        <f>0.5*(MAX(R93:T93)-MIN(R93:T93))</f>
        <v>0</v>
      </c>
      <c r="W93" s="106" t="s">
        <v>231</v>
      </c>
      <c r="X93" s="107">
        <v>2.2000000000000002</v>
      </c>
    </row>
    <row r="94" spans="1:24" x14ac:dyDescent="0.2">
      <c r="A94" s="1241"/>
      <c r="B94" s="467">
        <v>2</v>
      </c>
      <c r="C94" s="468">
        <v>20</v>
      </c>
      <c r="D94" s="470">
        <v>-0.2</v>
      </c>
      <c r="E94" s="470" t="s">
        <v>103</v>
      </c>
      <c r="F94" s="470" t="s">
        <v>103</v>
      </c>
      <c r="G94" s="471">
        <f t="shared" ref="G94:G99" si="24">0.5*(MAX(D94:F94)-MIN(D94:F94))</f>
        <v>0</v>
      </c>
      <c r="I94" s="467">
        <v>2</v>
      </c>
      <c r="J94" s="468">
        <v>40</v>
      </c>
      <c r="K94" s="470">
        <v>-1</v>
      </c>
      <c r="L94" s="470" t="s">
        <v>103</v>
      </c>
      <c r="M94" s="470" t="s">
        <v>103</v>
      </c>
      <c r="N94" s="471">
        <f t="shared" ref="N94:N99" si="25">0.5*(MAX(K94:M94)-MIN(K94:M94))</f>
        <v>0</v>
      </c>
      <c r="P94" s="467">
        <v>2</v>
      </c>
      <c r="Q94" s="468">
        <v>800</v>
      </c>
      <c r="R94" s="470">
        <v>9.9999999999999995E-7</v>
      </c>
      <c r="S94" s="470" t="s">
        <v>103</v>
      </c>
      <c r="T94" s="470" t="s">
        <v>103</v>
      </c>
      <c r="U94" s="471">
        <f t="shared" ref="U94:U99" si="26">0.5*(MAX(R94:T94)-MIN(R94:T94))</f>
        <v>0</v>
      </c>
    </row>
    <row r="95" spans="1:24" x14ac:dyDescent="0.2">
      <c r="A95" s="1241"/>
      <c r="B95" s="467">
        <v>3</v>
      </c>
      <c r="C95" s="468">
        <v>25</v>
      </c>
      <c r="D95" s="470">
        <v>-0.4</v>
      </c>
      <c r="E95" s="470" t="s">
        <v>103</v>
      </c>
      <c r="F95" s="470" t="s">
        <v>103</v>
      </c>
      <c r="G95" s="471">
        <f t="shared" si="24"/>
        <v>0</v>
      </c>
      <c r="I95" s="467">
        <v>3</v>
      </c>
      <c r="J95" s="468">
        <v>50</v>
      </c>
      <c r="K95" s="470">
        <v>-0.9</v>
      </c>
      <c r="L95" s="470" t="s">
        <v>103</v>
      </c>
      <c r="M95" s="470" t="s">
        <v>103</v>
      </c>
      <c r="N95" s="471">
        <f t="shared" si="25"/>
        <v>0</v>
      </c>
      <c r="P95" s="467">
        <v>3</v>
      </c>
      <c r="Q95" s="468">
        <v>850</v>
      </c>
      <c r="R95" s="470">
        <v>9.9999999999999995E-7</v>
      </c>
      <c r="S95" s="470" t="s">
        <v>103</v>
      </c>
      <c r="T95" s="470" t="s">
        <v>103</v>
      </c>
      <c r="U95" s="471">
        <f t="shared" si="26"/>
        <v>0</v>
      </c>
    </row>
    <row r="96" spans="1:24" x14ac:dyDescent="0.2">
      <c r="A96" s="1241"/>
      <c r="B96" s="467">
        <v>4</v>
      </c>
      <c r="C96" s="469">
        <v>30</v>
      </c>
      <c r="D96" s="473">
        <v>-0.5</v>
      </c>
      <c r="E96" s="472" t="s">
        <v>103</v>
      </c>
      <c r="F96" s="470" t="s">
        <v>103</v>
      </c>
      <c r="G96" s="471">
        <f t="shared" si="24"/>
        <v>0</v>
      </c>
      <c r="I96" s="467">
        <v>4</v>
      </c>
      <c r="J96" s="469">
        <v>60</v>
      </c>
      <c r="K96" s="473">
        <v>-0.8</v>
      </c>
      <c r="L96" s="472" t="s">
        <v>103</v>
      </c>
      <c r="M96" s="470" t="s">
        <v>103</v>
      </c>
      <c r="N96" s="471">
        <f t="shared" si="25"/>
        <v>0</v>
      </c>
      <c r="P96" s="467">
        <v>4</v>
      </c>
      <c r="Q96" s="469">
        <v>900</v>
      </c>
      <c r="R96" s="473">
        <v>9.9999999999999995E-7</v>
      </c>
      <c r="S96" s="472" t="s">
        <v>103</v>
      </c>
      <c r="T96" s="470" t="s">
        <v>103</v>
      </c>
      <c r="U96" s="471">
        <f t="shared" si="26"/>
        <v>0</v>
      </c>
    </row>
    <row r="97" spans="1:28" x14ac:dyDescent="0.2">
      <c r="A97" s="1241"/>
      <c r="B97" s="467">
        <v>5</v>
      </c>
      <c r="C97" s="469">
        <v>35</v>
      </c>
      <c r="D97" s="473">
        <v>-0.5</v>
      </c>
      <c r="E97" s="472" t="s">
        <v>103</v>
      </c>
      <c r="F97" s="470" t="s">
        <v>103</v>
      </c>
      <c r="G97" s="471">
        <f t="shared" si="24"/>
        <v>0</v>
      </c>
      <c r="I97" s="467">
        <v>5</v>
      </c>
      <c r="J97" s="469">
        <v>70</v>
      </c>
      <c r="K97" s="473">
        <v>-0.6</v>
      </c>
      <c r="L97" s="472" t="s">
        <v>103</v>
      </c>
      <c r="M97" s="470" t="s">
        <v>103</v>
      </c>
      <c r="N97" s="471">
        <f t="shared" si="25"/>
        <v>0</v>
      </c>
      <c r="P97" s="467">
        <v>5</v>
      </c>
      <c r="Q97" s="469">
        <v>1000</v>
      </c>
      <c r="R97" s="473">
        <v>0.2</v>
      </c>
      <c r="S97" s="472" t="s">
        <v>103</v>
      </c>
      <c r="T97" s="470" t="s">
        <v>103</v>
      </c>
      <c r="U97" s="471">
        <f t="shared" si="26"/>
        <v>0</v>
      </c>
    </row>
    <row r="98" spans="1:28" x14ac:dyDescent="0.2">
      <c r="A98" s="1241"/>
      <c r="B98" s="467">
        <v>6</v>
      </c>
      <c r="C98" s="469">
        <v>37</v>
      </c>
      <c r="D98" s="473">
        <v>-0.5</v>
      </c>
      <c r="E98" s="472" t="s">
        <v>103</v>
      </c>
      <c r="F98" s="470" t="s">
        <v>103</v>
      </c>
      <c r="G98" s="471">
        <f t="shared" si="24"/>
        <v>0</v>
      </c>
      <c r="I98" s="467">
        <v>6</v>
      </c>
      <c r="J98" s="469">
        <v>80</v>
      </c>
      <c r="K98" s="473">
        <v>-0.5</v>
      </c>
      <c r="L98" s="472" t="s">
        <v>103</v>
      </c>
      <c r="M98" s="470" t="s">
        <v>103</v>
      </c>
      <c r="N98" s="471">
        <f t="shared" si="25"/>
        <v>0</v>
      </c>
      <c r="P98" s="467">
        <v>6</v>
      </c>
      <c r="Q98" s="469">
        <v>1005</v>
      </c>
      <c r="R98" s="473">
        <v>0.2</v>
      </c>
      <c r="S98" s="472" t="s">
        <v>103</v>
      </c>
      <c r="T98" s="470" t="s">
        <v>103</v>
      </c>
      <c r="U98" s="471">
        <f t="shared" si="26"/>
        <v>0</v>
      </c>
    </row>
    <row r="99" spans="1:28" x14ac:dyDescent="0.2">
      <c r="A99" s="1241"/>
      <c r="B99" s="467">
        <v>7</v>
      </c>
      <c r="C99" s="469">
        <v>40</v>
      </c>
      <c r="D99" s="473">
        <v>-0.4</v>
      </c>
      <c r="E99" s="472" t="s">
        <v>103</v>
      </c>
      <c r="F99" s="470" t="s">
        <v>103</v>
      </c>
      <c r="G99" s="471">
        <f t="shared" si="24"/>
        <v>0</v>
      </c>
      <c r="I99" s="467">
        <v>7</v>
      </c>
      <c r="J99" s="469">
        <v>90</v>
      </c>
      <c r="K99" s="473">
        <v>-0.2</v>
      </c>
      <c r="L99" s="472" t="s">
        <v>103</v>
      </c>
      <c r="M99" s="470" t="s">
        <v>103</v>
      </c>
      <c r="N99" s="471">
        <f t="shared" si="25"/>
        <v>0</v>
      </c>
      <c r="P99" s="467">
        <v>7</v>
      </c>
      <c r="Q99" s="469">
        <v>1020</v>
      </c>
      <c r="R99" s="473">
        <v>9.9999999999999995E-7</v>
      </c>
      <c r="S99" s="472" t="s">
        <v>103</v>
      </c>
      <c r="T99" s="470" t="s">
        <v>103</v>
      </c>
      <c r="U99" s="471">
        <f t="shared" si="26"/>
        <v>0</v>
      </c>
    </row>
    <row r="100" spans="1:28" ht="13.5" thickBot="1" x14ac:dyDescent="0.25">
      <c r="A100" s="113"/>
      <c r="B100" s="114"/>
      <c r="C100" s="114"/>
      <c r="D100" s="114"/>
      <c r="E100" s="115"/>
      <c r="G100" s="114"/>
      <c r="I100" s="114"/>
      <c r="J100" s="114"/>
      <c r="K100" s="114"/>
      <c r="L100" s="115"/>
      <c r="N100" s="114"/>
      <c r="R100" s="110"/>
      <c r="AB100" s="116"/>
    </row>
    <row r="101" spans="1:28" x14ac:dyDescent="0.2">
      <c r="A101" s="1241">
        <v>10</v>
      </c>
      <c r="B101" s="1233" t="s">
        <v>240</v>
      </c>
      <c r="C101" s="1233"/>
      <c r="D101" s="1233"/>
      <c r="E101" s="1233"/>
      <c r="F101" s="1233"/>
      <c r="G101" s="1233"/>
      <c r="I101" s="1233" t="str">
        <f>B101</f>
        <v>KOREKSI Sekonic HE-21.000669</v>
      </c>
      <c r="J101" s="1233"/>
      <c r="K101" s="1233"/>
      <c r="L101" s="1233"/>
      <c r="M101" s="1233"/>
      <c r="N101" s="1233"/>
      <c r="P101" s="1233" t="str">
        <f>I101</f>
        <v>KOREKSI Sekonic HE-21.000669</v>
      </c>
      <c r="Q101" s="1233"/>
      <c r="R101" s="1233"/>
      <c r="S101" s="1233"/>
      <c r="T101" s="1233"/>
      <c r="U101" s="1233"/>
      <c r="W101" s="1238" t="s">
        <v>224</v>
      </c>
      <c r="X101" s="1239"/>
    </row>
    <row r="102" spans="1:28" x14ac:dyDescent="0.2">
      <c r="A102" s="1241"/>
      <c r="B102" s="1240" t="s">
        <v>225</v>
      </c>
      <c r="C102" s="1240"/>
      <c r="D102" s="1240" t="s">
        <v>226</v>
      </c>
      <c r="E102" s="1240"/>
      <c r="F102" s="1240"/>
      <c r="G102" s="1240" t="s">
        <v>227</v>
      </c>
      <c r="I102" s="1240" t="s">
        <v>228</v>
      </c>
      <c r="J102" s="1240"/>
      <c r="K102" s="1240" t="s">
        <v>226</v>
      </c>
      <c r="L102" s="1240"/>
      <c r="M102" s="1240"/>
      <c r="N102" s="1240" t="s">
        <v>227</v>
      </c>
      <c r="P102" s="1240" t="s">
        <v>229</v>
      </c>
      <c r="Q102" s="1240"/>
      <c r="R102" s="1240" t="s">
        <v>226</v>
      </c>
      <c r="S102" s="1240"/>
      <c r="T102" s="1240"/>
      <c r="U102" s="1240" t="s">
        <v>227</v>
      </c>
      <c r="W102" s="101" t="s">
        <v>225</v>
      </c>
      <c r="X102" s="102">
        <v>0.3</v>
      </c>
    </row>
    <row r="103" spans="1:28" ht="15" x14ac:dyDescent="0.2">
      <c r="A103" s="1241"/>
      <c r="B103" s="1228" t="s">
        <v>230</v>
      </c>
      <c r="C103" s="1228"/>
      <c r="D103" s="103">
        <v>2019</v>
      </c>
      <c r="E103" s="103">
        <v>2016</v>
      </c>
      <c r="F103" s="103" t="s">
        <v>103</v>
      </c>
      <c r="G103" s="1240"/>
      <c r="I103" s="1227" t="s">
        <v>16</v>
      </c>
      <c r="J103" s="1228"/>
      <c r="K103" s="118">
        <f>D103</f>
        <v>2019</v>
      </c>
      <c r="L103" s="118">
        <f>E103</f>
        <v>2016</v>
      </c>
      <c r="M103" s="118" t="str">
        <f>F103</f>
        <v>-</v>
      </c>
      <c r="N103" s="1240"/>
      <c r="P103" s="1227" t="s">
        <v>231</v>
      </c>
      <c r="Q103" s="1228"/>
      <c r="R103" s="118">
        <f>K103</f>
        <v>2019</v>
      </c>
      <c r="S103" s="118">
        <f>L103</f>
        <v>2016</v>
      </c>
      <c r="T103" s="118" t="str">
        <f>M103</f>
        <v>-</v>
      </c>
      <c r="U103" s="1240"/>
      <c r="W103" s="101" t="s">
        <v>16</v>
      </c>
      <c r="X103" s="102">
        <v>1.5</v>
      </c>
    </row>
    <row r="104" spans="1:28" ht="13.5" thickBot="1" x14ac:dyDescent="0.25">
      <c r="A104" s="1241"/>
      <c r="B104" s="467">
        <v>1</v>
      </c>
      <c r="C104" s="468">
        <v>15</v>
      </c>
      <c r="D104" s="470">
        <v>0.2</v>
      </c>
      <c r="E104" s="470">
        <v>0.2</v>
      </c>
      <c r="F104" s="470" t="s">
        <v>103</v>
      </c>
      <c r="G104" s="471">
        <f>0.5*(MAX(D104:F104)-MIN(D104:F104))</f>
        <v>0</v>
      </c>
      <c r="I104" s="467">
        <v>1</v>
      </c>
      <c r="J104" s="468">
        <v>30</v>
      </c>
      <c r="K104" s="470">
        <v>-2.9</v>
      </c>
      <c r="L104" s="470">
        <v>-5.8</v>
      </c>
      <c r="M104" s="470" t="s">
        <v>103</v>
      </c>
      <c r="N104" s="471">
        <f>0.5*(MAX(K104:M104)-MIN(K104:M104))</f>
        <v>1.45</v>
      </c>
      <c r="P104" s="467">
        <v>1</v>
      </c>
      <c r="Q104" s="468">
        <v>750</v>
      </c>
      <c r="R104" s="470" t="s">
        <v>103</v>
      </c>
      <c r="S104" s="470" t="s">
        <v>103</v>
      </c>
      <c r="T104" s="470" t="s">
        <v>103</v>
      </c>
      <c r="U104" s="471">
        <f>0.5*(MAX(R104:T104)-MIN(R104:T104))</f>
        <v>0</v>
      </c>
      <c r="W104" s="106" t="s">
        <v>231</v>
      </c>
      <c r="X104" s="107">
        <v>0</v>
      </c>
    </row>
    <row r="105" spans="1:28" x14ac:dyDescent="0.2">
      <c r="A105" s="1241"/>
      <c r="B105" s="467">
        <v>2</v>
      </c>
      <c r="C105" s="468">
        <v>20</v>
      </c>
      <c r="D105" s="470">
        <v>0.2</v>
      </c>
      <c r="E105" s="470">
        <v>-0.7</v>
      </c>
      <c r="F105" s="470" t="s">
        <v>103</v>
      </c>
      <c r="G105" s="471">
        <f t="shared" ref="G105:G110" si="27">0.5*(MAX(D105:F105)-MIN(D105:F105))</f>
        <v>0.44999999999999996</v>
      </c>
      <c r="I105" s="467">
        <v>2</v>
      </c>
      <c r="J105" s="468">
        <v>40</v>
      </c>
      <c r="K105" s="470">
        <v>-3.3</v>
      </c>
      <c r="L105" s="470">
        <v>-6.4</v>
      </c>
      <c r="M105" s="470" t="s">
        <v>103</v>
      </c>
      <c r="N105" s="471">
        <f t="shared" ref="N105:N110" si="28">0.5*(MAX(K105:M105)-MIN(K105:M105))</f>
        <v>1.5500000000000003</v>
      </c>
      <c r="P105" s="467">
        <v>2</v>
      </c>
      <c r="Q105" s="468">
        <v>800</v>
      </c>
      <c r="R105" s="470" t="s">
        <v>103</v>
      </c>
      <c r="S105" s="470" t="s">
        <v>103</v>
      </c>
      <c r="T105" s="470" t="s">
        <v>103</v>
      </c>
      <c r="U105" s="471">
        <f t="shared" ref="U105:U110" si="29">0.5*(MAX(R105:T105)-MIN(R105:T105))</f>
        <v>0</v>
      </c>
    </row>
    <row r="106" spans="1:28" x14ac:dyDescent="0.2">
      <c r="A106" s="1241"/>
      <c r="B106" s="467">
        <v>3</v>
      </c>
      <c r="C106" s="468">
        <v>25</v>
      </c>
      <c r="D106" s="470">
        <v>0.1</v>
      </c>
      <c r="E106" s="470">
        <v>-0.5</v>
      </c>
      <c r="F106" s="470" t="s">
        <v>103</v>
      </c>
      <c r="G106" s="471">
        <f t="shared" si="27"/>
        <v>0.3</v>
      </c>
      <c r="I106" s="467">
        <v>3</v>
      </c>
      <c r="J106" s="468">
        <v>50</v>
      </c>
      <c r="K106" s="470">
        <v>-3.1</v>
      </c>
      <c r="L106" s="470">
        <v>-6.1</v>
      </c>
      <c r="M106" s="470" t="s">
        <v>103</v>
      </c>
      <c r="N106" s="471">
        <f t="shared" si="28"/>
        <v>1.4999999999999998</v>
      </c>
      <c r="P106" s="467">
        <v>3</v>
      </c>
      <c r="Q106" s="468">
        <v>850</v>
      </c>
      <c r="R106" s="470" t="s">
        <v>103</v>
      </c>
      <c r="S106" s="470" t="s">
        <v>103</v>
      </c>
      <c r="T106" s="470" t="s">
        <v>103</v>
      </c>
      <c r="U106" s="471">
        <f t="shared" si="29"/>
        <v>0</v>
      </c>
    </row>
    <row r="107" spans="1:28" x14ac:dyDescent="0.2">
      <c r="A107" s="1241"/>
      <c r="B107" s="467">
        <v>4</v>
      </c>
      <c r="C107" s="469">
        <v>30</v>
      </c>
      <c r="D107" s="473">
        <v>0.1</v>
      </c>
      <c r="E107" s="472">
        <v>0.2</v>
      </c>
      <c r="F107" s="470" t="s">
        <v>103</v>
      </c>
      <c r="G107" s="471">
        <f t="shared" si="27"/>
        <v>0.05</v>
      </c>
      <c r="I107" s="467">
        <v>4</v>
      </c>
      <c r="J107" s="469">
        <v>60</v>
      </c>
      <c r="K107" s="473">
        <v>-2.1</v>
      </c>
      <c r="L107" s="472">
        <v>-5.6</v>
      </c>
      <c r="M107" s="470" t="s">
        <v>103</v>
      </c>
      <c r="N107" s="471">
        <f t="shared" si="28"/>
        <v>1.7499999999999998</v>
      </c>
      <c r="P107" s="467">
        <v>4</v>
      </c>
      <c r="Q107" s="469">
        <v>900</v>
      </c>
      <c r="R107" s="473" t="s">
        <v>103</v>
      </c>
      <c r="S107" s="472" t="s">
        <v>103</v>
      </c>
      <c r="T107" s="470" t="s">
        <v>103</v>
      </c>
      <c r="U107" s="471">
        <f t="shared" si="29"/>
        <v>0</v>
      </c>
    </row>
    <row r="108" spans="1:28" x14ac:dyDescent="0.2">
      <c r="A108" s="1241"/>
      <c r="B108" s="467">
        <v>5</v>
      </c>
      <c r="C108" s="469">
        <v>35</v>
      </c>
      <c r="D108" s="473">
        <v>0.2</v>
      </c>
      <c r="E108" s="472">
        <v>0.8</v>
      </c>
      <c r="F108" s="470" t="s">
        <v>103</v>
      </c>
      <c r="G108" s="471">
        <f t="shared" si="27"/>
        <v>0.30000000000000004</v>
      </c>
      <c r="I108" s="467">
        <v>5</v>
      </c>
      <c r="J108" s="469">
        <v>70</v>
      </c>
      <c r="K108" s="473">
        <v>-0.3</v>
      </c>
      <c r="L108" s="472">
        <v>-5.0999999999999996</v>
      </c>
      <c r="M108" s="470" t="s">
        <v>103</v>
      </c>
      <c r="N108" s="471">
        <f t="shared" si="28"/>
        <v>2.4</v>
      </c>
      <c r="P108" s="467">
        <v>5</v>
      </c>
      <c r="Q108" s="469">
        <v>1000</v>
      </c>
      <c r="R108" s="473" t="s">
        <v>103</v>
      </c>
      <c r="S108" s="472" t="s">
        <v>103</v>
      </c>
      <c r="T108" s="470" t="s">
        <v>103</v>
      </c>
      <c r="U108" s="471">
        <f t="shared" si="29"/>
        <v>0</v>
      </c>
    </row>
    <row r="109" spans="1:28" x14ac:dyDescent="0.2">
      <c r="A109" s="1241"/>
      <c r="B109" s="467">
        <v>6</v>
      </c>
      <c r="C109" s="469">
        <v>37</v>
      </c>
      <c r="D109" s="473">
        <v>0.2</v>
      </c>
      <c r="E109" s="472">
        <v>0.4</v>
      </c>
      <c r="F109" s="470" t="s">
        <v>103</v>
      </c>
      <c r="G109" s="471">
        <f t="shared" si="27"/>
        <v>0.1</v>
      </c>
      <c r="I109" s="467">
        <v>6</v>
      </c>
      <c r="J109" s="469">
        <v>80</v>
      </c>
      <c r="K109" s="473">
        <v>2.2000000000000002</v>
      </c>
      <c r="L109" s="472">
        <v>-4.7</v>
      </c>
      <c r="M109" s="470" t="s">
        <v>103</v>
      </c>
      <c r="N109" s="471">
        <f t="shared" si="28"/>
        <v>3.45</v>
      </c>
      <c r="P109" s="467">
        <v>6</v>
      </c>
      <c r="Q109" s="469">
        <v>1005</v>
      </c>
      <c r="R109" s="473" t="s">
        <v>103</v>
      </c>
      <c r="S109" s="472" t="s">
        <v>103</v>
      </c>
      <c r="T109" s="470" t="s">
        <v>103</v>
      </c>
      <c r="U109" s="471">
        <f t="shared" si="29"/>
        <v>0</v>
      </c>
    </row>
    <row r="110" spans="1:28" x14ac:dyDescent="0.2">
      <c r="A110" s="1241"/>
      <c r="B110" s="467">
        <v>7</v>
      </c>
      <c r="C110" s="469">
        <v>40</v>
      </c>
      <c r="D110" s="473">
        <v>0.2</v>
      </c>
      <c r="E110" s="472">
        <v>9.9999999999999995E-7</v>
      </c>
      <c r="F110" s="470" t="s">
        <v>103</v>
      </c>
      <c r="G110" s="471">
        <f t="shared" si="27"/>
        <v>9.9999500000000005E-2</v>
      </c>
      <c r="I110" s="467">
        <v>7</v>
      </c>
      <c r="J110" s="469">
        <v>90</v>
      </c>
      <c r="K110" s="473">
        <v>5.4</v>
      </c>
      <c r="L110" s="472">
        <v>9.9999999999999995E-7</v>
      </c>
      <c r="M110" s="470" t="s">
        <v>103</v>
      </c>
      <c r="N110" s="471">
        <f t="shared" si="28"/>
        <v>2.6999995000000001</v>
      </c>
      <c r="P110" s="467">
        <v>7</v>
      </c>
      <c r="Q110" s="469">
        <v>1020</v>
      </c>
      <c r="R110" s="473" t="s">
        <v>103</v>
      </c>
      <c r="S110" s="472" t="s">
        <v>103</v>
      </c>
      <c r="T110" s="470" t="s">
        <v>103</v>
      </c>
      <c r="U110" s="471">
        <f t="shared" si="29"/>
        <v>0</v>
      </c>
    </row>
    <row r="111" spans="1:28" ht="13.5" thickBot="1" x14ac:dyDescent="0.25">
      <c r="A111" s="113"/>
      <c r="B111" s="114"/>
      <c r="C111" s="114"/>
      <c r="D111" s="114"/>
      <c r="E111" s="115"/>
      <c r="F111" s="114"/>
      <c r="G111" s="116"/>
      <c r="H111" s="114"/>
      <c r="I111" s="114"/>
      <c r="J111" s="114"/>
      <c r="K111" s="115"/>
      <c r="L111" s="114"/>
      <c r="M111" s="116"/>
      <c r="P111" s="110"/>
    </row>
    <row r="112" spans="1:28" x14ac:dyDescent="0.2">
      <c r="A112" s="1241">
        <v>11</v>
      </c>
      <c r="B112" s="1233" t="s">
        <v>241</v>
      </c>
      <c r="C112" s="1233"/>
      <c r="D112" s="1233"/>
      <c r="E112" s="1233"/>
      <c r="F112" s="1233"/>
      <c r="G112" s="1233"/>
      <c r="I112" s="1233" t="str">
        <f>B112</f>
        <v>KOREKSI Sekonic HE-21.000670</v>
      </c>
      <c r="J112" s="1233"/>
      <c r="K112" s="1233"/>
      <c r="L112" s="1233"/>
      <c r="M112" s="1233"/>
      <c r="N112" s="1233"/>
      <c r="P112" s="1233" t="str">
        <f>I112</f>
        <v>KOREKSI Sekonic HE-21.000670</v>
      </c>
      <c r="Q112" s="1233"/>
      <c r="R112" s="1233"/>
      <c r="S112" s="1233"/>
      <c r="T112" s="1233"/>
      <c r="U112" s="1233"/>
      <c r="W112" s="1238" t="s">
        <v>224</v>
      </c>
      <c r="X112" s="1239"/>
      <c r="AB112" s="119"/>
    </row>
    <row r="113" spans="1:24" x14ac:dyDescent="0.2">
      <c r="A113" s="1241"/>
      <c r="B113" s="1240" t="s">
        <v>225</v>
      </c>
      <c r="C113" s="1240"/>
      <c r="D113" s="1240" t="s">
        <v>226</v>
      </c>
      <c r="E113" s="1240"/>
      <c r="F113" s="1240"/>
      <c r="G113" s="1240" t="s">
        <v>227</v>
      </c>
      <c r="I113" s="1240" t="s">
        <v>228</v>
      </c>
      <c r="J113" s="1240"/>
      <c r="K113" s="1240" t="s">
        <v>226</v>
      </c>
      <c r="L113" s="1240"/>
      <c r="M113" s="1240"/>
      <c r="N113" s="1240" t="s">
        <v>227</v>
      </c>
      <c r="P113" s="1240" t="s">
        <v>229</v>
      </c>
      <c r="Q113" s="1240"/>
      <c r="R113" s="1240" t="s">
        <v>226</v>
      </c>
      <c r="S113" s="1240"/>
      <c r="T113" s="1240"/>
      <c r="U113" s="1240" t="s">
        <v>227</v>
      </c>
      <c r="W113" s="101" t="s">
        <v>225</v>
      </c>
      <c r="X113" s="102">
        <v>0.3</v>
      </c>
    </row>
    <row r="114" spans="1:24" ht="15" x14ac:dyDescent="0.2">
      <c r="A114" s="1241"/>
      <c r="B114" s="1228" t="s">
        <v>230</v>
      </c>
      <c r="C114" s="1228"/>
      <c r="D114" s="103">
        <v>2020</v>
      </c>
      <c r="E114" s="117">
        <v>2016</v>
      </c>
      <c r="F114" s="103" t="s">
        <v>103</v>
      </c>
      <c r="G114" s="1240"/>
      <c r="I114" s="1227" t="s">
        <v>16</v>
      </c>
      <c r="J114" s="1228"/>
      <c r="K114" s="118">
        <f>D114</f>
        <v>2020</v>
      </c>
      <c r="L114" s="118">
        <f>E114</f>
        <v>2016</v>
      </c>
      <c r="M114" s="118" t="str">
        <f>F114</f>
        <v>-</v>
      </c>
      <c r="N114" s="1240"/>
      <c r="P114" s="1227" t="s">
        <v>231</v>
      </c>
      <c r="Q114" s="1228"/>
      <c r="R114" s="118">
        <f>K114</f>
        <v>2020</v>
      </c>
      <c r="S114" s="118">
        <f>L114</f>
        <v>2016</v>
      </c>
      <c r="T114" s="118" t="str">
        <f>M114</f>
        <v>-</v>
      </c>
      <c r="U114" s="1240"/>
      <c r="W114" s="101" t="s">
        <v>16</v>
      </c>
      <c r="X114" s="102">
        <v>1.8</v>
      </c>
    </row>
    <row r="115" spans="1:24" ht="13.5" thickBot="1" x14ac:dyDescent="0.25">
      <c r="A115" s="1241"/>
      <c r="B115" s="467">
        <v>1</v>
      </c>
      <c r="C115" s="468">
        <v>15</v>
      </c>
      <c r="D115" s="470">
        <v>0.3</v>
      </c>
      <c r="E115" s="470">
        <v>0.3</v>
      </c>
      <c r="F115" s="470" t="s">
        <v>103</v>
      </c>
      <c r="G115" s="471">
        <f>0.5*(MAX(D115:F115)-MIN(D115:F115))</f>
        <v>0</v>
      </c>
      <c r="I115" s="467">
        <v>1</v>
      </c>
      <c r="J115" s="468">
        <v>30</v>
      </c>
      <c r="K115" s="470">
        <v>-5.2</v>
      </c>
      <c r="L115" s="470">
        <v>-6.4</v>
      </c>
      <c r="M115" s="470" t="s">
        <v>103</v>
      </c>
      <c r="N115" s="471">
        <f>0.5*(MAX(K115:M115)-MIN(K115:M115))</f>
        <v>0.60000000000000009</v>
      </c>
      <c r="P115" s="467">
        <v>1</v>
      </c>
      <c r="Q115" s="468">
        <v>750</v>
      </c>
      <c r="R115" s="470" t="s">
        <v>103</v>
      </c>
      <c r="S115" s="470" t="s">
        <v>103</v>
      </c>
      <c r="T115" s="470" t="s">
        <v>103</v>
      </c>
      <c r="U115" s="471">
        <f>0.5*(MAX(R115:T115)-MIN(R115:T115))</f>
        <v>0</v>
      </c>
      <c r="W115" s="106" t="s">
        <v>231</v>
      </c>
      <c r="X115" s="107">
        <v>0</v>
      </c>
    </row>
    <row r="116" spans="1:24" x14ac:dyDescent="0.2">
      <c r="A116" s="1241"/>
      <c r="B116" s="467">
        <v>2</v>
      </c>
      <c r="C116" s="468">
        <v>20</v>
      </c>
      <c r="D116" s="470">
        <v>0.4</v>
      </c>
      <c r="E116" s="470">
        <v>0.5</v>
      </c>
      <c r="F116" s="470" t="s">
        <v>103</v>
      </c>
      <c r="G116" s="471">
        <f t="shared" ref="G116:G121" si="30">0.5*(MAX(D116:F116)-MIN(D116:F116))</f>
        <v>4.9999999999999989E-2</v>
      </c>
      <c r="I116" s="467">
        <v>2</v>
      </c>
      <c r="J116" s="468">
        <v>40</v>
      </c>
      <c r="K116" s="470">
        <v>-5.5</v>
      </c>
      <c r="L116" s="470">
        <v>-5.9</v>
      </c>
      <c r="M116" s="470" t="s">
        <v>103</v>
      </c>
      <c r="N116" s="471">
        <f t="shared" ref="N116:N121" si="31">0.5*(MAX(K116:M116)-MIN(K116:M116))</f>
        <v>0.20000000000000018</v>
      </c>
      <c r="P116" s="467">
        <v>2</v>
      </c>
      <c r="Q116" s="468">
        <v>800</v>
      </c>
      <c r="R116" s="470" t="s">
        <v>103</v>
      </c>
      <c r="S116" s="470" t="s">
        <v>103</v>
      </c>
      <c r="T116" s="470" t="s">
        <v>103</v>
      </c>
      <c r="U116" s="471">
        <f t="shared" ref="U116:U121" si="32">0.5*(MAX(R116:T116)-MIN(R116:T116))</f>
        <v>0</v>
      </c>
    </row>
    <row r="117" spans="1:24" x14ac:dyDescent="0.2">
      <c r="A117" s="1241"/>
      <c r="B117" s="467">
        <v>3</v>
      </c>
      <c r="C117" s="468">
        <v>25</v>
      </c>
      <c r="D117" s="470">
        <v>0.4</v>
      </c>
      <c r="E117" s="470">
        <v>0.5</v>
      </c>
      <c r="F117" s="470" t="s">
        <v>103</v>
      </c>
      <c r="G117" s="471">
        <f t="shared" si="30"/>
        <v>4.9999999999999989E-2</v>
      </c>
      <c r="I117" s="467">
        <v>3</v>
      </c>
      <c r="J117" s="468">
        <v>50</v>
      </c>
      <c r="K117" s="470">
        <v>-5.5</v>
      </c>
      <c r="L117" s="470">
        <v>-5.6</v>
      </c>
      <c r="M117" s="470" t="s">
        <v>103</v>
      </c>
      <c r="N117" s="471">
        <f t="shared" si="31"/>
        <v>4.9999999999999822E-2</v>
      </c>
      <c r="P117" s="467">
        <v>3</v>
      </c>
      <c r="Q117" s="468">
        <v>850</v>
      </c>
      <c r="R117" s="470" t="s">
        <v>103</v>
      </c>
      <c r="S117" s="470" t="s">
        <v>103</v>
      </c>
      <c r="T117" s="470" t="s">
        <v>103</v>
      </c>
      <c r="U117" s="471">
        <f t="shared" si="32"/>
        <v>0</v>
      </c>
    </row>
    <row r="118" spans="1:24" x14ac:dyDescent="0.2">
      <c r="A118" s="1241"/>
      <c r="B118" s="467">
        <v>4</v>
      </c>
      <c r="C118" s="469">
        <v>30</v>
      </c>
      <c r="D118" s="473">
        <v>0.5</v>
      </c>
      <c r="E118" s="472">
        <v>0.4</v>
      </c>
      <c r="F118" s="470" t="s">
        <v>103</v>
      </c>
      <c r="G118" s="471">
        <f t="shared" si="30"/>
        <v>4.9999999999999989E-2</v>
      </c>
      <c r="I118" s="467">
        <v>4</v>
      </c>
      <c r="J118" s="469">
        <v>60</v>
      </c>
      <c r="K118" s="473">
        <v>-4.8</v>
      </c>
      <c r="L118" s="472">
        <v>-4.5</v>
      </c>
      <c r="M118" s="470" t="s">
        <v>103</v>
      </c>
      <c r="N118" s="471">
        <f t="shared" si="31"/>
        <v>0.14999999999999991</v>
      </c>
      <c r="P118" s="467">
        <v>4</v>
      </c>
      <c r="Q118" s="469">
        <v>900</v>
      </c>
      <c r="R118" s="473" t="s">
        <v>103</v>
      </c>
      <c r="S118" s="472" t="s">
        <v>103</v>
      </c>
      <c r="T118" s="470" t="s">
        <v>103</v>
      </c>
      <c r="U118" s="471">
        <f t="shared" si="32"/>
        <v>0</v>
      </c>
    </row>
    <row r="119" spans="1:24" x14ac:dyDescent="0.2">
      <c r="A119" s="1241"/>
      <c r="B119" s="467">
        <v>5</v>
      </c>
      <c r="C119" s="469">
        <v>35</v>
      </c>
      <c r="D119" s="473">
        <v>0.5</v>
      </c>
      <c r="E119" s="472">
        <v>0.4</v>
      </c>
      <c r="F119" s="470" t="s">
        <v>103</v>
      </c>
      <c r="G119" s="471">
        <f t="shared" si="30"/>
        <v>4.9999999999999989E-2</v>
      </c>
      <c r="I119" s="467">
        <v>5</v>
      </c>
      <c r="J119" s="469">
        <v>70</v>
      </c>
      <c r="K119" s="473">
        <v>-3.4</v>
      </c>
      <c r="L119" s="472">
        <v>-1.7</v>
      </c>
      <c r="M119" s="470" t="s">
        <v>103</v>
      </c>
      <c r="N119" s="471">
        <f t="shared" si="31"/>
        <v>0.85</v>
      </c>
      <c r="P119" s="467">
        <v>5</v>
      </c>
      <c r="Q119" s="469">
        <v>1000</v>
      </c>
      <c r="R119" s="473" t="s">
        <v>103</v>
      </c>
      <c r="S119" s="472" t="s">
        <v>103</v>
      </c>
      <c r="T119" s="470" t="s">
        <v>103</v>
      </c>
      <c r="U119" s="471">
        <f t="shared" si="32"/>
        <v>0</v>
      </c>
    </row>
    <row r="120" spans="1:24" x14ac:dyDescent="0.2">
      <c r="A120" s="1241"/>
      <c r="B120" s="467">
        <v>6</v>
      </c>
      <c r="C120" s="469">
        <v>37</v>
      </c>
      <c r="D120" s="473">
        <v>0.5</v>
      </c>
      <c r="E120" s="472">
        <v>0.5</v>
      </c>
      <c r="F120" s="470" t="s">
        <v>103</v>
      </c>
      <c r="G120" s="471">
        <f t="shared" si="30"/>
        <v>0</v>
      </c>
      <c r="I120" s="467">
        <v>6</v>
      </c>
      <c r="J120" s="469">
        <v>80</v>
      </c>
      <c r="K120" s="473">
        <v>-1.4</v>
      </c>
      <c r="L120" s="472">
        <v>2.6</v>
      </c>
      <c r="M120" s="470" t="s">
        <v>103</v>
      </c>
      <c r="N120" s="471">
        <f t="shared" si="31"/>
        <v>2</v>
      </c>
      <c r="P120" s="467">
        <v>6</v>
      </c>
      <c r="Q120" s="469">
        <v>1005</v>
      </c>
      <c r="R120" s="473" t="s">
        <v>103</v>
      </c>
      <c r="S120" s="472" t="s">
        <v>103</v>
      </c>
      <c r="T120" s="470" t="s">
        <v>103</v>
      </c>
      <c r="U120" s="471">
        <f t="shared" si="32"/>
        <v>0</v>
      </c>
    </row>
    <row r="121" spans="1:24" x14ac:dyDescent="0.2">
      <c r="A121" s="1241"/>
      <c r="B121" s="467">
        <v>7</v>
      </c>
      <c r="C121" s="469">
        <v>40</v>
      </c>
      <c r="D121" s="473">
        <v>0.5</v>
      </c>
      <c r="E121" s="472">
        <v>9.9999999999999995E-7</v>
      </c>
      <c r="F121" s="470" t="s">
        <v>103</v>
      </c>
      <c r="G121" s="471">
        <f t="shared" si="30"/>
        <v>0.24999950000000001</v>
      </c>
      <c r="I121" s="467">
        <v>7</v>
      </c>
      <c r="J121" s="469">
        <v>90</v>
      </c>
      <c r="K121" s="473">
        <v>1.3</v>
      </c>
      <c r="L121" s="472">
        <v>9.9999999999999995E-7</v>
      </c>
      <c r="M121" s="470" t="s">
        <v>103</v>
      </c>
      <c r="N121" s="471">
        <f t="shared" si="31"/>
        <v>0.64999950000000006</v>
      </c>
      <c r="P121" s="467">
        <v>7</v>
      </c>
      <c r="Q121" s="469">
        <v>1020</v>
      </c>
      <c r="R121" s="473" t="s">
        <v>103</v>
      </c>
      <c r="S121" s="472" t="s">
        <v>103</v>
      </c>
      <c r="T121" s="470" t="s">
        <v>103</v>
      </c>
      <c r="U121" s="471">
        <f t="shared" si="32"/>
        <v>0</v>
      </c>
    </row>
    <row r="122" spans="1:24" ht="13.5" thickBot="1" x14ac:dyDescent="0.25">
      <c r="A122" s="113"/>
      <c r="B122" s="114"/>
      <c r="C122" s="114"/>
      <c r="D122" s="114"/>
      <c r="E122" s="115"/>
      <c r="F122" s="114"/>
      <c r="G122" s="116"/>
      <c r="I122" s="114"/>
      <c r="J122" s="114"/>
      <c r="K122" s="114"/>
      <c r="L122" s="115"/>
      <c r="M122" s="114"/>
      <c r="R122" s="110"/>
    </row>
    <row r="123" spans="1:24" x14ac:dyDescent="0.2">
      <c r="A123" s="1241">
        <v>12</v>
      </c>
      <c r="B123" s="1233" t="s">
        <v>242</v>
      </c>
      <c r="C123" s="1233"/>
      <c r="D123" s="1233"/>
      <c r="E123" s="1233"/>
      <c r="F123" s="1233"/>
      <c r="G123" s="1233"/>
      <c r="I123" s="1233" t="str">
        <f>B123</f>
        <v>KOREKSI EXTECH A.100586</v>
      </c>
      <c r="J123" s="1233"/>
      <c r="K123" s="1233"/>
      <c r="L123" s="1233"/>
      <c r="M123" s="1233"/>
      <c r="N123" s="1233"/>
      <c r="P123" s="1233" t="str">
        <f>I123</f>
        <v>KOREKSI EXTECH A.100586</v>
      </c>
      <c r="Q123" s="1233"/>
      <c r="R123" s="1233"/>
      <c r="S123" s="1233"/>
      <c r="T123" s="1233"/>
      <c r="U123" s="1233"/>
      <c r="W123" s="1238" t="s">
        <v>224</v>
      </c>
      <c r="X123" s="1239"/>
    </row>
    <row r="124" spans="1:24" x14ac:dyDescent="0.2">
      <c r="A124" s="1241"/>
      <c r="B124" s="1240" t="s">
        <v>225</v>
      </c>
      <c r="C124" s="1240"/>
      <c r="D124" s="1240" t="s">
        <v>226</v>
      </c>
      <c r="E124" s="1240"/>
      <c r="F124" s="1240"/>
      <c r="G124" s="1240" t="s">
        <v>227</v>
      </c>
      <c r="I124" s="1240" t="s">
        <v>228</v>
      </c>
      <c r="J124" s="1240"/>
      <c r="K124" s="1240" t="s">
        <v>226</v>
      </c>
      <c r="L124" s="1240"/>
      <c r="M124" s="1240"/>
      <c r="N124" s="1240" t="s">
        <v>227</v>
      </c>
      <c r="P124" s="1240" t="s">
        <v>229</v>
      </c>
      <c r="Q124" s="1240"/>
      <c r="R124" s="1240" t="s">
        <v>226</v>
      </c>
      <c r="S124" s="1240"/>
      <c r="T124" s="1240"/>
      <c r="U124" s="1240" t="s">
        <v>227</v>
      </c>
      <c r="W124" s="101" t="s">
        <v>225</v>
      </c>
      <c r="X124" s="102">
        <v>0.3</v>
      </c>
    </row>
    <row r="125" spans="1:24" ht="15" x14ac:dyDescent="0.2">
      <c r="A125" s="1241"/>
      <c r="B125" s="1228" t="s">
        <v>230</v>
      </c>
      <c r="C125" s="1228"/>
      <c r="D125" s="103">
        <v>2020</v>
      </c>
      <c r="E125" s="117" t="s">
        <v>103</v>
      </c>
      <c r="F125" s="103" t="s">
        <v>103</v>
      </c>
      <c r="G125" s="1240"/>
      <c r="I125" s="1227" t="s">
        <v>16</v>
      </c>
      <c r="J125" s="1228"/>
      <c r="K125" s="118">
        <f>D125</f>
        <v>2020</v>
      </c>
      <c r="L125" s="118" t="str">
        <f>E125</f>
        <v>-</v>
      </c>
      <c r="M125" s="118" t="str">
        <f>F125</f>
        <v>-</v>
      </c>
      <c r="N125" s="1240"/>
      <c r="P125" s="1227" t="s">
        <v>231</v>
      </c>
      <c r="Q125" s="1228"/>
      <c r="R125" s="118">
        <f>K125</f>
        <v>2020</v>
      </c>
      <c r="S125" s="118" t="str">
        <f>L125</f>
        <v>-</v>
      </c>
      <c r="T125" s="118" t="str">
        <f>M125</f>
        <v>-</v>
      </c>
      <c r="U125" s="1240"/>
      <c r="W125" s="101" t="s">
        <v>16</v>
      </c>
      <c r="X125" s="102">
        <v>2</v>
      </c>
    </row>
    <row r="126" spans="1:24" ht="13.5" thickBot="1" x14ac:dyDescent="0.25">
      <c r="A126" s="1241"/>
      <c r="B126" s="467">
        <v>1</v>
      </c>
      <c r="C126" s="468">
        <v>15</v>
      </c>
      <c r="D126" s="470">
        <v>9.9999999999999995E-7</v>
      </c>
      <c r="E126" s="470" t="s">
        <v>103</v>
      </c>
      <c r="F126" s="470" t="s">
        <v>103</v>
      </c>
      <c r="G126" s="471">
        <f>0.5*(MAX(D126:F126)-MIN(D126:F126))</f>
        <v>0</v>
      </c>
      <c r="I126" s="467">
        <v>1</v>
      </c>
      <c r="J126" s="468">
        <v>30</v>
      </c>
      <c r="K126" s="470">
        <v>-0.4</v>
      </c>
      <c r="L126" s="470" t="s">
        <v>103</v>
      </c>
      <c r="M126" s="470" t="s">
        <v>103</v>
      </c>
      <c r="N126" s="471">
        <f>0.5*(MAX(K126:M126)-MIN(K126:M126))</f>
        <v>0</v>
      </c>
      <c r="P126" s="467">
        <v>1</v>
      </c>
      <c r="Q126" s="468">
        <v>800</v>
      </c>
      <c r="R126" s="470">
        <v>-0.4</v>
      </c>
      <c r="S126" s="470" t="s">
        <v>103</v>
      </c>
      <c r="T126" s="470" t="s">
        <v>103</v>
      </c>
      <c r="U126" s="471">
        <f>0.5*(MAX(R126:T126)-MIN(R126:T126))</f>
        <v>0</v>
      </c>
      <c r="W126" s="106" t="s">
        <v>231</v>
      </c>
      <c r="X126" s="107">
        <v>2.4</v>
      </c>
    </row>
    <row r="127" spans="1:24" x14ac:dyDescent="0.2">
      <c r="A127" s="1241"/>
      <c r="B127" s="467">
        <v>2</v>
      </c>
      <c r="C127" s="468">
        <v>20</v>
      </c>
      <c r="D127" s="470">
        <v>9.9999999999999995E-7</v>
      </c>
      <c r="E127" s="470" t="s">
        <v>103</v>
      </c>
      <c r="F127" s="470" t="s">
        <v>103</v>
      </c>
      <c r="G127" s="471">
        <f t="shared" ref="G127:G132" si="33">0.5*(MAX(D127:F127)-MIN(D127:F127))</f>
        <v>0</v>
      </c>
      <c r="I127" s="467">
        <v>2</v>
      </c>
      <c r="J127" s="468">
        <v>40</v>
      </c>
      <c r="K127" s="470">
        <v>-0.1</v>
      </c>
      <c r="L127" s="470" t="s">
        <v>103</v>
      </c>
      <c r="M127" s="470" t="s">
        <v>103</v>
      </c>
      <c r="N127" s="471">
        <f t="shared" ref="N127:N132" si="34">0.5*(MAX(K127:M127)-MIN(K127:M127))</f>
        <v>0</v>
      </c>
      <c r="P127" s="467">
        <v>2</v>
      </c>
      <c r="Q127" s="468">
        <v>850</v>
      </c>
      <c r="R127" s="470">
        <v>-0.5</v>
      </c>
      <c r="S127" s="470" t="s">
        <v>103</v>
      </c>
      <c r="T127" s="470" t="s">
        <v>103</v>
      </c>
      <c r="U127" s="471">
        <f t="shared" ref="U127:U132" si="35">0.5*(MAX(R127:T127)-MIN(R127:T127))</f>
        <v>0</v>
      </c>
    </row>
    <row r="128" spans="1:24" x14ac:dyDescent="0.2">
      <c r="A128" s="1241"/>
      <c r="B128" s="467">
        <v>3</v>
      </c>
      <c r="C128" s="468">
        <v>25</v>
      </c>
      <c r="D128" s="470">
        <v>9.9999999999999995E-7</v>
      </c>
      <c r="E128" s="470" t="s">
        <v>103</v>
      </c>
      <c r="F128" s="470" t="s">
        <v>103</v>
      </c>
      <c r="G128" s="471">
        <f t="shared" si="33"/>
        <v>0</v>
      </c>
      <c r="I128" s="467">
        <v>3</v>
      </c>
      <c r="J128" s="468">
        <v>50</v>
      </c>
      <c r="K128" s="470">
        <v>9.9999999999999995E-7</v>
      </c>
      <c r="L128" s="470" t="s">
        <v>103</v>
      </c>
      <c r="M128" s="470" t="s">
        <v>103</v>
      </c>
      <c r="N128" s="471">
        <f t="shared" si="34"/>
        <v>0</v>
      </c>
      <c r="P128" s="467">
        <v>3</v>
      </c>
      <c r="Q128" s="468">
        <v>900</v>
      </c>
      <c r="R128" s="470">
        <v>-0.6</v>
      </c>
      <c r="S128" s="470" t="s">
        <v>103</v>
      </c>
      <c r="T128" s="470" t="s">
        <v>103</v>
      </c>
      <c r="U128" s="471">
        <f t="shared" si="35"/>
        <v>0</v>
      </c>
    </row>
    <row r="129" spans="1:24" x14ac:dyDescent="0.2">
      <c r="A129" s="1241"/>
      <c r="B129" s="467">
        <v>4</v>
      </c>
      <c r="C129" s="469">
        <v>30</v>
      </c>
      <c r="D129" s="473">
        <v>-0.1</v>
      </c>
      <c r="E129" s="472" t="s">
        <v>103</v>
      </c>
      <c r="F129" s="470" t="s">
        <v>103</v>
      </c>
      <c r="G129" s="471">
        <f t="shared" si="33"/>
        <v>0</v>
      </c>
      <c r="I129" s="467">
        <v>4</v>
      </c>
      <c r="J129" s="469">
        <v>60</v>
      </c>
      <c r="K129" s="473">
        <v>9.9999999999999995E-7</v>
      </c>
      <c r="L129" s="472" t="s">
        <v>103</v>
      </c>
      <c r="M129" s="470" t="s">
        <v>103</v>
      </c>
      <c r="N129" s="471">
        <f t="shared" si="34"/>
        <v>0</v>
      </c>
      <c r="P129" s="467">
        <v>4</v>
      </c>
      <c r="Q129" s="469">
        <v>950</v>
      </c>
      <c r="R129" s="473">
        <v>-0.7</v>
      </c>
      <c r="S129" s="472" t="s">
        <v>103</v>
      </c>
      <c r="T129" s="470" t="s">
        <v>103</v>
      </c>
      <c r="U129" s="471">
        <f t="shared" si="35"/>
        <v>0</v>
      </c>
    </row>
    <row r="130" spans="1:24" x14ac:dyDescent="0.2">
      <c r="A130" s="1241"/>
      <c r="B130" s="467">
        <v>5</v>
      </c>
      <c r="C130" s="469">
        <v>35</v>
      </c>
      <c r="D130" s="473">
        <v>-0.2</v>
      </c>
      <c r="E130" s="472" t="s">
        <v>103</v>
      </c>
      <c r="F130" s="470" t="s">
        <v>103</v>
      </c>
      <c r="G130" s="471">
        <f t="shared" si="33"/>
        <v>0</v>
      </c>
      <c r="I130" s="467">
        <v>5</v>
      </c>
      <c r="J130" s="469">
        <v>70</v>
      </c>
      <c r="K130" s="473">
        <v>-0.1</v>
      </c>
      <c r="L130" s="472" t="s">
        <v>103</v>
      </c>
      <c r="M130" s="470" t="s">
        <v>103</v>
      </c>
      <c r="N130" s="471">
        <f t="shared" si="34"/>
        <v>0</v>
      </c>
      <c r="P130" s="467">
        <v>5</v>
      </c>
      <c r="Q130" s="469">
        <v>1000</v>
      </c>
      <c r="R130" s="473">
        <v>-0.8</v>
      </c>
      <c r="S130" s="472" t="s">
        <v>103</v>
      </c>
      <c r="T130" s="470" t="s">
        <v>103</v>
      </c>
      <c r="U130" s="471">
        <f t="shared" si="35"/>
        <v>0</v>
      </c>
    </row>
    <row r="131" spans="1:24" x14ac:dyDescent="0.2">
      <c r="A131" s="1241"/>
      <c r="B131" s="467">
        <v>6</v>
      </c>
      <c r="C131" s="469">
        <v>37</v>
      </c>
      <c r="D131" s="473">
        <v>-0.3</v>
      </c>
      <c r="E131" s="472" t="s">
        <v>103</v>
      </c>
      <c r="F131" s="470" t="s">
        <v>103</v>
      </c>
      <c r="G131" s="471">
        <f t="shared" si="33"/>
        <v>0</v>
      </c>
      <c r="I131" s="467">
        <v>6</v>
      </c>
      <c r="J131" s="469">
        <v>80</v>
      </c>
      <c r="K131" s="473">
        <v>-0.5</v>
      </c>
      <c r="L131" s="472" t="s">
        <v>103</v>
      </c>
      <c r="M131" s="470" t="s">
        <v>103</v>
      </c>
      <c r="N131" s="471">
        <f t="shared" si="34"/>
        <v>0</v>
      </c>
      <c r="P131" s="467">
        <v>6</v>
      </c>
      <c r="Q131" s="469">
        <v>1005</v>
      </c>
      <c r="R131" s="473">
        <v>-0.8</v>
      </c>
      <c r="S131" s="472" t="s">
        <v>103</v>
      </c>
      <c r="T131" s="470" t="s">
        <v>103</v>
      </c>
      <c r="U131" s="471">
        <f t="shared" si="35"/>
        <v>0</v>
      </c>
    </row>
    <row r="132" spans="1:24" x14ac:dyDescent="0.2">
      <c r="A132" s="1241"/>
      <c r="B132" s="467">
        <v>7</v>
      </c>
      <c r="C132" s="469">
        <v>40</v>
      </c>
      <c r="D132" s="473">
        <v>-0.4</v>
      </c>
      <c r="E132" s="472" t="s">
        <v>103</v>
      </c>
      <c r="F132" s="470" t="s">
        <v>103</v>
      </c>
      <c r="G132" s="471">
        <f t="shared" si="33"/>
        <v>0</v>
      </c>
      <c r="I132" s="467">
        <v>7</v>
      </c>
      <c r="J132" s="469">
        <v>90</v>
      </c>
      <c r="K132" s="473">
        <v>-0.9</v>
      </c>
      <c r="L132" s="472" t="s">
        <v>103</v>
      </c>
      <c r="M132" s="470" t="s">
        <v>103</v>
      </c>
      <c r="N132" s="471">
        <f t="shared" si="34"/>
        <v>0</v>
      </c>
      <c r="P132" s="467">
        <v>7</v>
      </c>
      <c r="Q132" s="469">
        <v>1020</v>
      </c>
      <c r="R132" s="473">
        <v>9.9999999999999995E-7</v>
      </c>
      <c r="S132" s="472" t="s">
        <v>103</v>
      </c>
      <c r="T132" s="470" t="s">
        <v>103</v>
      </c>
      <c r="U132" s="471">
        <f t="shared" si="35"/>
        <v>0</v>
      </c>
    </row>
    <row r="133" spans="1:24" ht="13.5" thickBot="1" x14ac:dyDescent="0.25">
      <c r="A133" s="120"/>
      <c r="C133" s="112"/>
      <c r="D133" s="112"/>
      <c r="E133" s="121"/>
      <c r="F133" s="112"/>
      <c r="I133" s="112"/>
      <c r="J133" s="112"/>
      <c r="K133" s="121"/>
      <c r="L133" s="112"/>
      <c r="O133" s="112"/>
      <c r="P133" s="121"/>
      <c r="Q133" s="121"/>
      <c r="R133" s="112"/>
    </row>
    <row r="134" spans="1:24" x14ac:dyDescent="0.2">
      <c r="A134" s="1241">
        <v>13</v>
      </c>
      <c r="B134" s="1233" t="s">
        <v>243</v>
      </c>
      <c r="C134" s="1233"/>
      <c r="D134" s="1233"/>
      <c r="E134" s="1233"/>
      <c r="F134" s="1233"/>
      <c r="G134" s="1233"/>
      <c r="I134" s="1233" t="str">
        <f>B134</f>
        <v>KOREKSI EXTECH A.100605</v>
      </c>
      <c r="J134" s="1233"/>
      <c r="K134" s="1233"/>
      <c r="L134" s="1233"/>
      <c r="M134" s="1233"/>
      <c r="N134" s="1233"/>
      <c r="P134" s="1233" t="str">
        <f>I134</f>
        <v>KOREKSI EXTECH A.100605</v>
      </c>
      <c r="Q134" s="1233"/>
      <c r="R134" s="1233"/>
      <c r="S134" s="1233"/>
      <c r="T134" s="1233"/>
      <c r="U134" s="1233"/>
      <c r="W134" s="1238" t="s">
        <v>224</v>
      </c>
      <c r="X134" s="1239"/>
    </row>
    <row r="135" spans="1:24" x14ac:dyDescent="0.2">
      <c r="A135" s="1241"/>
      <c r="B135" s="1240" t="s">
        <v>225</v>
      </c>
      <c r="C135" s="1240"/>
      <c r="D135" s="1240" t="s">
        <v>226</v>
      </c>
      <c r="E135" s="1240"/>
      <c r="F135" s="1240"/>
      <c r="G135" s="1240" t="s">
        <v>227</v>
      </c>
      <c r="I135" s="1240" t="s">
        <v>228</v>
      </c>
      <c r="J135" s="1240"/>
      <c r="K135" s="1240" t="s">
        <v>226</v>
      </c>
      <c r="L135" s="1240"/>
      <c r="M135" s="1240"/>
      <c r="N135" s="1240" t="s">
        <v>227</v>
      </c>
      <c r="P135" s="1240" t="s">
        <v>229</v>
      </c>
      <c r="Q135" s="1240"/>
      <c r="R135" s="1240" t="s">
        <v>226</v>
      </c>
      <c r="S135" s="1240"/>
      <c r="T135" s="1240"/>
      <c r="U135" s="1240" t="s">
        <v>227</v>
      </c>
      <c r="W135" s="101" t="s">
        <v>225</v>
      </c>
      <c r="X135" s="102">
        <v>0.5</v>
      </c>
    </row>
    <row r="136" spans="1:24" ht="15" x14ac:dyDescent="0.2">
      <c r="A136" s="1241"/>
      <c r="B136" s="1228" t="s">
        <v>230</v>
      </c>
      <c r="C136" s="1228"/>
      <c r="D136" s="103">
        <v>2022</v>
      </c>
      <c r="E136" s="103">
        <v>2020</v>
      </c>
      <c r="F136" s="103" t="s">
        <v>103</v>
      </c>
      <c r="G136" s="1240"/>
      <c r="I136" s="1227" t="s">
        <v>16</v>
      </c>
      <c r="J136" s="1228"/>
      <c r="K136" s="118">
        <f>D136</f>
        <v>2022</v>
      </c>
      <c r="L136" s="118">
        <f>E136</f>
        <v>2020</v>
      </c>
      <c r="M136" s="118" t="str">
        <f>F136</f>
        <v>-</v>
      </c>
      <c r="N136" s="1240"/>
      <c r="P136" s="1227" t="s">
        <v>231</v>
      </c>
      <c r="Q136" s="1228"/>
      <c r="R136" s="118">
        <f>K136</f>
        <v>2022</v>
      </c>
      <c r="S136" s="118">
        <f>L136</f>
        <v>2020</v>
      </c>
      <c r="T136" s="118" t="str">
        <f>M136</f>
        <v>-</v>
      </c>
      <c r="U136" s="1240"/>
      <c r="W136" s="101" t="s">
        <v>16</v>
      </c>
      <c r="X136" s="102">
        <v>2.2999999999999998</v>
      </c>
    </row>
    <row r="137" spans="1:24" ht="13.5" thickBot="1" x14ac:dyDescent="0.25">
      <c r="A137" s="1241"/>
      <c r="B137" s="467">
        <v>1</v>
      </c>
      <c r="C137" s="468">
        <v>15</v>
      </c>
      <c r="D137" s="470">
        <v>0.5</v>
      </c>
      <c r="E137" s="470">
        <v>-0.7</v>
      </c>
      <c r="F137" s="470" t="s">
        <v>103</v>
      </c>
      <c r="G137" s="471">
        <f>0.5*(MAX(D137:F137)-MIN(D137:F137))</f>
        <v>0.6</v>
      </c>
      <c r="I137" s="467">
        <v>1</v>
      </c>
      <c r="J137" s="468">
        <v>30</v>
      </c>
      <c r="K137" s="470">
        <v>-2.2000000000000002</v>
      </c>
      <c r="L137" s="470">
        <v>-1.4</v>
      </c>
      <c r="M137" s="470" t="s">
        <v>103</v>
      </c>
      <c r="N137" s="471">
        <f>0.5*(MAX(K137:M137)-MIN(K137:M137))</f>
        <v>0.40000000000000013</v>
      </c>
      <c r="P137" s="467">
        <v>1</v>
      </c>
      <c r="Q137" s="468">
        <v>985</v>
      </c>
      <c r="R137" s="470">
        <v>3.8</v>
      </c>
      <c r="S137" s="470">
        <v>0.9</v>
      </c>
      <c r="T137" s="470" t="s">
        <v>103</v>
      </c>
      <c r="U137" s="471">
        <f>0.5*(MAX(R137:T137)-MIN(R137:T137))</f>
        <v>1.45</v>
      </c>
      <c r="W137" s="106" t="s">
        <v>231</v>
      </c>
      <c r="X137" s="107">
        <v>2.4</v>
      </c>
    </row>
    <row r="138" spans="1:24" x14ac:dyDescent="0.2">
      <c r="A138" s="1241"/>
      <c r="B138" s="467">
        <v>2</v>
      </c>
      <c r="C138" s="468">
        <v>20</v>
      </c>
      <c r="D138" s="470">
        <v>0.2</v>
      </c>
      <c r="E138" s="470">
        <v>-0.4</v>
      </c>
      <c r="F138" s="470" t="s">
        <v>103</v>
      </c>
      <c r="G138" s="471">
        <f t="shared" ref="G138:G143" si="36">0.5*(MAX(D138:F138)-MIN(D138:F138))</f>
        <v>0.30000000000000004</v>
      </c>
      <c r="I138" s="467">
        <v>2</v>
      </c>
      <c r="J138" s="468">
        <v>40</v>
      </c>
      <c r="K138" s="470">
        <v>-2</v>
      </c>
      <c r="L138" s="470">
        <v>-1.3</v>
      </c>
      <c r="M138" s="470" t="s">
        <v>103</v>
      </c>
      <c r="N138" s="471">
        <f t="shared" ref="N138:N143" si="37">0.5*(MAX(K138:M138)-MIN(K138:M138))</f>
        <v>0.35</v>
      </c>
      <c r="P138" s="467">
        <v>2</v>
      </c>
      <c r="Q138" s="468">
        <v>990</v>
      </c>
      <c r="R138" s="470">
        <v>3.8</v>
      </c>
      <c r="S138" s="470">
        <v>1</v>
      </c>
      <c r="T138" s="470" t="s">
        <v>103</v>
      </c>
      <c r="U138" s="471">
        <f t="shared" ref="U138:U143" si="38">0.5*(MAX(R138:T138)-MIN(R138:T138))</f>
        <v>1.4</v>
      </c>
    </row>
    <row r="139" spans="1:24" x14ac:dyDescent="0.2">
      <c r="A139" s="1241"/>
      <c r="B139" s="467">
        <v>3</v>
      </c>
      <c r="C139" s="468">
        <v>25</v>
      </c>
      <c r="D139" s="470">
        <v>0.1</v>
      </c>
      <c r="E139" s="470">
        <v>-0.2</v>
      </c>
      <c r="F139" s="470" t="s">
        <v>103</v>
      </c>
      <c r="G139" s="471">
        <f t="shared" si="36"/>
        <v>0.15000000000000002</v>
      </c>
      <c r="I139" s="467">
        <v>3</v>
      </c>
      <c r="J139" s="468">
        <v>50</v>
      </c>
      <c r="K139" s="470">
        <v>-1.8</v>
      </c>
      <c r="L139" s="470">
        <v>-1.3</v>
      </c>
      <c r="M139" s="470" t="s">
        <v>103</v>
      </c>
      <c r="N139" s="471">
        <f t="shared" si="37"/>
        <v>0.25</v>
      </c>
      <c r="P139" s="467">
        <v>3</v>
      </c>
      <c r="Q139" s="468">
        <v>995</v>
      </c>
      <c r="R139" s="470">
        <v>3.7</v>
      </c>
      <c r="S139" s="470">
        <v>1</v>
      </c>
      <c r="T139" s="470" t="s">
        <v>103</v>
      </c>
      <c r="U139" s="471">
        <f t="shared" si="38"/>
        <v>1.35</v>
      </c>
    </row>
    <row r="140" spans="1:24" x14ac:dyDescent="0.2">
      <c r="A140" s="1241"/>
      <c r="B140" s="467">
        <v>4</v>
      </c>
      <c r="C140" s="469">
        <v>30</v>
      </c>
      <c r="D140" s="473">
        <v>-0.1</v>
      </c>
      <c r="E140" s="472">
        <v>0.1</v>
      </c>
      <c r="F140" s="470" t="s">
        <v>103</v>
      </c>
      <c r="G140" s="471">
        <f t="shared" si="36"/>
        <v>0.1</v>
      </c>
      <c r="I140" s="467">
        <v>4</v>
      </c>
      <c r="J140" s="469">
        <v>60</v>
      </c>
      <c r="K140" s="473">
        <v>-1.6</v>
      </c>
      <c r="L140" s="472">
        <v>-1.5</v>
      </c>
      <c r="M140" s="470" t="s">
        <v>103</v>
      </c>
      <c r="N140" s="471">
        <f t="shared" si="37"/>
        <v>5.0000000000000044E-2</v>
      </c>
      <c r="P140" s="467">
        <v>4</v>
      </c>
      <c r="Q140" s="469">
        <v>1000</v>
      </c>
      <c r="R140" s="473">
        <v>3.7</v>
      </c>
      <c r="S140" s="472">
        <v>1.1000000000000001</v>
      </c>
      <c r="T140" s="470" t="s">
        <v>103</v>
      </c>
      <c r="U140" s="471">
        <f t="shared" si="38"/>
        <v>1.3</v>
      </c>
    </row>
    <row r="141" spans="1:24" x14ac:dyDescent="0.2">
      <c r="A141" s="1241"/>
      <c r="B141" s="467">
        <v>5</v>
      </c>
      <c r="C141" s="469">
        <v>35</v>
      </c>
      <c r="D141" s="473">
        <v>-0.2</v>
      </c>
      <c r="E141" s="472">
        <v>0.3</v>
      </c>
      <c r="F141" s="470" t="s">
        <v>103</v>
      </c>
      <c r="G141" s="471">
        <f t="shared" si="36"/>
        <v>0.25</v>
      </c>
      <c r="I141" s="467">
        <v>5</v>
      </c>
      <c r="J141" s="469">
        <v>70</v>
      </c>
      <c r="K141" s="473">
        <v>-1.4</v>
      </c>
      <c r="L141" s="472">
        <v>-1.9</v>
      </c>
      <c r="M141" s="470" t="s">
        <v>103</v>
      </c>
      <c r="N141" s="471">
        <f t="shared" si="37"/>
        <v>0.25</v>
      </c>
      <c r="P141" s="467">
        <v>5</v>
      </c>
      <c r="Q141" s="469">
        <v>1005</v>
      </c>
      <c r="R141" s="473">
        <v>3.6</v>
      </c>
      <c r="S141" s="472">
        <v>1.1000000000000001</v>
      </c>
      <c r="T141" s="470" t="s">
        <v>103</v>
      </c>
      <c r="U141" s="471">
        <f t="shared" si="38"/>
        <v>1.25</v>
      </c>
    </row>
    <row r="142" spans="1:24" x14ac:dyDescent="0.2">
      <c r="A142" s="1241"/>
      <c r="B142" s="467">
        <v>6</v>
      </c>
      <c r="C142" s="469">
        <v>37</v>
      </c>
      <c r="D142" s="473">
        <v>-0.2</v>
      </c>
      <c r="E142" s="472">
        <v>0.4</v>
      </c>
      <c r="F142" s="470" t="s">
        <v>103</v>
      </c>
      <c r="G142" s="471">
        <f t="shared" si="36"/>
        <v>0.30000000000000004</v>
      </c>
      <c r="I142" s="467">
        <v>6</v>
      </c>
      <c r="J142" s="469">
        <v>80</v>
      </c>
      <c r="K142" s="473">
        <v>-1.2</v>
      </c>
      <c r="L142" s="472">
        <v>-2.5</v>
      </c>
      <c r="M142" s="470" t="s">
        <v>103</v>
      </c>
      <c r="N142" s="471">
        <f t="shared" si="37"/>
        <v>0.65</v>
      </c>
      <c r="P142" s="467">
        <v>6</v>
      </c>
      <c r="Q142" s="469">
        <v>1010</v>
      </c>
      <c r="R142" s="473">
        <v>3.5</v>
      </c>
      <c r="S142" s="472">
        <v>1.1000000000000001</v>
      </c>
      <c r="T142" s="470" t="s">
        <v>103</v>
      </c>
      <c r="U142" s="471">
        <f t="shared" si="38"/>
        <v>1.2</v>
      </c>
    </row>
    <row r="143" spans="1:24" x14ac:dyDescent="0.2">
      <c r="A143" s="1241"/>
      <c r="B143" s="467">
        <v>7</v>
      </c>
      <c r="C143" s="469">
        <v>40</v>
      </c>
      <c r="D143" s="473">
        <v>-0.2</v>
      </c>
      <c r="E143" s="472">
        <v>0.5</v>
      </c>
      <c r="F143" s="470" t="s">
        <v>103</v>
      </c>
      <c r="G143" s="471">
        <f t="shared" si="36"/>
        <v>0.35</v>
      </c>
      <c r="I143" s="467">
        <v>7</v>
      </c>
      <c r="J143" s="469">
        <v>90</v>
      </c>
      <c r="K143" s="473">
        <v>-1</v>
      </c>
      <c r="L143" s="472">
        <v>-3.2</v>
      </c>
      <c r="M143" s="470" t="s">
        <v>103</v>
      </c>
      <c r="N143" s="471">
        <f t="shared" si="37"/>
        <v>1.1000000000000001</v>
      </c>
      <c r="P143" s="467">
        <v>7</v>
      </c>
      <c r="Q143" s="469">
        <v>1020</v>
      </c>
      <c r="R143" s="473">
        <v>9.9999999999999995E-7</v>
      </c>
      <c r="S143" s="472">
        <v>9.9999999999999995E-7</v>
      </c>
      <c r="T143" s="470" t="s">
        <v>103</v>
      </c>
      <c r="U143" s="471">
        <f t="shared" si="38"/>
        <v>0</v>
      </c>
    </row>
    <row r="144" spans="1:24" ht="13.5" thickBot="1" x14ac:dyDescent="0.25">
      <c r="A144" s="120"/>
      <c r="C144" s="112"/>
      <c r="D144" s="112"/>
      <c r="E144" s="121"/>
      <c r="F144" s="112"/>
      <c r="J144" s="112"/>
      <c r="K144" s="112"/>
      <c r="L144" s="121"/>
      <c r="M144" s="112"/>
      <c r="Q144" s="112"/>
      <c r="R144" s="121"/>
      <c r="S144" s="121"/>
      <c r="T144" s="112"/>
    </row>
    <row r="145" spans="1:24" x14ac:dyDescent="0.2">
      <c r="A145" s="1241">
        <v>14</v>
      </c>
      <c r="B145" s="1233" t="s">
        <v>244</v>
      </c>
      <c r="C145" s="1233"/>
      <c r="D145" s="1233"/>
      <c r="E145" s="1233"/>
      <c r="F145" s="1233"/>
      <c r="G145" s="1233"/>
      <c r="I145" s="1233" t="str">
        <f>B145</f>
        <v>KOREKSI EXTECH A.100609</v>
      </c>
      <c r="J145" s="1233"/>
      <c r="K145" s="1233"/>
      <c r="L145" s="1233"/>
      <c r="M145" s="1233"/>
      <c r="N145" s="1233"/>
      <c r="P145" s="1233" t="str">
        <f>I145</f>
        <v>KOREKSI EXTECH A.100609</v>
      </c>
      <c r="Q145" s="1233"/>
      <c r="R145" s="1233"/>
      <c r="S145" s="1233"/>
      <c r="T145" s="1233"/>
      <c r="U145" s="1233"/>
      <c r="W145" s="1238" t="s">
        <v>224</v>
      </c>
      <c r="X145" s="1239"/>
    </row>
    <row r="146" spans="1:24" x14ac:dyDescent="0.2">
      <c r="A146" s="1241"/>
      <c r="B146" s="1240" t="s">
        <v>225</v>
      </c>
      <c r="C146" s="1240"/>
      <c r="D146" s="1240" t="s">
        <v>226</v>
      </c>
      <c r="E146" s="1240"/>
      <c r="F146" s="1240"/>
      <c r="G146" s="1240" t="s">
        <v>227</v>
      </c>
      <c r="I146" s="1240" t="s">
        <v>228</v>
      </c>
      <c r="J146" s="1240"/>
      <c r="K146" s="1240" t="s">
        <v>226</v>
      </c>
      <c r="L146" s="1240"/>
      <c r="M146" s="1240"/>
      <c r="N146" s="1240" t="s">
        <v>227</v>
      </c>
      <c r="P146" s="1240" t="s">
        <v>229</v>
      </c>
      <c r="Q146" s="1240"/>
      <c r="R146" s="1240" t="s">
        <v>226</v>
      </c>
      <c r="S146" s="1240"/>
      <c r="T146" s="1240"/>
      <c r="U146" s="1240" t="s">
        <v>227</v>
      </c>
      <c r="W146" s="101" t="s">
        <v>225</v>
      </c>
      <c r="X146" s="102">
        <v>0.5</v>
      </c>
    </row>
    <row r="147" spans="1:24" ht="15" x14ac:dyDescent="0.2">
      <c r="A147" s="1241"/>
      <c r="B147" s="1228" t="s">
        <v>230</v>
      </c>
      <c r="C147" s="1228"/>
      <c r="D147" s="103">
        <v>2022</v>
      </c>
      <c r="E147" s="103">
        <v>2020</v>
      </c>
      <c r="F147" s="103" t="s">
        <v>103</v>
      </c>
      <c r="G147" s="1240"/>
      <c r="I147" s="1227" t="s">
        <v>16</v>
      </c>
      <c r="J147" s="1228"/>
      <c r="K147" s="118">
        <f>D147</f>
        <v>2022</v>
      </c>
      <c r="L147" s="118">
        <f>E147</f>
        <v>2020</v>
      </c>
      <c r="M147" s="118" t="str">
        <f>F147</f>
        <v>-</v>
      </c>
      <c r="N147" s="1240"/>
      <c r="P147" s="1227" t="s">
        <v>231</v>
      </c>
      <c r="Q147" s="1228"/>
      <c r="R147" s="118">
        <f>K147</f>
        <v>2022</v>
      </c>
      <c r="S147" s="118">
        <f>L147</f>
        <v>2020</v>
      </c>
      <c r="T147" s="118" t="str">
        <f>M147</f>
        <v>-</v>
      </c>
      <c r="U147" s="1240"/>
      <c r="W147" s="101" t="s">
        <v>16</v>
      </c>
      <c r="X147" s="102">
        <v>2.7</v>
      </c>
    </row>
    <row r="148" spans="1:24" ht="13.5" thickBot="1" x14ac:dyDescent="0.25">
      <c r="A148" s="1241"/>
      <c r="B148" s="467">
        <v>1</v>
      </c>
      <c r="C148" s="468">
        <v>15</v>
      </c>
      <c r="D148" s="470">
        <v>0.5</v>
      </c>
      <c r="E148" s="470">
        <v>-0.2</v>
      </c>
      <c r="F148" s="470" t="s">
        <v>103</v>
      </c>
      <c r="G148" s="471">
        <f>0.5*(MAX(D148:F148)-MIN(D148:F148))</f>
        <v>0.35</v>
      </c>
      <c r="I148" s="467">
        <v>1</v>
      </c>
      <c r="J148" s="468">
        <v>30</v>
      </c>
      <c r="K148" s="470">
        <v>-0.8</v>
      </c>
      <c r="L148" s="470">
        <v>0.6</v>
      </c>
      <c r="M148" s="470" t="s">
        <v>103</v>
      </c>
      <c r="N148" s="471">
        <f>0.5*(MAX(K148:M148)-MIN(K148:M148))</f>
        <v>0.7</v>
      </c>
      <c r="P148" s="467">
        <v>1</v>
      </c>
      <c r="Q148" s="468">
        <v>985</v>
      </c>
      <c r="R148" s="470">
        <v>3.9</v>
      </c>
      <c r="S148" s="470">
        <v>0.9</v>
      </c>
      <c r="T148" s="470" t="s">
        <v>103</v>
      </c>
      <c r="U148" s="471">
        <f>0.5*(MAX(R148:T148)-MIN(R148:T148))</f>
        <v>1.5</v>
      </c>
      <c r="W148" s="106" t="s">
        <v>231</v>
      </c>
      <c r="X148" s="107">
        <v>2.4</v>
      </c>
    </row>
    <row r="149" spans="1:24" x14ac:dyDescent="0.2">
      <c r="A149" s="1241"/>
      <c r="B149" s="467">
        <v>2</v>
      </c>
      <c r="C149" s="468">
        <v>20</v>
      </c>
      <c r="D149" s="470">
        <v>0.2</v>
      </c>
      <c r="E149" s="470">
        <v>-0.1</v>
      </c>
      <c r="F149" s="470" t="s">
        <v>103</v>
      </c>
      <c r="G149" s="471">
        <f t="shared" ref="G149:G154" si="39">0.5*(MAX(D149:F149)-MIN(D149:F149))</f>
        <v>0.15000000000000002</v>
      </c>
      <c r="I149" s="467">
        <v>2</v>
      </c>
      <c r="J149" s="468">
        <v>40</v>
      </c>
      <c r="K149" s="470">
        <v>-0.4</v>
      </c>
      <c r="L149" s="470">
        <v>0.3</v>
      </c>
      <c r="M149" s="470" t="s">
        <v>103</v>
      </c>
      <c r="N149" s="471">
        <f t="shared" ref="N149:N154" si="40">0.5*(MAX(K149:M149)-MIN(K149:M149))</f>
        <v>0.35</v>
      </c>
      <c r="P149" s="467">
        <v>2</v>
      </c>
      <c r="Q149" s="468">
        <v>990</v>
      </c>
      <c r="R149" s="470">
        <v>3.9</v>
      </c>
      <c r="S149" s="470">
        <v>1</v>
      </c>
      <c r="T149" s="470" t="s">
        <v>103</v>
      </c>
      <c r="U149" s="471">
        <f t="shared" ref="U149:U154" si="41">0.5*(MAX(R149:T149)-MIN(R149:T149))</f>
        <v>1.45</v>
      </c>
    </row>
    <row r="150" spans="1:24" x14ac:dyDescent="0.2">
      <c r="A150" s="1241"/>
      <c r="B150" s="467">
        <v>3</v>
      </c>
      <c r="C150" s="468">
        <v>25</v>
      </c>
      <c r="D150" s="470">
        <v>-0.1</v>
      </c>
      <c r="E150" s="470">
        <v>-0.1</v>
      </c>
      <c r="F150" s="470" t="s">
        <v>103</v>
      </c>
      <c r="G150" s="471">
        <f t="shared" si="39"/>
        <v>0</v>
      </c>
      <c r="I150" s="467">
        <v>3</v>
      </c>
      <c r="J150" s="468">
        <v>50</v>
      </c>
      <c r="K150" s="470">
        <v>9.9999999999999995E-7</v>
      </c>
      <c r="L150" s="470">
        <v>-0.2</v>
      </c>
      <c r="M150" s="470" t="s">
        <v>103</v>
      </c>
      <c r="N150" s="471">
        <f t="shared" si="40"/>
        <v>0.10000050000000001</v>
      </c>
      <c r="P150" s="467">
        <v>3</v>
      </c>
      <c r="Q150" s="468">
        <v>995</v>
      </c>
      <c r="R150" s="470">
        <v>3.8</v>
      </c>
      <c r="S150" s="470">
        <v>1</v>
      </c>
      <c r="T150" s="470" t="s">
        <v>103</v>
      </c>
      <c r="U150" s="471">
        <f t="shared" si="41"/>
        <v>1.4</v>
      </c>
    </row>
    <row r="151" spans="1:24" x14ac:dyDescent="0.2">
      <c r="A151" s="1241"/>
      <c r="B151" s="467">
        <v>4</v>
      </c>
      <c r="C151" s="469">
        <v>30</v>
      </c>
      <c r="D151" s="473">
        <v>-0.4</v>
      </c>
      <c r="E151" s="472">
        <v>-0.3</v>
      </c>
      <c r="F151" s="470" t="s">
        <v>103</v>
      </c>
      <c r="G151" s="471">
        <f t="shared" si="39"/>
        <v>5.0000000000000017E-2</v>
      </c>
      <c r="I151" s="467">
        <v>4</v>
      </c>
      <c r="J151" s="469">
        <v>60</v>
      </c>
      <c r="K151" s="473">
        <v>0.3</v>
      </c>
      <c r="L151" s="472">
        <v>-0.6</v>
      </c>
      <c r="M151" s="470" t="s">
        <v>103</v>
      </c>
      <c r="N151" s="471">
        <f t="shared" si="40"/>
        <v>0.44999999999999996</v>
      </c>
      <c r="P151" s="467">
        <v>4</v>
      </c>
      <c r="Q151" s="469">
        <v>1000</v>
      </c>
      <c r="R151" s="473">
        <v>3.8</v>
      </c>
      <c r="S151" s="472">
        <v>1.1000000000000001</v>
      </c>
      <c r="T151" s="470" t="s">
        <v>103</v>
      </c>
      <c r="U151" s="471">
        <f t="shared" si="41"/>
        <v>1.3499999999999999</v>
      </c>
    </row>
    <row r="152" spans="1:24" x14ac:dyDescent="0.2">
      <c r="A152" s="1241"/>
      <c r="B152" s="467">
        <v>5</v>
      </c>
      <c r="C152" s="469">
        <v>35</v>
      </c>
      <c r="D152" s="473">
        <v>-0.6</v>
      </c>
      <c r="E152" s="472">
        <v>-0.6</v>
      </c>
      <c r="F152" s="470" t="s">
        <v>103</v>
      </c>
      <c r="G152" s="471">
        <f t="shared" si="39"/>
        <v>0</v>
      </c>
      <c r="I152" s="467">
        <v>5</v>
      </c>
      <c r="J152" s="469">
        <v>70</v>
      </c>
      <c r="K152" s="473">
        <v>0.7</v>
      </c>
      <c r="L152" s="472">
        <v>-0.8</v>
      </c>
      <c r="M152" s="470" t="s">
        <v>103</v>
      </c>
      <c r="N152" s="471">
        <f t="shared" si="40"/>
        <v>0.75</v>
      </c>
      <c r="P152" s="467">
        <v>5</v>
      </c>
      <c r="Q152" s="469">
        <v>1005</v>
      </c>
      <c r="R152" s="473">
        <v>3.8</v>
      </c>
      <c r="S152" s="472">
        <v>1.1000000000000001</v>
      </c>
      <c r="T152" s="470" t="s">
        <v>103</v>
      </c>
      <c r="U152" s="471">
        <f t="shared" si="41"/>
        <v>1.3499999999999999</v>
      </c>
    </row>
    <row r="153" spans="1:24" x14ac:dyDescent="0.2">
      <c r="A153" s="1241"/>
      <c r="B153" s="467">
        <v>6</v>
      </c>
      <c r="C153" s="469">
        <v>37</v>
      </c>
      <c r="D153" s="473">
        <v>-0.7</v>
      </c>
      <c r="E153" s="472">
        <v>-0.8</v>
      </c>
      <c r="F153" s="470" t="s">
        <v>103</v>
      </c>
      <c r="G153" s="471">
        <f t="shared" si="39"/>
        <v>5.0000000000000044E-2</v>
      </c>
      <c r="I153" s="467">
        <v>6</v>
      </c>
      <c r="J153" s="469">
        <v>80</v>
      </c>
      <c r="K153" s="473">
        <v>1.1000000000000001</v>
      </c>
      <c r="L153" s="472">
        <v>-0.9</v>
      </c>
      <c r="M153" s="470" t="s">
        <v>103</v>
      </c>
      <c r="N153" s="471">
        <f t="shared" si="40"/>
        <v>1</v>
      </c>
      <c r="P153" s="467">
        <v>6</v>
      </c>
      <c r="Q153" s="469">
        <v>1010</v>
      </c>
      <c r="R153" s="473">
        <v>3.7</v>
      </c>
      <c r="S153" s="472">
        <v>1.1000000000000001</v>
      </c>
      <c r="T153" s="470" t="s">
        <v>103</v>
      </c>
      <c r="U153" s="471">
        <f t="shared" si="41"/>
        <v>1.3</v>
      </c>
    </row>
    <row r="154" spans="1:24" x14ac:dyDescent="0.2">
      <c r="A154" s="1241"/>
      <c r="B154" s="467">
        <v>7</v>
      </c>
      <c r="C154" s="469">
        <v>40</v>
      </c>
      <c r="D154" s="473">
        <v>-0.8</v>
      </c>
      <c r="E154" s="472">
        <v>-1.1000000000000001</v>
      </c>
      <c r="F154" s="470" t="s">
        <v>103</v>
      </c>
      <c r="G154" s="471">
        <f t="shared" si="39"/>
        <v>0.15000000000000002</v>
      </c>
      <c r="I154" s="467">
        <v>7</v>
      </c>
      <c r="J154" s="469">
        <v>90</v>
      </c>
      <c r="K154" s="473">
        <v>1.5</v>
      </c>
      <c r="L154" s="472">
        <v>-0.8</v>
      </c>
      <c r="M154" s="470" t="s">
        <v>103</v>
      </c>
      <c r="N154" s="471">
        <f t="shared" si="40"/>
        <v>1.1499999999999999</v>
      </c>
      <c r="P154" s="467">
        <v>7</v>
      </c>
      <c r="Q154" s="469">
        <v>1020</v>
      </c>
      <c r="R154" s="473">
        <v>9.9999999999999995E-7</v>
      </c>
      <c r="S154" s="472">
        <v>9.9999999999999995E-7</v>
      </c>
      <c r="T154" s="470" t="s">
        <v>103</v>
      </c>
      <c r="U154" s="471">
        <f t="shared" si="41"/>
        <v>0</v>
      </c>
    </row>
    <row r="155" spans="1:24" ht="13.5" thickBot="1" x14ac:dyDescent="0.25">
      <c r="A155" s="120"/>
      <c r="C155" s="112"/>
      <c r="D155" s="112"/>
      <c r="E155" s="121"/>
      <c r="F155" s="112"/>
      <c r="J155" s="112"/>
      <c r="K155" s="112"/>
      <c r="L155" s="121"/>
      <c r="M155" s="112"/>
      <c r="Q155" s="112"/>
      <c r="R155" s="121"/>
      <c r="S155" s="121"/>
      <c r="T155" s="112"/>
    </row>
    <row r="156" spans="1:24" x14ac:dyDescent="0.2">
      <c r="A156" s="1241">
        <v>15</v>
      </c>
      <c r="B156" s="1233" t="s">
        <v>245</v>
      </c>
      <c r="C156" s="1233"/>
      <c r="D156" s="1233"/>
      <c r="E156" s="1233"/>
      <c r="F156" s="1233"/>
      <c r="G156" s="1233"/>
      <c r="I156" s="1233" t="str">
        <f>B156</f>
        <v>KOREKSI EXTECH A.100611</v>
      </c>
      <c r="J156" s="1233"/>
      <c r="K156" s="1233"/>
      <c r="L156" s="1233"/>
      <c r="M156" s="1233"/>
      <c r="N156" s="1233"/>
      <c r="P156" s="1233" t="str">
        <f>I156</f>
        <v>KOREKSI EXTECH A.100611</v>
      </c>
      <c r="Q156" s="1233"/>
      <c r="R156" s="1233"/>
      <c r="S156" s="1233"/>
      <c r="T156" s="1233"/>
      <c r="U156" s="1233"/>
      <c r="W156" s="1238" t="s">
        <v>224</v>
      </c>
      <c r="X156" s="1239"/>
    </row>
    <row r="157" spans="1:24" x14ac:dyDescent="0.2">
      <c r="A157" s="1241"/>
      <c r="B157" s="1240" t="s">
        <v>225</v>
      </c>
      <c r="C157" s="1240"/>
      <c r="D157" s="1240" t="s">
        <v>226</v>
      </c>
      <c r="E157" s="1240"/>
      <c r="F157" s="1240"/>
      <c r="G157" s="1240" t="s">
        <v>227</v>
      </c>
      <c r="I157" s="1240" t="s">
        <v>228</v>
      </c>
      <c r="J157" s="1240"/>
      <c r="K157" s="1240" t="s">
        <v>226</v>
      </c>
      <c r="L157" s="1240"/>
      <c r="M157" s="1240"/>
      <c r="N157" s="1240" t="s">
        <v>227</v>
      </c>
      <c r="P157" s="1240" t="s">
        <v>229</v>
      </c>
      <c r="Q157" s="1240"/>
      <c r="R157" s="1240" t="s">
        <v>226</v>
      </c>
      <c r="S157" s="1240"/>
      <c r="T157" s="1240"/>
      <c r="U157" s="1240" t="s">
        <v>227</v>
      </c>
      <c r="W157" s="101" t="s">
        <v>225</v>
      </c>
      <c r="X157" s="102">
        <v>0.5</v>
      </c>
    </row>
    <row r="158" spans="1:24" ht="15" x14ac:dyDescent="0.2">
      <c r="A158" s="1241"/>
      <c r="B158" s="1228" t="s">
        <v>230</v>
      </c>
      <c r="C158" s="1228"/>
      <c r="D158" s="103">
        <v>2022</v>
      </c>
      <c r="E158" s="103">
        <v>2020</v>
      </c>
      <c r="F158" s="103" t="s">
        <v>103</v>
      </c>
      <c r="G158" s="1240"/>
      <c r="I158" s="1227" t="s">
        <v>16</v>
      </c>
      <c r="J158" s="1228"/>
      <c r="K158" s="118">
        <f>D158</f>
        <v>2022</v>
      </c>
      <c r="L158" s="118">
        <f>E158</f>
        <v>2020</v>
      </c>
      <c r="M158" s="118" t="str">
        <f>F158</f>
        <v>-</v>
      </c>
      <c r="N158" s="1240"/>
      <c r="P158" s="1227" t="s">
        <v>231</v>
      </c>
      <c r="Q158" s="1228"/>
      <c r="R158" s="118">
        <f>K158</f>
        <v>2022</v>
      </c>
      <c r="S158" s="118">
        <f>L158</f>
        <v>2020</v>
      </c>
      <c r="T158" s="118" t="str">
        <f>M158</f>
        <v>-</v>
      </c>
      <c r="U158" s="1240"/>
      <c r="W158" s="101" t="s">
        <v>16</v>
      </c>
      <c r="X158" s="102">
        <v>2.6</v>
      </c>
    </row>
    <row r="159" spans="1:24" ht="13.5" thickBot="1" x14ac:dyDescent="0.25">
      <c r="A159" s="1241"/>
      <c r="B159" s="467">
        <v>1</v>
      </c>
      <c r="C159" s="468">
        <v>15</v>
      </c>
      <c r="D159" s="470">
        <v>0.6</v>
      </c>
      <c r="E159" s="470">
        <v>-0.6</v>
      </c>
      <c r="F159" s="470" t="s">
        <v>103</v>
      </c>
      <c r="G159" s="471">
        <f>0.5*(MAX(D159:F159)-MIN(D159:F159))</f>
        <v>0.6</v>
      </c>
      <c r="I159" s="467">
        <v>1</v>
      </c>
      <c r="J159" s="468">
        <v>30</v>
      </c>
      <c r="K159" s="470">
        <v>-2</v>
      </c>
      <c r="L159" s="470">
        <v>-0.4</v>
      </c>
      <c r="M159" s="470" t="s">
        <v>103</v>
      </c>
      <c r="N159" s="471">
        <f>0.5*(MAX(K159:M159)-MIN(K159:M159))</f>
        <v>0.8</v>
      </c>
      <c r="P159" s="467">
        <v>1</v>
      </c>
      <c r="Q159" s="468">
        <v>985</v>
      </c>
      <c r="R159" s="470">
        <v>4.3</v>
      </c>
      <c r="S159" s="470">
        <v>0.9</v>
      </c>
      <c r="T159" s="470" t="s">
        <v>103</v>
      </c>
      <c r="U159" s="471">
        <f>0.5*(MAX(R159:T159)-MIN(R159:T159))</f>
        <v>1.7</v>
      </c>
      <c r="W159" s="106" t="s">
        <v>231</v>
      </c>
      <c r="X159" s="107">
        <v>2.6</v>
      </c>
    </row>
    <row r="160" spans="1:24" x14ac:dyDescent="0.2">
      <c r="A160" s="1241"/>
      <c r="B160" s="467">
        <v>2</v>
      </c>
      <c r="C160" s="468">
        <v>20</v>
      </c>
      <c r="D160" s="470">
        <v>0.3</v>
      </c>
      <c r="E160" s="470">
        <v>-0.5</v>
      </c>
      <c r="F160" s="470" t="s">
        <v>103</v>
      </c>
      <c r="G160" s="471">
        <f t="shared" ref="G160:G165" si="42">0.5*(MAX(D160:F160)-MIN(D160:F160))</f>
        <v>0.4</v>
      </c>
      <c r="I160" s="467">
        <v>2</v>
      </c>
      <c r="J160" s="468">
        <v>40</v>
      </c>
      <c r="K160" s="470">
        <v>-1.7</v>
      </c>
      <c r="L160" s="470">
        <v>-0.3</v>
      </c>
      <c r="M160" s="470" t="s">
        <v>103</v>
      </c>
      <c r="N160" s="471">
        <f t="shared" ref="N160:N165" si="43">0.5*(MAX(K160:M160)-MIN(K160:M160))</f>
        <v>0.7</v>
      </c>
      <c r="P160" s="467">
        <v>2</v>
      </c>
      <c r="Q160" s="468">
        <v>990</v>
      </c>
      <c r="R160" s="470">
        <v>4.2</v>
      </c>
      <c r="S160" s="470">
        <v>1</v>
      </c>
      <c r="T160" s="470" t="s">
        <v>103</v>
      </c>
      <c r="U160" s="471">
        <f t="shared" ref="U160:U165" si="44">0.5*(MAX(R160:T160)-MIN(R160:T160))</f>
        <v>1.6</v>
      </c>
    </row>
    <row r="161" spans="1:24" x14ac:dyDescent="0.2">
      <c r="A161" s="1241"/>
      <c r="B161" s="467">
        <v>3</v>
      </c>
      <c r="C161" s="468">
        <v>25</v>
      </c>
      <c r="D161" s="470">
        <v>0.2</v>
      </c>
      <c r="E161" s="470">
        <v>-0.4</v>
      </c>
      <c r="F161" s="470" t="s">
        <v>103</v>
      </c>
      <c r="G161" s="471">
        <f t="shared" si="42"/>
        <v>0.30000000000000004</v>
      </c>
      <c r="I161" s="467">
        <v>3</v>
      </c>
      <c r="J161" s="468">
        <v>50</v>
      </c>
      <c r="K161" s="470">
        <v>-1.4</v>
      </c>
      <c r="L161" s="470">
        <v>-0.3</v>
      </c>
      <c r="M161" s="470" t="s">
        <v>103</v>
      </c>
      <c r="N161" s="471">
        <f t="shared" si="43"/>
        <v>0.54999999999999993</v>
      </c>
      <c r="P161" s="467">
        <v>3</v>
      </c>
      <c r="Q161" s="468">
        <v>995</v>
      </c>
      <c r="R161" s="470">
        <v>4.0999999999999996</v>
      </c>
      <c r="S161" s="470">
        <v>1</v>
      </c>
      <c r="T161" s="470" t="s">
        <v>103</v>
      </c>
      <c r="U161" s="471">
        <f t="shared" si="44"/>
        <v>1.5499999999999998</v>
      </c>
    </row>
    <row r="162" spans="1:24" x14ac:dyDescent="0.2">
      <c r="A162" s="1241"/>
      <c r="B162" s="467">
        <v>4</v>
      </c>
      <c r="C162" s="469">
        <v>30</v>
      </c>
      <c r="D162" s="473">
        <v>0.4</v>
      </c>
      <c r="E162" s="472">
        <v>-0.2</v>
      </c>
      <c r="F162" s="470" t="s">
        <v>103</v>
      </c>
      <c r="G162" s="471">
        <f t="shared" si="42"/>
        <v>0.30000000000000004</v>
      </c>
      <c r="I162" s="467">
        <v>4</v>
      </c>
      <c r="J162" s="469">
        <v>60</v>
      </c>
      <c r="K162" s="473">
        <v>-1.1000000000000001</v>
      </c>
      <c r="L162" s="472">
        <v>-0.5</v>
      </c>
      <c r="M162" s="470" t="s">
        <v>103</v>
      </c>
      <c r="N162" s="471">
        <f t="shared" si="43"/>
        <v>0.30000000000000004</v>
      </c>
      <c r="P162" s="467">
        <v>4</v>
      </c>
      <c r="Q162" s="469">
        <v>1000</v>
      </c>
      <c r="R162" s="473">
        <v>4.0999999999999996</v>
      </c>
      <c r="S162" s="472">
        <v>1.1000000000000001</v>
      </c>
      <c r="T162" s="470" t="s">
        <v>103</v>
      </c>
      <c r="U162" s="471">
        <f t="shared" si="44"/>
        <v>1.4999999999999998</v>
      </c>
    </row>
    <row r="163" spans="1:24" x14ac:dyDescent="0.2">
      <c r="A163" s="1241"/>
      <c r="B163" s="467">
        <v>5</v>
      </c>
      <c r="C163" s="469">
        <v>35</v>
      </c>
      <c r="D163" s="473">
        <v>0.8</v>
      </c>
      <c r="E163" s="472">
        <v>-0.1</v>
      </c>
      <c r="F163" s="470" t="s">
        <v>103</v>
      </c>
      <c r="G163" s="471">
        <f t="shared" si="42"/>
        <v>0.45</v>
      </c>
      <c r="I163" s="467">
        <v>5</v>
      </c>
      <c r="J163" s="469">
        <v>70</v>
      </c>
      <c r="K163" s="473">
        <v>-0.7</v>
      </c>
      <c r="L163" s="472">
        <v>-0.8</v>
      </c>
      <c r="M163" s="470" t="s">
        <v>103</v>
      </c>
      <c r="N163" s="471">
        <f t="shared" si="43"/>
        <v>5.0000000000000044E-2</v>
      </c>
      <c r="P163" s="467">
        <v>5</v>
      </c>
      <c r="Q163" s="469">
        <v>1005</v>
      </c>
      <c r="R163" s="473">
        <v>4</v>
      </c>
      <c r="S163" s="472">
        <v>1.1000000000000001</v>
      </c>
      <c r="T163" s="470" t="s">
        <v>103</v>
      </c>
      <c r="U163" s="471">
        <f t="shared" si="44"/>
        <v>1.45</v>
      </c>
    </row>
    <row r="164" spans="1:24" x14ac:dyDescent="0.2">
      <c r="A164" s="1241"/>
      <c r="B164" s="467">
        <v>6</v>
      </c>
      <c r="C164" s="469">
        <v>37</v>
      </c>
      <c r="D164" s="473">
        <v>1</v>
      </c>
      <c r="E164" s="472">
        <v>-0.1</v>
      </c>
      <c r="F164" s="470" t="s">
        <v>103</v>
      </c>
      <c r="G164" s="471">
        <f t="shared" si="42"/>
        <v>0.55000000000000004</v>
      </c>
      <c r="I164" s="467">
        <v>6</v>
      </c>
      <c r="J164" s="469">
        <v>80</v>
      </c>
      <c r="K164" s="473">
        <v>-0.4</v>
      </c>
      <c r="L164" s="472">
        <v>-1.3</v>
      </c>
      <c r="M164" s="470" t="s">
        <v>103</v>
      </c>
      <c r="N164" s="471">
        <f t="shared" si="43"/>
        <v>0.45</v>
      </c>
      <c r="P164" s="467">
        <v>6</v>
      </c>
      <c r="Q164" s="469">
        <v>1010</v>
      </c>
      <c r="R164" s="473">
        <v>3.9</v>
      </c>
      <c r="S164" s="472">
        <v>1.1000000000000001</v>
      </c>
      <c r="T164" s="470" t="s">
        <v>103</v>
      </c>
      <c r="U164" s="471">
        <f t="shared" si="44"/>
        <v>1.4</v>
      </c>
    </row>
    <row r="165" spans="1:24" x14ac:dyDescent="0.2">
      <c r="A165" s="1241"/>
      <c r="B165" s="467">
        <v>7</v>
      </c>
      <c r="C165" s="469">
        <v>40</v>
      </c>
      <c r="D165" s="473">
        <v>1.4</v>
      </c>
      <c r="E165" s="472">
        <v>9.9999999999999995E-7</v>
      </c>
      <c r="F165" s="470" t="s">
        <v>103</v>
      </c>
      <c r="G165" s="471">
        <f t="shared" si="42"/>
        <v>0.6999995</v>
      </c>
      <c r="I165" s="467">
        <v>7</v>
      </c>
      <c r="J165" s="469">
        <v>90</v>
      </c>
      <c r="K165" s="473">
        <v>-0.1</v>
      </c>
      <c r="L165" s="472">
        <v>-2</v>
      </c>
      <c r="M165" s="470" t="s">
        <v>103</v>
      </c>
      <c r="N165" s="471">
        <f t="shared" si="43"/>
        <v>0.95</v>
      </c>
      <c r="P165" s="467">
        <v>7</v>
      </c>
      <c r="Q165" s="469">
        <v>1020</v>
      </c>
      <c r="R165" s="473">
        <v>9.9999999999999995E-7</v>
      </c>
      <c r="S165" s="472">
        <v>9.9999999999999995E-7</v>
      </c>
      <c r="T165" s="470" t="s">
        <v>103</v>
      </c>
      <c r="U165" s="471">
        <f t="shared" si="44"/>
        <v>0</v>
      </c>
    </row>
    <row r="166" spans="1:24" ht="13.5" thickBot="1" x14ac:dyDescent="0.25">
      <c r="A166" s="120"/>
      <c r="C166" s="112"/>
      <c r="D166" s="112"/>
      <c r="E166" s="121"/>
      <c r="F166" s="112"/>
      <c r="I166" s="112"/>
      <c r="J166" s="112"/>
      <c r="K166" s="121"/>
      <c r="L166" s="112"/>
      <c r="O166" s="112"/>
      <c r="P166" s="121"/>
      <c r="Q166" s="121"/>
      <c r="R166" s="112"/>
    </row>
    <row r="167" spans="1:24" x14ac:dyDescent="0.2">
      <c r="A167" s="1241">
        <v>16</v>
      </c>
      <c r="B167" s="1233" t="s">
        <v>246</v>
      </c>
      <c r="C167" s="1233"/>
      <c r="D167" s="1233"/>
      <c r="E167" s="1233"/>
      <c r="F167" s="1233"/>
      <c r="G167" s="1233"/>
      <c r="I167" s="1233" t="str">
        <f>B167</f>
        <v>KOREKSI EXTECH A.100616</v>
      </c>
      <c r="J167" s="1233"/>
      <c r="K167" s="1233"/>
      <c r="L167" s="1233"/>
      <c r="M167" s="1233"/>
      <c r="N167" s="1233"/>
      <c r="P167" s="1233" t="str">
        <f>I167</f>
        <v>KOREKSI EXTECH A.100616</v>
      </c>
      <c r="Q167" s="1233"/>
      <c r="R167" s="1233"/>
      <c r="S167" s="1233"/>
      <c r="T167" s="1233"/>
      <c r="U167" s="1233"/>
      <c r="W167" s="1238" t="s">
        <v>224</v>
      </c>
      <c r="X167" s="1239"/>
    </row>
    <row r="168" spans="1:24" x14ac:dyDescent="0.2">
      <c r="A168" s="1241"/>
      <c r="B168" s="1240" t="s">
        <v>225</v>
      </c>
      <c r="C168" s="1240"/>
      <c r="D168" s="1240" t="s">
        <v>226</v>
      </c>
      <c r="E168" s="1240"/>
      <c r="F168" s="1240"/>
      <c r="G168" s="1240" t="s">
        <v>227</v>
      </c>
      <c r="I168" s="1240" t="s">
        <v>228</v>
      </c>
      <c r="J168" s="1240"/>
      <c r="K168" s="1240" t="s">
        <v>226</v>
      </c>
      <c r="L168" s="1240"/>
      <c r="M168" s="1240"/>
      <c r="N168" s="1240" t="s">
        <v>227</v>
      </c>
      <c r="P168" s="1240" t="s">
        <v>229</v>
      </c>
      <c r="Q168" s="1240"/>
      <c r="R168" s="1240" t="s">
        <v>226</v>
      </c>
      <c r="S168" s="1240"/>
      <c r="T168" s="1240"/>
      <c r="U168" s="1240" t="s">
        <v>227</v>
      </c>
      <c r="W168" s="101" t="s">
        <v>225</v>
      </c>
      <c r="X168" s="102">
        <v>0.4</v>
      </c>
    </row>
    <row r="169" spans="1:24" ht="15" x14ac:dyDescent="0.2">
      <c r="A169" s="1241"/>
      <c r="B169" s="1228" t="s">
        <v>230</v>
      </c>
      <c r="C169" s="1228"/>
      <c r="D169" s="103">
        <v>2020</v>
      </c>
      <c r="E169" s="117" t="s">
        <v>103</v>
      </c>
      <c r="F169" s="103" t="s">
        <v>103</v>
      </c>
      <c r="G169" s="1240"/>
      <c r="I169" s="1227" t="s">
        <v>16</v>
      </c>
      <c r="J169" s="1228"/>
      <c r="K169" s="118">
        <f>D169</f>
        <v>2020</v>
      </c>
      <c r="L169" s="118" t="str">
        <f>E169</f>
        <v>-</v>
      </c>
      <c r="M169" s="118" t="str">
        <f>F169</f>
        <v>-</v>
      </c>
      <c r="N169" s="1240"/>
      <c r="P169" s="1227" t="s">
        <v>231</v>
      </c>
      <c r="Q169" s="1228"/>
      <c r="R169" s="118">
        <f>K169</f>
        <v>2020</v>
      </c>
      <c r="S169" s="118" t="str">
        <f>L169</f>
        <v>-</v>
      </c>
      <c r="T169" s="118" t="str">
        <f>M169</f>
        <v>-</v>
      </c>
      <c r="U169" s="1240"/>
      <c r="W169" s="101" t="s">
        <v>16</v>
      </c>
      <c r="X169" s="102">
        <v>2.2000000000000002</v>
      </c>
    </row>
    <row r="170" spans="1:24" ht="13.5" thickBot="1" x14ac:dyDescent="0.25">
      <c r="A170" s="1241"/>
      <c r="B170" s="467">
        <v>1</v>
      </c>
      <c r="C170" s="468">
        <v>15</v>
      </c>
      <c r="D170" s="470">
        <v>0.1</v>
      </c>
      <c r="E170" s="470" t="s">
        <v>103</v>
      </c>
      <c r="F170" s="470" t="s">
        <v>103</v>
      </c>
      <c r="G170" s="471">
        <f>0.5*(MAX(D170:F170)-MIN(D170:F170))</f>
        <v>0</v>
      </c>
      <c r="I170" s="467">
        <v>1</v>
      </c>
      <c r="J170" s="468">
        <v>30</v>
      </c>
      <c r="K170" s="470">
        <v>-1.6</v>
      </c>
      <c r="L170" s="470" t="s">
        <v>103</v>
      </c>
      <c r="M170" s="470" t="s">
        <v>103</v>
      </c>
      <c r="N170" s="471">
        <f>0.5*(MAX(K170:M170)-MIN(K170:M170))</f>
        <v>0</v>
      </c>
      <c r="P170" s="467">
        <v>1</v>
      </c>
      <c r="Q170" s="468">
        <v>800</v>
      </c>
      <c r="R170" s="470">
        <v>-2.9</v>
      </c>
      <c r="S170" s="470" t="s">
        <v>103</v>
      </c>
      <c r="T170" s="470" t="s">
        <v>103</v>
      </c>
      <c r="U170" s="471">
        <f>0.5*(MAX(R170:T170)-MIN(R170:T170))</f>
        <v>0</v>
      </c>
      <c r="W170" s="106" t="s">
        <v>231</v>
      </c>
      <c r="X170" s="107">
        <v>2.2999999999999998</v>
      </c>
    </row>
    <row r="171" spans="1:24" x14ac:dyDescent="0.2">
      <c r="A171" s="1241"/>
      <c r="B171" s="467">
        <v>2</v>
      </c>
      <c r="C171" s="468">
        <v>20</v>
      </c>
      <c r="D171" s="470">
        <v>0.2</v>
      </c>
      <c r="E171" s="470" t="s">
        <v>103</v>
      </c>
      <c r="F171" s="470" t="s">
        <v>103</v>
      </c>
      <c r="G171" s="471">
        <f t="shared" ref="G171:G176" si="45">0.5*(MAX(D171:F171)-MIN(D171:F171))</f>
        <v>0</v>
      </c>
      <c r="I171" s="467">
        <v>2</v>
      </c>
      <c r="J171" s="468">
        <v>40</v>
      </c>
      <c r="K171" s="470">
        <v>-1.4</v>
      </c>
      <c r="L171" s="470" t="s">
        <v>103</v>
      </c>
      <c r="M171" s="470" t="s">
        <v>103</v>
      </c>
      <c r="N171" s="471">
        <f t="shared" ref="N171:N176" si="46">0.5*(MAX(K171:M171)-MIN(K171:M171))</f>
        <v>0</v>
      </c>
      <c r="P171" s="467">
        <v>2</v>
      </c>
      <c r="Q171" s="468">
        <v>850</v>
      </c>
      <c r="R171" s="470">
        <v>-2.2999999999999998</v>
      </c>
      <c r="S171" s="470" t="s">
        <v>103</v>
      </c>
      <c r="T171" s="470" t="s">
        <v>103</v>
      </c>
      <c r="U171" s="471">
        <f t="shared" ref="U171:U176" si="47">0.5*(MAX(R171:T171)-MIN(R171:T171))</f>
        <v>0</v>
      </c>
    </row>
    <row r="172" spans="1:24" x14ac:dyDescent="0.2">
      <c r="A172" s="1241"/>
      <c r="B172" s="467">
        <v>3</v>
      </c>
      <c r="C172" s="468">
        <v>25</v>
      </c>
      <c r="D172" s="470">
        <v>0.2</v>
      </c>
      <c r="E172" s="470" t="s">
        <v>103</v>
      </c>
      <c r="F172" s="470" t="s">
        <v>103</v>
      </c>
      <c r="G172" s="471">
        <f t="shared" si="45"/>
        <v>0</v>
      </c>
      <c r="I172" s="467">
        <v>3</v>
      </c>
      <c r="J172" s="468">
        <v>50</v>
      </c>
      <c r="K172" s="470">
        <v>-1.4</v>
      </c>
      <c r="L172" s="470" t="s">
        <v>103</v>
      </c>
      <c r="M172" s="470" t="s">
        <v>103</v>
      </c>
      <c r="N172" s="471">
        <f t="shared" si="46"/>
        <v>0</v>
      </c>
      <c r="P172" s="467">
        <v>3</v>
      </c>
      <c r="Q172" s="468">
        <v>900</v>
      </c>
      <c r="R172" s="470">
        <v>-1.7</v>
      </c>
      <c r="S172" s="470" t="s">
        <v>103</v>
      </c>
      <c r="T172" s="470" t="s">
        <v>103</v>
      </c>
      <c r="U172" s="471">
        <f t="shared" si="47"/>
        <v>0</v>
      </c>
    </row>
    <row r="173" spans="1:24" x14ac:dyDescent="0.2">
      <c r="A173" s="1241"/>
      <c r="B173" s="467">
        <v>4</v>
      </c>
      <c r="C173" s="469">
        <v>30</v>
      </c>
      <c r="D173" s="473">
        <v>0.2</v>
      </c>
      <c r="E173" s="472" t="s">
        <v>103</v>
      </c>
      <c r="F173" s="470" t="s">
        <v>103</v>
      </c>
      <c r="G173" s="471">
        <f t="shared" si="45"/>
        <v>0</v>
      </c>
      <c r="I173" s="467">
        <v>4</v>
      </c>
      <c r="J173" s="469">
        <v>60</v>
      </c>
      <c r="K173" s="473">
        <v>-1.5</v>
      </c>
      <c r="L173" s="472" t="s">
        <v>103</v>
      </c>
      <c r="M173" s="470" t="s">
        <v>103</v>
      </c>
      <c r="N173" s="471">
        <f t="shared" si="46"/>
        <v>0</v>
      </c>
      <c r="P173" s="467">
        <v>4</v>
      </c>
      <c r="Q173" s="469">
        <v>950</v>
      </c>
      <c r="R173" s="473">
        <v>-1.1000000000000001</v>
      </c>
      <c r="S173" s="472" t="s">
        <v>103</v>
      </c>
      <c r="T173" s="470" t="s">
        <v>103</v>
      </c>
      <c r="U173" s="471">
        <f t="shared" si="47"/>
        <v>0</v>
      </c>
    </row>
    <row r="174" spans="1:24" x14ac:dyDescent="0.2">
      <c r="A174" s="1241"/>
      <c r="B174" s="467">
        <v>5</v>
      </c>
      <c r="C174" s="469">
        <v>35</v>
      </c>
      <c r="D174" s="473">
        <v>0.1</v>
      </c>
      <c r="E174" s="472" t="s">
        <v>103</v>
      </c>
      <c r="F174" s="470" t="s">
        <v>103</v>
      </c>
      <c r="G174" s="471">
        <f t="shared" si="45"/>
        <v>0</v>
      </c>
      <c r="I174" s="467">
        <v>5</v>
      </c>
      <c r="J174" s="469">
        <v>70</v>
      </c>
      <c r="K174" s="473">
        <v>-1.8</v>
      </c>
      <c r="L174" s="472" t="s">
        <v>103</v>
      </c>
      <c r="M174" s="470" t="s">
        <v>103</v>
      </c>
      <c r="N174" s="471">
        <f t="shared" si="46"/>
        <v>0</v>
      </c>
      <c r="P174" s="467">
        <v>5</v>
      </c>
      <c r="Q174" s="469">
        <v>1000</v>
      </c>
      <c r="R174" s="473">
        <v>-0.4</v>
      </c>
      <c r="S174" s="472" t="s">
        <v>103</v>
      </c>
      <c r="T174" s="470" t="s">
        <v>103</v>
      </c>
      <c r="U174" s="471">
        <f t="shared" si="47"/>
        <v>0</v>
      </c>
    </row>
    <row r="175" spans="1:24" x14ac:dyDescent="0.2">
      <c r="A175" s="1241"/>
      <c r="B175" s="467">
        <v>6</v>
      </c>
      <c r="C175" s="469">
        <v>37</v>
      </c>
      <c r="D175" s="473">
        <v>9.9999999999999995E-7</v>
      </c>
      <c r="E175" s="472" t="s">
        <v>103</v>
      </c>
      <c r="F175" s="470" t="s">
        <v>103</v>
      </c>
      <c r="G175" s="471">
        <f t="shared" si="45"/>
        <v>0</v>
      </c>
      <c r="I175" s="467">
        <v>6</v>
      </c>
      <c r="J175" s="469">
        <v>80</v>
      </c>
      <c r="K175" s="473">
        <v>-2.2999999999999998</v>
      </c>
      <c r="L175" s="472" t="s">
        <v>103</v>
      </c>
      <c r="M175" s="470" t="s">
        <v>103</v>
      </c>
      <c r="N175" s="471">
        <f t="shared" si="46"/>
        <v>0</v>
      </c>
      <c r="P175" s="467">
        <v>6</v>
      </c>
      <c r="Q175" s="469">
        <v>1005</v>
      </c>
      <c r="R175" s="473">
        <v>-0.4</v>
      </c>
      <c r="S175" s="472" t="s">
        <v>103</v>
      </c>
      <c r="T175" s="470" t="s">
        <v>103</v>
      </c>
      <c r="U175" s="471">
        <f t="shared" si="47"/>
        <v>0</v>
      </c>
    </row>
    <row r="176" spans="1:24" x14ac:dyDescent="0.2">
      <c r="A176" s="1241"/>
      <c r="B176" s="467">
        <v>7</v>
      </c>
      <c r="C176" s="469">
        <v>40</v>
      </c>
      <c r="D176" s="473">
        <v>9.9999999999999995E-7</v>
      </c>
      <c r="E176" s="472" t="s">
        <v>103</v>
      </c>
      <c r="F176" s="470" t="s">
        <v>103</v>
      </c>
      <c r="G176" s="471">
        <f t="shared" si="45"/>
        <v>0</v>
      </c>
      <c r="I176" s="467">
        <v>7</v>
      </c>
      <c r="J176" s="469">
        <v>90</v>
      </c>
      <c r="K176" s="473">
        <v>-3</v>
      </c>
      <c r="L176" s="472" t="s">
        <v>103</v>
      </c>
      <c r="M176" s="470" t="s">
        <v>103</v>
      </c>
      <c r="N176" s="471">
        <f t="shared" si="46"/>
        <v>0</v>
      </c>
      <c r="P176" s="467">
        <v>7</v>
      </c>
      <c r="Q176" s="469">
        <v>1020</v>
      </c>
      <c r="R176" s="473">
        <v>9.9999999999999995E-7</v>
      </c>
      <c r="S176" s="472" t="s">
        <v>103</v>
      </c>
      <c r="T176" s="470" t="s">
        <v>103</v>
      </c>
      <c r="U176" s="471">
        <f t="shared" si="47"/>
        <v>0</v>
      </c>
    </row>
    <row r="177" spans="1:24" ht="13.5" thickBot="1" x14ac:dyDescent="0.25">
      <c r="A177" s="120"/>
      <c r="C177" s="112"/>
      <c r="D177" s="112"/>
      <c r="E177" s="121"/>
      <c r="F177" s="112"/>
      <c r="J177" s="112"/>
      <c r="K177" s="112"/>
      <c r="L177" s="121"/>
      <c r="M177" s="112"/>
      <c r="Q177" s="112"/>
      <c r="R177" s="121"/>
      <c r="S177" s="121"/>
      <c r="T177" s="112"/>
    </row>
    <row r="178" spans="1:24" x14ac:dyDescent="0.2">
      <c r="A178" s="1241">
        <v>17</v>
      </c>
      <c r="B178" s="1233" t="s">
        <v>247</v>
      </c>
      <c r="C178" s="1233"/>
      <c r="D178" s="1233"/>
      <c r="E178" s="1233"/>
      <c r="F178" s="1233"/>
      <c r="G178" s="1233"/>
      <c r="I178" s="1233" t="str">
        <f>B178</f>
        <v>KOREKSI EXTECH A.100617</v>
      </c>
      <c r="J178" s="1233"/>
      <c r="K178" s="1233"/>
      <c r="L178" s="1233"/>
      <c r="M178" s="1233"/>
      <c r="N178" s="1233"/>
      <c r="P178" s="1233" t="str">
        <f>I178</f>
        <v>KOREKSI EXTECH A.100617</v>
      </c>
      <c r="Q178" s="1233"/>
      <c r="R178" s="1233"/>
      <c r="S178" s="1233"/>
      <c r="T178" s="1233"/>
      <c r="U178" s="1233"/>
      <c r="W178" s="1238" t="s">
        <v>224</v>
      </c>
      <c r="X178" s="1239"/>
    </row>
    <row r="179" spans="1:24" x14ac:dyDescent="0.2">
      <c r="A179" s="1241"/>
      <c r="B179" s="1240" t="s">
        <v>225</v>
      </c>
      <c r="C179" s="1240"/>
      <c r="D179" s="1240" t="s">
        <v>226</v>
      </c>
      <c r="E179" s="1240"/>
      <c r="F179" s="1240"/>
      <c r="G179" s="1240" t="s">
        <v>227</v>
      </c>
      <c r="I179" s="1240" t="s">
        <v>228</v>
      </c>
      <c r="J179" s="1240"/>
      <c r="K179" s="1240" t="s">
        <v>226</v>
      </c>
      <c r="L179" s="1240"/>
      <c r="M179" s="1240"/>
      <c r="N179" s="1240" t="s">
        <v>227</v>
      </c>
      <c r="P179" s="1240" t="s">
        <v>229</v>
      </c>
      <c r="Q179" s="1240"/>
      <c r="R179" s="1240" t="s">
        <v>226</v>
      </c>
      <c r="S179" s="1240"/>
      <c r="T179" s="1240"/>
      <c r="U179" s="1240" t="s">
        <v>227</v>
      </c>
      <c r="W179" s="101" t="s">
        <v>225</v>
      </c>
      <c r="X179" s="102">
        <v>0.3</v>
      </c>
    </row>
    <row r="180" spans="1:24" ht="15" x14ac:dyDescent="0.2">
      <c r="A180" s="1241"/>
      <c r="B180" s="1228" t="s">
        <v>230</v>
      </c>
      <c r="C180" s="1228"/>
      <c r="D180" s="103">
        <v>2020</v>
      </c>
      <c r="E180" s="117" t="s">
        <v>103</v>
      </c>
      <c r="F180" s="103" t="s">
        <v>103</v>
      </c>
      <c r="G180" s="1240"/>
      <c r="I180" s="1227" t="s">
        <v>16</v>
      </c>
      <c r="J180" s="1228"/>
      <c r="K180" s="118">
        <f>D180</f>
        <v>2020</v>
      </c>
      <c r="L180" s="118" t="str">
        <f>E180</f>
        <v>-</v>
      </c>
      <c r="M180" s="118" t="str">
        <f>F180</f>
        <v>-</v>
      </c>
      <c r="N180" s="1240"/>
      <c r="P180" s="1227" t="s">
        <v>231</v>
      </c>
      <c r="Q180" s="1228"/>
      <c r="R180" s="118">
        <f>K180</f>
        <v>2020</v>
      </c>
      <c r="S180" s="118" t="str">
        <f>L180</f>
        <v>-</v>
      </c>
      <c r="T180" s="118" t="str">
        <f>M180</f>
        <v>-</v>
      </c>
      <c r="U180" s="1240"/>
      <c r="W180" s="101" t="s">
        <v>16</v>
      </c>
      <c r="X180" s="102">
        <v>2.8</v>
      </c>
    </row>
    <row r="181" spans="1:24" ht="13.5" thickBot="1" x14ac:dyDescent="0.25">
      <c r="A181" s="1241"/>
      <c r="B181" s="104">
        <v>1</v>
      </c>
      <c r="C181" s="105">
        <v>15</v>
      </c>
      <c r="D181" s="470">
        <v>0.1</v>
      </c>
      <c r="E181" s="470" t="s">
        <v>103</v>
      </c>
      <c r="F181" s="470" t="s">
        <v>103</v>
      </c>
      <c r="G181" s="471">
        <f>0.5*(MAX(D181:F181)-MIN(D181:F181))</f>
        <v>0</v>
      </c>
      <c r="I181" s="467">
        <v>1</v>
      </c>
      <c r="J181" s="468">
        <v>30</v>
      </c>
      <c r="K181" s="470">
        <v>0.1</v>
      </c>
      <c r="L181" s="470" t="s">
        <v>103</v>
      </c>
      <c r="M181" s="470" t="s">
        <v>103</v>
      </c>
      <c r="N181" s="471">
        <f>0.5*(MAX(K181:M181)-MIN(K181:M181))</f>
        <v>0</v>
      </c>
      <c r="P181" s="467">
        <v>1</v>
      </c>
      <c r="Q181" s="468">
        <v>960</v>
      </c>
      <c r="R181" s="474">
        <v>-0.6</v>
      </c>
      <c r="S181" s="470" t="s">
        <v>103</v>
      </c>
      <c r="T181" s="470" t="s">
        <v>103</v>
      </c>
      <c r="U181" s="471">
        <f>0.5*(MAX(R181:T181)-MIN(R181:T181))</f>
        <v>0</v>
      </c>
      <c r="W181" s="106" t="s">
        <v>231</v>
      </c>
      <c r="X181" s="107">
        <v>2.1</v>
      </c>
    </row>
    <row r="182" spans="1:24" x14ac:dyDescent="0.2">
      <c r="A182" s="1241"/>
      <c r="B182" s="104">
        <v>2</v>
      </c>
      <c r="C182" s="105">
        <v>20</v>
      </c>
      <c r="D182" s="470">
        <v>0.1</v>
      </c>
      <c r="E182" s="470" t="s">
        <v>103</v>
      </c>
      <c r="F182" s="470" t="s">
        <v>103</v>
      </c>
      <c r="G182" s="471">
        <f t="shared" ref="G182:G187" si="48">0.5*(MAX(D182:F182)-MIN(D182:F182))</f>
        <v>0</v>
      </c>
      <c r="I182" s="467">
        <v>2</v>
      </c>
      <c r="J182" s="468">
        <v>40</v>
      </c>
      <c r="K182" s="470">
        <v>0.2</v>
      </c>
      <c r="L182" s="470" t="s">
        <v>103</v>
      </c>
      <c r="M182" s="470" t="s">
        <v>103</v>
      </c>
      <c r="N182" s="471">
        <f t="shared" ref="N182:N187" si="49">0.5*(MAX(K182:M182)-MIN(K182:M182))</f>
        <v>0</v>
      </c>
      <c r="P182" s="467">
        <v>2</v>
      </c>
      <c r="Q182" s="468">
        <v>970</v>
      </c>
      <c r="R182" s="474">
        <v>-0.6</v>
      </c>
      <c r="S182" s="470" t="s">
        <v>103</v>
      </c>
      <c r="T182" s="470" t="s">
        <v>103</v>
      </c>
      <c r="U182" s="471">
        <f t="shared" ref="U182:U187" si="50">0.5*(MAX(R182:T182)-MIN(R182:T182))</f>
        <v>0</v>
      </c>
    </row>
    <row r="183" spans="1:24" x14ac:dyDescent="0.2">
      <c r="A183" s="1241"/>
      <c r="B183" s="104">
        <v>3</v>
      </c>
      <c r="C183" s="105">
        <v>25</v>
      </c>
      <c r="D183" s="470">
        <v>9.9999999999999995E-7</v>
      </c>
      <c r="E183" s="470" t="s">
        <v>103</v>
      </c>
      <c r="F183" s="470" t="s">
        <v>103</v>
      </c>
      <c r="G183" s="471">
        <f t="shared" si="48"/>
        <v>0</v>
      </c>
      <c r="I183" s="467">
        <v>3</v>
      </c>
      <c r="J183" s="468">
        <v>50</v>
      </c>
      <c r="K183" s="470">
        <v>0.2</v>
      </c>
      <c r="L183" s="470" t="s">
        <v>103</v>
      </c>
      <c r="M183" s="470" t="s">
        <v>103</v>
      </c>
      <c r="N183" s="471">
        <f t="shared" si="49"/>
        <v>0</v>
      </c>
      <c r="P183" s="467">
        <v>3</v>
      </c>
      <c r="Q183" s="469">
        <v>980</v>
      </c>
      <c r="R183" s="472">
        <v>-0.6</v>
      </c>
      <c r="S183" s="470" t="s">
        <v>103</v>
      </c>
      <c r="T183" s="470" t="s">
        <v>103</v>
      </c>
      <c r="U183" s="471">
        <f t="shared" si="50"/>
        <v>0</v>
      </c>
    </row>
    <row r="184" spans="1:24" x14ac:dyDescent="0.2">
      <c r="A184" s="1241"/>
      <c r="B184" s="104">
        <v>4</v>
      </c>
      <c r="C184" s="108">
        <v>30</v>
      </c>
      <c r="D184" s="473">
        <v>-0.2</v>
      </c>
      <c r="E184" s="472" t="s">
        <v>103</v>
      </c>
      <c r="F184" s="470" t="s">
        <v>103</v>
      </c>
      <c r="G184" s="471">
        <f t="shared" si="48"/>
        <v>0</v>
      </c>
      <c r="I184" s="467">
        <v>4</v>
      </c>
      <c r="J184" s="469">
        <v>60</v>
      </c>
      <c r="K184" s="473">
        <v>9.9999999999999995E-7</v>
      </c>
      <c r="L184" s="472" t="s">
        <v>103</v>
      </c>
      <c r="M184" s="470" t="s">
        <v>103</v>
      </c>
      <c r="N184" s="471">
        <f t="shared" si="49"/>
        <v>0</v>
      </c>
      <c r="P184" s="467">
        <v>4</v>
      </c>
      <c r="Q184" s="469">
        <v>990</v>
      </c>
      <c r="R184" s="472">
        <v>-0.6</v>
      </c>
      <c r="S184" s="472" t="s">
        <v>103</v>
      </c>
      <c r="T184" s="470" t="s">
        <v>103</v>
      </c>
      <c r="U184" s="471">
        <f t="shared" si="50"/>
        <v>0</v>
      </c>
    </row>
    <row r="185" spans="1:24" x14ac:dyDescent="0.2">
      <c r="A185" s="1241"/>
      <c r="B185" s="104">
        <v>5</v>
      </c>
      <c r="C185" s="108">
        <v>35</v>
      </c>
      <c r="D185" s="473">
        <v>-0.5</v>
      </c>
      <c r="E185" s="472" t="s">
        <v>103</v>
      </c>
      <c r="F185" s="470" t="s">
        <v>103</v>
      </c>
      <c r="G185" s="471">
        <f t="shared" si="48"/>
        <v>0</v>
      </c>
      <c r="I185" s="467">
        <v>5</v>
      </c>
      <c r="J185" s="469">
        <v>70</v>
      </c>
      <c r="K185" s="473">
        <v>-0.3</v>
      </c>
      <c r="L185" s="472" t="s">
        <v>103</v>
      </c>
      <c r="M185" s="470" t="s">
        <v>103</v>
      </c>
      <c r="N185" s="471">
        <f t="shared" si="49"/>
        <v>0</v>
      </c>
      <c r="P185" s="467">
        <v>5</v>
      </c>
      <c r="Q185" s="469">
        <v>1000</v>
      </c>
      <c r="R185" s="472">
        <v>-0.6</v>
      </c>
      <c r="S185" s="472" t="s">
        <v>103</v>
      </c>
      <c r="T185" s="470" t="s">
        <v>103</v>
      </c>
      <c r="U185" s="471">
        <f t="shared" si="50"/>
        <v>0</v>
      </c>
    </row>
    <row r="186" spans="1:24" x14ac:dyDescent="0.2">
      <c r="A186" s="1241"/>
      <c r="B186" s="104">
        <v>6</v>
      </c>
      <c r="C186" s="108">
        <v>37</v>
      </c>
      <c r="D186" s="473">
        <v>-0.6</v>
      </c>
      <c r="E186" s="472" t="s">
        <v>103</v>
      </c>
      <c r="F186" s="470" t="s">
        <v>103</v>
      </c>
      <c r="G186" s="471">
        <f t="shared" si="48"/>
        <v>0</v>
      </c>
      <c r="I186" s="467">
        <v>6</v>
      </c>
      <c r="J186" s="469">
        <v>80</v>
      </c>
      <c r="K186" s="473">
        <v>-0.8</v>
      </c>
      <c r="L186" s="472" t="s">
        <v>103</v>
      </c>
      <c r="M186" s="470" t="s">
        <v>103</v>
      </c>
      <c r="N186" s="471">
        <f t="shared" si="49"/>
        <v>0</v>
      </c>
      <c r="P186" s="467">
        <v>6</v>
      </c>
      <c r="Q186" s="469">
        <v>1005</v>
      </c>
      <c r="R186" s="472">
        <v>-0.6</v>
      </c>
      <c r="S186" s="472" t="s">
        <v>103</v>
      </c>
      <c r="T186" s="470" t="s">
        <v>103</v>
      </c>
      <c r="U186" s="471">
        <f t="shared" si="50"/>
        <v>0</v>
      </c>
    </row>
    <row r="187" spans="1:24" x14ac:dyDescent="0.2">
      <c r="A187" s="1241"/>
      <c r="B187" s="104">
        <v>7</v>
      </c>
      <c r="C187" s="108">
        <v>40</v>
      </c>
      <c r="D187" s="473">
        <v>-0.8</v>
      </c>
      <c r="E187" s="472" t="s">
        <v>103</v>
      </c>
      <c r="F187" s="470" t="s">
        <v>103</v>
      </c>
      <c r="G187" s="471">
        <f t="shared" si="48"/>
        <v>0</v>
      </c>
      <c r="I187" s="467">
        <v>7</v>
      </c>
      <c r="J187" s="469">
        <v>90</v>
      </c>
      <c r="K187" s="473">
        <v>-1.4</v>
      </c>
      <c r="L187" s="472" t="s">
        <v>103</v>
      </c>
      <c r="M187" s="470" t="s">
        <v>103</v>
      </c>
      <c r="N187" s="471">
        <f t="shared" si="49"/>
        <v>0</v>
      </c>
      <c r="P187" s="467">
        <v>7</v>
      </c>
      <c r="Q187" s="469">
        <v>1020</v>
      </c>
      <c r="R187" s="472">
        <v>9.9999999999999995E-7</v>
      </c>
      <c r="S187" s="472" t="s">
        <v>103</v>
      </c>
      <c r="T187" s="470" t="s">
        <v>103</v>
      </c>
      <c r="U187" s="471">
        <f t="shared" si="50"/>
        <v>0</v>
      </c>
    </row>
    <row r="188" spans="1:24" ht="13.5" thickBot="1" x14ac:dyDescent="0.25">
      <c r="A188" s="120"/>
      <c r="C188" s="112"/>
      <c r="D188" s="112"/>
      <c r="E188" s="121"/>
      <c r="F188" s="112"/>
      <c r="J188" s="112"/>
      <c r="K188" s="112"/>
      <c r="L188" s="121"/>
      <c r="M188" s="112"/>
      <c r="Q188" s="112"/>
      <c r="R188" s="121"/>
      <c r="S188" s="121"/>
      <c r="T188" s="112"/>
    </row>
    <row r="189" spans="1:24" x14ac:dyDescent="0.2">
      <c r="A189" s="1241">
        <v>18</v>
      </c>
      <c r="B189" s="1233" t="s">
        <v>248</v>
      </c>
      <c r="C189" s="1233"/>
      <c r="D189" s="1233"/>
      <c r="E189" s="1233"/>
      <c r="F189" s="1233"/>
      <c r="G189" s="1233"/>
      <c r="I189" s="1233" t="str">
        <f>B189</f>
        <v>KOREKSI EXTECH A.100618</v>
      </c>
      <c r="J189" s="1233"/>
      <c r="K189" s="1233"/>
      <c r="L189" s="1233"/>
      <c r="M189" s="1233"/>
      <c r="N189" s="1233"/>
      <c r="P189" s="1233" t="str">
        <f>I189</f>
        <v>KOREKSI EXTECH A.100618</v>
      </c>
      <c r="Q189" s="1233"/>
      <c r="R189" s="1233"/>
      <c r="S189" s="1233"/>
      <c r="T189" s="1233"/>
      <c r="U189" s="1233"/>
      <c r="W189" s="1238" t="s">
        <v>224</v>
      </c>
      <c r="X189" s="1239"/>
    </row>
    <row r="190" spans="1:24" x14ac:dyDescent="0.2">
      <c r="A190" s="1241"/>
      <c r="B190" s="1240" t="s">
        <v>225</v>
      </c>
      <c r="C190" s="1240"/>
      <c r="D190" s="1240" t="s">
        <v>226</v>
      </c>
      <c r="E190" s="1240"/>
      <c r="F190" s="1240"/>
      <c r="G190" s="1240" t="s">
        <v>227</v>
      </c>
      <c r="I190" s="1240" t="s">
        <v>228</v>
      </c>
      <c r="J190" s="1240"/>
      <c r="K190" s="1240" t="s">
        <v>226</v>
      </c>
      <c r="L190" s="1240"/>
      <c r="M190" s="1240"/>
      <c r="N190" s="1240" t="s">
        <v>227</v>
      </c>
      <c r="P190" s="1240" t="s">
        <v>229</v>
      </c>
      <c r="Q190" s="1240"/>
      <c r="R190" s="1240" t="s">
        <v>226</v>
      </c>
      <c r="S190" s="1240"/>
      <c r="T190" s="1240"/>
      <c r="U190" s="1240" t="s">
        <v>227</v>
      </c>
      <c r="W190" s="101" t="s">
        <v>225</v>
      </c>
      <c r="X190" s="102">
        <v>0.3</v>
      </c>
    </row>
    <row r="191" spans="1:24" ht="15" x14ac:dyDescent="0.2">
      <c r="A191" s="1241"/>
      <c r="B191" s="1228" t="s">
        <v>230</v>
      </c>
      <c r="C191" s="1228"/>
      <c r="D191" s="103">
        <v>2020</v>
      </c>
      <c r="E191" s="117" t="s">
        <v>103</v>
      </c>
      <c r="F191" s="103" t="s">
        <v>103</v>
      </c>
      <c r="G191" s="1240"/>
      <c r="I191" s="1227" t="s">
        <v>16</v>
      </c>
      <c r="J191" s="1228"/>
      <c r="K191" s="118">
        <f>D191</f>
        <v>2020</v>
      </c>
      <c r="L191" s="118" t="str">
        <f>E191</f>
        <v>-</v>
      </c>
      <c r="M191" s="118" t="str">
        <f>F191</f>
        <v>-</v>
      </c>
      <c r="N191" s="1240"/>
      <c r="P191" s="1227" t="s">
        <v>231</v>
      </c>
      <c r="Q191" s="1228"/>
      <c r="R191" s="118">
        <f>K191</f>
        <v>2020</v>
      </c>
      <c r="S191" s="118" t="str">
        <f>L191</f>
        <v>-</v>
      </c>
      <c r="T191" s="118" t="str">
        <f>M191</f>
        <v>-</v>
      </c>
      <c r="U191" s="1240"/>
      <c r="W191" s="101" t="s">
        <v>16</v>
      </c>
      <c r="X191" s="102">
        <v>1.6</v>
      </c>
    </row>
    <row r="192" spans="1:24" ht="13.5" thickBot="1" x14ac:dyDescent="0.25">
      <c r="A192" s="1241"/>
      <c r="B192" s="467">
        <v>1</v>
      </c>
      <c r="C192" s="468">
        <v>15</v>
      </c>
      <c r="D192" s="470">
        <v>9.9999999999999995E-7</v>
      </c>
      <c r="E192" s="470" t="s">
        <v>103</v>
      </c>
      <c r="F192" s="470" t="s">
        <v>103</v>
      </c>
      <c r="G192" s="471">
        <f>0.5*(MAX(D192:F192)-MIN(D192:F192))</f>
        <v>0</v>
      </c>
      <c r="I192" s="467">
        <v>1</v>
      </c>
      <c r="J192" s="468">
        <v>30</v>
      </c>
      <c r="K192" s="470">
        <v>-0.4</v>
      </c>
      <c r="L192" s="470" t="s">
        <v>103</v>
      </c>
      <c r="M192" s="470" t="s">
        <v>103</v>
      </c>
      <c r="N192" s="471">
        <f>0.5*(MAX(K192:M192)-MIN(K192:M192))</f>
        <v>0</v>
      </c>
      <c r="P192" s="467">
        <v>1</v>
      </c>
      <c r="Q192" s="468">
        <v>800</v>
      </c>
      <c r="R192" s="474">
        <v>-1.5</v>
      </c>
      <c r="S192" s="470" t="s">
        <v>103</v>
      </c>
      <c r="T192" s="470" t="s">
        <v>103</v>
      </c>
      <c r="U192" s="471">
        <f>0.5*(MAX(R192:T192)-MIN(R192:T192))</f>
        <v>0</v>
      </c>
      <c r="W192" s="106" t="s">
        <v>231</v>
      </c>
      <c r="X192" s="107">
        <v>2.4</v>
      </c>
    </row>
    <row r="193" spans="1:24" x14ac:dyDescent="0.2">
      <c r="A193" s="1241"/>
      <c r="B193" s="467">
        <v>2</v>
      </c>
      <c r="C193" s="468">
        <v>20</v>
      </c>
      <c r="D193" s="470">
        <v>-0.1</v>
      </c>
      <c r="E193" s="470" t="s">
        <v>103</v>
      </c>
      <c r="F193" s="470" t="s">
        <v>103</v>
      </c>
      <c r="G193" s="471">
        <f t="shared" ref="G193:G198" si="51">0.5*(MAX(D193:F193)-MIN(D193:F193))</f>
        <v>0</v>
      </c>
      <c r="I193" s="467">
        <v>2</v>
      </c>
      <c r="J193" s="468">
        <v>40</v>
      </c>
      <c r="K193" s="470">
        <v>-0.2</v>
      </c>
      <c r="L193" s="470" t="s">
        <v>103</v>
      </c>
      <c r="M193" s="470" t="s">
        <v>103</v>
      </c>
      <c r="N193" s="471">
        <f t="shared" ref="N193:N198" si="52">0.5*(MAX(K193:M193)-MIN(K193:M193))</f>
        <v>0</v>
      </c>
      <c r="P193" s="467">
        <v>2</v>
      </c>
      <c r="Q193" s="468">
        <v>850</v>
      </c>
      <c r="R193" s="474">
        <v>-1.3</v>
      </c>
      <c r="S193" s="470" t="s">
        <v>103</v>
      </c>
      <c r="T193" s="470" t="s">
        <v>103</v>
      </c>
      <c r="U193" s="471">
        <f t="shared" ref="U193:U198" si="53">0.5*(MAX(R193:T193)-MIN(R193:T193))</f>
        <v>0</v>
      </c>
    </row>
    <row r="194" spans="1:24" x14ac:dyDescent="0.2">
      <c r="A194" s="1241"/>
      <c r="B194" s="467">
        <v>3</v>
      </c>
      <c r="C194" s="468">
        <v>25</v>
      </c>
      <c r="D194" s="470">
        <v>-0.2</v>
      </c>
      <c r="E194" s="470" t="s">
        <v>103</v>
      </c>
      <c r="F194" s="470" t="s">
        <v>103</v>
      </c>
      <c r="G194" s="471">
        <f t="shared" si="51"/>
        <v>0</v>
      </c>
      <c r="I194" s="467">
        <v>3</v>
      </c>
      <c r="J194" s="468">
        <v>50</v>
      </c>
      <c r="K194" s="470">
        <v>-0.2</v>
      </c>
      <c r="L194" s="470" t="s">
        <v>103</v>
      </c>
      <c r="M194" s="470" t="s">
        <v>103</v>
      </c>
      <c r="N194" s="471">
        <f t="shared" si="52"/>
        <v>0</v>
      </c>
      <c r="P194" s="467">
        <v>3</v>
      </c>
      <c r="Q194" s="469">
        <v>900</v>
      </c>
      <c r="R194" s="472">
        <v>-1.1000000000000001</v>
      </c>
      <c r="S194" s="470" t="s">
        <v>103</v>
      </c>
      <c r="T194" s="470" t="s">
        <v>103</v>
      </c>
      <c r="U194" s="471">
        <f t="shared" si="53"/>
        <v>0</v>
      </c>
    </row>
    <row r="195" spans="1:24" x14ac:dyDescent="0.2">
      <c r="A195" s="1241"/>
      <c r="B195" s="467">
        <v>4</v>
      </c>
      <c r="C195" s="469">
        <v>30</v>
      </c>
      <c r="D195" s="473">
        <v>-0.2</v>
      </c>
      <c r="E195" s="472" t="s">
        <v>103</v>
      </c>
      <c r="F195" s="470" t="s">
        <v>103</v>
      </c>
      <c r="G195" s="471">
        <f t="shared" si="51"/>
        <v>0</v>
      </c>
      <c r="I195" s="467">
        <v>4</v>
      </c>
      <c r="J195" s="469">
        <v>60</v>
      </c>
      <c r="K195" s="473">
        <v>-0.2</v>
      </c>
      <c r="L195" s="472" t="s">
        <v>103</v>
      </c>
      <c r="M195" s="470" t="s">
        <v>103</v>
      </c>
      <c r="N195" s="471">
        <f t="shared" si="52"/>
        <v>0</v>
      </c>
      <c r="P195" s="467">
        <v>4</v>
      </c>
      <c r="Q195" s="469">
        <v>950</v>
      </c>
      <c r="R195" s="472">
        <v>-0.9</v>
      </c>
      <c r="S195" s="472" t="s">
        <v>103</v>
      </c>
      <c r="T195" s="470" t="s">
        <v>103</v>
      </c>
      <c r="U195" s="471">
        <f t="shared" si="53"/>
        <v>0</v>
      </c>
    </row>
    <row r="196" spans="1:24" x14ac:dyDescent="0.2">
      <c r="A196" s="1241"/>
      <c r="B196" s="467">
        <v>5</v>
      </c>
      <c r="C196" s="469">
        <v>35</v>
      </c>
      <c r="D196" s="473">
        <v>-0.3</v>
      </c>
      <c r="E196" s="472" t="s">
        <v>103</v>
      </c>
      <c r="F196" s="470" t="s">
        <v>103</v>
      </c>
      <c r="G196" s="471">
        <f t="shared" si="51"/>
        <v>0</v>
      </c>
      <c r="I196" s="467">
        <v>5</v>
      </c>
      <c r="J196" s="469">
        <v>70</v>
      </c>
      <c r="K196" s="473">
        <v>-0.3</v>
      </c>
      <c r="L196" s="472" t="s">
        <v>103</v>
      </c>
      <c r="M196" s="470" t="s">
        <v>103</v>
      </c>
      <c r="N196" s="471">
        <f t="shared" si="52"/>
        <v>0</v>
      </c>
      <c r="P196" s="467">
        <v>5</v>
      </c>
      <c r="Q196" s="469">
        <v>1000</v>
      </c>
      <c r="R196" s="472">
        <v>-0.8</v>
      </c>
      <c r="S196" s="472" t="s">
        <v>103</v>
      </c>
      <c r="T196" s="470" t="s">
        <v>103</v>
      </c>
      <c r="U196" s="471">
        <f t="shared" si="53"/>
        <v>0</v>
      </c>
    </row>
    <row r="197" spans="1:24" x14ac:dyDescent="0.2">
      <c r="A197" s="1241"/>
      <c r="B197" s="467">
        <v>6</v>
      </c>
      <c r="C197" s="469">
        <v>37</v>
      </c>
      <c r="D197" s="473">
        <v>-0.3</v>
      </c>
      <c r="E197" s="472" t="s">
        <v>103</v>
      </c>
      <c r="F197" s="470" t="s">
        <v>103</v>
      </c>
      <c r="G197" s="471">
        <f t="shared" si="51"/>
        <v>0</v>
      </c>
      <c r="I197" s="467">
        <v>6</v>
      </c>
      <c r="J197" s="469">
        <v>80</v>
      </c>
      <c r="K197" s="473">
        <v>-0.5</v>
      </c>
      <c r="L197" s="472" t="s">
        <v>103</v>
      </c>
      <c r="M197" s="470" t="s">
        <v>103</v>
      </c>
      <c r="N197" s="471">
        <f t="shared" si="52"/>
        <v>0</v>
      </c>
      <c r="P197" s="467">
        <v>6</v>
      </c>
      <c r="Q197" s="469">
        <v>1005</v>
      </c>
      <c r="R197" s="472">
        <v>-0.7</v>
      </c>
      <c r="S197" s="472" t="s">
        <v>103</v>
      </c>
      <c r="T197" s="470" t="s">
        <v>103</v>
      </c>
      <c r="U197" s="471">
        <f t="shared" si="53"/>
        <v>0</v>
      </c>
    </row>
    <row r="198" spans="1:24" x14ac:dyDescent="0.2">
      <c r="A198" s="1241"/>
      <c r="B198" s="467">
        <v>7</v>
      </c>
      <c r="C198" s="469">
        <v>40</v>
      </c>
      <c r="D198" s="473">
        <v>-0.4</v>
      </c>
      <c r="E198" s="472" t="s">
        <v>103</v>
      </c>
      <c r="F198" s="470" t="s">
        <v>103</v>
      </c>
      <c r="G198" s="471">
        <f t="shared" si="51"/>
        <v>0</v>
      </c>
      <c r="I198" s="467">
        <v>7</v>
      </c>
      <c r="J198" s="469">
        <v>90</v>
      </c>
      <c r="K198" s="473">
        <v>-0.8</v>
      </c>
      <c r="L198" s="472" t="s">
        <v>103</v>
      </c>
      <c r="M198" s="470" t="s">
        <v>103</v>
      </c>
      <c r="N198" s="471">
        <f t="shared" si="52"/>
        <v>0</v>
      </c>
      <c r="P198" s="467">
        <v>7</v>
      </c>
      <c r="Q198" s="469">
        <v>1020</v>
      </c>
      <c r="R198" s="472">
        <v>9.9999999999999995E-7</v>
      </c>
      <c r="S198" s="472" t="s">
        <v>103</v>
      </c>
      <c r="T198" s="470" t="s">
        <v>103</v>
      </c>
      <c r="U198" s="471">
        <f t="shared" si="53"/>
        <v>0</v>
      </c>
    </row>
    <row r="199" spans="1:24" ht="13.5" thickBot="1" x14ac:dyDescent="0.25">
      <c r="A199" s="120"/>
      <c r="C199" s="112"/>
      <c r="D199" s="112"/>
      <c r="E199" s="121"/>
      <c r="F199" s="112"/>
      <c r="I199" s="112"/>
      <c r="J199" s="112"/>
      <c r="K199" s="121"/>
      <c r="L199" s="112"/>
      <c r="O199" s="112"/>
      <c r="P199" s="121"/>
      <c r="Q199" s="121"/>
      <c r="R199" s="112"/>
    </row>
    <row r="200" spans="1:24" x14ac:dyDescent="0.2">
      <c r="A200" s="1241">
        <v>19</v>
      </c>
      <c r="B200" s="1233" t="s">
        <v>249</v>
      </c>
      <c r="C200" s="1233"/>
      <c r="D200" s="1233"/>
      <c r="E200" s="1233"/>
      <c r="F200" s="1233"/>
      <c r="G200" s="1233"/>
      <c r="I200" s="1233" t="str">
        <f>B200</f>
        <v>KOREKSI EXTECH A.100615</v>
      </c>
      <c r="J200" s="1233"/>
      <c r="K200" s="1233"/>
      <c r="L200" s="1233"/>
      <c r="M200" s="1233"/>
      <c r="N200" s="1233"/>
      <c r="P200" s="1233" t="str">
        <f>I200</f>
        <v>KOREKSI EXTECH A.100615</v>
      </c>
      <c r="Q200" s="1233"/>
      <c r="R200" s="1233"/>
      <c r="S200" s="1233"/>
      <c r="T200" s="1233"/>
      <c r="U200" s="1233"/>
      <c r="W200" s="1238" t="s">
        <v>224</v>
      </c>
      <c r="X200" s="1239"/>
    </row>
    <row r="201" spans="1:24" x14ac:dyDescent="0.2">
      <c r="A201" s="1241"/>
      <c r="B201" s="1240" t="s">
        <v>225</v>
      </c>
      <c r="C201" s="1240"/>
      <c r="D201" s="1240" t="s">
        <v>226</v>
      </c>
      <c r="E201" s="1240"/>
      <c r="F201" s="1240"/>
      <c r="G201" s="1240" t="s">
        <v>227</v>
      </c>
      <c r="I201" s="1240" t="s">
        <v>228</v>
      </c>
      <c r="J201" s="1240"/>
      <c r="K201" s="1240" t="s">
        <v>226</v>
      </c>
      <c r="L201" s="1240"/>
      <c r="M201" s="1240"/>
      <c r="N201" s="1240" t="s">
        <v>227</v>
      </c>
      <c r="P201" s="1240" t="s">
        <v>229</v>
      </c>
      <c r="Q201" s="1240"/>
      <c r="R201" s="1240" t="s">
        <v>226</v>
      </c>
      <c r="S201" s="1240"/>
      <c r="T201" s="1240"/>
      <c r="U201" s="1240" t="s">
        <v>227</v>
      </c>
      <c r="W201" s="101" t="s">
        <v>225</v>
      </c>
      <c r="X201" s="102">
        <v>0.1</v>
      </c>
    </row>
    <row r="202" spans="1:24" ht="15" x14ac:dyDescent="0.2">
      <c r="A202" s="1241"/>
      <c r="B202" s="1228" t="s">
        <v>230</v>
      </c>
      <c r="C202" s="1228"/>
      <c r="D202" s="103">
        <v>2021</v>
      </c>
      <c r="E202" s="117" t="s">
        <v>103</v>
      </c>
      <c r="F202" s="103" t="s">
        <v>103</v>
      </c>
      <c r="G202" s="1240"/>
      <c r="I202" s="1227" t="s">
        <v>16</v>
      </c>
      <c r="J202" s="1228"/>
      <c r="K202" s="118">
        <f>D202</f>
        <v>2021</v>
      </c>
      <c r="L202" s="118" t="str">
        <f>E202</f>
        <v>-</v>
      </c>
      <c r="M202" s="118" t="str">
        <f>F202</f>
        <v>-</v>
      </c>
      <c r="N202" s="1240"/>
      <c r="P202" s="1227" t="s">
        <v>231</v>
      </c>
      <c r="Q202" s="1228"/>
      <c r="R202" s="118">
        <f>K202</f>
        <v>2021</v>
      </c>
      <c r="S202" s="118" t="str">
        <f>L202</f>
        <v>-</v>
      </c>
      <c r="T202" s="118" t="str">
        <f>M202</f>
        <v>-</v>
      </c>
      <c r="U202" s="1240"/>
      <c r="W202" s="101" t="s">
        <v>16</v>
      </c>
      <c r="X202" s="102">
        <v>1.5</v>
      </c>
    </row>
    <row r="203" spans="1:24" ht="13.5" thickBot="1" x14ac:dyDescent="0.25">
      <c r="A203" s="1241"/>
      <c r="B203" s="467">
        <v>1</v>
      </c>
      <c r="C203" s="468">
        <v>15</v>
      </c>
      <c r="D203" s="470">
        <v>9.9999999999999995E-7</v>
      </c>
      <c r="E203" s="470" t="s">
        <v>103</v>
      </c>
      <c r="F203" s="470" t="s">
        <v>103</v>
      </c>
      <c r="G203" s="471">
        <f>0.5*(MAX(D203:F203)-MIN(D203:F203))</f>
        <v>0</v>
      </c>
      <c r="I203" s="467">
        <v>1</v>
      </c>
      <c r="J203" s="468">
        <v>30</v>
      </c>
      <c r="K203" s="470">
        <v>-1.5</v>
      </c>
      <c r="L203" s="470" t="s">
        <v>103</v>
      </c>
      <c r="M203" s="470" t="s">
        <v>103</v>
      </c>
      <c r="N203" s="471">
        <f>0.5*(MAX(K203:M203)-MIN(K203:M203))</f>
        <v>0</v>
      </c>
      <c r="P203" s="467">
        <v>1</v>
      </c>
      <c r="Q203" s="468">
        <v>750</v>
      </c>
      <c r="R203" s="474">
        <v>2.5</v>
      </c>
      <c r="S203" s="470" t="s">
        <v>103</v>
      </c>
      <c r="T203" s="470" t="s">
        <v>103</v>
      </c>
      <c r="U203" s="471">
        <f>0.5*(MAX(R203:T203)-MIN(R203:T203))</f>
        <v>0</v>
      </c>
      <c r="W203" s="106" t="s">
        <v>231</v>
      </c>
      <c r="X203" s="107">
        <v>0.4</v>
      </c>
    </row>
    <row r="204" spans="1:24" x14ac:dyDescent="0.2">
      <c r="A204" s="1241"/>
      <c r="B204" s="467">
        <v>2</v>
      </c>
      <c r="C204" s="468">
        <v>20</v>
      </c>
      <c r="D204" s="470">
        <v>0.1</v>
      </c>
      <c r="E204" s="470" t="s">
        <v>103</v>
      </c>
      <c r="F204" s="470" t="s">
        <v>103</v>
      </c>
      <c r="G204" s="471">
        <f t="shared" ref="G204:G209" si="54">0.5*(MAX(D204:F204)-MIN(D204:F204))</f>
        <v>0</v>
      </c>
      <c r="I204" s="467">
        <v>2</v>
      </c>
      <c r="J204" s="468">
        <v>40</v>
      </c>
      <c r="K204" s="470">
        <v>-0.8</v>
      </c>
      <c r="L204" s="470" t="s">
        <v>103</v>
      </c>
      <c r="M204" s="470" t="s">
        <v>103</v>
      </c>
      <c r="N204" s="471">
        <f t="shared" ref="N204:N209" si="55">0.5*(MAX(K204:M204)-MIN(K204:M204))</f>
        <v>0</v>
      </c>
      <c r="P204" s="467">
        <v>2</v>
      </c>
      <c r="Q204" s="468">
        <v>800</v>
      </c>
      <c r="R204" s="474">
        <v>2.5</v>
      </c>
      <c r="S204" s="470" t="s">
        <v>103</v>
      </c>
      <c r="T204" s="470" t="s">
        <v>103</v>
      </c>
      <c r="U204" s="471">
        <f t="shared" ref="U204:U209" si="56">0.5*(MAX(R204:T204)-MIN(R204:T204))</f>
        <v>0</v>
      </c>
    </row>
    <row r="205" spans="1:24" x14ac:dyDescent="0.2">
      <c r="A205" s="1241"/>
      <c r="B205" s="467">
        <v>3</v>
      </c>
      <c r="C205" s="468">
        <v>25</v>
      </c>
      <c r="D205" s="470">
        <v>9.9999999999999995E-7</v>
      </c>
      <c r="E205" s="470" t="s">
        <v>103</v>
      </c>
      <c r="F205" s="470" t="s">
        <v>103</v>
      </c>
      <c r="G205" s="471">
        <f t="shared" si="54"/>
        <v>0</v>
      </c>
      <c r="I205" s="467">
        <v>3</v>
      </c>
      <c r="J205" s="468">
        <v>50</v>
      </c>
      <c r="K205" s="470">
        <v>-0.2</v>
      </c>
      <c r="L205" s="470" t="s">
        <v>103</v>
      </c>
      <c r="M205" s="470" t="s">
        <v>103</v>
      </c>
      <c r="N205" s="471">
        <f t="shared" si="55"/>
        <v>0</v>
      </c>
      <c r="P205" s="467">
        <v>3</v>
      </c>
      <c r="Q205" s="468">
        <v>850</v>
      </c>
      <c r="R205" s="474">
        <v>2.4</v>
      </c>
      <c r="S205" s="470" t="s">
        <v>103</v>
      </c>
      <c r="T205" s="470" t="s">
        <v>103</v>
      </c>
      <c r="U205" s="471">
        <f t="shared" si="56"/>
        <v>0</v>
      </c>
    </row>
    <row r="206" spans="1:24" x14ac:dyDescent="0.2">
      <c r="A206" s="1241"/>
      <c r="B206" s="467">
        <v>4</v>
      </c>
      <c r="C206" s="469">
        <v>30</v>
      </c>
      <c r="D206" s="473">
        <v>-0.1</v>
      </c>
      <c r="E206" s="472" t="s">
        <v>103</v>
      </c>
      <c r="F206" s="470" t="s">
        <v>103</v>
      </c>
      <c r="G206" s="471">
        <f t="shared" si="54"/>
        <v>0</v>
      </c>
      <c r="I206" s="467">
        <v>4</v>
      </c>
      <c r="J206" s="469">
        <v>60</v>
      </c>
      <c r="K206" s="473">
        <v>0.4</v>
      </c>
      <c r="L206" s="472" t="s">
        <v>103</v>
      </c>
      <c r="M206" s="470" t="s">
        <v>103</v>
      </c>
      <c r="N206" s="471">
        <f t="shared" si="55"/>
        <v>0</v>
      </c>
      <c r="P206" s="467">
        <v>4</v>
      </c>
      <c r="Q206" s="469">
        <v>900</v>
      </c>
      <c r="R206" s="472">
        <v>2.2999999999999998</v>
      </c>
      <c r="S206" s="472" t="s">
        <v>103</v>
      </c>
      <c r="T206" s="470" t="s">
        <v>103</v>
      </c>
      <c r="U206" s="471">
        <f t="shared" si="56"/>
        <v>0</v>
      </c>
    </row>
    <row r="207" spans="1:24" x14ac:dyDescent="0.2">
      <c r="A207" s="1241"/>
      <c r="B207" s="467">
        <v>5</v>
      </c>
      <c r="C207" s="469">
        <v>35</v>
      </c>
      <c r="D207" s="473">
        <v>-0.1</v>
      </c>
      <c r="E207" s="472" t="s">
        <v>103</v>
      </c>
      <c r="F207" s="470" t="s">
        <v>103</v>
      </c>
      <c r="G207" s="471">
        <f t="shared" si="54"/>
        <v>0</v>
      </c>
      <c r="I207" s="467">
        <v>5</v>
      </c>
      <c r="J207" s="469">
        <v>70</v>
      </c>
      <c r="K207" s="473">
        <v>-0.7</v>
      </c>
      <c r="L207" s="472" t="s">
        <v>103</v>
      </c>
      <c r="M207" s="470" t="s">
        <v>103</v>
      </c>
      <c r="N207" s="471">
        <f t="shared" si="55"/>
        <v>0</v>
      </c>
      <c r="P207" s="467">
        <v>5</v>
      </c>
      <c r="Q207" s="469">
        <v>1000</v>
      </c>
      <c r="R207" s="472">
        <v>2.2000000000000002</v>
      </c>
      <c r="S207" s="472" t="s">
        <v>103</v>
      </c>
      <c r="T207" s="470" t="s">
        <v>103</v>
      </c>
      <c r="U207" s="471">
        <f t="shared" si="56"/>
        <v>0</v>
      </c>
    </row>
    <row r="208" spans="1:24" x14ac:dyDescent="0.2">
      <c r="A208" s="1241"/>
      <c r="B208" s="467">
        <v>6</v>
      </c>
      <c r="C208" s="469">
        <v>37</v>
      </c>
      <c r="D208" s="473">
        <v>9.9999999999999995E-7</v>
      </c>
      <c r="E208" s="472" t="s">
        <v>103</v>
      </c>
      <c r="F208" s="470" t="s">
        <v>103</v>
      </c>
      <c r="G208" s="471">
        <f t="shared" si="54"/>
        <v>0</v>
      </c>
      <c r="I208" s="467">
        <v>6</v>
      </c>
      <c r="J208" s="469">
        <v>80</v>
      </c>
      <c r="K208" s="473">
        <v>-0.9</v>
      </c>
      <c r="L208" s="472" t="s">
        <v>103</v>
      </c>
      <c r="M208" s="470" t="s">
        <v>103</v>
      </c>
      <c r="N208" s="471">
        <f t="shared" si="55"/>
        <v>0</v>
      </c>
      <c r="P208" s="467">
        <v>6</v>
      </c>
      <c r="Q208" s="469">
        <v>1005</v>
      </c>
      <c r="R208" s="472">
        <v>2.2000000000000002</v>
      </c>
      <c r="S208" s="472" t="s">
        <v>103</v>
      </c>
      <c r="T208" s="470" t="s">
        <v>103</v>
      </c>
      <c r="U208" s="471">
        <f t="shared" si="56"/>
        <v>0</v>
      </c>
    </row>
    <row r="209" spans="1:31" x14ac:dyDescent="0.2">
      <c r="A209" s="1241"/>
      <c r="B209" s="467">
        <v>7</v>
      </c>
      <c r="C209" s="469">
        <v>40</v>
      </c>
      <c r="D209" s="473">
        <v>0.2</v>
      </c>
      <c r="E209" s="472" t="s">
        <v>103</v>
      </c>
      <c r="F209" s="470" t="s">
        <v>103</v>
      </c>
      <c r="G209" s="471">
        <f t="shared" si="54"/>
        <v>0</v>
      </c>
      <c r="I209" s="467">
        <v>7</v>
      </c>
      <c r="J209" s="469">
        <v>90</v>
      </c>
      <c r="K209" s="473">
        <v>-0.6</v>
      </c>
      <c r="L209" s="472" t="s">
        <v>103</v>
      </c>
      <c r="M209" s="470" t="s">
        <v>103</v>
      </c>
      <c r="N209" s="471">
        <f t="shared" si="55"/>
        <v>0</v>
      </c>
      <c r="P209" s="467">
        <v>7</v>
      </c>
      <c r="Q209" s="469">
        <v>1020</v>
      </c>
      <c r="R209" s="472">
        <v>2.2999999999999998</v>
      </c>
      <c r="S209" s="472" t="s">
        <v>103</v>
      </c>
      <c r="T209" s="470" t="s">
        <v>103</v>
      </c>
      <c r="U209" s="471">
        <f t="shared" si="56"/>
        <v>0</v>
      </c>
    </row>
    <row r="210" spans="1:31" ht="13.5" thickBot="1" x14ac:dyDescent="0.25">
      <c r="A210" s="120"/>
      <c r="C210" s="112"/>
      <c r="D210" s="112"/>
      <c r="E210" s="121"/>
      <c r="F210" s="112"/>
      <c r="J210" s="112"/>
      <c r="K210" s="112"/>
      <c r="L210" s="121"/>
      <c r="M210" s="112"/>
      <c r="Q210" s="112"/>
      <c r="R210" s="121"/>
      <c r="S210" s="121"/>
      <c r="T210" s="112"/>
    </row>
    <row r="211" spans="1:31" x14ac:dyDescent="0.2">
      <c r="A211" s="1229">
        <v>20</v>
      </c>
      <c r="B211" s="1230">
        <v>20</v>
      </c>
      <c r="C211" s="1230"/>
      <c r="D211" s="1230"/>
      <c r="E211" s="1230"/>
      <c r="F211" s="1230"/>
      <c r="G211" s="1230"/>
      <c r="H211" s="122"/>
      <c r="I211" s="1230">
        <f>B211</f>
        <v>20</v>
      </c>
      <c r="J211" s="1230"/>
      <c r="K211" s="1230"/>
      <c r="L211" s="1230"/>
      <c r="M211" s="1230"/>
      <c r="N211" s="1230"/>
      <c r="O211" s="122"/>
      <c r="P211" s="1230">
        <f>I211</f>
        <v>20</v>
      </c>
      <c r="Q211" s="1230"/>
      <c r="R211" s="1230"/>
      <c r="S211" s="1230"/>
      <c r="T211" s="1230"/>
      <c r="U211" s="1230"/>
      <c r="W211" s="1238" t="s">
        <v>224</v>
      </c>
      <c r="X211" s="1239"/>
    </row>
    <row r="212" spans="1:31" x14ac:dyDescent="0.2">
      <c r="A212" s="1229"/>
      <c r="B212" s="1240" t="s">
        <v>225</v>
      </c>
      <c r="C212" s="1240"/>
      <c r="D212" s="1240" t="s">
        <v>226</v>
      </c>
      <c r="E212" s="1240"/>
      <c r="F212" s="1240"/>
      <c r="G212" s="1240" t="s">
        <v>227</v>
      </c>
      <c r="I212" s="1240" t="s">
        <v>228</v>
      </c>
      <c r="J212" s="1240"/>
      <c r="K212" s="1240" t="s">
        <v>226</v>
      </c>
      <c r="L212" s="1240"/>
      <c r="M212" s="1240"/>
      <c r="N212" s="1240" t="s">
        <v>227</v>
      </c>
      <c r="P212" s="1240" t="s">
        <v>229</v>
      </c>
      <c r="Q212" s="1240"/>
      <c r="R212" s="1240" t="s">
        <v>226</v>
      </c>
      <c r="S212" s="1240"/>
      <c r="T212" s="1240"/>
      <c r="U212" s="1240" t="s">
        <v>227</v>
      </c>
      <c r="W212" s="101" t="s">
        <v>225</v>
      </c>
      <c r="X212" s="102">
        <v>0</v>
      </c>
    </row>
    <row r="213" spans="1:31" ht="15" x14ac:dyDescent="0.2">
      <c r="A213" s="1229"/>
      <c r="B213" s="1228" t="s">
        <v>230</v>
      </c>
      <c r="C213" s="1228"/>
      <c r="D213" s="103">
        <v>2017</v>
      </c>
      <c r="E213" s="117" t="s">
        <v>103</v>
      </c>
      <c r="F213" s="103" t="s">
        <v>103</v>
      </c>
      <c r="G213" s="1240"/>
      <c r="I213" s="1227" t="s">
        <v>16</v>
      </c>
      <c r="J213" s="1228"/>
      <c r="K213" s="118">
        <f>D213</f>
        <v>2017</v>
      </c>
      <c r="L213" s="118" t="str">
        <f>E213</f>
        <v>-</v>
      </c>
      <c r="M213" s="118" t="str">
        <f>F213</f>
        <v>-</v>
      </c>
      <c r="N213" s="1240"/>
      <c r="P213" s="1227" t="s">
        <v>231</v>
      </c>
      <c r="Q213" s="1228"/>
      <c r="R213" s="118">
        <f>K213</f>
        <v>2017</v>
      </c>
      <c r="S213" s="118" t="str">
        <f>L213</f>
        <v>-</v>
      </c>
      <c r="T213" s="118" t="str">
        <f>M213</f>
        <v>-</v>
      </c>
      <c r="U213" s="1240"/>
      <c r="W213" s="101" t="s">
        <v>16</v>
      </c>
      <c r="X213" s="102">
        <v>0</v>
      </c>
    </row>
    <row r="214" spans="1:31" ht="13.5" thickBot="1" x14ac:dyDescent="0.25">
      <c r="A214" s="1229"/>
      <c r="B214" s="467">
        <v>1</v>
      </c>
      <c r="C214" s="468">
        <v>14.8</v>
      </c>
      <c r="D214" s="470" t="s">
        <v>103</v>
      </c>
      <c r="E214" s="470" t="s">
        <v>103</v>
      </c>
      <c r="F214" s="470" t="s">
        <v>103</v>
      </c>
      <c r="G214" s="471">
        <f>0.5*(MAX(D214:F214)-MIN(D214:F214))</f>
        <v>0</v>
      </c>
      <c r="I214" s="467">
        <v>1</v>
      </c>
      <c r="J214" s="468">
        <v>45.7</v>
      </c>
      <c r="K214" s="470" t="s">
        <v>103</v>
      </c>
      <c r="L214" s="470" t="s">
        <v>103</v>
      </c>
      <c r="M214" s="470" t="s">
        <v>103</v>
      </c>
      <c r="N214" s="471">
        <f>0.5*(MAX(K214:M214)-MIN(K214:M214))</f>
        <v>0</v>
      </c>
      <c r="P214" s="467">
        <v>1</v>
      </c>
      <c r="Q214" s="468">
        <v>750</v>
      </c>
      <c r="R214" s="470" t="s">
        <v>103</v>
      </c>
      <c r="S214" s="470" t="s">
        <v>103</v>
      </c>
      <c r="T214" s="470" t="s">
        <v>103</v>
      </c>
      <c r="U214" s="471">
        <f>0.5*(MAX(R214:T214)-MIN(R214:T214))</f>
        <v>0</v>
      </c>
      <c r="W214" s="106" t="s">
        <v>231</v>
      </c>
      <c r="X214" s="107">
        <v>0</v>
      </c>
    </row>
    <row r="215" spans="1:31" x14ac:dyDescent="0.2">
      <c r="A215" s="1229"/>
      <c r="B215" s="467">
        <v>2</v>
      </c>
      <c r="C215" s="468">
        <v>19.7</v>
      </c>
      <c r="D215" s="470" t="s">
        <v>103</v>
      </c>
      <c r="E215" s="470" t="s">
        <v>103</v>
      </c>
      <c r="F215" s="470" t="s">
        <v>103</v>
      </c>
      <c r="G215" s="471">
        <f t="shared" ref="G215:G220" si="57">0.5*(MAX(D215:F215)-MIN(D215:F215))</f>
        <v>0</v>
      </c>
      <c r="I215" s="467">
        <v>2</v>
      </c>
      <c r="J215" s="468">
        <v>54.3</v>
      </c>
      <c r="K215" s="470" t="s">
        <v>103</v>
      </c>
      <c r="L215" s="470" t="s">
        <v>103</v>
      </c>
      <c r="M215" s="470" t="s">
        <v>103</v>
      </c>
      <c r="N215" s="471">
        <f t="shared" ref="N215:N220" si="58">0.5*(MAX(K215:M215)-MIN(K215:M215))</f>
        <v>0</v>
      </c>
      <c r="P215" s="467">
        <v>2</v>
      </c>
      <c r="Q215" s="468">
        <v>800</v>
      </c>
      <c r="R215" s="470" t="s">
        <v>103</v>
      </c>
      <c r="S215" s="470" t="s">
        <v>103</v>
      </c>
      <c r="T215" s="470" t="s">
        <v>103</v>
      </c>
      <c r="U215" s="471">
        <f t="shared" ref="U215:U220" si="59">0.5*(MAX(R215:T215)-MIN(R215:T215))</f>
        <v>0</v>
      </c>
    </row>
    <row r="216" spans="1:31" x14ac:dyDescent="0.2">
      <c r="A216" s="1229"/>
      <c r="B216" s="467">
        <v>3</v>
      </c>
      <c r="C216" s="468">
        <v>24.6</v>
      </c>
      <c r="D216" s="470" t="s">
        <v>103</v>
      </c>
      <c r="E216" s="470" t="s">
        <v>103</v>
      </c>
      <c r="F216" s="470" t="s">
        <v>103</v>
      </c>
      <c r="G216" s="471">
        <f t="shared" si="57"/>
        <v>0</v>
      </c>
      <c r="I216" s="467">
        <v>3</v>
      </c>
      <c r="J216" s="468">
        <v>62.5</v>
      </c>
      <c r="K216" s="470" t="s">
        <v>103</v>
      </c>
      <c r="L216" s="470" t="s">
        <v>103</v>
      </c>
      <c r="M216" s="470" t="s">
        <v>103</v>
      </c>
      <c r="N216" s="471">
        <f t="shared" si="58"/>
        <v>0</v>
      </c>
      <c r="P216" s="467">
        <v>3</v>
      </c>
      <c r="Q216" s="468">
        <v>850</v>
      </c>
      <c r="R216" s="470" t="s">
        <v>103</v>
      </c>
      <c r="S216" s="470" t="s">
        <v>103</v>
      </c>
      <c r="T216" s="470" t="s">
        <v>103</v>
      </c>
      <c r="U216" s="471">
        <f t="shared" si="59"/>
        <v>0</v>
      </c>
    </row>
    <row r="217" spans="1:31" x14ac:dyDescent="0.2">
      <c r="A217" s="1229"/>
      <c r="B217" s="467">
        <v>4</v>
      </c>
      <c r="C217" s="469">
        <v>29.5</v>
      </c>
      <c r="D217" s="470" t="s">
        <v>103</v>
      </c>
      <c r="E217" s="472" t="s">
        <v>103</v>
      </c>
      <c r="F217" s="470" t="s">
        <v>103</v>
      </c>
      <c r="G217" s="471">
        <f t="shared" si="57"/>
        <v>0</v>
      </c>
      <c r="I217" s="467">
        <v>4</v>
      </c>
      <c r="J217" s="469">
        <v>71.5</v>
      </c>
      <c r="K217" s="470" t="s">
        <v>103</v>
      </c>
      <c r="L217" s="472" t="s">
        <v>103</v>
      </c>
      <c r="M217" s="470" t="s">
        <v>103</v>
      </c>
      <c r="N217" s="471">
        <f t="shared" si="58"/>
        <v>0</v>
      </c>
      <c r="P217" s="467">
        <v>4</v>
      </c>
      <c r="Q217" s="469">
        <v>900</v>
      </c>
      <c r="R217" s="470" t="s">
        <v>103</v>
      </c>
      <c r="S217" s="472" t="s">
        <v>103</v>
      </c>
      <c r="T217" s="470" t="s">
        <v>103</v>
      </c>
      <c r="U217" s="471">
        <f t="shared" si="59"/>
        <v>0</v>
      </c>
    </row>
    <row r="218" spans="1:31" x14ac:dyDescent="0.2">
      <c r="A218" s="1229"/>
      <c r="B218" s="467">
        <v>5</v>
      </c>
      <c r="C218" s="469">
        <v>34.5</v>
      </c>
      <c r="D218" s="470" t="s">
        <v>103</v>
      </c>
      <c r="E218" s="472" t="s">
        <v>103</v>
      </c>
      <c r="F218" s="470" t="s">
        <v>103</v>
      </c>
      <c r="G218" s="471">
        <f t="shared" si="57"/>
        <v>0</v>
      </c>
      <c r="I218" s="467">
        <v>5</v>
      </c>
      <c r="J218" s="469">
        <v>80.8</v>
      </c>
      <c r="K218" s="470" t="s">
        <v>103</v>
      </c>
      <c r="L218" s="472" t="s">
        <v>103</v>
      </c>
      <c r="M218" s="470" t="s">
        <v>103</v>
      </c>
      <c r="N218" s="471">
        <f t="shared" si="58"/>
        <v>0</v>
      </c>
      <c r="P218" s="467">
        <v>5</v>
      </c>
      <c r="Q218" s="469">
        <v>1000</v>
      </c>
      <c r="R218" s="470" t="s">
        <v>103</v>
      </c>
      <c r="S218" s="472" t="s">
        <v>103</v>
      </c>
      <c r="T218" s="470" t="s">
        <v>103</v>
      </c>
      <c r="U218" s="471">
        <f t="shared" si="59"/>
        <v>0</v>
      </c>
    </row>
    <row r="219" spans="1:31" x14ac:dyDescent="0.2">
      <c r="A219" s="1229"/>
      <c r="B219" s="467">
        <v>6</v>
      </c>
      <c r="C219" s="469">
        <v>39.5</v>
      </c>
      <c r="D219" s="470" t="s">
        <v>103</v>
      </c>
      <c r="E219" s="472" t="s">
        <v>103</v>
      </c>
      <c r="F219" s="470" t="s">
        <v>103</v>
      </c>
      <c r="G219" s="471">
        <f t="shared" si="57"/>
        <v>0</v>
      </c>
      <c r="I219" s="467">
        <v>6</v>
      </c>
      <c r="J219" s="469">
        <v>88.7</v>
      </c>
      <c r="K219" s="470" t="s">
        <v>103</v>
      </c>
      <c r="L219" s="472" t="s">
        <v>103</v>
      </c>
      <c r="M219" s="470" t="s">
        <v>103</v>
      </c>
      <c r="N219" s="471">
        <f t="shared" si="58"/>
        <v>0</v>
      </c>
      <c r="P219" s="467">
        <v>6</v>
      </c>
      <c r="Q219" s="469">
        <v>1005</v>
      </c>
      <c r="R219" s="470" t="s">
        <v>103</v>
      </c>
      <c r="S219" s="472" t="s">
        <v>103</v>
      </c>
      <c r="T219" s="470" t="s">
        <v>103</v>
      </c>
      <c r="U219" s="471">
        <f t="shared" si="59"/>
        <v>0</v>
      </c>
    </row>
    <row r="220" spans="1:31" x14ac:dyDescent="0.2">
      <c r="A220" s="1229"/>
      <c r="B220" s="467">
        <v>7</v>
      </c>
      <c r="C220" s="469">
        <v>40</v>
      </c>
      <c r="D220" s="470" t="s">
        <v>103</v>
      </c>
      <c r="E220" s="472" t="s">
        <v>103</v>
      </c>
      <c r="F220" s="470" t="s">
        <v>103</v>
      </c>
      <c r="G220" s="471">
        <f t="shared" si="57"/>
        <v>0</v>
      </c>
      <c r="I220" s="467">
        <v>7</v>
      </c>
      <c r="J220" s="469">
        <v>90</v>
      </c>
      <c r="K220" s="470" t="s">
        <v>103</v>
      </c>
      <c r="L220" s="472" t="s">
        <v>103</v>
      </c>
      <c r="M220" s="470" t="s">
        <v>103</v>
      </c>
      <c r="N220" s="471">
        <f t="shared" si="58"/>
        <v>0</v>
      </c>
      <c r="P220" s="467">
        <v>7</v>
      </c>
      <c r="Q220" s="469">
        <v>1020</v>
      </c>
      <c r="R220" s="470" t="s">
        <v>103</v>
      </c>
      <c r="S220" s="472" t="s">
        <v>103</v>
      </c>
      <c r="T220" s="470" t="s">
        <v>103</v>
      </c>
      <c r="U220" s="471">
        <f t="shared" si="59"/>
        <v>0</v>
      </c>
    </row>
    <row r="221" spans="1:31" ht="13.5" thickBot="1" x14ac:dyDescent="0.25">
      <c r="A221" s="123"/>
      <c r="B221" s="1226"/>
      <c r="C221" s="1226"/>
      <c r="D221" s="1226"/>
      <c r="E221" s="1226"/>
      <c r="F221" s="1226"/>
      <c r="G221" s="1226"/>
      <c r="H221" s="1226"/>
      <c r="I221" s="1226"/>
      <c r="J221" s="1226"/>
      <c r="K221" s="1226"/>
      <c r="L221" s="1226"/>
      <c r="M221" s="1226"/>
      <c r="N221" s="1226"/>
      <c r="O221" s="1226"/>
      <c r="P221" s="1226"/>
      <c r="Q221" s="1226"/>
      <c r="R221" s="1226"/>
      <c r="S221" s="1226"/>
      <c r="T221" s="1226"/>
      <c r="U221" s="1226"/>
    </row>
    <row r="222" spans="1:31" hidden="1" x14ac:dyDescent="0.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</row>
    <row r="223" spans="1:31" ht="12.75" hidden="1" customHeight="1" x14ac:dyDescent="0.2">
      <c r="A223" s="1231" t="s">
        <v>40</v>
      </c>
      <c r="B223" s="1232" t="s">
        <v>250</v>
      </c>
      <c r="C223" s="1233" t="s">
        <v>251</v>
      </c>
      <c r="D223" s="1233"/>
      <c r="E223" s="1233"/>
      <c r="F223" s="1233"/>
      <c r="G223" s="124"/>
      <c r="I223" s="1231" t="s">
        <v>40</v>
      </c>
      <c r="J223" s="1232" t="s">
        <v>250</v>
      </c>
      <c r="K223" s="1233" t="s">
        <v>251</v>
      </c>
      <c r="L223" s="1233"/>
      <c r="M223" s="1233"/>
      <c r="N223" s="1233"/>
      <c r="O223" s="125"/>
      <c r="Q223" s="1234" t="s">
        <v>40</v>
      </c>
      <c r="R223" s="1235" t="s">
        <v>250</v>
      </c>
      <c r="S223" s="1236" t="s">
        <v>251</v>
      </c>
      <c r="T223" s="1236"/>
      <c r="U223" s="1236"/>
      <c r="V223" s="1237"/>
      <c r="Y223" s="1216" t="s">
        <v>224</v>
      </c>
      <c r="Z223" s="1217"/>
      <c r="AE223" s="126"/>
    </row>
    <row r="224" spans="1:31" ht="13.5" hidden="1" x14ac:dyDescent="0.2">
      <c r="A224" s="1231"/>
      <c r="B224" s="1232"/>
      <c r="C224" s="127" t="s">
        <v>225</v>
      </c>
      <c r="D224" s="1221" t="s">
        <v>226</v>
      </c>
      <c r="E224" s="1221"/>
      <c r="F224" s="1221"/>
      <c r="G224" s="1221" t="s">
        <v>227</v>
      </c>
      <c r="I224" s="1231"/>
      <c r="J224" s="1232"/>
      <c r="K224" s="127" t="s">
        <v>228</v>
      </c>
      <c r="L224" s="1221" t="s">
        <v>226</v>
      </c>
      <c r="M224" s="1221"/>
      <c r="N224" s="1221"/>
      <c r="O224" s="1221" t="s">
        <v>227</v>
      </c>
      <c r="Q224" s="1231"/>
      <c r="R224" s="1232"/>
      <c r="S224" s="127" t="s">
        <v>229</v>
      </c>
      <c r="T224" s="1222" t="s">
        <v>226</v>
      </c>
      <c r="U224" s="1223"/>
      <c r="V224" s="1224"/>
      <c r="W224" s="1225" t="s">
        <v>227</v>
      </c>
      <c r="Y224" s="1218" t="s">
        <v>225</v>
      </c>
      <c r="Z224" s="1219"/>
      <c r="AE224" s="110"/>
    </row>
    <row r="225" spans="1:38" ht="15" hidden="1" x14ac:dyDescent="0.2">
      <c r="A225" s="1231"/>
      <c r="B225" s="1232"/>
      <c r="C225" s="128" t="s">
        <v>252</v>
      </c>
      <c r="D225" s="127"/>
      <c r="E225" s="127"/>
      <c r="F225" s="125"/>
      <c r="G225" s="1221"/>
      <c r="I225" s="1231"/>
      <c r="J225" s="1232"/>
      <c r="K225" s="128" t="s">
        <v>16</v>
      </c>
      <c r="L225" s="127"/>
      <c r="M225" s="127"/>
      <c r="N225" s="125"/>
      <c r="O225" s="1221"/>
      <c r="Q225" s="1231"/>
      <c r="R225" s="1232"/>
      <c r="S225" s="128" t="s">
        <v>231</v>
      </c>
      <c r="T225" s="127"/>
      <c r="U225" s="127"/>
      <c r="W225" s="1225"/>
      <c r="Y225" s="129">
        <v>1</v>
      </c>
      <c r="Z225" s="130">
        <f>X3</f>
        <v>0.6</v>
      </c>
      <c r="AE225" s="110"/>
    </row>
    <row r="226" spans="1:38" hidden="1" x14ac:dyDescent="0.2">
      <c r="A226" s="1210">
        <v>1</v>
      </c>
      <c r="B226" s="131">
        <v>1</v>
      </c>
      <c r="C226" s="131">
        <f>C5</f>
        <v>15</v>
      </c>
      <c r="D226" s="131">
        <f t="shared" ref="D226:F226" si="60">D5</f>
        <v>-0.5</v>
      </c>
      <c r="E226" s="131">
        <f t="shared" si="60"/>
        <v>0.3</v>
      </c>
      <c r="F226" s="131" t="str">
        <f t="shared" si="60"/>
        <v>-</v>
      </c>
      <c r="G226" s="131">
        <f>G5</f>
        <v>0.4</v>
      </c>
      <c r="I226" s="1210">
        <v>1</v>
      </c>
      <c r="J226" s="131">
        <v>1</v>
      </c>
      <c r="K226" s="131">
        <f>J5</f>
        <v>35</v>
      </c>
      <c r="L226" s="131">
        <f>K5</f>
        <v>-6</v>
      </c>
      <c r="M226" s="131">
        <f>L5</f>
        <v>-9.4</v>
      </c>
      <c r="N226" s="131" t="str">
        <f>M5</f>
        <v>-</v>
      </c>
      <c r="O226" s="131">
        <f>N5</f>
        <v>1.7000000000000002</v>
      </c>
      <c r="Q226" s="1220">
        <v>1</v>
      </c>
      <c r="R226" s="131">
        <v>1</v>
      </c>
      <c r="S226" s="131">
        <f>Q5</f>
        <v>750</v>
      </c>
      <c r="T226" s="131" t="str">
        <f>R5</f>
        <v>-</v>
      </c>
      <c r="U226" s="131" t="str">
        <f>S5</f>
        <v>-</v>
      </c>
      <c r="V226" s="131" t="str">
        <f>T5</f>
        <v>-</v>
      </c>
      <c r="W226" s="132">
        <f>U5</f>
        <v>0</v>
      </c>
      <c r="Y226" s="133">
        <v>2</v>
      </c>
      <c r="Z226" s="130">
        <f>X14</f>
        <v>0.8</v>
      </c>
      <c r="AE226" s="110"/>
    </row>
    <row r="227" spans="1:38" hidden="1" x14ac:dyDescent="0.2">
      <c r="A227" s="1210"/>
      <c r="B227" s="131">
        <v>2</v>
      </c>
      <c r="C227" s="131">
        <f>C16</f>
        <v>15</v>
      </c>
      <c r="D227" s="131">
        <f t="shared" ref="D227:F227" si="61">D16</f>
        <v>0.4</v>
      </c>
      <c r="E227" s="131">
        <f t="shared" si="61"/>
        <v>9.9999999999999995E-7</v>
      </c>
      <c r="F227" s="131" t="str">
        <f t="shared" si="61"/>
        <v>-</v>
      </c>
      <c r="G227" s="131">
        <f>G16</f>
        <v>0.19999950000000002</v>
      </c>
      <c r="I227" s="1210"/>
      <c r="J227" s="131">
        <v>2</v>
      </c>
      <c r="K227" s="131">
        <f>J16</f>
        <v>35</v>
      </c>
      <c r="L227" s="131">
        <f>K16</f>
        <v>-6.9</v>
      </c>
      <c r="M227" s="131">
        <f>L16</f>
        <v>-1.6</v>
      </c>
      <c r="N227" s="131" t="str">
        <f>M16</f>
        <v>-</v>
      </c>
      <c r="O227" s="131">
        <f>N16</f>
        <v>2.6500000000000004</v>
      </c>
      <c r="Q227" s="1214"/>
      <c r="R227" s="131">
        <v>2</v>
      </c>
      <c r="S227" s="131">
        <f>Q16</f>
        <v>750</v>
      </c>
      <c r="T227" s="131" t="str">
        <f>R16</f>
        <v>-</v>
      </c>
      <c r="U227" s="131" t="str">
        <f>S16</f>
        <v>-</v>
      </c>
      <c r="V227" s="131" t="str">
        <f>T16</f>
        <v>-</v>
      </c>
      <c r="W227" s="132">
        <f>U16</f>
        <v>0</v>
      </c>
      <c r="Y227" s="133">
        <v>3</v>
      </c>
      <c r="Z227" s="134">
        <f>X25</f>
        <v>0.5</v>
      </c>
      <c r="AE227" s="110"/>
    </row>
    <row r="228" spans="1:38" hidden="1" x14ac:dyDescent="0.2">
      <c r="A228" s="1210"/>
      <c r="B228" s="131">
        <v>3</v>
      </c>
      <c r="C228" s="131">
        <f>C27</f>
        <v>15</v>
      </c>
      <c r="D228" s="131">
        <f t="shared" ref="D228:F228" si="62">D27</f>
        <v>0.4</v>
      </c>
      <c r="E228" s="131">
        <f t="shared" si="62"/>
        <v>9.9999999999999995E-7</v>
      </c>
      <c r="F228" s="131" t="str">
        <f t="shared" si="62"/>
        <v>-</v>
      </c>
      <c r="G228" s="131">
        <f>G27</f>
        <v>0.19999950000000002</v>
      </c>
      <c r="I228" s="1210"/>
      <c r="J228" s="131">
        <v>3</v>
      </c>
      <c r="K228" s="131">
        <f>J27</f>
        <v>30</v>
      </c>
      <c r="L228" s="131">
        <f>K27</f>
        <v>-7.3</v>
      </c>
      <c r="M228" s="131">
        <f>L27</f>
        <v>-5.7</v>
      </c>
      <c r="N228" s="131">
        <f>M27</f>
        <v>0</v>
      </c>
      <c r="O228" s="131">
        <f>N27</f>
        <v>0.79999999999999982</v>
      </c>
      <c r="Q228" s="1214"/>
      <c r="R228" s="131">
        <v>3</v>
      </c>
      <c r="S228" s="131">
        <f>Q27</f>
        <v>750</v>
      </c>
      <c r="T228" s="131" t="str">
        <f>R27</f>
        <v>-</v>
      </c>
      <c r="U228" s="131" t="str">
        <f>S27</f>
        <v>-</v>
      </c>
      <c r="V228" s="131" t="str">
        <f>T27</f>
        <v>-</v>
      </c>
      <c r="W228" s="132">
        <f>U27</f>
        <v>0</v>
      </c>
      <c r="Y228" s="133">
        <v>4</v>
      </c>
      <c r="Z228" s="134">
        <f>X36</f>
        <v>0.3</v>
      </c>
      <c r="AE228" s="110"/>
    </row>
    <row r="229" spans="1:38" hidden="1" x14ac:dyDescent="0.2">
      <c r="A229" s="1210"/>
      <c r="B229" s="131">
        <v>4</v>
      </c>
      <c r="C229" s="135">
        <f>C38</f>
        <v>15</v>
      </c>
      <c r="D229" s="135">
        <f t="shared" ref="D229:F229" si="63">D38</f>
        <v>-0.2</v>
      </c>
      <c r="E229" s="135">
        <f t="shared" si="63"/>
        <v>-0.1</v>
      </c>
      <c r="F229" s="135" t="str">
        <f t="shared" si="63"/>
        <v>-</v>
      </c>
      <c r="G229" s="135">
        <f>G38</f>
        <v>0.05</v>
      </c>
      <c r="I229" s="1210"/>
      <c r="J229" s="131">
        <v>4</v>
      </c>
      <c r="K229" s="135">
        <f>J38</f>
        <v>35</v>
      </c>
      <c r="L229" s="135">
        <f>K38</f>
        <v>-4.5</v>
      </c>
      <c r="M229" s="135">
        <f>L38</f>
        <v>-1.7</v>
      </c>
      <c r="N229" s="135" t="str">
        <f>M38</f>
        <v>-</v>
      </c>
      <c r="O229" s="135">
        <f>N38</f>
        <v>1.4</v>
      </c>
      <c r="Q229" s="1214"/>
      <c r="R229" s="131">
        <v>4</v>
      </c>
      <c r="S229" s="135">
        <f>Q38</f>
        <v>750</v>
      </c>
      <c r="T229" s="135" t="str">
        <f>R38</f>
        <v>-</v>
      </c>
      <c r="U229" s="135" t="str">
        <f>S38</f>
        <v>-</v>
      </c>
      <c r="V229" s="135" t="str">
        <f>T38</f>
        <v>-</v>
      </c>
      <c r="W229" s="136">
        <f>U38</f>
        <v>0</v>
      </c>
      <c r="Y229" s="133">
        <v>5</v>
      </c>
      <c r="Z229" s="134">
        <f>X47</f>
        <v>0.4</v>
      </c>
      <c r="AE229" s="110"/>
    </row>
    <row r="230" spans="1:38" hidden="1" x14ac:dyDescent="0.2">
      <c r="A230" s="1210"/>
      <c r="B230" s="131">
        <v>5</v>
      </c>
      <c r="C230" s="135">
        <f>C49</f>
        <v>15</v>
      </c>
      <c r="D230" s="135">
        <f t="shared" ref="D230:F230" si="64">D49</f>
        <v>-0.3</v>
      </c>
      <c r="E230" s="135">
        <f t="shared" si="64"/>
        <v>0.3</v>
      </c>
      <c r="F230" s="135" t="str">
        <f t="shared" si="64"/>
        <v>-</v>
      </c>
      <c r="G230" s="135">
        <f>G49</f>
        <v>0.3</v>
      </c>
      <c r="I230" s="1210"/>
      <c r="J230" s="131">
        <v>5</v>
      </c>
      <c r="K230" s="135">
        <f>J49</f>
        <v>35</v>
      </c>
      <c r="L230" s="135">
        <f>K49</f>
        <v>-7.7</v>
      </c>
      <c r="M230" s="135">
        <f>L49</f>
        <v>-9.6</v>
      </c>
      <c r="N230" s="135" t="str">
        <f>M49</f>
        <v>-</v>
      </c>
      <c r="O230" s="135">
        <f>N49</f>
        <v>0.94999999999999973</v>
      </c>
      <c r="Q230" s="1214"/>
      <c r="R230" s="131">
        <v>5</v>
      </c>
      <c r="S230" s="135">
        <f>Q49</f>
        <v>750</v>
      </c>
      <c r="T230" s="135" t="str">
        <f>R49</f>
        <v>-</v>
      </c>
      <c r="U230" s="135" t="str">
        <f>S49</f>
        <v>-</v>
      </c>
      <c r="V230" s="135" t="str">
        <f>T49</f>
        <v>-</v>
      </c>
      <c r="W230" s="136">
        <f>U49</f>
        <v>0</v>
      </c>
      <c r="Y230" s="129">
        <v>6</v>
      </c>
      <c r="Z230" s="130">
        <f>X58</f>
        <v>0.8</v>
      </c>
      <c r="AE230" s="110"/>
    </row>
    <row r="231" spans="1:38" hidden="1" x14ac:dyDescent="0.2">
      <c r="A231" s="1210"/>
      <c r="B231" s="131">
        <v>6</v>
      </c>
      <c r="C231" s="135">
        <f>C60</f>
        <v>15</v>
      </c>
      <c r="D231" s="135">
        <f t="shared" ref="D231:F231" si="65">D60</f>
        <v>0.4</v>
      </c>
      <c r="E231" s="135">
        <f t="shared" si="65"/>
        <v>0.4</v>
      </c>
      <c r="F231" s="135" t="str">
        <f t="shared" si="65"/>
        <v>-</v>
      </c>
      <c r="G231" s="135">
        <f>G60</f>
        <v>0</v>
      </c>
      <c r="I231" s="1210"/>
      <c r="J231" s="131">
        <v>6</v>
      </c>
      <c r="K231" s="135">
        <f>J60</f>
        <v>30</v>
      </c>
      <c r="L231" s="135">
        <f>K60</f>
        <v>-1.5</v>
      </c>
      <c r="M231" s="135">
        <f>L60</f>
        <v>1.7</v>
      </c>
      <c r="N231" s="135" t="str">
        <f>M60</f>
        <v>-</v>
      </c>
      <c r="O231" s="135">
        <f>N60</f>
        <v>1.6</v>
      </c>
      <c r="Q231" s="1214"/>
      <c r="R231" s="131">
        <v>6</v>
      </c>
      <c r="S231" s="135">
        <f>Q60</f>
        <v>750</v>
      </c>
      <c r="T231" s="135">
        <f>R60</f>
        <v>0.9</v>
      </c>
      <c r="U231" s="135">
        <f>S60</f>
        <v>2.1</v>
      </c>
      <c r="V231" s="135" t="str">
        <f>T60</f>
        <v>-</v>
      </c>
      <c r="W231" s="136">
        <f>U60</f>
        <v>0.60000000000000009</v>
      </c>
      <c r="Y231" s="129">
        <v>7</v>
      </c>
      <c r="Z231" s="130">
        <f>X69</f>
        <v>0.2</v>
      </c>
      <c r="AE231" s="110"/>
    </row>
    <row r="232" spans="1:38" hidden="1" x14ac:dyDescent="0.2">
      <c r="A232" s="1210"/>
      <c r="B232" s="131">
        <v>7</v>
      </c>
      <c r="C232" s="135">
        <f>C71</f>
        <v>15</v>
      </c>
      <c r="D232" s="135">
        <f t="shared" ref="D232:F232" si="66">D71</f>
        <v>0.1</v>
      </c>
      <c r="E232" s="135">
        <f t="shared" si="66"/>
        <v>0.3</v>
      </c>
      <c r="F232" s="135" t="str">
        <f t="shared" si="66"/>
        <v>-</v>
      </c>
      <c r="G232" s="135">
        <f>G71</f>
        <v>9.9999999999999992E-2</v>
      </c>
      <c r="I232" s="1210"/>
      <c r="J232" s="131">
        <v>7</v>
      </c>
      <c r="K232" s="135">
        <f>J71</f>
        <v>30</v>
      </c>
      <c r="L232" s="135">
        <f>K71</f>
        <v>-1.9</v>
      </c>
      <c r="M232" s="135">
        <f>L71</f>
        <v>1.8</v>
      </c>
      <c r="N232" s="135" t="str">
        <f>M71</f>
        <v>-</v>
      </c>
      <c r="O232" s="135">
        <f>N71</f>
        <v>1.85</v>
      </c>
      <c r="Q232" s="1214"/>
      <c r="R232" s="131">
        <v>7</v>
      </c>
      <c r="S232" s="135">
        <f>Q71</f>
        <v>750</v>
      </c>
      <c r="T232" s="135">
        <f>R71</f>
        <v>9.9999999999999995E-7</v>
      </c>
      <c r="U232" s="135">
        <f>S71</f>
        <v>3.2</v>
      </c>
      <c r="V232" s="135" t="str">
        <f>T71</f>
        <v>-</v>
      </c>
      <c r="W232" s="136">
        <f>U71</f>
        <v>1.5999995</v>
      </c>
      <c r="Y232" s="129">
        <v>8</v>
      </c>
      <c r="Z232" s="130">
        <f>X80</f>
        <v>0.3</v>
      </c>
      <c r="AE232" s="110"/>
    </row>
    <row r="233" spans="1:38" hidden="1" x14ac:dyDescent="0.2">
      <c r="A233" s="1210"/>
      <c r="B233" s="131">
        <v>8</v>
      </c>
      <c r="C233" s="135">
        <f>C82</f>
        <v>15</v>
      </c>
      <c r="D233" s="135">
        <f t="shared" ref="D233:F233" si="67">D82</f>
        <v>0.1</v>
      </c>
      <c r="E233" s="135">
        <f t="shared" si="67"/>
        <v>9.9999999999999995E-7</v>
      </c>
      <c r="F233" s="135" t="str">
        <f t="shared" si="67"/>
        <v>-</v>
      </c>
      <c r="G233" s="135">
        <f>G82</f>
        <v>4.9999500000000002E-2</v>
      </c>
      <c r="I233" s="1210"/>
      <c r="J233" s="131">
        <v>8</v>
      </c>
      <c r="K233" s="135">
        <f>J82</f>
        <v>30</v>
      </c>
      <c r="L233" s="135">
        <f>K82</f>
        <v>-4</v>
      </c>
      <c r="M233" s="135">
        <f>L82</f>
        <v>-1.4</v>
      </c>
      <c r="N233" s="135" t="str">
        <f>M82</f>
        <v>-</v>
      </c>
      <c r="O233" s="135">
        <f>N82</f>
        <v>1.3</v>
      </c>
      <c r="Q233" s="1214"/>
      <c r="R233" s="131">
        <v>8</v>
      </c>
      <c r="S233" s="135">
        <f>Q82</f>
        <v>750</v>
      </c>
      <c r="T233" s="135">
        <f>R82</f>
        <v>9.9999999999999995E-7</v>
      </c>
      <c r="U233" s="135">
        <f>S82</f>
        <v>9.9999999999999995E-7</v>
      </c>
      <c r="V233" s="135" t="str">
        <f>T82</f>
        <v>-</v>
      </c>
      <c r="W233" s="136">
        <f>U82</f>
        <v>0</v>
      </c>
      <c r="Y233" s="129">
        <v>9</v>
      </c>
      <c r="Z233" s="130">
        <f>X91</f>
        <v>0.3</v>
      </c>
      <c r="AE233" s="110"/>
    </row>
    <row r="234" spans="1:38" hidden="1" x14ac:dyDescent="0.2">
      <c r="A234" s="1210"/>
      <c r="B234" s="131">
        <v>9</v>
      </c>
      <c r="C234" s="135">
        <f>C93</f>
        <v>15</v>
      </c>
      <c r="D234" s="135">
        <f t="shared" ref="D234:F234" si="68">D93</f>
        <v>9.9999999999999995E-7</v>
      </c>
      <c r="E234" s="135" t="str">
        <f t="shared" si="68"/>
        <v>-</v>
      </c>
      <c r="F234" s="135" t="str">
        <f t="shared" si="68"/>
        <v>-</v>
      </c>
      <c r="G234" s="135">
        <f>G93</f>
        <v>0</v>
      </c>
      <c r="I234" s="1210"/>
      <c r="J234" s="131">
        <v>9</v>
      </c>
      <c r="K234" s="135">
        <f>J93</f>
        <v>30</v>
      </c>
      <c r="L234" s="135">
        <f>K93</f>
        <v>-1.2</v>
      </c>
      <c r="M234" s="135" t="str">
        <f>L93</f>
        <v>-</v>
      </c>
      <c r="N234" s="135" t="str">
        <f>M93</f>
        <v>-</v>
      </c>
      <c r="O234" s="135">
        <f>N93</f>
        <v>0</v>
      </c>
      <c r="Q234" s="1214"/>
      <c r="R234" s="131">
        <v>9</v>
      </c>
      <c r="S234" s="135">
        <f>Q93</f>
        <v>750</v>
      </c>
      <c r="T234" s="135">
        <f>R93</f>
        <v>9.9999999999999995E-7</v>
      </c>
      <c r="U234" s="135" t="str">
        <f>S93</f>
        <v>-</v>
      </c>
      <c r="V234" s="135" t="str">
        <f>T93</f>
        <v>-</v>
      </c>
      <c r="W234" s="136">
        <f>U93</f>
        <v>0</v>
      </c>
      <c r="Y234" s="129">
        <v>10</v>
      </c>
      <c r="Z234" s="130">
        <f>X102</f>
        <v>0.3</v>
      </c>
      <c r="AE234" s="110"/>
    </row>
    <row r="235" spans="1:38" hidden="1" x14ac:dyDescent="0.2">
      <c r="A235" s="1210"/>
      <c r="B235" s="131">
        <v>10</v>
      </c>
      <c r="C235" s="135">
        <f>C104</f>
        <v>15</v>
      </c>
      <c r="D235" s="135">
        <f t="shared" ref="D235:F235" si="69">D104</f>
        <v>0.2</v>
      </c>
      <c r="E235" s="135">
        <f t="shared" si="69"/>
        <v>0.2</v>
      </c>
      <c r="F235" s="135" t="str">
        <f t="shared" si="69"/>
        <v>-</v>
      </c>
      <c r="G235" s="135">
        <f>G104</f>
        <v>0</v>
      </c>
      <c r="I235" s="1210"/>
      <c r="J235" s="131">
        <v>10</v>
      </c>
      <c r="K235" s="135">
        <f>J104</f>
        <v>30</v>
      </c>
      <c r="L235" s="135">
        <f>K104</f>
        <v>-2.9</v>
      </c>
      <c r="M235" s="135">
        <f>L104</f>
        <v>-5.8</v>
      </c>
      <c r="N235" s="135" t="str">
        <f>M104</f>
        <v>-</v>
      </c>
      <c r="O235" s="135">
        <f>N104</f>
        <v>1.45</v>
      </c>
      <c r="Q235" s="1214"/>
      <c r="R235" s="131">
        <v>10</v>
      </c>
      <c r="S235" s="135">
        <f>Q104</f>
        <v>750</v>
      </c>
      <c r="T235" s="135" t="str">
        <f>R104</f>
        <v>-</v>
      </c>
      <c r="U235" s="135" t="str">
        <f>S104</f>
        <v>-</v>
      </c>
      <c r="V235" s="135" t="str">
        <f>T104</f>
        <v>-</v>
      </c>
      <c r="W235" s="136">
        <f>U104</f>
        <v>0</v>
      </c>
      <c r="Y235" s="129">
        <v>11</v>
      </c>
      <c r="Z235" s="130">
        <f>X113</f>
        <v>0.3</v>
      </c>
      <c r="AE235" s="110"/>
    </row>
    <row r="236" spans="1:38" hidden="1" x14ac:dyDescent="0.2">
      <c r="A236" s="1210"/>
      <c r="B236" s="131">
        <v>11</v>
      </c>
      <c r="C236" s="135">
        <f>C115</f>
        <v>15</v>
      </c>
      <c r="D236" s="135">
        <f t="shared" ref="D236:F236" si="70">D115</f>
        <v>0.3</v>
      </c>
      <c r="E236" s="135">
        <f t="shared" si="70"/>
        <v>0.3</v>
      </c>
      <c r="F236" s="135" t="str">
        <f t="shared" si="70"/>
        <v>-</v>
      </c>
      <c r="G236" s="135">
        <f>G115</f>
        <v>0</v>
      </c>
      <c r="I236" s="1210"/>
      <c r="J236" s="131">
        <v>11</v>
      </c>
      <c r="K236" s="135">
        <f>J115</f>
        <v>30</v>
      </c>
      <c r="L236" s="135">
        <f>K115</f>
        <v>-5.2</v>
      </c>
      <c r="M236" s="135">
        <f>L115</f>
        <v>-6.4</v>
      </c>
      <c r="N236" s="135" t="str">
        <f>M115</f>
        <v>-</v>
      </c>
      <c r="O236" s="135">
        <f>N115</f>
        <v>0.60000000000000009</v>
      </c>
      <c r="Q236" s="1214"/>
      <c r="R236" s="131">
        <v>11</v>
      </c>
      <c r="S236" s="135">
        <f>Q115</f>
        <v>750</v>
      </c>
      <c r="T236" s="135" t="str">
        <f>R115</f>
        <v>-</v>
      </c>
      <c r="U236" s="135" t="str">
        <f>S115</f>
        <v>-</v>
      </c>
      <c r="V236" s="135" t="str">
        <f>T115</f>
        <v>-</v>
      </c>
      <c r="W236" s="136">
        <f>U115</f>
        <v>0</v>
      </c>
      <c r="Y236" s="129">
        <v>12</v>
      </c>
      <c r="Z236" s="130">
        <f>X124</f>
        <v>0.3</v>
      </c>
      <c r="AE236" s="110"/>
    </row>
    <row r="237" spans="1:38" hidden="1" x14ac:dyDescent="0.2">
      <c r="A237" s="1210"/>
      <c r="B237" s="131">
        <v>12</v>
      </c>
      <c r="C237" s="135">
        <f>C126</f>
        <v>15</v>
      </c>
      <c r="D237" s="135">
        <f t="shared" ref="D237:F237" si="71">D126</f>
        <v>9.9999999999999995E-7</v>
      </c>
      <c r="E237" s="135" t="str">
        <f t="shared" si="71"/>
        <v>-</v>
      </c>
      <c r="F237" s="135" t="str">
        <f t="shared" si="71"/>
        <v>-</v>
      </c>
      <c r="G237" s="135">
        <f>G126</f>
        <v>0</v>
      </c>
      <c r="I237" s="1210"/>
      <c r="J237" s="131">
        <v>12</v>
      </c>
      <c r="K237" s="135">
        <f>J126</f>
        <v>30</v>
      </c>
      <c r="L237" s="135">
        <f>K126</f>
        <v>-0.4</v>
      </c>
      <c r="M237" s="135" t="str">
        <f>L126</f>
        <v>-</v>
      </c>
      <c r="N237" s="135" t="str">
        <f>M126</f>
        <v>-</v>
      </c>
      <c r="O237" s="135">
        <f>N126</f>
        <v>0</v>
      </c>
      <c r="Q237" s="1214"/>
      <c r="R237" s="131">
        <v>12</v>
      </c>
      <c r="S237" s="135">
        <f>Q126</f>
        <v>800</v>
      </c>
      <c r="T237" s="135">
        <f>R126</f>
        <v>-0.4</v>
      </c>
      <c r="U237" s="135" t="str">
        <f>S126</f>
        <v>-</v>
      </c>
      <c r="V237" s="135" t="str">
        <f>T126</f>
        <v>-</v>
      </c>
      <c r="W237" s="136">
        <f>U126</f>
        <v>0</v>
      </c>
      <c r="Y237" s="129">
        <v>13</v>
      </c>
      <c r="Z237" s="137">
        <f>X135</f>
        <v>0.5</v>
      </c>
      <c r="AE237" s="110"/>
      <c r="AL237" s="110"/>
    </row>
    <row r="238" spans="1:38" hidden="1" x14ac:dyDescent="0.2">
      <c r="A238" s="1210"/>
      <c r="B238" s="131">
        <v>13</v>
      </c>
      <c r="C238" s="135">
        <f>C137</f>
        <v>15</v>
      </c>
      <c r="D238" s="135">
        <f t="shared" ref="D238:F238" si="72">D137</f>
        <v>0.5</v>
      </c>
      <c r="E238" s="135">
        <f t="shared" si="72"/>
        <v>-0.7</v>
      </c>
      <c r="F238" s="135" t="str">
        <f t="shared" si="72"/>
        <v>-</v>
      </c>
      <c r="G238" s="135">
        <f>G137</f>
        <v>0.6</v>
      </c>
      <c r="I238" s="1210"/>
      <c r="J238" s="131">
        <v>13</v>
      </c>
      <c r="K238" s="135">
        <f>J137</f>
        <v>30</v>
      </c>
      <c r="L238" s="135">
        <f>K137</f>
        <v>-2.2000000000000002</v>
      </c>
      <c r="M238" s="135">
        <f>L137</f>
        <v>-1.4</v>
      </c>
      <c r="N238" s="135" t="str">
        <f>M137</f>
        <v>-</v>
      </c>
      <c r="O238" s="135">
        <f>N137</f>
        <v>0.40000000000000013</v>
      </c>
      <c r="Q238" s="1214"/>
      <c r="R238" s="131">
        <v>13</v>
      </c>
      <c r="S238" s="135">
        <f>Q137</f>
        <v>985</v>
      </c>
      <c r="T238" s="135">
        <f>R137</f>
        <v>3.8</v>
      </c>
      <c r="U238" s="135">
        <f>S137</f>
        <v>0.9</v>
      </c>
      <c r="V238" s="135" t="str">
        <f>T137</f>
        <v>-</v>
      </c>
      <c r="W238" s="136">
        <f>U137</f>
        <v>1.45</v>
      </c>
      <c r="Y238" s="129">
        <v>14</v>
      </c>
      <c r="Z238" s="137">
        <f>X146</f>
        <v>0.5</v>
      </c>
      <c r="AE238" s="110"/>
      <c r="AL238" s="110"/>
    </row>
    <row r="239" spans="1:38" hidden="1" x14ac:dyDescent="0.2">
      <c r="A239" s="1210"/>
      <c r="B239" s="131">
        <v>14</v>
      </c>
      <c r="C239" s="135">
        <f>C148</f>
        <v>15</v>
      </c>
      <c r="D239" s="135">
        <f t="shared" ref="D239:F239" si="73">D148</f>
        <v>0.5</v>
      </c>
      <c r="E239" s="135">
        <f t="shared" si="73"/>
        <v>-0.2</v>
      </c>
      <c r="F239" s="135" t="str">
        <f t="shared" si="73"/>
        <v>-</v>
      </c>
      <c r="G239" s="135">
        <f>G148</f>
        <v>0.35</v>
      </c>
      <c r="I239" s="1210"/>
      <c r="J239" s="131">
        <v>14</v>
      </c>
      <c r="K239" s="135">
        <f>J148</f>
        <v>30</v>
      </c>
      <c r="L239" s="135">
        <f>K148</f>
        <v>-0.8</v>
      </c>
      <c r="M239" s="135">
        <f>L148</f>
        <v>0.6</v>
      </c>
      <c r="N239" s="135" t="str">
        <f>M148</f>
        <v>-</v>
      </c>
      <c r="O239" s="135">
        <f>N148</f>
        <v>0.7</v>
      </c>
      <c r="Q239" s="1214"/>
      <c r="R239" s="131">
        <v>14</v>
      </c>
      <c r="S239" s="135">
        <f>Q148</f>
        <v>985</v>
      </c>
      <c r="T239" s="135">
        <f>R148</f>
        <v>3.9</v>
      </c>
      <c r="U239" s="135">
        <f>S148</f>
        <v>0.9</v>
      </c>
      <c r="V239" s="135" t="str">
        <f>T148</f>
        <v>-</v>
      </c>
      <c r="W239" s="136">
        <f>U148</f>
        <v>1.5</v>
      </c>
      <c r="Y239" s="129">
        <v>15</v>
      </c>
      <c r="Z239" s="137">
        <f>X157</f>
        <v>0.5</v>
      </c>
      <c r="AE239" s="110"/>
      <c r="AL239" s="110"/>
    </row>
    <row r="240" spans="1:38" hidden="1" x14ac:dyDescent="0.2">
      <c r="A240" s="1210"/>
      <c r="B240" s="131">
        <v>15</v>
      </c>
      <c r="C240" s="135">
        <f>C159</f>
        <v>15</v>
      </c>
      <c r="D240" s="135">
        <f t="shared" ref="D240:F240" si="74">D159</f>
        <v>0.6</v>
      </c>
      <c r="E240" s="135">
        <f t="shared" si="74"/>
        <v>-0.6</v>
      </c>
      <c r="F240" s="135" t="str">
        <f t="shared" si="74"/>
        <v>-</v>
      </c>
      <c r="G240" s="135">
        <f>G159</f>
        <v>0.6</v>
      </c>
      <c r="I240" s="1210"/>
      <c r="J240" s="131">
        <v>15</v>
      </c>
      <c r="K240" s="135">
        <f>J159</f>
        <v>30</v>
      </c>
      <c r="L240" s="135">
        <f>K159</f>
        <v>-2</v>
      </c>
      <c r="M240" s="135">
        <f>L159</f>
        <v>-0.4</v>
      </c>
      <c r="N240" s="135" t="str">
        <f>M159</f>
        <v>-</v>
      </c>
      <c r="O240" s="135">
        <f>N159</f>
        <v>0.8</v>
      </c>
      <c r="Q240" s="1214"/>
      <c r="R240" s="131">
        <v>15</v>
      </c>
      <c r="S240" s="135">
        <f>Q159</f>
        <v>985</v>
      </c>
      <c r="T240" s="135">
        <f>R159</f>
        <v>4.3</v>
      </c>
      <c r="U240" s="135">
        <f>S159</f>
        <v>0.9</v>
      </c>
      <c r="V240" s="135" t="str">
        <f>T159</f>
        <v>-</v>
      </c>
      <c r="W240" s="136">
        <f>U159</f>
        <v>1.7</v>
      </c>
      <c r="Y240" s="129">
        <v>16</v>
      </c>
      <c r="Z240" s="137">
        <f>X168</f>
        <v>0.4</v>
      </c>
      <c r="AE240" s="110"/>
      <c r="AL240" s="110"/>
    </row>
    <row r="241" spans="1:38" hidden="1" x14ac:dyDescent="0.2">
      <c r="A241" s="1210"/>
      <c r="B241" s="131">
        <v>16</v>
      </c>
      <c r="C241" s="135">
        <f>C170</f>
        <v>15</v>
      </c>
      <c r="D241" s="135">
        <f t="shared" ref="D241:F241" si="75">D170</f>
        <v>0.1</v>
      </c>
      <c r="E241" s="135" t="str">
        <f t="shared" si="75"/>
        <v>-</v>
      </c>
      <c r="F241" s="135" t="str">
        <f t="shared" si="75"/>
        <v>-</v>
      </c>
      <c r="G241" s="135">
        <f>G170</f>
        <v>0</v>
      </c>
      <c r="I241" s="1210"/>
      <c r="J241" s="131">
        <v>16</v>
      </c>
      <c r="K241" s="135">
        <f>J170</f>
        <v>30</v>
      </c>
      <c r="L241" s="135">
        <f>K170</f>
        <v>-1.6</v>
      </c>
      <c r="M241" s="135" t="str">
        <f>L170</f>
        <v>-</v>
      </c>
      <c r="N241" s="135" t="str">
        <f>M170</f>
        <v>-</v>
      </c>
      <c r="O241" s="135">
        <f>N170</f>
        <v>0</v>
      </c>
      <c r="Q241" s="1214"/>
      <c r="R241" s="131">
        <v>16</v>
      </c>
      <c r="S241" s="135">
        <f>Q170</f>
        <v>800</v>
      </c>
      <c r="T241" s="135">
        <f>R170</f>
        <v>-2.9</v>
      </c>
      <c r="U241" s="135" t="str">
        <f>S170</f>
        <v>-</v>
      </c>
      <c r="V241" s="135" t="str">
        <f>T170</f>
        <v>-</v>
      </c>
      <c r="W241" s="136">
        <f>U170</f>
        <v>0</v>
      </c>
      <c r="Y241" s="129">
        <v>17</v>
      </c>
      <c r="Z241" s="137">
        <f>X179</f>
        <v>0.3</v>
      </c>
      <c r="AE241" s="110"/>
      <c r="AL241" s="110"/>
    </row>
    <row r="242" spans="1:38" hidden="1" x14ac:dyDescent="0.2">
      <c r="A242" s="1210"/>
      <c r="B242" s="131">
        <v>17</v>
      </c>
      <c r="C242" s="135">
        <f>C181</f>
        <v>15</v>
      </c>
      <c r="D242" s="135">
        <f t="shared" ref="D242:F242" si="76">D181</f>
        <v>0.1</v>
      </c>
      <c r="E242" s="135" t="str">
        <f t="shared" si="76"/>
        <v>-</v>
      </c>
      <c r="F242" s="135" t="str">
        <f t="shared" si="76"/>
        <v>-</v>
      </c>
      <c r="G242" s="135">
        <f>G181</f>
        <v>0</v>
      </c>
      <c r="I242" s="1210"/>
      <c r="J242" s="131">
        <v>17</v>
      </c>
      <c r="K242" s="135">
        <f>J181</f>
        <v>30</v>
      </c>
      <c r="L242" s="135">
        <f>K181</f>
        <v>0.1</v>
      </c>
      <c r="M242" s="135" t="str">
        <f>L181</f>
        <v>-</v>
      </c>
      <c r="N242" s="135" t="str">
        <f>M181</f>
        <v>-</v>
      </c>
      <c r="O242" s="135">
        <f>N181</f>
        <v>0</v>
      </c>
      <c r="Q242" s="1214"/>
      <c r="R242" s="131">
        <v>17</v>
      </c>
      <c r="S242" s="135">
        <f>Q181</f>
        <v>960</v>
      </c>
      <c r="T242" s="135">
        <f>R181</f>
        <v>-0.6</v>
      </c>
      <c r="U242" s="135" t="str">
        <f>S181</f>
        <v>-</v>
      </c>
      <c r="V242" s="135" t="str">
        <f>T181</f>
        <v>-</v>
      </c>
      <c r="W242" s="136">
        <f>U181</f>
        <v>0</v>
      </c>
      <c r="Y242" s="129">
        <v>18</v>
      </c>
      <c r="Z242" s="137">
        <f>X190</f>
        <v>0.3</v>
      </c>
      <c r="AE242" s="110"/>
      <c r="AL242" s="110"/>
    </row>
    <row r="243" spans="1:38" hidden="1" x14ac:dyDescent="0.2">
      <c r="A243" s="1210"/>
      <c r="B243" s="131">
        <v>18</v>
      </c>
      <c r="C243" s="135">
        <f>C192</f>
        <v>15</v>
      </c>
      <c r="D243" s="135">
        <f t="shared" ref="D243:F243" si="77">D192</f>
        <v>9.9999999999999995E-7</v>
      </c>
      <c r="E243" s="135" t="str">
        <f t="shared" si="77"/>
        <v>-</v>
      </c>
      <c r="F243" s="135" t="str">
        <f t="shared" si="77"/>
        <v>-</v>
      </c>
      <c r="G243" s="135">
        <f>G192</f>
        <v>0</v>
      </c>
      <c r="I243" s="1210"/>
      <c r="J243" s="131">
        <v>18</v>
      </c>
      <c r="K243" s="135">
        <f>J192</f>
        <v>30</v>
      </c>
      <c r="L243" s="135">
        <f>K192</f>
        <v>-0.4</v>
      </c>
      <c r="M243" s="135" t="str">
        <f>L192</f>
        <v>-</v>
      </c>
      <c r="N243" s="135" t="str">
        <f>M192</f>
        <v>-</v>
      </c>
      <c r="O243" s="135">
        <f>N192</f>
        <v>0</v>
      </c>
      <c r="Q243" s="1214"/>
      <c r="R243" s="131">
        <v>18</v>
      </c>
      <c r="S243" s="135">
        <f>Q192</f>
        <v>800</v>
      </c>
      <c r="T243" s="135">
        <f>R192</f>
        <v>-1.5</v>
      </c>
      <c r="U243" s="135" t="str">
        <f>S192</f>
        <v>-</v>
      </c>
      <c r="V243" s="135" t="str">
        <f>T192</f>
        <v>-</v>
      </c>
      <c r="W243" s="136">
        <f>U192</f>
        <v>0</v>
      </c>
      <c r="Y243" s="129">
        <v>19</v>
      </c>
      <c r="Z243" s="137">
        <f>X201</f>
        <v>0.1</v>
      </c>
      <c r="AE243" s="110"/>
      <c r="AL243" s="110"/>
    </row>
    <row r="244" spans="1:38" ht="13.5" hidden="1" thickBot="1" x14ac:dyDescent="0.25">
      <c r="A244" s="1210"/>
      <c r="B244" s="131">
        <v>19</v>
      </c>
      <c r="C244" s="135">
        <f>C203</f>
        <v>15</v>
      </c>
      <c r="D244" s="135">
        <f t="shared" ref="D244:F244" si="78">D203</f>
        <v>9.9999999999999995E-7</v>
      </c>
      <c r="E244" s="135" t="str">
        <f t="shared" si="78"/>
        <v>-</v>
      </c>
      <c r="F244" s="135" t="str">
        <f t="shared" si="78"/>
        <v>-</v>
      </c>
      <c r="G244" s="135">
        <f>G203</f>
        <v>0</v>
      </c>
      <c r="I244" s="1210"/>
      <c r="J244" s="131">
        <v>19</v>
      </c>
      <c r="K244" s="135">
        <f>J203</f>
        <v>30</v>
      </c>
      <c r="L244" s="135">
        <f>K203</f>
        <v>-1.5</v>
      </c>
      <c r="M244" s="135" t="str">
        <f>L203</f>
        <v>-</v>
      </c>
      <c r="N244" s="135" t="str">
        <f>M203</f>
        <v>-</v>
      </c>
      <c r="O244" s="135">
        <f>N203</f>
        <v>0</v>
      </c>
      <c r="Q244" s="1214"/>
      <c r="R244" s="131">
        <v>19</v>
      </c>
      <c r="S244" s="135">
        <f>Q203</f>
        <v>750</v>
      </c>
      <c r="T244" s="135">
        <f>R203</f>
        <v>2.5</v>
      </c>
      <c r="U244" s="135" t="str">
        <f>S203</f>
        <v>-</v>
      </c>
      <c r="V244" s="135" t="str">
        <f>T203</f>
        <v>-</v>
      </c>
      <c r="W244" s="136">
        <f>U203</f>
        <v>0</v>
      </c>
      <c r="Y244" s="138">
        <v>20</v>
      </c>
      <c r="Z244" s="139">
        <f>X212</f>
        <v>0</v>
      </c>
      <c r="AE244" s="110"/>
      <c r="AL244" s="110"/>
    </row>
    <row r="245" spans="1:38" ht="13.5" hidden="1" thickBot="1" x14ac:dyDescent="0.25">
      <c r="A245" s="1210"/>
      <c r="B245" s="131">
        <v>20</v>
      </c>
      <c r="C245" s="135">
        <f>C214</f>
        <v>14.8</v>
      </c>
      <c r="D245" s="135" t="str">
        <f t="shared" ref="D245:F245" si="79">D214</f>
        <v>-</v>
      </c>
      <c r="E245" s="135" t="str">
        <f t="shared" si="79"/>
        <v>-</v>
      </c>
      <c r="F245" s="135" t="str">
        <f t="shared" si="79"/>
        <v>-</v>
      </c>
      <c r="G245" s="135">
        <f>G214</f>
        <v>0</v>
      </c>
      <c r="I245" s="1210"/>
      <c r="J245" s="131">
        <v>20</v>
      </c>
      <c r="K245" s="135">
        <f>J214</f>
        <v>45.7</v>
      </c>
      <c r="L245" s="135" t="str">
        <f>K214</f>
        <v>-</v>
      </c>
      <c r="M245" s="135" t="str">
        <f>L214</f>
        <v>-</v>
      </c>
      <c r="N245" s="135" t="str">
        <f>M214</f>
        <v>-</v>
      </c>
      <c r="O245" s="135">
        <f>N214</f>
        <v>0</v>
      </c>
      <c r="Q245" s="1215"/>
      <c r="R245" s="140">
        <v>20</v>
      </c>
      <c r="S245" s="141">
        <f>Q214</f>
        <v>750</v>
      </c>
      <c r="T245" s="141" t="str">
        <f>R214</f>
        <v>-</v>
      </c>
      <c r="U245" s="141" t="str">
        <f>S214</f>
        <v>-</v>
      </c>
      <c r="V245" s="141" t="str">
        <f>T214</f>
        <v>-</v>
      </c>
      <c r="W245" s="142">
        <f>U214</f>
        <v>0</v>
      </c>
      <c r="Y245" s="143"/>
      <c r="AE245" s="144"/>
      <c r="AL245" s="110"/>
    </row>
    <row r="246" spans="1:38" hidden="1" x14ac:dyDescent="0.2">
      <c r="A246" s="145"/>
      <c r="B246" s="145"/>
      <c r="C246" s="20"/>
      <c r="D246" s="20"/>
      <c r="E246" s="20"/>
      <c r="F246" s="125"/>
      <c r="G246" s="20"/>
      <c r="I246" s="145"/>
      <c r="J246" s="145"/>
      <c r="K246" s="20"/>
      <c r="L246" s="20"/>
      <c r="M246" s="20"/>
      <c r="N246" s="125"/>
      <c r="O246" s="20"/>
      <c r="Q246" s="146"/>
      <c r="R246" s="146"/>
      <c r="S246" s="147"/>
      <c r="T246" s="147"/>
      <c r="U246" s="147"/>
      <c r="W246" s="148"/>
      <c r="Y246" s="149"/>
      <c r="AE246" s="149"/>
      <c r="AL246" s="149"/>
    </row>
    <row r="247" spans="1:38" hidden="1" x14ac:dyDescent="0.2">
      <c r="A247" s="1210">
        <v>2</v>
      </c>
      <c r="B247" s="131">
        <v>1</v>
      </c>
      <c r="C247" s="135">
        <f>C6</f>
        <v>20</v>
      </c>
      <c r="D247" s="135">
        <f t="shared" ref="D247:F247" si="80">D6</f>
        <v>-0.2</v>
      </c>
      <c r="E247" s="135">
        <f t="shared" si="80"/>
        <v>0.2</v>
      </c>
      <c r="F247" s="135" t="str">
        <f t="shared" si="80"/>
        <v>-</v>
      </c>
      <c r="G247" s="135">
        <f>G6</f>
        <v>0.2</v>
      </c>
      <c r="I247" s="1210">
        <v>2</v>
      </c>
      <c r="J247" s="131">
        <v>1</v>
      </c>
      <c r="K247" s="135">
        <f>J6</f>
        <v>40</v>
      </c>
      <c r="L247" s="135">
        <f>K6</f>
        <v>-6</v>
      </c>
      <c r="M247" s="135">
        <f>L6</f>
        <v>-8.6</v>
      </c>
      <c r="N247" s="135" t="str">
        <f>M6</f>
        <v>-</v>
      </c>
      <c r="O247" s="135">
        <f>N6</f>
        <v>1.2999999999999998</v>
      </c>
      <c r="Q247" s="1211">
        <v>2</v>
      </c>
      <c r="R247" s="150">
        <v>1</v>
      </c>
      <c r="S247" s="151">
        <f>Q6</f>
        <v>800</v>
      </c>
      <c r="T247" s="151" t="str">
        <f>R6</f>
        <v>-</v>
      </c>
      <c r="U247" s="151" t="str">
        <f>S6</f>
        <v>-</v>
      </c>
      <c r="V247" s="151" t="str">
        <f>T6</f>
        <v>-</v>
      </c>
      <c r="W247" s="152">
        <f>U6</f>
        <v>0</v>
      </c>
      <c r="Y247" s="1216" t="s">
        <v>224</v>
      </c>
      <c r="Z247" s="1217"/>
      <c r="AE247" s="153"/>
    </row>
    <row r="248" spans="1:38" hidden="1" x14ac:dyDescent="0.2">
      <c r="A248" s="1210"/>
      <c r="B248" s="131">
        <v>2</v>
      </c>
      <c r="C248" s="135">
        <f>C17</f>
        <v>20</v>
      </c>
      <c r="D248" s="135">
        <f t="shared" ref="D248:F248" si="81">D17</f>
        <v>0.7</v>
      </c>
      <c r="E248" s="135">
        <f t="shared" si="81"/>
        <v>-0.1</v>
      </c>
      <c r="F248" s="135" t="str">
        <f t="shared" si="81"/>
        <v>-</v>
      </c>
      <c r="G248" s="135">
        <f>G17</f>
        <v>0.39999999999999997</v>
      </c>
      <c r="I248" s="1210"/>
      <c r="J248" s="131">
        <v>2</v>
      </c>
      <c r="K248" s="135">
        <f>J17</f>
        <v>40</v>
      </c>
      <c r="L248" s="135">
        <f>K17</f>
        <v>-6.2</v>
      </c>
      <c r="M248" s="135">
        <f>L17</f>
        <v>-1.6</v>
      </c>
      <c r="N248" s="135" t="str">
        <f>M17</f>
        <v>-</v>
      </c>
      <c r="O248" s="135">
        <f>N17</f>
        <v>2.2999999999999998</v>
      </c>
      <c r="Q248" s="1210"/>
      <c r="R248" s="131">
        <v>2</v>
      </c>
      <c r="S248" s="135">
        <f>Q17</f>
        <v>800</v>
      </c>
      <c r="T248" s="135" t="str">
        <f>R17</f>
        <v>-</v>
      </c>
      <c r="U248" s="135" t="str">
        <f>S17</f>
        <v>-</v>
      </c>
      <c r="V248" s="135" t="str">
        <f>T17</f>
        <v>-</v>
      </c>
      <c r="W248" s="136">
        <f>U17</f>
        <v>0</v>
      </c>
      <c r="Y248" s="1218" t="s">
        <v>228</v>
      </c>
      <c r="Z248" s="1219"/>
      <c r="AE248" s="110"/>
    </row>
    <row r="249" spans="1:38" hidden="1" x14ac:dyDescent="0.2">
      <c r="A249" s="1210"/>
      <c r="B249" s="131">
        <v>3</v>
      </c>
      <c r="C249" s="131">
        <f>C28</f>
        <v>20</v>
      </c>
      <c r="D249" s="131">
        <f t="shared" ref="D249:F249" si="82">D28</f>
        <v>1</v>
      </c>
      <c r="E249" s="131">
        <f t="shared" si="82"/>
        <v>9.9999999999999995E-7</v>
      </c>
      <c r="F249" s="131" t="str">
        <f t="shared" si="82"/>
        <v>-</v>
      </c>
      <c r="G249" s="131">
        <f>G28</f>
        <v>0.49999949999999999</v>
      </c>
      <c r="I249" s="1210"/>
      <c r="J249" s="131">
        <v>3</v>
      </c>
      <c r="K249" s="131">
        <f>J28</f>
        <v>40</v>
      </c>
      <c r="L249" s="131">
        <f>K28</f>
        <v>-5.9</v>
      </c>
      <c r="M249" s="131">
        <f>L28</f>
        <v>-5.3</v>
      </c>
      <c r="N249" s="131">
        <f>M28</f>
        <v>0</v>
      </c>
      <c r="O249" s="131">
        <f>N28</f>
        <v>0.30000000000000027</v>
      </c>
      <c r="Q249" s="1210"/>
      <c r="R249" s="131">
        <v>3</v>
      </c>
      <c r="S249" s="131">
        <f>Q28</f>
        <v>800</v>
      </c>
      <c r="T249" s="131" t="str">
        <f>R28</f>
        <v>-</v>
      </c>
      <c r="U249" s="131" t="str">
        <f>S28</f>
        <v>-</v>
      </c>
      <c r="V249" s="131" t="str">
        <f>T28</f>
        <v>-</v>
      </c>
      <c r="W249" s="132">
        <f>U28</f>
        <v>0</v>
      </c>
      <c r="Y249" s="129">
        <v>1</v>
      </c>
      <c r="Z249" s="130">
        <f>X4</f>
        <v>3.1</v>
      </c>
      <c r="AE249" s="110"/>
    </row>
    <row r="250" spans="1:38" hidden="1" x14ac:dyDescent="0.2">
      <c r="A250" s="1210"/>
      <c r="B250" s="131">
        <v>4</v>
      </c>
      <c r="C250" s="131">
        <f>C39</f>
        <v>20</v>
      </c>
      <c r="D250" s="131">
        <f t="shared" ref="D250:F250" si="83">D39</f>
        <v>-0.1</v>
      </c>
      <c r="E250" s="131">
        <f t="shared" si="83"/>
        <v>-0.3</v>
      </c>
      <c r="F250" s="131" t="str">
        <f t="shared" si="83"/>
        <v>-</v>
      </c>
      <c r="G250" s="131">
        <f>G39</f>
        <v>9.9999999999999992E-2</v>
      </c>
      <c r="I250" s="1210"/>
      <c r="J250" s="131">
        <v>4</v>
      </c>
      <c r="K250" s="131">
        <f>J39</f>
        <v>40</v>
      </c>
      <c r="L250" s="131">
        <f>K39</f>
        <v>-4.4000000000000004</v>
      </c>
      <c r="M250" s="131">
        <f>L39</f>
        <v>-1.5</v>
      </c>
      <c r="N250" s="131" t="str">
        <f>M39</f>
        <v>-</v>
      </c>
      <c r="O250" s="131">
        <f>N39</f>
        <v>1.4500000000000002</v>
      </c>
      <c r="Q250" s="1210"/>
      <c r="R250" s="131">
        <v>4</v>
      </c>
      <c r="S250" s="131">
        <f>Q39</f>
        <v>800</v>
      </c>
      <c r="T250" s="131" t="str">
        <f>R39</f>
        <v>-</v>
      </c>
      <c r="U250" s="131" t="str">
        <f>S39</f>
        <v>-</v>
      </c>
      <c r="V250" s="131" t="str">
        <f>T39</f>
        <v>-</v>
      </c>
      <c r="W250" s="132">
        <f>U39</f>
        <v>0</v>
      </c>
      <c r="Y250" s="133">
        <v>2</v>
      </c>
      <c r="Z250" s="130">
        <f>X15</f>
        <v>2.2000000000000002</v>
      </c>
      <c r="AE250" s="110"/>
    </row>
    <row r="251" spans="1:38" hidden="1" x14ac:dyDescent="0.2">
      <c r="A251" s="1210"/>
      <c r="B251" s="131">
        <v>5</v>
      </c>
      <c r="C251" s="131">
        <f>C50</f>
        <v>20</v>
      </c>
      <c r="D251" s="131">
        <f t="shared" ref="D251:F251" si="84">D50</f>
        <v>0.1</v>
      </c>
      <c r="E251" s="131">
        <f t="shared" si="84"/>
        <v>0.3</v>
      </c>
      <c r="F251" s="131" t="str">
        <f t="shared" si="84"/>
        <v>-</v>
      </c>
      <c r="G251" s="131">
        <f>G50</f>
        <v>9.9999999999999992E-2</v>
      </c>
      <c r="I251" s="1210"/>
      <c r="J251" s="131">
        <v>5</v>
      </c>
      <c r="K251" s="131">
        <f>J50</f>
        <v>40</v>
      </c>
      <c r="L251" s="131">
        <f>K50</f>
        <v>-7.2</v>
      </c>
      <c r="M251" s="131">
        <f>L50</f>
        <v>-8</v>
      </c>
      <c r="N251" s="131" t="str">
        <f>M50</f>
        <v>-</v>
      </c>
      <c r="O251" s="131">
        <f>N50</f>
        <v>0.39999999999999991</v>
      </c>
      <c r="Q251" s="1210"/>
      <c r="R251" s="131">
        <v>5</v>
      </c>
      <c r="S251" s="131">
        <f>Q50</f>
        <v>800</v>
      </c>
      <c r="T251" s="131" t="str">
        <f>R50</f>
        <v>-</v>
      </c>
      <c r="U251" s="131" t="str">
        <f>S50</f>
        <v>-</v>
      </c>
      <c r="V251" s="131" t="str">
        <f>T50</f>
        <v>-</v>
      </c>
      <c r="W251" s="132">
        <f>U50</f>
        <v>0</v>
      </c>
      <c r="Y251" s="133">
        <v>3</v>
      </c>
      <c r="Z251" s="134">
        <f>X26</f>
        <v>3.1</v>
      </c>
      <c r="AE251" s="110"/>
    </row>
    <row r="252" spans="1:38" hidden="1" x14ac:dyDescent="0.2">
      <c r="A252" s="1210"/>
      <c r="B252" s="131">
        <v>6</v>
      </c>
      <c r="C252" s="131">
        <f>C61</f>
        <v>20</v>
      </c>
      <c r="D252" s="131">
        <f t="shared" ref="D252:F252" si="85">D61</f>
        <v>0.3</v>
      </c>
      <c r="E252" s="131">
        <f t="shared" si="85"/>
        <v>0.2</v>
      </c>
      <c r="F252" s="131" t="str">
        <f t="shared" si="85"/>
        <v>-</v>
      </c>
      <c r="G252" s="131">
        <f>G61</f>
        <v>4.9999999999999989E-2</v>
      </c>
      <c r="I252" s="1210"/>
      <c r="J252" s="131">
        <v>6</v>
      </c>
      <c r="K252" s="131">
        <f>J61</f>
        <v>40</v>
      </c>
      <c r="L252" s="131">
        <f>K61</f>
        <v>-3.8</v>
      </c>
      <c r="M252" s="131">
        <f>L61</f>
        <v>1.5</v>
      </c>
      <c r="N252" s="131" t="str">
        <f>M61</f>
        <v>-</v>
      </c>
      <c r="O252" s="131">
        <f>N61</f>
        <v>2.65</v>
      </c>
      <c r="Q252" s="1210"/>
      <c r="R252" s="131">
        <v>6</v>
      </c>
      <c r="S252" s="131">
        <f>Q61</f>
        <v>800</v>
      </c>
      <c r="T252" s="131">
        <f>R61</f>
        <v>0.9</v>
      </c>
      <c r="U252" s="131">
        <f>S61</f>
        <v>1.6</v>
      </c>
      <c r="V252" s="131" t="str">
        <f>T61</f>
        <v>-</v>
      </c>
      <c r="W252" s="132">
        <f>U61</f>
        <v>0.35000000000000003</v>
      </c>
      <c r="Y252" s="133">
        <v>4</v>
      </c>
      <c r="Z252" s="134">
        <f>X37</f>
        <v>1.3</v>
      </c>
      <c r="AE252" s="110"/>
    </row>
    <row r="253" spans="1:38" hidden="1" x14ac:dyDescent="0.2">
      <c r="A253" s="1210"/>
      <c r="B253" s="131">
        <v>7</v>
      </c>
      <c r="C253" s="131">
        <f>C72</f>
        <v>20</v>
      </c>
      <c r="D253" s="131">
        <f t="shared" ref="D253:F253" si="86">D72</f>
        <v>9.9999999999999995E-7</v>
      </c>
      <c r="E253" s="131">
        <f t="shared" si="86"/>
        <v>0.1</v>
      </c>
      <c r="F253" s="131" t="str">
        <f t="shared" si="86"/>
        <v>-</v>
      </c>
      <c r="G253" s="131">
        <f>G72</f>
        <v>4.9999500000000002E-2</v>
      </c>
      <c r="I253" s="1210"/>
      <c r="J253" s="131">
        <v>7</v>
      </c>
      <c r="K253" s="131">
        <f>J72</f>
        <v>40</v>
      </c>
      <c r="L253" s="131">
        <f>K72</f>
        <v>-1.9</v>
      </c>
      <c r="M253" s="131">
        <f>L72</f>
        <v>1.2</v>
      </c>
      <c r="N253" s="131" t="str">
        <f>M72</f>
        <v>-</v>
      </c>
      <c r="O253" s="131">
        <f>N72</f>
        <v>1.5499999999999998</v>
      </c>
      <c r="Q253" s="1210"/>
      <c r="R253" s="131">
        <v>7</v>
      </c>
      <c r="S253" s="131">
        <f>Q72</f>
        <v>800</v>
      </c>
      <c r="T253" s="131">
        <f>R72</f>
        <v>9.9999999999999995E-7</v>
      </c>
      <c r="U253" s="131">
        <f>S72</f>
        <v>2.5</v>
      </c>
      <c r="V253" s="131" t="str">
        <f>T72</f>
        <v>-</v>
      </c>
      <c r="W253" s="132">
        <f>U72</f>
        <v>1.2499994999999999</v>
      </c>
      <c r="Y253" s="133">
        <v>5</v>
      </c>
      <c r="Z253" s="134">
        <f>X48</f>
        <v>2.8</v>
      </c>
      <c r="AE253" s="110"/>
    </row>
    <row r="254" spans="1:38" hidden="1" x14ac:dyDescent="0.2">
      <c r="A254" s="1210"/>
      <c r="B254" s="131">
        <v>8</v>
      </c>
      <c r="C254" s="131">
        <f>C83</f>
        <v>20</v>
      </c>
      <c r="D254" s="131">
        <f t="shared" ref="D254:F254" si="87">D83</f>
        <v>9.9999999999999995E-7</v>
      </c>
      <c r="E254" s="131">
        <f t="shared" si="87"/>
        <v>-0.2</v>
      </c>
      <c r="F254" s="131" t="str">
        <f t="shared" si="87"/>
        <v>-</v>
      </c>
      <c r="G254" s="131">
        <f>G83</f>
        <v>0.10000050000000001</v>
      </c>
      <c r="I254" s="1210"/>
      <c r="J254" s="131">
        <v>8</v>
      </c>
      <c r="K254" s="131">
        <f>J83</f>
        <v>40</v>
      </c>
      <c r="L254" s="131">
        <f>K83</f>
        <v>-3.8</v>
      </c>
      <c r="M254" s="131">
        <f>L83</f>
        <v>-1.2</v>
      </c>
      <c r="N254" s="131" t="str">
        <f>M83</f>
        <v>-</v>
      </c>
      <c r="O254" s="131">
        <f>N83</f>
        <v>1.2999999999999998</v>
      </c>
      <c r="Q254" s="1210"/>
      <c r="R254" s="131">
        <v>8</v>
      </c>
      <c r="S254" s="131">
        <f>Q83</f>
        <v>800</v>
      </c>
      <c r="T254" s="131">
        <f>R83</f>
        <v>9.9999999999999995E-7</v>
      </c>
      <c r="U254" s="131">
        <f>S83</f>
        <v>9.9999999999999995E-7</v>
      </c>
      <c r="V254" s="131" t="str">
        <f>T83</f>
        <v>-</v>
      </c>
      <c r="W254" s="132">
        <f>U83</f>
        <v>0</v>
      </c>
      <c r="Y254" s="129">
        <v>6</v>
      </c>
      <c r="Z254" s="130">
        <f>X59</f>
        <v>2.6</v>
      </c>
      <c r="AE254" s="110"/>
    </row>
    <row r="255" spans="1:38" hidden="1" x14ac:dyDescent="0.2">
      <c r="A255" s="1210"/>
      <c r="B255" s="131">
        <v>9</v>
      </c>
      <c r="C255" s="131">
        <f>C94</f>
        <v>20</v>
      </c>
      <c r="D255" s="131">
        <f t="shared" ref="D255:F255" si="88">D94</f>
        <v>-0.2</v>
      </c>
      <c r="E255" s="131" t="str">
        <f t="shared" si="88"/>
        <v>-</v>
      </c>
      <c r="F255" s="131" t="str">
        <f t="shared" si="88"/>
        <v>-</v>
      </c>
      <c r="G255" s="131">
        <f>G94</f>
        <v>0</v>
      </c>
      <c r="I255" s="1210"/>
      <c r="J255" s="131">
        <v>9</v>
      </c>
      <c r="K255" s="131">
        <f>J94</f>
        <v>40</v>
      </c>
      <c r="L255" s="131">
        <f>K94</f>
        <v>-1</v>
      </c>
      <c r="M255" s="131" t="str">
        <f>L94</f>
        <v>-</v>
      </c>
      <c r="N255" s="131" t="str">
        <f>M94</f>
        <v>-</v>
      </c>
      <c r="O255" s="131">
        <f>N94</f>
        <v>0</v>
      </c>
      <c r="Q255" s="1210"/>
      <c r="R255" s="131">
        <v>9</v>
      </c>
      <c r="S255" s="131">
        <f>Q94</f>
        <v>800</v>
      </c>
      <c r="T255" s="131">
        <f>R94</f>
        <v>9.9999999999999995E-7</v>
      </c>
      <c r="U255" s="131" t="str">
        <f>S94</f>
        <v>-</v>
      </c>
      <c r="V255" s="131" t="str">
        <f>T94</f>
        <v>-</v>
      </c>
      <c r="W255" s="132">
        <f>U94</f>
        <v>0</v>
      </c>
      <c r="Y255" s="129">
        <v>7</v>
      </c>
      <c r="Z255" s="130">
        <f>X70</f>
        <v>2.4</v>
      </c>
      <c r="AE255" s="110"/>
    </row>
    <row r="256" spans="1:38" hidden="1" x14ac:dyDescent="0.2">
      <c r="A256" s="1210"/>
      <c r="B256" s="131">
        <v>10</v>
      </c>
      <c r="C256" s="131">
        <f>C105</f>
        <v>20</v>
      </c>
      <c r="D256" s="131">
        <f t="shared" ref="D256:F256" si="89">D105</f>
        <v>0.2</v>
      </c>
      <c r="E256" s="131">
        <f t="shared" si="89"/>
        <v>-0.7</v>
      </c>
      <c r="F256" s="131" t="str">
        <f t="shared" si="89"/>
        <v>-</v>
      </c>
      <c r="G256" s="131">
        <f>G105</f>
        <v>0.44999999999999996</v>
      </c>
      <c r="I256" s="1210"/>
      <c r="J256" s="131">
        <v>10</v>
      </c>
      <c r="K256" s="131">
        <f>J105</f>
        <v>40</v>
      </c>
      <c r="L256" s="131">
        <f>K105</f>
        <v>-3.3</v>
      </c>
      <c r="M256" s="131">
        <f>L105</f>
        <v>-6.4</v>
      </c>
      <c r="N256" s="131" t="str">
        <f>M105</f>
        <v>-</v>
      </c>
      <c r="O256" s="131">
        <f>N105</f>
        <v>1.5500000000000003</v>
      </c>
      <c r="Q256" s="1210"/>
      <c r="R256" s="131">
        <v>10</v>
      </c>
      <c r="S256" s="131">
        <f>Q105</f>
        <v>800</v>
      </c>
      <c r="T256" s="131" t="str">
        <f>R105</f>
        <v>-</v>
      </c>
      <c r="U256" s="131" t="str">
        <f>S105</f>
        <v>-</v>
      </c>
      <c r="V256" s="131" t="str">
        <f>T105</f>
        <v>-</v>
      </c>
      <c r="W256" s="132">
        <f>U105</f>
        <v>0</v>
      </c>
      <c r="Y256" s="129">
        <v>8</v>
      </c>
      <c r="Z256" s="130">
        <f>X81</f>
        <v>2.5</v>
      </c>
      <c r="AE256" s="110"/>
    </row>
    <row r="257" spans="1:31" hidden="1" x14ac:dyDescent="0.2">
      <c r="A257" s="1210"/>
      <c r="B257" s="131">
        <v>11</v>
      </c>
      <c r="C257" s="131">
        <f>C116</f>
        <v>20</v>
      </c>
      <c r="D257" s="131">
        <f t="shared" ref="D257:F257" si="90">D116</f>
        <v>0.4</v>
      </c>
      <c r="E257" s="131">
        <f t="shared" si="90"/>
        <v>0.5</v>
      </c>
      <c r="F257" s="131" t="str">
        <f t="shared" si="90"/>
        <v>-</v>
      </c>
      <c r="G257" s="131">
        <f>G116</f>
        <v>4.9999999999999989E-2</v>
      </c>
      <c r="I257" s="1210"/>
      <c r="J257" s="131">
        <v>11</v>
      </c>
      <c r="K257" s="131">
        <f>J116</f>
        <v>40</v>
      </c>
      <c r="L257" s="131">
        <f>K116</f>
        <v>-5.5</v>
      </c>
      <c r="M257" s="131">
        <f>L116</f>
        <v>-5.9</v>
      </c>
      <c r="N257" s="131" t="str">
        <f>M116</f>
        <v>-</v>
      </c>
      <c r="O257" s="131">
        <f>N116</f>
        <v>0.20000000000000018</v>
      </c>
      <c r="Q257" s="1210"/>
      <c r="R257" s="131">
        <v>11</v>
      </c>
      <c r="S257" s="131">
        <f>Q116</f>
        <v>800</v>
      </c>
      <c r="T257" s="131" t="str">
        <f>R116</f>
        <v>-</v>
      </c>
      <c r="U257" s="131" t="str">
        <f>S116</f>
        <v>-</v>
      </c>
      <c r="V257" s="131" t="str">
        <f>T116</f>
        <v>-</v>
      </c>
      <c r="W257" s="132">
        <f>U116</f>
        <v>0</v>
      </c>
      <c r="Y257" s="129">
        <v>9</v>
      </c>
      <c r="Z257" s="130">
        <f>X92</f>
        <v>2.4</v>
      </c>
      <c r="AE257" s="110"/>
    </row>
    <row r="258" spans="1:31" hidden="1" x14ac:dyDescent="0.2">
      <c r="A258" s="1210"/>
      <c r="B258" s="131">
        <v>12</v>
      </c>
      <c r="C258" s="131">
        <f>C127</f>
        <v>20</v>
      </c>
      <c r="D258" s="131">
        <f t="shared" ref="D258:F258" si="91">D127</f>
        <v>9.9999999999999995E-7</v>
      </c>
      <c r="E258" s="131" t="str">
        <f t="shared" si="91"/>
        <v>-</v>
      </c>
      <c r="F258" s="131" t="str">
        <f t="shared" si="91"/>
        <v>-</v>
      </c>
      <c r="G258" s="131">
        <f>G127</f>
        <v>0</v>
      </c>
      <c r="I258" s="1210"/>
      <c r="J258" s="131">
        <v>12</v>
      </c>
      <c r="K258" s="131">
        <f>J127</f>
        <v>40</v>
      </c>
      <c r="L258" s="131">
        <f>K127</f>
        <v>-0.1</v>
      </c>
      <c r="M258" s="131" t="str">
        <f>L127</f>
        <v>-</v>
      </c>
      <c r="N258" s="131" t="str">
        <f>M127</f>
        <v>-</v>
      </c>
      <c r="O258" s="131">
        <f>N127</f>
        <v>0</v>
      </c>
      <c r="Q258" s="1210"/>
      <c r="R258" s="131">
        <v>12</v>
      </c>
      <c r="S258" s="131">
        <f>Q127</f>
        <v>850</v>
      </c>
      <c r="T258" s="131">
        <f>R127</f>
        <v>-0.5</v>
      </c>
      <c r="U258" s="131" t="str">
        <f>S127</f>
        <v>-</v>
      </c>
      <c r="V258" s="131" t="str">
        <f>T127</f>
        <v>-</v>
      </c>
      <c r="W258" s="132">
        <f>U127</f>
        <v>0</v>
      </c>
      <c r="Y258" s="129">
        <v>10</v>
      </c>
      <c r="Z258" s="130">
        <f>X103</f>
        <v>1.5</v>
      </c>
      <c r="AE258" s="110"/>
    </row>
    <row r="259" spans="1:31" hidden="1" x14ac:dyDescent="0.2">
      <c r="A259" s="1210"/>
      <c r="B259" s="131">
        <v>13</v>
      </c>
      <c r="C259" s="131">
        <f>C138</f>
        <v>20</v>
      </c>
      <c r="D259" s="131">
        <f t="shared" ref="D259:F259" si="92">D138</f>
        <v>0.2</v>
      </c>
      <c r="E259" s="131">
        <f t="shared" si="92"/>
        <v>-0.4</v>
      </c>
      <c r="F259" s="131" t="str">
        <f t="shared" si="92"/>
        <v>-</v>
      </c>
      <c r="G259" s="131">
        <f>G138</f>
        <v>0.30000000000000004</v>
      </c>
      <c r="I259" s="1210"/>
      <c r="J259" s="131">
        <v>13</v>
      </c>
      <c r="K259" s="131">
        <f>J138</f>
        <v>40</v>
      </c>
      <c r="L259" s="131">
        <f>K138</f>
        <v>-2</v>
      </c>
      <c r="M259" s="131">
        <f>L138</f>
        <v>-1.3</v>
      </c>
      <c r="N259" s="131" t="str">
        <f>M138</f>
        <v>-</v>
      </c>
      <c r="O259" s="131">
        <f>N138</f>
        <v>0.35</v>
      </c>
      <c r="Q259" s="1210"/>
      <c r="R259" s="131">
        <v>13</v>
      </c>
      <c r="S259" s="131">
        <f>Q138</f>
        <v>990</v>
      </c>
      <c r="T259" s="131">
        <f>R138</f>
        <v>3.8</v>
      </c>
      <c r="U259" s="131">
        <f>S138</f>
        <v>1</v>
      </c>
      <c r="V259" s="131" t="str">
        <f>T138</f>
        <v>-</v>
      </c>
      <c r="W259" s="132">
        <f>U138</f>
        <v>1.4</v>
      </c>
      <c r="Y259" s="129">
        <v>11</v>
      </c>
      <c r="Z259" s="130">
        <f>X114</f>
        <v>1.8</v>
      </c>
      <c r="AE259" s="110"/>
    </row>
    <row r="260" spans="1:31" hidden="1" x14ac:dyDescent="0.2">
      <c r="A260" s="1210"/>
      <c r="B260" s="131">
        <v>14</v>
      </c>
      <c r="C260" s="131">
        <f>C149</f>
        <v>20</v>
      </c>
      <c r="D260" s="131">
        <f t="shared" ref="D260:F260" si="93">D149</f>
        <v>0.2</v>
      </c>
      <c r="E260" s="131">
        <f t="shared" si="93"/>
        <v>-0.1</v>
      </c>
      <c r="F260" s="131" t="str">
        <f t="shared" si="93"/>
        <v>-</v>
      </c>
      <c r="G260" s="131">
        <f>G149</f>
        <v>0.15000000000000002</v>
      </c>
      <c r="I260" s="1210"/>
      <c r="J260" s="131">
        <v>14</v>
      </c>
      <c r="K260" s="131">
        <f>J149</f>
        <v>40</v>
      </c>
      <c r="L260" s="131">
        <f>K149</f>
        <v>-0.4</v>
      </c>
      <c r="M260" s="131">
        <f>L149</f>
        <v>0.3</v>
      </c>
      <c r="N260" s="131" t="str">
        <f>M149</f>
        <v>-</v>
      </c>
      <c r="O260" s="131">
        <f>N149</f>
        <v>0.35</v>
      </c>
      <c r="Q260" s="1210"/>
      <c r="R260" s="131">
        <v>14</v>
      </c>
      <c r="S260" s="131">
        <f>Q149</f>
        <v>990</v>
      </c>
      <c r="T260" s="131">
        <f>R149</f>
        <v>3.9</v>
      </c>
      <c r="U260" s="131">
        <f>S149</f>
        <v>1</v>
      </c>
      <c r="V260" s="131" t="str">
        <f>T149</f>
        <v>-</v>
      </c>
      <c r="W260" s="132">
        <f>U149</f>
        <v>1.45</v>
      </c>
      <c r="Y260" s="129">
        <v>12</v>
      </c>
      <c r="Z260" s="154">
        <f>X125</f>
        <v>2</v>
      </c>
      <c r="AE260" s="110"/>
    </row>
    <row r="261" spans="1:31" hidden="1" x14ac:dyDescent="0.2">
      <c r="A261" s="1210"/>
      <c r="B261" s="131">
        <v>15</v>
      </c>
      <c r="C261" s="131">
        <f>C160</f>
        <v>20</v>
      </c>
      <c r="D261" s="131">
        <f t="shared" ref="D261:F261" si="94">D160</f>
        <v>0.3</v>
      </c>
      <c r="E261" s="131">
        <f t="shared" si="94"/>
        <v>-0.5</v>
      </c>
      <c r="F261" s="131" t="str">
        <f t="shared" si="94"/>
        <v>-</v>
      </c>
      <c r="G261" s="131">
        <f>G160</f>
        <v>0.4</v>
      </c>
      <c r="I261" s="1210"/>
      <c r="J261" s="131">
        <v>15</v>
      </c>
      <c r="K261" s="131">
        <f>J160</f>
        <v>40</v>
      </c>
      <c r="L261" s="131">
        <f>K160</f>
        <v>-1.7</v>
      </c>
      <c r="M261" s="131">
        <f>L160</f>
        <v>-0.3</v>
      </c>
      <c r="N261" s="131" t="str">
        <f>M160</f>
        <v>-</v>
      </c>
      <c r="O261" s="131">
        <f>N160</f>
        <v>0.7</v>
      </c>
      <c r="Q261" s="1210"/>
      <c r="R261" s="131">
        <v>15</v>
      </c>
      <c r="S261" s="131">
        <f>Q160</f>
        <v>990</v>
      </c>
      <c r="T261" s="131">
        <f>R160</f>
        <v>4.2</v>
      </c>
      <c r="U261" s="131">
        <f>S160</f>
        <v>1</v>
      </c>
      <c r="V261" s="131" t="str">
        <f>T160</f>
        <v>-</v>
      </c>
      <c r="W261" s="132">
        <f>U160</f>
        <v>1.6</v>
      </c>
      <c r="Y261" s="129">
        <v>13</v>
      </c>
      <c r="Z261" s="130">
        <f>X136</f>
        <v>2.2999999999999998</v>
      </c>
      <c r="AE261" s="110"/>
    </row>
    <row r="262" spans="1:31" hidden="1" x14ac:dyDescent="0.2">
      <c r="A262" s="1210"/>
      <c r="B262" s="131">
        <v>16</v>
      </c>
      <c r="C262" s="131">
        <f>C171</f>
        <v>20</v>
      </c>
      <c r="D262" s="131">
        <f t="shared" ref="D262:F262" si="95">D171</f>
        <v>0.2</v>
      </c>
      <c r="E262" s="131" t="str">
        <f t="shared" si="95"/>
        <v>-</v>
      </c>
      <c r="F262" s="131" t="str">
        <f t="shared" si="95"/>
        <v>-</v>
      </c>
      <c r="G262" s="131">
        <f>G171</f>
        <v>0</v>
      </c>
      <c r="I262" s="1210"/>
      <c r="J262" s="131">
        <v>16</v>
      </c>
      <c r="K262" s="131">
        <f>J171</f>
        <v>40</v>
      </c>
      <c r="L262" s="131">
        <f>K171</f>
        <v>-1.4</v>
      </c>
      <c r="M262" s="131" t="str">
        <f>L171</f>
        <v>-</v>
      </c>
      <c r="N262" s="131" t="str">
        <f>M171</f>
        <v>-</v>
      </c>
      <c r="O262" s="131">
        <f>N171</f>
        <v>0</v>
      </c>
      <c r="Q262" s="1210"/>
      <c r="R262" s="131">
        <v>16</v>
      </c>
      <c r="S262" s="131">
        <f>Q171</f>
        <v>850</v>
      </c>
      <c r="T262" s="131">
        <f>R171</f>
        <v>-2.2999999999999998</v>
      </c>
      <c r="U262" s="131" t="str">
        <f>S171</f>
        <v>-</v>
      </c>
      <c r="V262" s="131" t="str">
        <f>T171</f>
        <v>-</v>
      </c>
      <c r="W262" s="132">
        <f>U171</f>
        <v>0</v>
      </c>
      <c r="Y262" s="129">
        <v>14</v>
      </c>
      <c r="Z262" s="130">
        <f>X147</f>
        <v>2.7</v>
      </c>
      <c r="AE262" s="110"/>
    </row>
    <row r="263" spans="1:31" hidden="1" x14ac:dyDescent="0.2">
      <c r="A263" s="1210"/>
      <c r="B263" s="131">
        <v>17</v>
      </c>
      <c r="C263" s="131">
        <f>C182</f>
        <v>20</v>
      </c>
      <c r="D263" s="131">
        <f t="shared" ref="D263:F263" si="96">D182</f>
        <v>0.1</v>
      </c>
      <c r="E263" s="131" t="str">
        <f t="shared" si="96"/>
        <v>-</v>
      </c>
      <c r="F263" s="131" t="str">
        <f t="shared" si="96"/>
        <v>-</v>
      </c>
      <c r="G263" s="131">
        <f>G182</f>
        <v>0</v>
      </c>
      <c r="I263" s="1210"/>
      <c r="J263" s="131">
        <v>17</v>
      </c>
      <c r="K263" s="131">
        <f>J182</f>
        <v>40</v>
      </c>
      <c r="L263" s="131">
        <f>K182</f>
        <v>0.2</v>
      </c>
      <c r="M263" s="131" t="str">
        <f>L182</f>
        <v>-</v>
      </c>
      <c r="N263" s="131" t="str">
        <f>M182</f>
        <v>-</v>
      </c>
      <c r="O263" s="131">
        <f>N182</f>
        <v>0</v>
      </c>
      <c r="Q263" s="1210"/>
      <c r="R263" s="131">
        <v>17</v>
      </c>
      <c r="S263" s="131">
        <f>Q182</f>
        <v>970</v>
      </c>
      <c r="T263" s="131">
        <f>R182</f>
        <v>-0.6</v>
      </c>
      <c r="U263" s="131" t="str">
        <f>S182</f>
        <v>-</v>
      </c>
      <c r="V263" s="131" t="str">
        <f>T182</f>
        <v>-</v>
      </c>
      <c r="W263" s="132">
        <f>U182</f>
        <v>0</v>
      </c>
      <c r="Y263" s="129">
        <v>15</v>
      </c>
      <c r="Z263" s="130">
        <f>X158</f>
        <v>2.6</v>
      </c>
      <c r="AE263" s="110"/>
    </row>
    <row r="264" spans="1:31" hidden="1" x14ac:dyDescent="0.2">
      <c r="A264" s="1210"/>
      <c r="B264" s="131">
        <v>18</v>
      </c>
      <c r="C264" s="131">
        <f>C193</f>
        <v>20</v>
      </c>
      <c r="D264" s="131">
        <f t="shared" ref="D264:F264" si="97">D193</f>
        <v>-0.1</v>
      </c>
      <c r="E264" s="131" t="str">
        <f t="shared" si="97"/>
        <v>-</v>
      </c>
      <c r="F264" s="131" t="str">
        <f t="shared" si="97"/>
        <v>-</v>
      </c>
      <c r="G264" s="131">
        <f>G193</f>
        <v>0</v>
      </c>
      <c r="I264" s="1210"/>
      <c r="J264" s="131">
        <v>18</v>
      </c>
      <c r="K264" s="131">
        <f>J193</f>
        <v>40</v>
      </c>
      <c r="L264" s="131">
        <f>K193</f>
        <v>-0.2</v>
      </c>
      <c r="M264" s="131" t="str">
        <f>L193</f>
        <v>-</v>
      </c>
      <c r="N264" s="131" t="str">
        <f>M193</f>
        <v>-</v>
      </c>
      <c r="O264" s="131">
        <f>N193</f>
        <v>0</v>
      </c>
      <c r="Q264" s="1210"/>
      <c r="R264" s="131">
        <v>18</v>
      </c>
      <c r="S264" s="131">
        <f>Q193</f>
        <v>850</v>
      </c>
      <c r="T264" s="131">
        <f>R193</f>
        <v>-1.3</v>
      </c>
      <c r="U264" s="131" t="str">
        <f>S193</f>
        <v>-</v>
      </c>
      <c r="V264" s="131" t="str">
        <f>T193</f>
        <v>-</v>
      </c>
      <c r="W264" s="132">
        <f>U193</f>
        <v>0</v>
      </c>
      <c r="Y264" s="129">
        <v>16</v>
      </c>
      <c r="Z264" s="130">
        <f>X169</f>
        <v>2.2000000000000002</v>
      </c>
      <c r="AE264" s="110"/>
    </row>
    <row r="265" spans="1:31" hidden="1" x14ac:dyDescent="0.2">
      <c r="A265" s="1210"/>
      <c r="B265" s="131">
        <v>19</v>
      </c>
      <c r="C265" s="131">
        <f>C204</f>
        <v>20</v>
      </c>
      <c r="D265" s="131">
        <f t="shared" ref="D265:F265" si="98">D204</f>
        <v>0.1</v>
      </c>
      <c r="E265" s="131" t="str">
        <f t="shared" si="98"/>
        <v>-</v>
      </c>
      <c r="F265" s="131" t="str">
        <f t="shared" si="98"/>
        <v>-</v>
      </c>
      <c r="G265" s="131">
        <f>G204</f>
        <v>0</v>
      </c>
      <c r="I265" s="1210"/>
      <c r="J265" s="131">
        <v>19</v>
      </c>
      <c r="K265" s="131">
        <f>J204</f>
        <v>40</v>
      </c>
      <c r="L265" s="131">
        <f>K204</f>
        <v>-0.8</v>
      </c>
      <c r="M265" s="131" t="str">
        <f>L204</f>
        <v>-</v>
      </c>
      <c r="N265" s="131" t="str">
        <f>M204</f>
        <v>-</v>
      </c>
      <c r="O265" s="131">
        <f>N204</f>
        <v>0</v>
      </c>
      <c r="Q265" s="1210"/>
      <c r="R265" s="131">
        <v>19</v>
      </c>
      <c r="S265" s="131">
        <f>Q204</f>
        <v>800</v>
      </c>
      <c r="T265" s="131">
        <f>R204</f>
        <v>2.5</v>
      </c>
      <c r="U265" s="131" t="str">
        <f>S204</f>
        <v>-</v>
      </c>
      <c r="V265" s="131" t="str">
        <f>T204</f>
        <v>-</v>
      </c>
      <c r="W265" s="132">
        <f>U204</f>
        <v>0</v>
      </c>
      <c r="Y265" s="129">
        <v>17</v>
      </c>
      <c r="Z265" s="130">
        <f>X180</f>
        <v>2.8</v>
      </c>
      <c r="AE265" s="110"/>
    </row>
    <row r="266" spans="1:31" ht="13.5" hidden="1" thickBot="1" x14ac:dyDescent="0.25">
      <c r="A266" s="1210"/>
      <c r="B266" s="131">
        <v>20</v>
      </c>
      <c r="C266" s="131">
        <f>C215</f>
        <v>19.7</v>
      </c>
      <c r="D266" s="131" t="str">
        <f t="shared" ref="D266:F266" si="99">D215</f>
        <v>-</v>
      </c>
      <c r="E266" s="131" t="str">
        <f t="shared" si="99"/>
        <v>-</v>
      </c>
      <c r="F266" s="131" t="str">
        <f t="shared" si="99"/>
        <v>-</v>
      </c>
      <c r="G266" s="131">
        <f>G215</f>
        <v>0</v>
      </c>
      <c r="I266" s="1210"/>
      <c r="J266" s="131">
        <v>20</v>
      </c>
      <c r="K266" s="131">
        <f>J215</f>
        <v>54.3</v>
      </c>
      <c r="L266" s="131" t="str">
        <f>K215</f>
        <v>-</v>
      </c>
      <c r="M266" s="131" t="str">
        <f>L215</f>
        <v>-</v>
      </c>
      <c r="N266" s="131" t="str">
        <f>M215</f>
        <v>-</v>
      </c>
      <c r="O266" s="131">
        <f>N215</f>
        <v>0</v>
      </c>
      <c r="Q266" s="1212"/>
      <c r="R266" s="140">
        <v>20</v>
      </c>
      <c r="S266" s="140">
        <f>Q215</f>
        <v>800</v>
      </c>
      <c r="T266" s="140" t="str">
        <f>R215</f>
        <v>-</v>
      </c>
      <c r="U266" s="140" t="str">
        <f>S215</f>
        <v>-</v>
      </c>
      <c r="V266" s="140" t="str">
        <f>T215</f>
        <v>-</v>
      </c>
      <c r="W266" s="155">
        <f>U215</f>
        <v>0</v>
      </c>
      <c r="Y266" s="129">
        <v>18</v>
      </c>
      <c r="Z266" s="130">
        <f>X191</f>
        <v>1.6</v>
      </c>
      <c r="AE266" s="144"/>
    </row>
    <row r="267" spans="1:31" hidden="1" x14ac:dyDescent="0.2">
      <c r="A267" s="145"/>
      <c r="B267" s="145"/>
      <c r="C267" s="145"/>
      <c r="D267" s="145"/>
      <c r="E267" s="145"/>
      <c r="F267" s="125"/>
      <c r="G267" s="145"/>
      <c r="I267" s="145"/>
      <c r="J267" s="145"/>
      <c r="K267" s="145"/>
      <c r="L267" s="145"/>
      <c r="M267" s="145"/>
      <c r="N267" s="125"/>
      <c r="O267" s="145"/>
      <c r="Q267" s="156"/>
      <c r="R267" s="146"/>
      <c r="S267" s="157"/>
      <c r="T267" s="157"/>
      <c r="U267" s="157"/>
      <c r="W267" s="158"/>
      <c r="Y267" s="129">
        <v>19</v>
      </c>
      <c r="Z267" s="137">
        <f>X202</f>
        <v>1.5</v>
      </c>
      <c r="AE267" s="110"/>
    </row>
    <row r="268" spans="1:31" ht="13.5" hidden="1" thickBot="1" x14ac:dyDescent="0.25">
      <c r="A268" s="1210">
        <v>3</v>
      </c>
      <c r="B268" s="131">
        <v>1</v>
      </c>
      <c r="C268" s="131">
        <f>C7</f>
        <v>25</v>
      </c>
      <c r="D268" s="131">
        <f t="shared" ref="D268:F268" si="100">D7</f>
        <v>9.9999999999999995E-7</v>
      </c>
      <c r="E268" s="131">
        <f t="shared" si="100"/>
        <v>0.1</v>
      </c>
      <c r="F268" s="131" t="str">
        <f t="shared" si="100"/>
        <v>-</v>
      </c>
      <c r="G268" s="131">
        <f>G7</f>
        <v>4.9999500000000002E-2</v>
      </c>
      <c r="I268" s="1210">
        <v>3</v>
      </c>
      <c r="J268" s="131">
        <v>1</v>
      </c>
      <c r="K268" s="131">
        <f>J7</f>
        <v>50</v>
      </c>
      <c r="L268" s="131">
        <f>K7</f>
        <v>-5.8</v>
      </c>
      <c r="M268" s="131">
        <f>L7</f>
        <v>-7.2</v>
      </c>
      <c r="N268" s="131" t="str">
        <f>M7</f>
        <v>-</v>
      </c>
      <c r="O268" s="131">
        <f>N7</f>
        <v>0.70000000000000018</v>
      </c>
      <c r="Q268" s="1211">
        <v>3</v>
      </c>
      <c r="R268" s="150">
        <v>1</v>
      </c>
      <c r="S268" s="150">
        <f>Q7</f>
        <v>850</v>
      </c>
      <c r="T268" s="150" t="str">
        <f>R7</f>
        <v>-</v>
      </c>
      <c r="U268" s="150" t="str">
        <f>S7</f>
        <v>-</v>
      </c>
      <c r="V268" s="150" t="str">
        <f>T7</f>
        <v>-</v>
      </c>
      <c r="W268" s="159">
        <f>U7</f>
        <v>0</v>
      </c>
      <c r="Y268" s="138">
        <v>20</v>
      </c>
      <c r="Z268" s="139">
        <f>X213</f>
        <v>0</v>
      </c>
      <c r="AE268" s="153"/>
    </row>
    <row r="269" spans="1:31" hidden="1" x14ac:dyDescent="0.2">
      <c r="A269" s="1210"/>
      <c r="B269" s="131">
        <v>2</v>
      </c>
      <c r="C269" s="131">
        <f>C18</f>
        <v>25</v>
      </c>
      <c r="D269" s="131">
        <f t="shared" ref="D269:F269" si="101">D18</f>
        <v>0.5</v>
      </c>
      <c r="E269" s="131">
        <f t="shared" si="101"/>
        <v>-0.2</v>
      </c>
      <c r="F269" s="131" t="str">
        <f t="shared" si="101"/>
        <v>-</v>
      </c>
      <c r="G269" s="131">
        <f>G18</f>
        <v>0.35</v>
      </c>
      <c r="I269" s="1210"/>
      <c r="J269" s="131">
        <v>2</v>
      </c>
      <c r="K269" s="131">
        <f>J18</f>
        <v>50</v>
      </c>
      <c r="L269" s="131">
        <f>K18</f>
        <v>-5.3</v>
      </c>
      <c r="M269" s="131">
        <f>L18</f>
        <v>-1.5</v>
      </c>
      <c r="N269" s="131" t="str">
        <f>M18</f>
        <v>-</v>
      </c>
      <c r="O269" s="131">
        <f>N18</f>
        <v>1.9</v>
      </c>
      <c r="Q269" s="1210"/>
      <c r="R269" s="131">
        <v>2</v>
      </c>
      <c r="S269" s="131">
        <f>Q18</f>
        <v>850</v>
      </c>
      <c r="T269" s="131" t="str">
        <f>R18</f>
        <v>-</v>
      </c>
      <c r="U269" s="131" t="str">
        <f>S18</f>
        <v>-</v>
      </c>
      <c r="V269" s="131" t="str">
        <f>T18</f>
        <v>-</v>
      </c>
      <c r="W269" s="132">
        <f>U18</f>
        <v>0</v>
      </c>
      <c r="AE269" s="110"/>
    </row>
    <row r="270" spans="1:31" hidden="1" x14ac:dyDescent="0.2">
      <c r="A270" s="1210"/>
      <c r="B270" s="131">
        <v>3</v>
      </c>
      <c r="C270" s="131">
        <f>C29</f>
        <v>25</v>
      </c>
      <c r="D270" s="131">
        <f t="shared" ref="D270:F270" si="102">D29</f>
        <v>0.7</v>
      </c>
      <c r="E270" s="131">
        <f t="shared" si="102"/>
        <v>-0.1</v>
      </c>
      <c r="F270" s="131" t="str">
        <f t="shared" si="102"/>
        <v>-</v>
      </c>
      <c r="G270" s="131">
        <f>G29</f>
        <v>0.39999999999999997</v>
      </c>
      <c r="I270" s="1210"/>
      <c r="J270" s="131">
        <v>3</v>
      </c>
      <c r="K270" s="131">
        <f>J29</f>
        <v>50</v>
      </c>
      <c r="L270" s="131">
        <f>K29</f>
        <v>-4.5</v>
      </c>
      <c r="M270" s="131">
        <f>L29</f>
        <v>-4.9000000000000004</v>
      </c>
      <c r="N270" s="131">
        <f>M29</f>
        <v>0</v>
      </c>
      <c r="O270" s="131">
        <f>N29</f>
        <v>0.20000000000000018</v>
      </c>
      <c r="Q270" s="1210"/>
      <c r="R270" s="131">
        <v>3</v>
      </c>
      <c r="S270" s="131">
        <f>Q29</f>
        <v>850</v>
      </c>
      <c r="T270" s="131" t="str">
        <f>R29</f>
        <v>-</v>
      </c>
      <c r="U270" s="131" t="str">
        <f>S29</f>
        <v>-</v>
      </c>
      <c r="V270" s="131" t="str">
        <f>T29</f>
        <v>-</v>
      </c>
      <c r="W270" s="132">
        <f>U29</f>
        <v>0</v>
      </c>
      <c r="AE270" s="110"/>
    </row>
    <row r="271" spans="1:31" hidden="1" x14ac:dyDescent="0.2">
      <c r="A271" s="1210"/>
      <c r="B271" s="131">
        <v>4</v>
      </c>
      <c r="C271" s="131">
        <f>C40</f>
        <v>25</v>
      </c>
      <c r="D271" s="131">
        <f t="shared" ref="D271:F271" si="103">D40</f>
        <v>-0.1</v>
      </c>
      <c r="E271" s="131">
        <f t="shared" si="103"/>
        <v>-0.5</v>
      </c>
      <c r="F271" s="131" t="str">
        <f t="shared" si="103"/>
        <v>-</v>
      </c>
      <c r="G271" s="131">
        <f>G40</f>
        <v>0.2</v>
      </c>
      <c r="I271" s="1210"/>
      <c r="J271" s="131">
        <v>4</v>
      </c>
      <c r="K271" s="131">
        <f>J40</f>
        <v>50</v>
      </c>
      <c r="L271" s="131">
        <f>K40</f>
        <v>-4.3</v>
      </c>
      <c r="M271" s="131">
        <f>L40</f>
        <v>-1</v>
      </c>
      <c r="N271" s="131" t="str">
        <f>M40</f>
        <v>-</v>
      </c>
      <c r="O271" s="131">
        <f>N40</f>
        <v>1.65</v>
      </c>
      <c r="Q271" s="1210"/>
      <c r="R271" s="131">
        <v>4</v>
      </c>
      <c r="S271" s="131">
        <f>Q40</f>
        <v>850</v>
      </c>
      <c r="T271" s="131" t="str">
        <f>R40</f>
        <v>-</v>
      </c>
      <c r="U271" s="131" t="str">
        <f>S40</f>
        <v>-</v>
      </c>
      <c r="V271" s="131" t="str">
        <f>T40</f>
        <v>-</v>
      </c>
      <c r="W271" s="132">
        <f>U40</f>
        <v>0</v>
      </c>
      <c r="Y271" s="1216" t="s">
        <v>224</v>
      </c>
      <c r="Z271" s="1217"/>
      <c r="AE271" s="110"/>
    </row>
    <row r="272" spans="1:31" hidden="1" x14ac:dyDescent="0.2">
      <c r="A272" s="1210"/>
      <c r="B272" s="131">
        <v>5</v>
      </c>
      <c r="C272" s="131">
        <f>C51</f>
        <v>25</v>
      </c>
      <c r="D272" s="131">
        <f t="shared" ref="D272:F272" si="104">D51</f>
        <v>0.4</v>
      </c>
      <c r="E272" s="131">
        <f t="shared" si="104"/>
        <v>0.2</v>
      </c>
      <c r="F272" s="131" t="str">
        <f t="shared" si="104"/>
        <v>-</v>
      </c>
      <c r="G272" s="131">
        <f>G51</f>
        <v>0.1</v>
      </c>
      <c r="I272" s="1210"/>
      <c r="J272" s="131">
        <v>5</v>
      </c>
      <c r="K272" s="131">
        <f>J51</f>
        <v>50</v>
      </c>
      <c r="L272" s="131">
        <f>K51</f>
        <v>-6.2</v>
      </c>
      <c r="M272" s="131">
        <f>L51</f>
        <v>-6.2</v>
      </c>
      <c r="N272" s="131" t="str">
        <f>M51</f>
        <v>-</v>
      </c>
      <c r="O272" s="131">
        <f>N51</f>
        <v>0</v>
      </c>
      <c r="Q272" s="1210"/>
      <c r="R272" s="131">
        <v>5</v>
      </c>
      <c r="S272" s="131">
        <f>Q51</f>
        <v>850</v>
      </c>
      <c r="T272" s="131" t="str">
        <f>R51</f>
        <v>-</v>
      </c>
      <c r="U272" s="131" t="str">
        <f>S51</f>
        <v>-</v>
      </c>
      <c r="V272" s="131" t="str">
        <f>T51</f>
        <v>-</v>
      </c>
      <c r="W272" s="132">
        <f>U51</f>
        <v>0</v>
      </c>
      <c r="Y272" s="1218" t="s">
        <v>229</v>
      </c>
      <c r="Z272" s="1219"/>
      <c r="AE272" s="110"/>
    </row>
    <row r="273" spans="1:31" hidden="1" x14ac:dyDescent="0.2">
      <c r="A273" s="1210"/>
      <c r="B273" s="131">
        <v>6</v>
      </c>
      <c r="C273" s="131">
        <f>C62</f>
        <v>25</v>
      </c>
      <c r="D273" s="131">
        <f t="shared" ref="D273:F273" si="105">D62</f>
        <v>0.2</v>
      </c>
      <c r="E273" s="131">
        <f t="shared" si="105"/>
        <v>-0.1</v>
      </c>
      <c r="F273" s="131" t="str">
        <f t="shared" si="105"/>
        <v>-</v>
      </c>
      <c r="G273" s="131">
        <f>G62</f>
        <v>0.15000000000000002</v>
      </c>
      <c r="I273" s="1210"/>
      <c r="J273" s="131">
        <v>6</v>
      </c>
      <c r="K273" s="131">
        <f>J62</f>
        <v>50</v>
      </c>
      <c r="L273" s="131">
        <f>K62</f>
        <v>-5.4</v>
      </c>
      <c r="M273" s="131">
        <f>L62</f>
        <v>1.2</v>
      </c>
      <c r="N273" s="131" t="str">
        <f>M62</f>
        <v>-</v>
      </c>
      <c r="O273" s="131">
        <f>N62</f>
        <v>3.3000000000000003</v>
      </c>
      <c r="Q273" s="1210"/>
      <c r="R273" s="131">
        <v>6</v>
      </c>
      <c r="S273" s="131">
        <f>Q62</f>
        <v>850</v>
      </c>
      <c r="T273" s="131">
        <f>R62</f>
        <v>0.9</v>
      </c>
      <c r="U273" s="131">
        <f>S62</f>
        <v>1.1000000000000001</v>
      </c>
      <c r="V273" s="131" t="str">
        <f>T62</f>
        <v>-</v>
      </c>
      <c r="W273" s="132">
        <f>U62</f>
        <v>0.10000000000000003</v>
      </c>
      <c r="Y273" s="129">
        <v>1</v>
      </c>
      <c r="Z273" s="130">
        <f>X5</f>
        <v>0</v>
      </c>
      <c r="AE273" s="110"/>
    </row>
    <row r="274" spans="1:31" hidden="1" x14ac:dyDescent="0.2">
      <c r="A274" s="1210"/>
      <c r="B274" s="131">
        <v>7</v>
      </c>
      <c r="C274" s="131">
        <f>C73</f>
        <v>25</v>
      </c>
      <c r="D274" s="131">
        <f t="shared" ref="D274:F274" si="106">D73</f>
        <v>9.9999999999999995E-7</v>
      </c>
      <c r="E274" s="131">
        <f t="shared" si="106"/>
        <v>-0.2</v>
      </c>
      <c r="F274" s="131" t="str">
        <f t="shared" si="106"/>
        <v>-</v>
      </c>
      <c r="G274" s="131">
        <f>G73</f>
        <v>0.10000050000000001</v>
      </c>
      <c r="I274" s="1210"/>
      <c r="J274" s="131">
        <v>7</v>
      </c>
      <c r="K274" s="131">
        <f>J73</f>
        <v>50</v>
      </c>
      <c r="L274" s="131">
        <f>K73</f>
        <v>-1.9</v>
      </c>
      <c r="M274" s="131">
        <f>L73</f>
        <v>0.8</v>
      </c>
      <c r="N274" s="131" t="str">
        <f>M73</f>
        <v>-</v>
      </c>
      <c r="O274" s="131">
        <f>N73</f>
        <v>1.35</v>
      </c>
      <c r="Q274" s="1210"/>
      <c r="R274" s="131">
        <v>7</v>
      </c>
      <c r="S274" s="131">
        <f>Q73</f>
        <v>850</v>
      </c>
      <c r="T274" s="131">
        <f>R73</f>
        <v>9.9999999999999995E-7</v>
      </c>
      <c r="U274" s="131">
        <f>S73</f>
        <v>1.7</v>
      </c>
      <c r="V274" s="131" t="str">
        <f>T73</f>
        <v>-</v>
      </c>
      <c r="W274" s="132">
        <f>U73</f>
        <v>0.84999950000000002</v>
      </c>
      <c r="Y274" s="133">
        <v>2</v>
      </c>
      <c r="Z274" s="130">
        <f>X16</f>
        <v>0</v>
      </c>
      <c r="AE274" s="110"/>
    </row>
    <row r="275" spans="1:31" hidden="1" x14ac:dyDescent="0.2">
      <c r="A275" s="1210"/>
      <c r="B275" s="131">
        <v>8</v>
      </c>
      <c r="C275" s="131">
        <f>C84</f>
        <v>25</v>
      </c>
      <c r="D275" s="131">
        <f t="shared" ref="D275:F275" si="107">D84</f>
        <v>-0.1</v>
      </c>
      <c r="E275" s="131">
        <f t="shared" si="107"/>
        <v>-0.4</v>
      </c>
      <c r="F275" s="131" t="str">
        <f t="shared" si="107"/>
        <v>-</v>
      </c>
      <c r="G275" s="131">
        <f>G84</f>
        <v>0.15000000000000002</v>
      </c>
      <c r="I275" s="1210"/>
      <c r="J275" s="131">
        <v>8</v>
      </c>
      <c r="K275" s="131">
        <f>J84</f>
        <v>50</v>
      </c>
      <c r="L275" s="131">
        <f>K84</f>
        <v>-3.8</v>
      </c>
      <c r="M275" s="131">
        <f>L84</f>
        <v>-1.2</v>
      </c>
      <c r="N275" s="131" t="str">
        <f>M84</f>
        <v>-</v>
      </c>
      <c r="O275" s="131">
        <f>N84</f>
        <v>1.2999999999999998</v>
      </c>
      <c r="Q275" s="1210"/>
      <c r="R275" s="131">
        <v>8</v>
      </c>
      <c r="S275" s="131">
        <f>Q84</f>
        <v>850</v>
      </c>
      <c r="T275" s="131">
        <f>R84</f>
        <v>9.9999999999999995E-7</v>
      </c>
      <c r="U275" s="131">
        <f>S84</f>
        <v>9.9999999999999995E-7</v>
      </c>
      <c r="V275" s="131" t="str">
        <f>T84</f>
        <v>-</v>
      </c>
      <c r="W275" s="132">
        <f>U84</f>
        <v>0</v>
      </c>
      <c r="Y275" s="133">
        <v>3</v>
      </c>
      <c r="Z275" s="134">
        <f>X27</f>
        <v>0</v>
      </c>
      <c r="AE275" s="110"/>
    </row>
    <row r="276" spans="1:31" hidden="1" x14ac:dyDescent="0.2">
      <c r="A276" s="1210"/>
      <c r="B276" s="131">
        <v>9</v>
      </c>
      <c r="C276" s="131">
        <f>C95</f>
        <v>25</v>
      </c>
      <c r="D276" s="131">
        <f t="shared" ref="D276:F276" si="108">D95</f>
        <v>-0.4</v>
      </c>
      <c r="E276" s="131" t="str">
        <f t="shared" si="108"/>
        <v>-</v>
      </c>
      <c r="F276" s="131" t="str">
        <f t="shared" si="108"/>
        <v>-</v>
      </c>
      <c r="G276" s="131">
        <f>G95</f>
        <v>0</v>
      </c>
      <c r="I276" s="1210"/>
      <c r="J276" s="131">
        <v>9</v>
      </c>
      <c r="K276" s="131">
        <f>J95</f>
        <v>50</v>
      </c>
      <c r="L276" s="131">
        <f>K95</f>
        <v>-0.9</v>
      </c>
      <c r="M276" s="131" t="str">
        <f>L95</f>
        <v>-</v>
      </c>
      <c r="N276" s="131" t="str">
        <f>M95</f>
        <v>-</v>
      </c>
      <c r="O276" s="131">
        <f>N95</f>
        <v>0</v>
      </c>
      <c r="Q276" s="1210"/>
      <c r="R276" s="131">
        <v>9</v>
      </c>
      <c r="S276" s="131">
        <f>Q95</f>
        <v>850</v>
      </c>
      <c r="T276" s="131">
        <f>R95</f>
        <v>9.9999999999999995E-7</v>
      </c>
      <c r="U276" s="131" t="str">
        <f>S95</f>
        <v>-</v>
      </c>
      <c r="V276" s="131" t="str">
        <f>T95</f>
        <v>-</v>
      </c>
      <c r="W276" s="132">
        <f>U95</f>
        <v>0</v>
      </c>
      <c r="Y276" s="133">
        <v>4</v>
      </c>
      <c r="Z276" s="134">
        <f>X38</f>
        <v>0</v>
      </c>
      <c r="AE276" s="110"/>
    </row>
    <row r="277" spans="1:31" hidden="1" x14ac:dyDescent="0.2">
      <c r="A277" s="1210"/>
      <c r="B277" s="131">
        <v>10</v>
      </c>
      <c r="C277" s="131">
        <f>C106</f>
        <v>25</v>
      </c>
      <c r="D277" s="131">
        <f t="shared" ref="D277:F277" si="109">D106</f>
        <v>0.1</v>
      </c>
      <c r="E277" s="131">
        <f t="shared" si="109"/>
        <v>-0.5</v>
      </c>
      <c r="F277" s="131" t="str">
        <f t="shared" si="109"/>
        <v>-</v>
      </c>
      <c r="G277" s="131">
        <f>G106</f>
        <v>0.3</v>
      </c>
      <c r="I277" s="1210"/>
      <c r="J277" s="131">
        <v>10</v>
      </c>
      <c r="K277" s="131">
        <f>J106</f>
        <v>50</v>
      </c>
      <c r="L277" s="131">
        <f>K106</f>
        <v>-3.1</v>
      </c>
      <c r="M277" s="131">
        <f>L106</f>
        <v>-6.1</v>
      </c>
      <c r="N277" s="131" t="str">
        <f>M106</f>
        <v>-</v>
      </c>
      <c r="O277" s="131">
        <f>N106</f>
        <v>1.4999999999999998</v>
      </c>
      <c r="Q277" s="1210"/>
      <c r="R277" s="131">
        <v>10</v>
      </c>
      <c r="S277" s="131">
        <f>Q106</f>
        <v>850</v>
      </c>
      <c r="T277" s="131" t="str">
        <f>R106</f>
        <v>-</v>
      </c>
      <c r="U277" s="131" t="str">
        <f>S106</f>
        <v>-</v>
      </c>
      <c r="V277" s="131" t="str">
        <f>T106</f>
        <v>-</v>
      </c>
      <c r="W277" s="132">
        <f>U106</f>
        <v>0</v>
      </c>
      <c r="Y277" s="133">
        <v>5</v>
      </c>
      <c r="Z277" s="134">
        <f>X49</f>
        <v>0</v>
      </c>
      <c r="AE277" s="110"/>
    </row>
    <row r="278" spans="1:31" hidden="1" x14ac:dyDescent="0.2">
      <c r="A278" s="1210"/>
      <c r="B278" s="131">
        <v>11</v>
      </c>
      <c r="C278" s="131">
        <f>C117</f>
        <v>25</v>
      </c>
      <c r="D278" s="131">
        <f t="shared" ref="D278:F278" si="110">D117</f>
        <v>0.4</v>
      </c>
      <c r="E278" s="131">
        <f t="shared" si="110"/>
        <v>0.5</v>
      </c>
      <c r="F278" s="131" t="str">
        <f t="shared" si="110"/>
        <v>-</v>
      </c>
      <c r="G278" s="131">
        <f>G117</f>
        <v>4.9999999999999989E-2</v>
      </c>
      <c r="I278" s="1210"/>
      <c r="J278" s="131">
        <v>11</v>
      </c>
      <c r="K278" s="131">
        <f>J117</f>
        <v>50</v>
      </c>
      <c r="L278" s="131">
        <f>K117</f>
        <v>-5.5</v>
      </c>
      <c r="M278" s="131">
        <f>L117</f>
        <v>-5.6</v>
      </c>
      <c r="N278" s="131" t="str">
        <f>M117</f>
        <v>-</v>
      </c>
      <c r="O278" s="131">
        <f>N117</f>
        <v>4.9999999999999822E-2</v>
      </c>
      <c r="Q278" s="1210"/>
      <c r="R278" s="131">
        <v>11</v>
      </c>
      <c r="S278" s="131">
        <f>Q117</f>
        <v>850</v>
      </c>
      <c r="T278" s="131" t="str">
        <f>R117</f>
        <v>-</v>
      </c>
      <c r="U278" s="131" t="str">
        <f>S117</f>
        <v>-</v>
      </c>
      <c r="V278" s="131" t="str">
        <f>T117</f>
        <v>-</v>
      </c>
      <c r="W278" s="132">
        <f>U117</f>
        <v>0</v>
      </c>
      <c r="Y278" s="129">
        <v>6</v>
      </c>
      <c r="Z278" s="130">
        <f>X60</f>
        <v>1.6</v>
      </c>
      <c r="AE278" s="110"/>
    </row>
    <row r="279" spans="1:31" hidden="1" x14ac:dyDescent="0.2">
      <c r="A279" s="1210"/>
      <c r="B279" s="131">
        <v>12</v>
      </c>
      <c r="C279" s="131">
        <f>C128</f>
        <v>25</v>
      </c>
      <c r="D279" s="131">
        <f t="shared" ref="D279:F279" si="111">D128</f>
        <v>9.9999999999999995E-7</v>
      </c>
      <c r="E279" s="131" t="str">
        <f t="shared" si="111"/>
        <v>-</v>
      </c>
      <c r="F279" s="131" t="str">
        <f t="shared" si="111"/>
        <v>-</v>
      </c>
      <c r="G279" s="131">
        <f>G128</f>
        <v>0</v>
      </c>
      <c r="I279" s="1210"/>
      <c r="J279" s="131">
        <v>12</v>
      </c>
      <c r="K279" s="131">
        <f>J128</f>
        <v>50</v>
      </c>
      <c r="L279" s="131">
        <f>K128</f>
        <v>9.9999999999999995E-7</v>
      </c>
      <c r="M279" s="131" t="str">
        <f>L128</f>
        <v>-</v>
      </c>
      <c r="N279" s="131" t="str">
        <f>M128</f>
        <v>-</v>
      </c>
      <c r="O279" s="131">
        <f>N128</f>
        <v>0</v>
      </c>
      <c r="Q279" s="1210"/>
      <c r="R279" s="131">
        <v>12</v>
      </c>
      <c r="S279" s="131">
        <f>Q128</f>
        <v>900</v>
      </c>
      <c r="T279" s="131">
        <f>R128</f>
        <v>-0.6</v>
      </c>
      <c r="U279" s="131" t="str">
        <f>S128</f>
        <v>-</v>
      </c>
      <c r="V279" s="131" t="str">
        <f>T128</f>
        <v>-</v>
      </c>
      <c r="W279" s="132">
        <f>U128</f>
        <v>0</v>
      </c>
      <c r="Y279" s="129">
        <v>7</v>
      </c>
      <c r="Z279" s="130">
        <f>X71</f>
        <v>2.4</v>
      </c>
      <c r="AE279" s="110"/>
    </row>
    <row r="280" spans="1:31" hidden="1" x14ac:dyDescent="0.2">
      <c r="A280" s="1210"/>
      <c r="B280" s="131">
        <v>13</v>
      </c>
      <c r="C280" s="131">
        <f>C139</f>
        <v>25</v>
      </c>
      <c r="D280" s="131">
        <f t="shared" ref="D280:F280" si="112">D139</f>
        <v>0.1</v>
      </c>
      <c r="E280" s="131">
        <f t="shared" si="112"/>
        <v>-0.2</v>
      </c>
      <c r="F280" s="131" t="str">
        <f t="shared" si="112"/>
        <v>-</v>
      </c>
      <c r="G280" s="131">
        <f>G139</f>
        <v>0.15000000000000002</v>
      </c>
      <c r="I280" s="1210"/>
      <c r="J280" s="131">
        <v>13</v>
      </c>
      <c r="K280" s="131">
        <f>J139</f>
        <v>50</v>
      </c>
      <c r="L280" s="131">
        <f>K139</f>
        <v>-1.8</v>
      </c>
      <c r="M280" s="131">
        <f>L139</f>
        <v>-1.3</v>
      </c>
      <c r="N280" s="131" t="str">
        <f>M139</f>
        <v>-</v>
      </c>
      <c r="O280" s="131">
        <f>N139</f>
        <v>0.25</v>
      </c>
      <c r="Q280" s="1210"/>
      <c r="R280" s="131">
        <v>13</v>
      </c>
      <c r="S280" s="131">
        <f>Q139</f>
        <v>995</v>
      </c>
      <c r="T280" s="131">
        <f>R139</f>
        <v>3.7</v>
      </c>
      <c r="U280" s="131">
        <f>S139</f>
        <v>1</v>
      </c>
      <c r="V280" s="131" t="str">
        <f>T139</f>
        <v>-</v>
      </c>
      <c r="W280" s="132">
        <f>U139</f>
        <v>1.35</v>
      </c>
      <c r="Y280" s="129">
        <v>8</v>
      </c>
      <c r="Z280" s="130">
        <f>X82</f>
        <v>2.1</v>
      </c>
      <c r="AE280" s="110"/>
    </row>
    <row r="281" spans="1:31" hidden="1" x14ac:dyDescent="0.2">
      <c r="A281" s="1210"/>
      <c r="B281" s="131">
        <v>14</v>
      </c>
      <c r="C281" s="131">
        <f>C150</f>
        <v>25</v>
      </c>
      <c r="D281" s="131">
        <f t="shared" ref="D281:F281" si="113">D150</f>
        <v>-0.1</v>
      </c>
      <c r="E281" s="131">
        <f t="shared" si="113"/>
        <v>-0.1</v>
      </c>
      <c r="F281" s="131" t="str">
        <f t="shared" si="113"/>
        <v>-</v>
      </c>
      <c r="G281" s="131">
        <f>G150</f>
        <v>0</v>
      </c>
      <c r="I281" s="1210"/>
      <c r="J281" s="131">
        <v>14</v>
      </c>
      <c r="K281" s="131">
        <f>J151</f>
        <v>60</v>
      </c>
      <c r="L281" s="131">
        <f>K151</f>
        <v>0.3</v>
      </c>
      <c r="M281" s="131">
        <f>L151</f>
        <v>-0.6</v>
      </c>
      <c r="N281" s="131" t="str">
        <f>M151</f>
        <v>-</v>
      </c>
      <c r="O281" s="131">
        <f>N151</f>
        <v>0.44999999999999996</v>
      </c>
      <c r="Q281" s="1210"/>
      <c r="R281" s="131">
        <v>14</v>
      </c>
      <c r="S281" s="131">
        <f>Q150</f>
        <v>995</v>
      </c>
      <c r="T281" s="131">
        <f>R150</f>
        <v>3.8</v>
      </c>
      <c r="U281" s="131">
        <f>S150</f>
        <v>1</v>
      </c>
      <c r="V281" s="131" t="str">
        <f>T150</f>
        <v>-</v>
      </c>
      <c r="W281" s="132">
        <f>U150</f>
        <v>1.4</v>
      </c>
      <c r="Y281" s="129">
        <v>9</v>
      </c>
      <c r="Z281" s="130">
        <f>X93</f>
        <v>2.2000000000000002</v>
      </c>
      <c r="AE281" s="110"/>
    </row>
    <row r="282" spans="1:31" hidden="1" x14ac:dyDescent="0.2">
      <c r="A282" s="1210"/>
      <c r="B282" s="131">
        <v>15</v>
      </c>
      <c r="C282" s="131">
        <f>C161</f>
        <v>25</v>
      </c>
      <c r="D282" s="131">
        <f t="shared" ref="D282:F282" si="114">D161</f>
        <v>0.2</v>
      </c>
      <c r="E282" s="131">
        <f t="shared" si="114"/>
        <v>-0.4</v>
      </c>
      <c r="F282" s="131" t="str">
        <f t="shared" si="114"/>
        <v>-</v>
      </c>
      <c r="G282" s="131">
        <f>G161</f>
        <v>0.30000000000000004</v>
      </c>
      <c r="I282" s="1210"/>
      <c r="J282" s="131">
        <v>15</v>
      </c>
      <c r="K282" s="131">
        <f>J161</f>
        <v>50</v>
      </c>
      <c r="L282" s="131">
        <f>K161</f>
        <v>-1.4</v>
      </c>
      <c r="M282" s="131">
        <f>L161</f>
        <v>-0.3</v>
      </c>
      <c r="N282" s="131" t="str">
        <f>M161</f>
        <v>-</v>
      </c>
      <c r="O282" s="131">
        <f>N161</f>
        <v>0.54999999999999993</v>
      </c>
      <c r="Q282" s="1210"/>
      <c r="R282" s="131">
        <v>15</v>
      </c>
      <c r="S282" s="131">
        <f>Q161</f>
        <v>995</v>
      </c>
      <c r="T282" s="131">
        <f>R161</f>
        <v>4.0999999999999996</v>
      </c>
      <c r="U282" s="131">
        <f>S161</f>
        <v>1</v>
      </c>
      <c r="V282" s="131" t="str">
        <f>T161</f>
        <v>-</v>
      </c>
      <c r="W282" s="132">
        <f>U161</f>
        <v>1.5499999999999998</v>
      </c>
      <c r="Y282" s="129">
        <v>10</v>
      </c>
      <c r="Z282" s="130">
        <f>X104</f>
        <v>0</v>
      </c>
      <c r="AE282" s="110"/>
    </row>
    <row r="283" spans="1:31" hidden="1" x14ac:dyDescent="0.2">
      <c r="A283" s="1210"/>
      <c r="B283" s="131">
        <v>16</v>
      </c>
      <c r="C283" s="131">
        <f>C172</f>
        <v>25</v>
      </c>
      <c r="D283" s="131">
        <f t="shared" ref="D283:F283" si="115">D172</f>
        <v>0.2</v>
      </c>
      <c r="E283" s="131" t="str">
        <f t="shared" si="115"/>
        <v>-</v>
      </c>
      <c r="F283" s="131" t="str">
        <f t="shared" si="115"/>
        <v>-</v>
      </c>
      <c r="G283" s="131">
        <f>G172</f>
        <v>0</v>
      </c>
      <c r="I283" s="1210"/>
      <c r="J283" s="131">
        <v>16</v>
      </c>
      <c r="K283" s="131">
        <f>J172</f>
        <v>50</v>
      </c>
      <c r="L283" s="131">
        <f>K172</f>
        <v>-1.4</v>
      </c>
      <c r="M283" s="131" t="str">
        <f>L172</f>
        <v>-</v>
      </c>
      <c r="N283" s="131" t="str">
        <f>M172</f>
        <v>-</v>
      </c>
      <c r="O283" s="131">
        <f>N172</f>
        <v>0</v>
      </c>
      <c r="Q283" s="1210"/>
      <c r="R283" s="131">
        <v>16</v>
      </c>
      <c r="S283" s="131">
        <f>Q172</f>
        <v>900</v>
      </c>
      <c r="T283" s="131">
        <f>R172</f>
        <v>-1.7</v>
      </c>
      <c r="U283" s="131" t="str">
        <f>S172</f>
        <v>-</v>
      </c>
      <c r="V283" s="131" t="str">
        <f>T172</f>
        <v>-</v>
      </c>
      <c r="W283" s="132">
        <f>U172</f>
        <v>0</v>
      </c>
      <c r="Y283" s="129">
        <v>11</v>
      </c>
      <c r="Z283" s="130">
        <f>X115</f>
        <v>0</v>
      </c>
      <c r="AE283" s="110"/>
    </row>
    <row r="284" spans="1:31" hidden="1" x14ac:dyDescent="0.2">
      <c r="A284" s="1210"/>
      <c r="B284" s="131">
        <v>17</v>
      </c>
      <c r="C284" s="131">
        <f>C183</f>
        <v>25</v>
      </c>
      <c r="D284" s="131">
        <f t="shared" ref="D284:F284" si="116">D183</f>
        <v>9.9999999999999995E-7</v>
      </c>
      <c r="E284" s="131" t="str">
        <f t="shared" si="116"/>
        <v>-</v>
      </c>
      <c r="F284" s="131" t="str">
        <f t="shared" si="116"/>
        <v>-</v>
      </c>
      <c r="G284" s="131">
        <f>G183</f>
        <v>0</v>
      </c>
      <c r="I284" s="1210"/>
      <c r="J284" s="131">
        <v>17</v>
      </c>
      <c r="K284" s="131">
        <f>J183</f>
        <v>50</v>
      </c>
      <c r="L284" s="131">
        <f>K183</f>
        <v>0.2</v>
      </c>
      <c r="M284" s="131" t="str">
        <f>L183</f>
        <v>-</v>
      </c>
      <c r="N284" s="131" t="str">
        <f>M183</f>
        <v>-</v>
      </c>
      <c r="O284" s="131">
        <f>N183</f>
        <v>0</v>
      </c>
      <c r="Q284" s="1210"/>
      <c r="R284" s="131">
        <v>17</v>
      </c>
      <c r="S284" s="131">
        <f>Q183</f>
        <v>980</v>
      </c>
      <c r="T284" s="131">
        <f>R183</f>
        <v>-0.6</v>
      </c>
      <c r="U284" s="131" t="str">
        <f>S183</f>
        <v>-</v>
      </c>
      <c r="V284" s="131" t="str">
        <f>T183</f>
        <v>-</v>
      </c>
      <c r="W284" s="132">
        <f>U183</f>
        <v>0</v>
      </c>
      <c r="Y284" s="129">
        <v>12</v>
      </c>
      <c r="Z284" s="154">
        <f>X126</f>
        <v>2.4</v>
      </c>
      <c r="AE284" s="110"/>
    </row>
    <row r="285" spans="1:31" hidden="1" x14ac:dyDescent="0.2">
      <c r="A285" s="1210"/>
      <c r="B285" s="131">
        <v>18</v>
      </c>
      <c r="C285" s="131">
        <f>C194</f>
        <v>25</v>
      </c>
      <c r="D285" s="131">
        <f t="shared" ref="D285:F285" si="117">D194</f>
        <v>-0.2</v>
      </c>
      <c r="E285" s="131" t="str">
        <f t="shared" si="117"/>
        <v>-</v>
      </c>
      <c r="F285" s="131" t="str">
        <f t="shared" si="117"/>
        <v>-</v>
      </c>
      <c r="G285" s="131">
        <f>G194</f>
        <v>0</v>
      </c>
      <c r="I285" s="1210"/>
      <c r="J285" s="131">
        <v>18</v>
      </c>
      <c r="K285" s="131">
        <f>J194</f>
        <v>50</v>
      </c>
      <c r="L285" s="131">
        <f>K194</f>
        <v>-0.2</v>
      </c>
      <c r="M285" s="131" t="str">
        <f>L194</f>
        <v>-</v>
      </c>
      <c r="N285" s="131" t="str">
        <f>M194</f>
        <v>-</v>
      </c>
      <c r="O285" s="131">
        <f>N194</f>
        <v>0</v>
      </c>
      <c r="Q285" s="1210"/>
      <c r="R285" s="131">
        <v>18</v>
      </c>
      <c r="S285" s="131">
        <f>Q194</f>
        <v>900</v>
      </c>
      <c r="T285" s="131">
        <f>R194</f>
        <v>-1.1000000000000001</v>
      </c>
      <c r="U285" s="131" t="str">
        <f>S194</f>
        <v>-</v>
      </c>
      <c r="V285" s="131" t="str">
        <f>T194</f>
        <v>-</v>
      </c>
      <c r="W285" s="132">
        <f>U194</f>
        <v>0</v>
      </c>
      <c r="Y285" s="129">
        <v>13</v>
      </c>
      <c r="Z285" s="130">
        <f>X137</f>
        <v>2.4</v>
      </c>
      <c r="AE285" s="110"/>
    </row>
    <row r="286" spans="1:31" hidden="1" x14ac:dyDescent="0.2">
      <c r="A286" s="1210"/>
      <c r="B286" s="131">
        <v>19</v>
      </c>
      <c r="C286" s="131">
        <f>C194</f>
        <v>25</v>
      </c>
      <c r="D286" s="131">
        <f t="shared" ref="D286:F286" si="118">D194</f>
        <v>-0.2</v>
      </c>
      <c r="E286" s="131" t="str">
        <f t="shared" si="118"/>
        <v>-</v>
      </c>
      <c r="F286" s="131" t="str">
        <f t="shared" si="118"/>
        <v>-</v>
      </c>
      <c r="G286" s="131">
        <f>G194</f>
        <v>0</v>
      </c>
      <c r="I286" s="1210"/>
      <c r="J286" s="131">
        <v>19</v>
      </c>
      <c r="K286" s="131">
        <f>J205</f>
        <v>50</v>
      </c>
      <c r="L286" s="131">
        <f>K205</f>
        <v>-0.2</v>
      </c>
      <c r="M286" s="131" t="str">
        <f>L205</f>
        <v>-</v>
      </c>
      <c r="N286" s="131" t="str">
        <f>M205</f>
        <v>-</v>
      </c>
      <c r="O286" s="131">
        <f>N205</f>
        <v>0</v>
      </c>
      <c r="Q286" s="1210"/>
      <c r="R286" s="131">
        <v>19</v>
      </c>
      <c r="S286" s="131">
        <f>Q205</f>
        <v>850</v>
      </c>
      <c r="T286" s="131">
        <f>R205</f>
        <v>2.4</v>
      </c>
      <c r="U286" s="131" t="str">
        <f>S205</f>
        <v>-</v>
      </c>
      <c r="V286" s="131" t="str">
        <f>T205</f>
        <v>-</v>
      </c>
      <c r="W286" s="132">
        <f>U205</f>
        <v>0</v>
      </c>
      <c r="Y286" s="129">
        <v>14</v>
      </c>
      <c r="Z286" s="130">
        <f>X148</f>
        <v>2.4</v>
      </c>
      <c r="AE286" s="110"/>
    </row>
    <row r="287" spans="1:31" ht="13.5" hidden="1" thickBot="1" x14ac:dyDescent="0.25">
      <c r="A287" s="1210"/>
      <c r="B287" s="131">
        <v>20</v>
      </c>
      <c r="C287" s="131">
        <f>C216</f>
        <v>24.6</v>
      </c>
      <c r="D287" s="131" t="str">
        <f t="shared" ref="D287:F287" si="119">D216</f>
        <v>-</v>
      </c>
      <c r="E287" s="131" t="str">
        <f t="shared" si="119"/>
        <v>-</v>
      </c>
      <c r="F287" s="131" t="str">
        <f t="shared" si="119"/>
        <v>-</v>
      </c>
      <c r="G287" s="131">
        <f>G216</f>
        <v>0</v>
      </c>
      <c r="I287" s="1210"/>
      <c r="J287" s="131">
        <v>20</v>
      </c>
      <c r="K287" s="131">
        <f>J216</f>
        <v>62.5</v>
      </c>
      <c r="L287" s="131" t="str">
        <f>K216</f>
        <v>-</v>
      </c>
      <c r="M287" s="131" t="str">
        <f>L216</f>
        <v>-</v>
      </c>
      <c r="N287" s="131" t="str">
        <f>M216</f>
        <v>-</v>
      </c>
      <c r="O287" s="131">
        <f>N216</f>
        <v>0</v>
      </c>
      <c r="Q287" s="1212"/>
      <c r="R287" s="140">
        <v>20</v>
      </c>
      <c r="S287" s="140">
        <f>Q216</f>
        <v>850</v>
      </c>
      <c r="T287" s="140" t="str">
        <f>R216</f>
        <v>-</v>
      </c>
      <c r="U287" s="140" t="str">
        <f>S216</f>
        <v>-</v>
      </c>
      <c r="V287" s="140" t="str">
        <f>T216</f>
        <v>-</v>
      </c>
      <c r="W287" s="155">
        <f>U216</f>
        <v>0</v>
      </c>
      <c r="Y287" s="129">
        <v>15</v>
      </c>
      <c r="Z287" s="130">
        <f>X159</f>
        <v>2.6</v>
      </c>
      <c r="AE287" s="144"/>
    </row>
    <row r="288" spans="1:31" hidden="1" x14ac:dyDescent="0.2">
      <c r="A288" s="145"/>
      <c r="B288" s="145"/>
      <c r="C288" s="145"/>
      <c r="D288" s="145"/>
      <c r="E288" s="145"/>
      <c r="F288" s="125"/>
      <c r="G288" s="145"/>
      <c r="I288" s="145"/>
      <c r="J288" s="145"/>
      <c r="K288" s="145"/>
      <c r="L288" s="145"/>
      <c r="M288" s="145"/>
      <c r="N288" s="125"/>
      <c r="O288" s="145"/>
      <c r="Q288" s="156"/>
      <c r="R288" s="160"/>
      <c r="S288" s="157"/>
      <c r="T288" s="157"/>
      <c r="U288" s="157"/>
      <c r="W288" s="158"/>
      <c r="Y288" s="129">
        <v>16</v>
      </c>
      <c r="Z288" s="137">
        <f>X170</f>
        <v>2.2999999999999998</v>
      </c>
      <c r="AE288" s="110"/>
    </row>
    <row r="289" spans="1:31" hidden="1" x14ac:dyDescent="0.2">
      <c r="A289" s="1210">
        <v>4</v>
      </c>
      <c r="B289" s="131">
        <v>1</v>
      </c>
      <c r="C289" s="131">
        <f>C8</f>
        <v>30</v>
      </c>
      <c r="D289" s="131">
        <f t="shared" ref="D289:F289" si="120">D8</f>
        <v>9.9999999999999995E-7</v>
      </c>
      <c r="E289" s="131">
        <f t="shared" si="120"/>
        <v>-0.2</v>
      </c>
      <c r="F289" s="131" t="str">
        <f t="shared" si="120"/>
        <v>-</v>
      </c>
      <c r="G289" s="131">
        <f>G8</f>
        <v>0.10000050000000001</v>
      </c>
      <c r="I289" s="1210">
        <v>4</v>
      </c>
      <c r="J289" s="131">
        <v>1</v>
      </c>
      <c r="K289" s="131">
        <f>J8</f>
        <v>60</v>
      </c>
      <c r="L289" s="131">
        <f>K8</f>
        <v>-5.3</v>
      </c>
      <c r="M289" s="131">
        <f>L8</f>
        <v>-5.2</v>
      </c>
      <c r="N289" s="131" t="str">
        <f>M8</f>
        <v>-</v>
      </c>
      <c r="O289" s="131">
        <f>N8</f>
        <v>4.9999999999999822E-2</v>
      </c>
      <c r="Q289" s="1211">
        <v>4</v>
      </c>
      <c r="R289" s="150">
        <v>1</v>
      </c>
      <c r="S289" s="150">
        <f>Q8</f>
        <v>900</v>
      </c>
      <c r="T289" s="150" t="str">
        <f>R8</f>
        <v>-</v>
      </c>
      <c r="U289" s="150" t="str">
        <f>S8</f>
        <v>-</v>
      </c>
      <c r="V289" s="150" t="str">
        <f>T8</f>
        <v>-</v>
      </c>
      <c r="W289" s="159">
        <f>U8</f>
        <v>0</v>
      </c>
      <c r="Y289" s="129">
        <v>17</v>
      </c>
      <c r="Z289" s="137">
        <f>X181</f>
        <v>2.1</v>
      </c>
      <c r="AE289" s="153"/>
    </row>
    <row r="290" spans="1:31" hidden="1" x14ac:dyDescent="0.2">
      <c r="A290" s="1210"/>
      <c r="B290" s="131">
        <v>2</v>
      </c>
      <c r="C290" s="131">
        <f>C19</f>
        <v>30</v>
      </c>
      <c r="D290" s="131">
        <f t="shared" ref="D290:F290" si="121">D19</f>
        <v>0.2</v>
      </c>
      <c r="E290" s="131">
        <f t="shared" si="121"/>
        <v>-0.3</v>
      </c>
      <c r="F290" s="131" t="str">
        <f t="shared" si="121"/>
        <v>-</v>
      </c>
      <c r="G290" s="131">
        <f>G19</f>
        <v>0.25</v>
      </c>
      <c r="I290" s="1210"/>
      <c r="J290" s="131">
        <v>2</v>
      </c>
      <c r="K290" s="131">
        <f>J19</f>
        <v>60</v>
      </c>
      <c r="L290" s="131">
        <f>K19</f>
        <v>-4</v>
      </c>
      <c r="M290" s="131">
        <f>L19</f>
        <v>-1.3</v>
      </c>
      <c r="N290" s="131" t="str">
        <f>M19</f>
        <v>-</v>
      </c>
      <c r="O290" s="131">
        <f>N19</f>
        <v>1.35</v>
      </c>
      <c r="Q290" s="1210"/>
      <c r="R290" s="131">
        <v>2</v>
      </c>
      <c r="S290" s="131">
        <f>Q19</f>
        <v>900</v>
      </c>
      <c r="T290" s="131" t="str">
        <f>R19</f>
        <v>-</v>
      </c>
      <c r="U290" s="131" t="str">
        <f>S19</f>
        <v>-</v>
      </c>
      <c r="V290" s="131" t="str">
        <f>T19</f>
        <v>-</v>
      </c>
      <c r="W290" s="132">
        <f>U19</f>
        <v>0</v>
      </c>
      <c r="Y290" s="129">
        <v>18</v>
      </c>
      <c r="Z290" s="137">
        <f>X192</f>
        <v>2.4</v>
      </c>
      <c r="AE290" s="110"/>
    </row>
    <row r="291" spans="1:31" hidden="1" x14ac:dyDescent="0.2">
      <c r="A291" s="1210"/>
      <c r="B291" s="131">
        <v>3</v>
      </c>
      <c r="C291" s="131">
        <f>C30</f>
        <v>30</v>
      </c>
      <c r="D291" s="131">
        <f t="shared" ref="D291:F291" si="122">D30</f>
        <v>9.9999999999999995E-7</v>
      </c>
      <c r="E291" s="131">
        <f t="shared" si="122"/>
        <v>-0.3</v>
      </c>
      <c r="F291" s="131" t="str">
        <f t="shared" si="122"/>
        <v>-</v>
      </c>
      <c r="G291" s="131">
        <f>G30</f>
        <v>0.15000049999999998</v>
      </c>
      <c r="I291" s="1210"/>
      <c r="J291" s="131">
        <v>3</v>
      </c>
      <c r="K291" s="131">
        <f>J30</f>
        <v>60</v>
      </c>
      <c r="L291" s="131">
        <f>K30</f>
        <v>-3.2</v>
      </c>
      <c r="M291" s="131">
        <f>L30</f>
        <v>-4.3</v>
      </c>
      <c r="N291" s="131">
        <f>M30</f>
        <v>0</v>
      </c>
      <c r="O291" s="131">
        <f>N30</f>
        <v>0.54999999999999982</v>
      </c>
      <c r="Q291" s="1210"/>
      <c r="R291" s="131">
        <v>3</v>
      </c>
      <c r="S291" s="131">
        <f>Q30</f>
        <v>900</v>
      </c>
      <c r="T291" s="131" t="str">
        <f>R30</f>
        <v>-</v>
      </c>
      <c r="U291" s="131" t="str">
        <f>S30</f>
        <v>-</v>
      </c>
      <c r="V291" s="131" t="str">
        <f>T30</f>
        <v>-</v>
      </c>
      <c r="W291" s="132">
        <f>U30</f>
        <v>0</v>
      </c>
      <c r="Y291" s="129">
        <v>19</v>
      </c>
      <c r="Z291" s="137">
        <f>X203</f>
        <v>0.4</v>
      </c>
      <c r="AE291" s="110"/>
    </row>
    <row r="292" spans="1:31" ht="13.5" hidden="1" thickBot="1" x14ac:dyDescent="0.25">
      <c r="A292" s="1210"/>
      <c r="B292" s="131">
        <v>4</v>
      </c>
      <c r="C292" s="131">
        <f>C41</f>
        <v>30</v>
      </c>
      <c r="D292" s="131">
        <f t="shared" ref="D292:F292" si="123">D41</f>
        <v>-0.1</v>
      </c>
      <c r="E292" s="131">
        <f t="shared" si="123"/>
        <v>-0.6</v>
      </c>
      <c r="F292" s="131" t="str">
        <f t="shared" si="123"/>
        <v>-</v>
      </c>
      <c r="G292" s="131">
        <f>G41</f>
        <v>0.25</v>
      </c>
      <c r="I292" s="1210"/>
      <c r="J292" s="131">
        <v>4</v>
      </c>
      <c r="K292" s="131">
        <f>J41</f>
        <v>60</v>
      </c>
      <c r="L292" s="131">
        <f>K41</f>
        <v>-4.2</v>
      </c>
      <c r="M292" s="131">
        <f>L41</f>
        <v>-0.3</v>
      </c>
      <c r="N292" s="131" t="str">
        <f>M41</f>
        <v>-</v>
      </c>
      <c r="O292" s="131">
        <f>N41</f>
        <v>1.9500000000000002</v>
      </c>
      <c r="Q292" s="1210"/>
      <c r="R292" s="131">
        <v>4</v>
      </c>
      <c r="S292" s="131">
        <f>Q41</f>
        <v>900</v>
      </c>
      <c r="T292" s="131" t="str">
        <f>R41</f>
        <v>-</v>
      </c>
      <c r="U292" s="131" t="str">
        <f>S41</f>
        <v>-</v>
      </c>
      <c r="V292" s="131" t="str">
        <f>T41</f>
        <v>-</v>
      </c>
      <c r="W292" s="132">
        <f>U41</f>
        <v>0</v>
      </c>
      <c r="Y292" s="138">
        <v>20</v>
      </c>
      <c r="Z292" s="139">
        <f>X214</f>
        <v>0</v>
      </c>
      <c r="AE292" s="110"/>
    </row>
    <row r="293" spans="1:31" hidden="1" x14ac:dyDescent="0.2">
      <c r="A293" s="1210"/>
      <c r="B293" s="131">
        <v>5</v>
      </c>
      <c r="C293" s="131">
        <f>C52</f>
        <v>30</v>
      </c>
      <c r="D293" s="131">
        <f t="shared" ref="D293:F293" si="124">D52</f>
        <v>0.6</v>
      </c>
      <c r="E293" s="131">
        <f t="shared" si="124"/>
        <v>0.1</v>
      </c>
      <c r="F293" s="131" t="str">
        <f t="shared" si="124"/>
        <v>-</v>
      </c>
      <c r="G293" s="131">
        <f>G52</f>
        <v>0.25</v>
      </c>
      <c r="I293" s="1210"/>
      <c r="J293" s="131">
        <v>5</v>
      </c>
      <c r="K293" s="131">
        <f>J52</f>
        <v>60</v>
      </c>
      <c r="L293" s="131">
        <f>K52</f>
        <v>-5.2</v>
      </c>
      <c r="M293" s="131">
        <f>L52</f>
        <v>-4.2</v>
      </c>
      <c r="N293" s="131" t="str">
        <f>M52</f>
        <v>-</v>
      </c>
      <c r="O293" s="131">
        <f>N52</f>
        <v>0.5</v>
      </c>
      <c r="Q293" s="1210"/>
      <c r="R293" s="131">
        <v>5</v>
      </c>
      <c r="S293" s="131">
        <f>Q52</f>
        <v>900</v>
      </c>
      <c r="T293" s="131" t="str">
        <f>R52</f>
        <v>-</v>
      </c>
      <c r="U293" s="131" t="str">
        <f>S52</f>
        <v>-</v>
      </c>
      <c r="V293" s="131" t="str">
        <f>T52</f>
        <v>-</v>
      </c>
      <c r="W293" s="132">
        <f>U52</f>
        <v>0</v>
      </c>
      <c r="AE293" s="110"/>
    </row>
    <row r="294" spans="1:31" hidden="1" x14ac:dyDescent="0.2">
      <c r="A294" s="1210"/>
      <c r="B294" s="131">
        <v>6</v>
      </c>
      <c r="C294" s="131">
        <f>C63</f>
        <v>30</v>
      </c>
      <c r="D294" s="131">
        <f t="shared" ref="D294:F294" si="125">D63</f>
        <v>0.1</v>
      </c>
      <c r="E294" s="131">
        <f t="shared" si="125"/>
        <v>-0.5</v>
      </c>
      <c r="F294" s="131" t="str">
        <f t="shared" si="125"/>
        <v>-</v>
      </c>
      <c r="G294" s="131">
        <f>G63</f>
        <v>0.3</v>
      </c>
      <c r="I294" s="1210"/>
      <c r="J294" s="131">
        <v>6</v>
      </c>
      <c r="K294" s="131">
        <f>J63</f>
        <v>60</v>
      </c>
      <c r="L294" s="131">
        <f>K63</f>
        <v>-6.4</v>
      </c>
      <c r="M294" s="131">
        <f>L63</f>
        <v>1.1000000000000001</v>
      </c>
      <c r="N294" s="131" t="str">
        <f>M63</f>
        <v>-</v>
      </c>
      <c r="O294" s="131">
        <f>N63</f>
        <v>3.75</v>
      </c>
      <c r="Q294" s="1210"/>
      <c r="R294" s="131">
        <v>6</v>
      </c>
      <c r="S294" s="131">
        <f>Q63</f>
        <v>900</v>
      </c>
      <c r="T294" s="131">
        <f>R63</f>
        <v>0.9</v>
      </c>
      <c r="U294" s="131">
        <f>S63</f>
        <v>0.7</v>
      </c>
      <c r="V294" s="131" t="str">
        <f>T63</f>
        <v>-</v>
      </c>
      <c r="W294" s="132">
        <f>U63</f>
        <v>0.10000000000000003</v>
      </c>
      <c r="AE294" s="110"/>
    </row>
    <row r="295" spans="1:31" hidden="1" x14ac:dyDescent="0.2">
      <c r="A295" s="1210"/>
      <c r="B295" s="131">
        <v>7</v>
      </c>
      <c r="C295" s="131">
        <f>C74</f>
        <v>30</v>
      </c>
      <c r="D295" s="131">
        <f t="shared" ref="D295:F295" si="126">D74</f>
        <v>9.9999999999999995E-7</v>
      </c>
      <c r="E295" s="131">
        <f t="shared" si="126"/>
        <v>-0.6</v>
      </c>
      <c r="F295" s="131" t="str">
        <f t="shared" si="126"/>
        <v>-</v>
      </c>
      <c r="G295" s="131">
        <f>G74</f>
        <v>0.3000005</v>
      </c>
      <c r="I295" s="1210"/>
      <c r="J295" s="131">
        <v>7</v>
      </c>
      <c r="K295" s="131">
        <f>J74</f>
        <v>60</v>
      </c>
      <c r="L295" s="131">
        <f>K74</f>
        <v>-2.1</v>
      </c>
      <c r="M295" s="131">
        <f>L74</f>
        <v>0.7</v>
      </c>
      <c r="N295" s="131" t="str">
        <f>M74</f>
        <v>-</v>
      </c>
      <c r="O295" s="131">
        <f>N74</f>
        <v>1.4</v>
      </c>
      <c r="Q295" s="1210"/>
      <c r="R295" s="131">
        <v>7</v>
      </c>
      <c r="S295" s="131">
        <f>Q74</f>
        <v>900</v>
      </c>
      <c r="T295" s="131">
        <f>R74</f>
        <v>9.9999999999999995E-7</v>
      </c>
      <c r="U295" s="131">
        <f>S74</f>
        <v>1</v>
      </c>
      <c r="V295" s="131" t="str">
        <f>T74</f>
        <v>-</v>
      </c>
      <c r="W295" s="132">
        <f>U74</f>
        <v>0.49999949999999999</v>
      </c>
      <c r="AE295" s="110"/>
    </row>
    <row r="296" spans="1:31" hidden="1" x14ac:dyDescent="0.2">
      <c r="A296" s="1210"/>
      <c r="B296" s="131">
        <v>8</v>
      </c>
      <c r="C296" s="131">
        <f>C85</f>
        <v>30</v>
      </c>
      <c r="D296" s="131">
        <f t="shared" ref="D296:F296" si="127">D85</f>
        <v>-0.2</v>
      </c>
      <c r="E296" s="131">
        <f t="shared" si="127"/>
        <v>-0.4</v>
      </c>
      <c r="F296" s="131" t="str">
        <f t="shared" si="127"/>
        <v>-</v>
      </c>
      <c r="G296" s="131">
        <f>G85</f>
        <v>0.1</v>
      </c>
      <c r="I296" s="1210"/>
      <c r="J296" s="131">
        <v>8</v>
      </c>
      <c r="K296" s="131">
        <f>J85</f>
        <v>60</v>
      </c>
      <c r="L296" s="131">
        <f>K85</f>
        <v>-3.9</v>
      </c>
      <c r="M296" s="131">
        <f>L85</f>
        <v>-1.1000000000000001</v>
      </c>
      <c r="N296" s="131" t="str">
        <f>M85</f>
        <v>-</v>
      </c>
      <c r="O296" s="131">
        <f>N85</f>
        <v>1.4</v>
      </c>
      <c r="Q296" s="1210"/>
      <c r="R296" s="131">
        <v>8</v>
      </c>
      <c r="S296" s="131">
        <f>Q85</f>
        <v>900</v>
      </c>
      <c r="T296" s="131">
        <f>R85</f>
        <v>-4.4000000000000004</v>
      </c>
      <c r="U296" s="131">
        <f>S85</f>
        <v>9.9999999999999995E-7</v>
      </c>
      <c r="V296" s="131" t="str">
        <f>T85</f>
        <v>-</v>
      </c>
      <c r="W296" s="132">
        <f>U85</f>
        <v>2.2000005000000002</v>
      </c>
      <c r="AE296" s="110"/>
    </row>
    <row r="297" spans="1:31" hidden="1" x14ac:dyDescent="0.2">
      <c r="A297" s="1210"/>
      <c r="B297" s="131">
        <v>9</v>
      </c>
      <c r="C297" s="131">
        <f>C96</f>
        <v>30</v>
      </c>
      <c r="D297" s="131">
        <f t="shared" ref="D297:F297" si="128">D96</f>
        <v>-0.5</v>
      </c>
      <c r="E297" s="131" t="str">
        <f t="shared" si="128"/>
        <v>-</v>
      </c>
      <c r="F297" s="131" t="str">
        <f t="shared" si="128"/>
        <v>-</v>
      </c>
      <c r="G297" s="131">
        <f>G96</f>
        <v>0</v>
      </c>
      <c r="I297" s="1210"/>
      <c r="J297" s="131">
        <v>9</v>
      </c>
      <c r="K297" s="131">
        <f>J96</f>
        <v>60</v>
      </c>
      <c r="L297" s="131">
        <f>K96</f>
        <v>-0.8</v>
      </c>
      <c r="M297" s="131" t="str">
        <f>L96</f>
        <v>-</v>
      </c>
      <c r="N297" s="131" t="str">
        <f>M96</f>
        <v>-</v>
      </c>
      <c r="O297" s="131">
        <f>N96</f>
        <v>0</v>
      </c>
      <c r="Q297" s="1210"/>
      <c r="R297" s="131">
        <v>9</v>
      </c>
      <c r="S297" s="131">
        <f>Q96</f>
        <v>900</v>
      </c>
      <c r="T297" s="131">
        <f>R96</f>
        <v>9.9999999999999995E-7</v>
      </c>
      <c r="U297" s="131" t="str">
        <f>S96</f>
        <v>-</v>
      </c>
      <c r="V297" s="131" t="str">
        <f>T96</f>
        <v>-</v>
      </c>
      <c r="W297" s="132">
        <f>U96</f>
        <v>0</v>
      </c>
      <c r="AE297" s="110"/>
    </row>
    <row r="298" spans="1:31" hidden="1" x14ac:dyDescent="0.2">
      <c r="A298" s="1210"/>
      <c r="B298" s="131">
        <v>10</v>
      </c>
      <c r="C298" s="131">
        <f>C107</f>
        <v>30</v>
      </c>
      <c r="D298" s="131">
        <f t="shared" ref="D298:F298" si="129">D107</f>
        <v>0.1</v>
      </c>
      <c r="E298" s="131">
        <f t="shared" si="129"/>
        <v>0.2</v>
      </c>
      <c r="F298" s="131" t="str">
        <f t="shared" si="129"/>
        <v>-</v>
      </c>
      <c r="G298" s="131">
        <f>G107</f>
        <v>0.05</v>
      </c>
      <c r="I298" s="1210"/>
      <c r="J298" s="131">
        <v>10</v>
      </c>
      <c r="K298" s="131">
        <f>J107</f>
        <v>60</v>
      </c>
      <c r="L298" s="131">
        <f>K107</f>
        <v>-2.1</v>
      </c>
      <c r="M298" s="131">
        <f>L107</f>
        <v>-5.6</v>
      </c>
      <c r="N298" s="131" t="str">
        <f>M107</f>
        <v>-</v>
      </c>
      <c r="O298" s="131">
        <f>N107</f>
        <v>1.7499999999999998</v>
      </c>
      <c r="Q298" s="1210"/>
      <c r="R298" s="131">
        <v>10</v>
      </c>
      <c r="S298" s="131">
        <f>Q107</f>
        <v>900</v>
      </c>
      <c r="T298" s="131" t="str">
        <f>R107</f>
        <v>-</v>
      </c>
      <c r="U298" s="131" t="str">
        <f>S107</f>
        <v>-</v>
      </c>
      <c r="V298" s="131" t="str">
        <f>T107</f>
        <v>-</v>
      </c>
      <c r="W298" s="132">
        <f>U107</f>
        <v>0</v>
      </c>
      <c r="AE298" s="110"/>
    </row>
    <row r="299" spans="1:31" hidden="1" x14ac:dyDescent="0.2">
      <c r="A299" s="1210"/>
      <c r="B299" s="131">
        <v>11</v>
      </c>
      <c r="C299" s="131">
        <f>C118</f>
        <v>30</v>
      </c>
      <c r="D299" s="131">
        <f t="shared" ref="D299:F299" si="130">D118</f>
        <v>0.5</v>
      </c>
      <c r="E299" s="131">
        <f t="shared" si="130"/>
        <v>0.4</v>
      </c>
      <c r="F299" s="131" t="str">
        <f t="shared" si="130"/>
        <v>-</v>
      </c>
      <c r="G299" s="131">
        <f>G118</f>
        <v>4.9999999999999989E-2</v>
      </c>
      <c r="I299" s="1210"/>
      <c r="J299" s="131">
        <v>11</v>
      </c>
      <c r="K299" s="131">
        <f>J118</f>
        <v>60</v>
      </c>
      <c r="L299" s="131">
        <f>K118</f>
        <v>-4.8</v>
      </c>
      <c r="M299" s="131">
        <f>L118</f>
        <v>-4.5</v>
      </c>
      <c r="N299" s="131" t="str">
        <f>M118</f>
        <v>-</v>
      </c>
      <c r="O299" s="131">
        <f>N118</f>
        <v>0.14999999999999991</v>
      </c>
      <c r="Q299" s="1210"/>
      <c r="R299" s="131">
        <v>11</v>
      </c>
      <c r="S299" s="131">
        <f>Q118</f>
        <v>900</v>
      </c>
      <c r="T299" s="131" t="str">
        <f>R118</f>
        <v>-</v>
      </c>
      <c r="U299" s="131" t="str">
        <f>S118</f>
        <v>-</v>
      </c>
      <c r="V299" s="131" t="str">
        <f>T118</f>
        <v>-</v>
      </c>
      <c r="W299" s="132">
        <f>U118</f>
        <v>0</v>
      </c>
      <c r="AE299" s="110"/>
    </row>
    <row r="300" spans="1:31" hidden="1" x14ac:dyDescent="0.2">
      <c r="A300" s="1210"/>
      <c r="B300" s="131">
        <v>12</v>
      </c>
      <c r="C300" s="131">
        <f>C129</f>
        <v>30</v>
      </c>
      <c r="D300" s="131">
        <f t="shared" ref="D300:F300" si="131">D129</f>
        <v>-0.1</v>
      </c>
      <c r="E300" s="131" t="str">
        <f t="shared" si="131"/>
        <v>-</v>
      </c>
      <c r="F300" s="131" t="str">
        <f t="shared" si="131"/>
        <v>-</v>
      </c>
      <c r="G300" s="131">
        <f>G129</f>
        <v>0</v>
      </c>
      <c r="I300" s="1210"/>
      <c r="J300" s="131">
        <v>12</v>
      </c>
      <c r="K300" s="131">
        <f>J129</f>
        <v>60</v>
      </c>
      <c r="L300" s="131">
        <f>K129</f>
        <v>9.9999999999999995E-7</v>
      </c>
      <c r="M300" s="131" t="str">
        <f>L129</f>
        <v>-</v>
      </c>
      <c r="N300" s="131" t="str">
        <f>M129</f>
        <v>-</v>
      </c>
      <c r="O300" s="131">
        <f>N129</f>
        <v>0</v>
      </c>
      <c r="Q300" s="1210"/>
      <c r="R300" s="131">
        <v>12</v>
      </c>
      <c r="S300" s="131">
        <f>Q129</f>
        <v>950</v>
      </c>
      <c r="T300" s="131">
        <f>R129</f>
        <v>-0.7</v>
      </c>
      <c r="U300" s="131" t="str">
        <f>S129</f>
        <v>-</v>
      </c>
      <c r="V300" s="131" t="str">
        <f>T129</f>
        <v>-</v>
      </c>
      <c r="W300" s="132">
        <f>U129</f>
        <v>0</v>
      </c>
      <c r="AE300" s="110"/>
    </row>
    <row r="301" spans="1:31" hidden="1" x14ac:dyDescent="0.2">
      <c r="A301" s="1210"/>
      <c r="B301" s="131">
        <v>13</v>
      </c>
      <c r="C301" s="131">
        <f>C151</f>
        <v>30</v>
      </c>
      <c r="D301" s="131">
        <f t="shared" ref="D301:F301" si="132">D151</f>
        <v>-0.4</v>
      </c>
      <c r="E301" s="131">
        <f t="shared" si="132"/>
        <v>-0.3</v>
      </c>
      <c r="F301" s="131" t="str">
        <f t="shared" si="132"/>
        <v>-</v>
      </c>
      <c r="G301" s="131">
        <f>G151</f>
        <v>5.0000000000000017E-2</v>
      </c>
      <c r="I301" s="1210"/>
      <c r="J301" s="131">
        <v>13</v>
      </c>
      <c r="K301" s="131">
        <f>J140</f>
        <v>60</v>
      </c>
      <c r="L301" s="131">
        <f>K140</f>
        <v>-1.6</v>
      </c>
      <c r="M301" s="131">
        <f>L140</f>
        <v>-1.5</v>
      </c>
      <c r="N301" s="131" t="str">
        <f>M140</f>
        <v>-</v>
      </c>
      <c r="O301" s="131">
        <f>N140</f>
        <v>5.0000000000000044E-2</v>
      </c>
      <c r="Q301" s="1210"/>
      <c r="R301" s="131">
        <v>13</v>
      </c>
      <c r="S301" s="131">
        <f>Q140</f>
        <v>1000</v>
      </c>
      <c r="T301" s="131">
        <f>R140</f>
        <v>3.7</v>
      </c>
      <c r="U301" s="131">
        <f>S140</f>
        <v>1.1000000000000001</v>
      </c>
      <c r="V301" s="131" t="str">
        <f>T140</f>
        <v>-</v>
      </c>
      <c r="W301" s="132">
        <f>U140</f>
        <v>1.3</v>
      </c>
      <c r="AE301" s="110"/>
    </row>
    <row r="302" spans="1:31" hidden="1" x14ac:dyDescent="0.2">
      <c r="A302" s="1210"/>
      <c r="B302" s="131">
        <v>14</v>
      </c>
      <c r="C302" s="131">
        <f>C151</f>
        <v>30</v>
      </c>
      <c r="D302" s="131">
        <f t="shared" ref="D302:F302" si="133">D151</f>
        <v>-0.4</v>
      </c>
      <c r="E302" s="131">
        <f t="shared" si="133"/>
        <v>-0.3</v>
      </c>
      <c r="F302" s="131" t="str">
        <f t="shared" si="133"/>
        <v>-</v>
      </c>
      <c r="G302" s="131">
        <f>G151</f>
        <v>5.0000000000000017E-2</v>
      </c>
      <c r="I302" s="1210"/>
      <c r="J302" s="131">
        <v>14</v>
      </c>
      <c r="K302" s="131">
        <f>J151</f>
        <v>60</v>
      </c>
      <c r="L302" s="131">
        <f>K151</f>
        <v>0.3</v>
      </c>
      <c r="M302" s="131">
        <f>L151</f>
        <v>-0.6</v>
      </c>
      <c r="N302" s="131" t="str">
        <f>M151</f>
        <v>-</v>
      </c>
      <c r="O302" s="131">
        <f>N151</f>
        <v>0.44999999999999996</v>
      </c>
      <c r="Q302" s="1210"/>
      <c r="R302" s="131">
        <v>14</v>
      </c>
      <c r="S302" s="131">
        <f>Q151</f>
        <v>1000</v>
      </c>
      <c r="T302" s="131">
        <f>R151</f>
        <v>3.8</v>
      </c>
      <c r="U302" s="131">
        <f>S151</f>
        <v>1.1000000000000001</v>
      </c>
      <c r="V302" s="131" t="str">
        <f>T151</f>
        <v>-</v>
      </c>
      <c r="W302" s="132">
        <f>U151</f>
        <v>1.3499999999999999</v>
      </c>
      <c r="AE302" s="110"/>
    </row>
    <row r="303" spans="1:31" hidden="1" x14ac:dyDescent="0.2">
      <c r="A303" s="1210"/>
      <c r="B303" s="131">
        <v>15</v>
      </c>
      <c r="C303" s="131">
        <f>C162</f>
        <v>30</v>
      </c>
      <c r="D303" s="131">
        <f t="shared" ref="D303:F303" si="134">D162</f>
        <v>0.4</v>
      </c>
      <c r="E303" s="131">
        <f t="shared" si="134"/>
        <v>-0.2</v>
      </c>
      <c r="F303" s="131" t="str">
        <f t="shared" si="134"/>
        <v>-</v>
      </c>
      <c r="G303" s="131">
        <f>G162</f>
        <v>0.30000000000000004</v>
      </c>
      <c r="I303" s="1210"/>
      <c r="J303" s="131">
        <v>15</v>
      </c>
      <c r="K303" s="131">
        <f>J162</f>
        <v>60</v>
      </c>
      <c r="L303" s="131">
        <f>K162</f>
        <v>-1.1000000000000001</v>
      </c>
      <c r="M303" s="131">
        <f>L162</f>
        <v>-0.5</v>
      </c>
      <c r="N303" s="131" t="str">
        <f>M162</f>
        <v>-</v>
      </c>
      <c r="O303" s="131">
        <f>N162</f>
        <v>0.30000000000000004</v>
      </c>
      <c r="Q303" s="1210"/>
      <c r="R303" s="131">
        <v>15</v>
      </c>
      <c r="S303" s="131">
        <f>Q162</f>
        <v>1000</v>
      </c>
      <c r="T303" s="131">
        <f>R162</f>
        <v>4.0999999999999996</v>
      </c>
      <c r="U303" s="131">
        <f>S162</f>
        <v>1.1000000000000001</v>
      </c>
      <c r="V303" s="131" t="str">
        <f>T162</f>
        <v>-</v>
      </c>
      <c r="W303" s="132">
        <f>U162</f>
        <v>1.4999999999999998</v>
      </c>
      <c r="AE303" s="110"/>
    </row>
    <row r="304" spans="1:31" hidden="1" x14ac:dyDescent="0.2">
      <c r="A304" s="1210"/>
      <c r="B304" s="131">
        <v>16</v>
      </c>
      <c r="C304" s="131">
        <f>C173</f>
        <v>30</v>
      </c>
      <c r="D304" s="131">
        <f t="shared" ref="D304:F304" si="135">D173</f>
        <v>0.2</v>
      </c>
      <c r="E304" s="131" t="str">
        <f t="shared" si="135"/>
        <v>-</v>
      </c>
      <c r="F304" s="131" t="str">
        <f t="shared" si="135"/>
        <v>-</v>
      </c>
      <c r="G304" s="131">
        <f>G173</f>
        <v>0</v>
      </c>
      <c r="I304" s="1210"/>
      <c r="J304" s="131">
        <v>16</v>
      </c>
      <c r="K304" s="131">
        <f>J173</f>
        <v>60</v>
      </c>
      <c r="L304" s="131">
        <f>K173</f>
        <v>-1.5</v>
      </c>
      <c r="M304" s="131" t="str">
        <f>L173</f>
        <v>-</v>
      </c>
      <c r="N304" s="131" t="str">
        <f>M173</f>
        <v>-</v>
      </c>
      <c r="O304" s="131">
        <f>N173</f>
        <v>0</v>
      </c>
      <c r="Q304" s="1210"/>
      <c r="R304" s="131">
        <v>16</v>
      </c>
      <c r="S304" s="131">
        <f>Q173</f>
        <v>950</v>
      </c>
      <c r="T304" s="131">
        <f>R173</f>
        <v>-1.1000000000000001</v>
      </c>
      <c r="U304" s="131" t="str">
        <f>S173</f>
        <v>-</v>
      </c>
      <c r="V304" s="131" t="str">
        <f>T173</f>
        <v>-</v>
      </c>
      <c r="W304" s="132">
        <f>U173</f>
        <v>0</v>
      </c>
      <c r="AE304" s="110"/>
    </row>
    <row r="305" spans="1:31" hidden="1" x14ac:dyDescent="0.2">
      <c r="A305" s="1210"/>
      <c r="B305" s="131">
        <v>17</v>
      </c>
      <c r="C305" s="131">
        <f>C184</f>
        <v>30</v>
      </c>
      <c r="D305" s="131">
        <f t="shared" ref="D305:F305" si="136">D184</f>
        <v>-0.2</v>
      </c>
      <c r="E305" s="131" t="str">
        <f t="shared" si="136"/>
        <v>-</v>
      </c>
      <c r="F305" s="131" t="str">
        <f t="shared" si="136"/>
        <v>-</v>
      </c>
      <c r="G305" s="131">
        <f>G184</f>
        <v>0</v>
      </c>
      <c r="I305" s="1210"/>
      <c r="J305" s="131">
        <v>17</v>
      </c>
      <c r="K305" s="131">
        <f>J184</f>
        <v>60</v>
      </c>
      <c r="L305" s="131">
        <f>K184</f>
        <v>9.9999999999999995E-7</v>
      </c>
      <c r="M305" s="131" t="str">
        <f>L184</f>
        <v>-</v>
      </c>
      <c r="N305" s="131" t="str">
        <f>M184</f>
        <v>-</v>
      </c>
      <c r="O305" s="131">
        <f>N184</f>
        <v>0</v>
      </c>
      <c r="Q305" s="1210"/>
      <c r="R305" s="131">
        <v>17</v>
      </c>
      <c r="S305" s="131">
        <f>Q184</f>
        <v>990</v>
      </c>
      <c r="T305" s="131">
        <f>R184</f>
        <v>-0.6</v>
      </c>
      <c r="U305" s="131" t="str">
        <f>S184</f>
        <v>-</v>
      </c>
      <c r="V305" s="131" t="str">
        <f>T184</f>
        <v>-</v>
      </c>
      <c r="W305" s="132">
        <f>U184</f>
        <v>0</v>
      </c>
      <c r="AE305" s="110"/>
    </row>
    <row r="306" spans="1:31" hidden="1" x14ac:dyDescent="0.2">
      <c r="A306" s="1210"/>
      <c r="B306" s="131">
        <v>18</v>
      </c>
      <c r="C306" s="131">
        <f>C195</f>
        <v>30</v>
      </c>
      <c r="D306" s="131">
        <f t="shared" ref="D306:F306" si="137">D195</f>
        <v>-0.2</v>
      </c>
      <c r="E306" s="131" t="str">
        <f t="shared" si="137"/>
        <v>-</v>
      </c>
      <c r="F306" s="131" t="str">
        <f t="shared" si="137"/>
        <v>-</v>
      </c>
      <c r="G306" s="131">
        <f>G195</f>
        <v>0</v>
      </c>
      <c r="I306" s="1210"/>
      <c r="J306" s="131">
        <v>18</v>
      </c>
      <c r="K306" s="131">
        <f>J195</f>
        <v>60</v>
      </c>
      <c r="L306" s="131">
        <f>K195</f>
        <v>-0.2</v>
      </c>
      <c r="M306" s="131" t="str">
        <f>L195</f>
        <v>-</v>
      </c>
      <c r="N306" s="131" t="str">
        <f>M195</f>
        <v>-</v>
      </c>
      <c r="O306" s="131">
        <f>N195</f>
        <v>0</v>
      </c>
      <c r="Q306" s="1210"/>
      <c r="R306" s="131">
        <v>18</v>
      </c>
      <c r="S306" s="131">
        <f>Q195</f>
        <v>950</v>
      </c>
      <c r="T306" s="131">
        <f>R195</f>
        <v>-0.9</v>
      </c>
      <c r="U306" s="131" t="str">
        <f>S195</f>
        <v>-</v>
      </c>
      <c r="V306" s="131" t="str">
        <f>T195</f>
        <v>-</v>
      </c>
      <c r="W306" s="132">
        <f>U195</f>
        <v>0</v>
      </c>
      <c r="AE306" s="110"/>
    </row>
    <row r="307" spans="1:31" hidden="1" x14ac:dyDescent="0.2">
      <c r="A307" s="1210"/>
      <c r="B307" s="131">
        <v>19</v>
      </c>
      <c r="C307" s="131">
        <f>C206</f>
        <v>30</v>
      </c>
      <c r="D307" s="131">
        <f t="shared" ref="D307:F307" si="138">D206</f>
        <v>-0.1</v>
      </c>
      <c r="E307" s="131" t="str">
        <f t="shared" si="138"/>
        <v>-</v>
      </c>
      <c r="F307" s="131" t="str">
        <f t="shared" si="138"/>
        <v>-</v>
      </c>
      <c r="G307" s="131">
        <f>G206</f>
        <v>0</v>
      </c>
      <c r="I307" s="1210"/>
      <c r="J307" s="131">
        <v>19</v>
      </c>
      <c r="K307" s="131">
        <f>J206</f>
        <v>60</v>
      </c>
      <c r="L307" s="131">
        <f>K206</f>
        <v>0.4</v>
      </c>
      <c r="M307" s="131" t="str">
        <f>L206</f>
        <v>-</v>
      </c>
      <c r="N307" s="131" t="str">
        <f>M206</f>
        <v>-</v>
      </c>
      <c r="O307" s="131">
        <f>N206</f>
        <v>0</v>
      </c>
      <c r="Q307" s="1210"/>
      <c r="R307" s="131">
        <v>19</v>
      </c>
      <c r="S307" s="131">
        <f>Q206</f>
        <v>900</v>
      </c>
      <c r="T307" s="131">
        <f>R206</f>
        <v>2.2999999999999998</v>
      </c>
      <c r="U307" s="131" t="str">
        <f>S206</f>
        <v>-</v>
      </c>
      <c r="V307" s="131" t="str">
        <f>T206</f>
        <v>-</v>
      </c>
      <c r="W307" s="132">
        <f>U206</f>
        <v>0</v>
      </c>
      <c r="AE307" s="110"/>
    </row>
    <row r="308" spans="1:31" ht="13.5" hidden="1" thickBot="1" x14ac:dyDescent="0.25">
      <c r="A308" s="1210"/>
      <c r="B308" s="131">
        <v>20</v>
      </c>
      <c r="C308" s="131">
        <f>C217</f>
        <v>29.5</v>
      </c>
      <c r="D308" s="131" t="str">
        <f t="shared" ref="D308:F308" si="139">D217</f>
        <v>-</v>
      </c>
      <c r="E308" s="131" t="str">
        <f t="shared" si="139"/>
        <v>-</v>
      </c>
      <c r="F308" s="131" t="str">
        <f t="shared" si="139"/>
        <v>-</v>
      </c>
      <c r="G308" s="131">
        <f>G217</f>
        <v>0</v>
      </c>
      <c r="I308" s="1210"/>
      <c r="J308" s="131">
        <v>20</v>
      </c>
      <c r="K308" s="131">
        <f>J217</f>
        <v>71.5</v>
      </c>
      <c r="L308" s="131" t="str">
        <f>K217</f>
        <v>-</v>
      </c>
      <c r="M308" s="131" t="str">
        <f>L217</f>
        <v>-</v>
      </c>
      <c r="N308" s="131" t="str">
        <f>M217</f>
        <v>-</v>
      </c>
      <c r="O308" s="131">
        <f>N217</f>
        <v>0</v>
      </c>
      <c r="Q308" s="1212"/>
      <c r="R308" s="140">
        <v>20</v>
      </c>
      <c r="S308" s="140">
        <f>Q217</f>
        <v>900</v>
      </c>
      <c r="T308" s="140" t="str">
        <f>R217</f>
        <v>-</v>
      </c>
      <c r="U308" s="140" t="str">
        <f>S217</f>
        <v>-</v>
      </c>
      <c r="V308" s="140" t="str">
        <f>T217</f>
        <v>-</v>
      </c>
      <c r="W308" s="155">
        <f>U217</f>
        <v>0</v>
      </c>
      <c r="AE308" s="144"/>
    </row>
    <row r="309" spans="1:31" hidden="1" x14ac:dyDescent="0.2">
      <c r="A309" s="145"/>
      <c r="B309" s="145"/>
      <c r="C309" s="145"/>
      <c r="D309" s="145"/>
      <c r="E309" s="145"/>
      <c r="F309" s="125"/>
      <c r="G309" s="145"/>
      <c r="I309" s="145"/>
      <c r="J309" s="145"/>
      <c r="K309" s="145"/>
      <c r="L309" s="145"/>
      <c r="M309" s="145"/>
      <c r="N309" s="125"/>
      <c r="O309" s="145"/>
      <c r="Q309" s="156"/>
      <c r="R309" s="160"/>
      <c r="S309" s="157"/>
      <c r="T309" s="157"/>
      <c r="U309" s="157"/>
      <c r="W309" s="158"/>
      <c r="AE309" s="110"/>
    </row>
    <row r="310" spans="1:31" hidden="1" x14ac:dyDescent="0.2">
      <c r="A310" s="1210">
        <v>5</v>
      </c>
      <c r="B310" s="131">
        <v>1</v>
      </c>
      <c r="C310" s="131">
        <f>C9</f>
        <v>35</v>
      </c>
      <c r="D310" s="131">
        <f t="shared" ref="D310:F310" si="140">D9</f>
        <v>-0.1</v>
      </c>
      <c r="E310" s="131">
        <f t="shared" si="140"/>
        <v>-0.5</v>
      </c>
      <c r="F310" s="131" t="str">
        <f t="shared" si="140"/>
        <v>-</v>
      </c>
      <c r="G310" s="131">
        <f>G9</f>
        <v>0.2</v>
      </c>
      <c r="I310" s="1210">
        <v>5</v>
      </c>
      <c r="J310" s="131">
        <v>1</v>
      </c>
      <c r="K310" s="131">
        <f>J20</f>
        <v>70</v>
      </c>
      <c r="L310" s="131">
        <f>K20</f>
        <v>-2.4</v>
      </c>
      <c r="M310" s="131">
        <f>L20</f>
        <v>-1.1000000000000001</v>
      </c>
      <c r="N310" s="131" t="str">
        <f>M20</f>
        <v>-</v>
      </c>
      <c r="O310" s="131">
        <f>N20</f>
        <v>0.64999999999999991</v>
      </c>
      <c r="Q310" s="1211">
        <v>5</v>
      </c>
      <c r="R310" s="150">
        <v>1</v>
      </c>
      <c r="S310" s="150">
        <f>Q9</f>
        <v>1000</v>
      </c>
      <c r="T310" s="150" t="str">
        <f>R9</f>
        <v>-</v>
      </c>
      <c r="U310" s="150" t="str">
        <f>S9</f>
        <v>-</v>
      </c>
      <c r="V310" s="150" t="str">
        <f>T9</f>
        <v>-</v>
      </c>
      <c r="W310" s="159">
        <f>U9</f>
        <v>0</v>
      </c>
      <c r="AE310" s="153"/>
    </row>
    <row r="311" spans="1:31" hidden="1" x14ac:dyDescent="0.2">
      <c r="A311" s="1210"/>
      <c r="B311" s="131">
        <v>2</v>
      </c>
      <c r="C311" s="131">
        <f>C20</f>
        <v>35</v>
      </c>
      <c r="D311" s="131">
        <f t="shared" ref="D311:F311" si="141">D20</f>
        <v>-0.1</v>
      </c>
      <c r="E311" s="131">
        <f t="shared" si="141"/>
        <v>-0.3</v>
      </c>
      <c r="F311" s="131" t="str">
        <f t="shared" si="141"/>
        <v>-</v>
      </c>
      <c r="G311" s="131">
        <f>G20</f>
        <v>9.9999999999999992E-2</v>
      </c>
      <c r="I311" s="1210"/>
      <c r="J311" s="131">
        <v>2</v>
      </c>
      <c r="K311" s="131">
        <f>J20</f>
        <v>70</v>
      </c>
      <c r="L311" s="131">
        <f>K20</f>
        <v>-2.4</v>
      </c>
      <c r="M311" s="131">
        <f>L20</f>
        <v>-1.1000000000000001</v>
      </c>
      <c r="N311" s="131" t="str">
        <f>M20</f>
        <v>-</v>
      </c>
      <c r="O311" s="131">
        <f>N20</f>
        <v>0.64999999999999991</v>
      </c>
      <c r="Q311" s="1210"/>
      <c r="R311" s="131">
        <v>2</v>
      </c>
      <c r="S311" s="131">
        <f>Q20</f>
        <v>1000</v>
      </c>
      <c r="T311" s="131" t="str">
        <f>R20</f>
        <v>-</v>
      </c>
      <c r="U311" s="131" t="str">
        <f>S20</f>
        <v>-</v>
      </c>
      <c r="V311" s="131" t="str">
        <f>T20</f>
        <v>-</v>
      </c>
      <c r="W311" s="132">
        <f>U20</f>
        <v>0</v>
      </c>
      <c r="AE311" s="110"/>
    </row>
    <row r="312" spans="1:31" hidden="1" x14ac:dyDescent="0.2">
      <c r="A312" s="1210"/>
      <c r="B312" s="131">
        <v>3</v>
      </c>
      <c r="C312" s="131">
        <f>C31</f>
        <v>35</v>
      </c>
      <c r="D312" s="131">
        <f t="shared" ref="D312:F312" si="142">D31</f>
        <v>-0.3</v>
      </c>
      <c r="E312" s="131">
        <f t="shared" si="142"/>
        <v>-0.5</v>
      </c>
      <c r="F312" s="131" t="str">
        <f t="shared" si="142"/>
        <v>-</v>
      </c>
      <c r="G312" s="131">
        <f>G31</f>
        <v>0.1</v>
      </c>
      <c r="I312" s="1210"/>
      <c r="J312" s="131">
        <v>3</v>
      </c>
      <c r="K312" s="131">
        <f>J31</f>
        <v>70</v>
      </c>
      <c r="L312" s="131">
        <f>K31</f>
        <v>-2</v>
      </c>
      <c r="M312" s="131">
        <f>L31</f>
        <v>-3.6</v>
      </c>
      <c r="N312" s="131">
        <f>M31</f>
        <v>0</v>
      </c>
      <c r="O312" s="131">
        <f>N31</f>
        <v>0.8</v>
      </c>
      <c r="Q312" s="1210"/>
      <c r="R312" s="131">
        <v>3</v>
      </c>
      <c r="S312" s="131">
        <f>Q31</f>
        <v>1000</v>
      </c>
      <c r="T312" s="131" t="str">
        <f>R31</f>
        <v>-</v>
      </c>
      <c r="U312" s="131" t="str">
        <f>S31</f>
        <v>-</v>
      </c>
      <c r="V312" s="131" t="str">
        <f>T31</f>
        <v>-</v>
      </c>
      <c r="W312" s="132">
        <f>U31</f>
        <v>0</v>
      </c>
      <c r="AE312" s="110"/>
    </row>
    <row r="313" spans="1:31" hidden="1" x14ac:dyDescent="0.2">
      <c r="A313" s="1210"/>
      <c r="B313" s="131">
        <v>4</v>
      </c>
      <c r="C313" s="131">
        <f>C42</f>
        <v>35</v>
      </c>
      <c r="D313" s="131">
        <f t="shared" ref="D313:F313" si="143">D42</f>
        <v>-0.3</v>
      </c>
      <c r="E313" s="131">
        <f t="shared" si="143"/>
        <v>-0.6</v>
      </c>
      <c r="F313" s="131" t="str">
        <f t="shared" si="143"/>
        <v>-</v>
      </c>
      <c r="G313" s="131">
        <f>G42</f>
        <v>0.15</v>
      </c>
      <c r="I313" s="1210"/>
      <c r="J313" s="131">
        <v>4</v>
      </c>
      <c r="K313" s="131">
        <f>J42</f>
        <v>70</v>
      </c>
      <c r="L313" s="131">
        <f>K42</f>
        <v>-4</v>
      </c>
      <c r="M313" s="131">
        <f>L42</f>
        <v>0.7</v>
      </c>
      <c r="N313" s="131" t="str">
        <f>M42</f>
        <v>-</v>
      </c>
      <c r="O313" s="131">
        <f>N42</f>
        <v>2.35</v>
      </c>
      <c r="Q313" s="1210"/>
      <c r="R313" s="131">
        <v>4</v>
      </c>
      <c r="S313" s="131">
        <f>Q42</f>
        <v>1000</v>
      </c>
      <c r="T313" s="131" t="str">
        <f>R42</f>
        <v>-</v>
      </c>
      <c r="U313" s="131" t="str">
        <f>S42</f>
        <v>-</v>
      </c>
      <c r="V313" s="131" t="str">
        <f>T42</f>
        <v>-</v>
      </c>
      <c r="W313" s="132">
        <f>U42</f>
        <v>0</v>
      </c>
      <c r="AE313" s="110"/>
    </row>
    <row r="314" spans="1:31" hidden="1" x14ac:dyDescent="0.2">
      <c r="A314" s="1210"/>
      <c r="B314" s="131">
        <v>5</v>
      </c>
      <c r="C314" s="131">
        <f>C53</f>
        <v>35</v>
      </c>
      <c r="D314" s="131">
        <f t="shared" ref="D314:F314" si="144">D53</f>
        <v>0.7</v>
      </c>
      <c r="E314" s="131">
        <f t="shared" si="144"/>
        <v>9.9999999999999995E-7</v>
      </c>
      <c r="F314" s="131" t="str">
        <f t="shared" si="144"/>
        <v>-</v>
      </c>
      <c r="G314" s="131">
        <f>G53</f>
        <v>0.34999949999999996</v>
      </c>
      <c r="I314" s="1210"/>
      <c r="J314" s="131">
        <v>5</v>
      </c>
      <c r="K314" s="131">
        <f>J53</f>
        <v>70</v>
      </c>
      <c r="L314" s="131">
        <f>K53</f>
        <v>-4.0999999999999996</v>
      </c>
      <c r="M314" s="131">
        <f>L53</f>
        <v>-2.1</v>
      </c>
      <c r="N314" s="131" t="str">
        <f>M53</f>
        <v>-</v>
      </c>
      <c r="O314" s="131">
        <f>N53</f>
        <v>0.99999999999999978</v>
      </c>
      <c r="Q314" s="1210"/>
      <c r="R314" s="131">
        <v>5</v>
      </c>
      <c r="S314" s="131">
        <f>Q53</f>
        <v>1000</v>
      </c>
      <c r="T314" s="131" t="str">
        <f>R53</f>
        <v>-</v>
      </c>
      <c r="U314" s="131" t="str">
        <f>S53</f>
        <v>-</v>
      </c>
      <c r="V314" s="131" t="str">
        <f>T53</f>
        <v>-</v>
      </c>
      <c r="W314" s="132">
        <f>U53</f>
        <v>0</v>
      </c>
      <c r="AE314" s="110"/>
    </row>
    <row r="315" spans="1:31" hidden="1" x14ac:dyDescent="0.2">
      <c r="A315" s="1210"/>
      <c r="B315" s="131">
        <v>6</v>
      </c>
      <c r="C315" s="131">
        <f>C64</f>
        <v>35</v>
      </c>
      <c r="D315" s="131">
        <f t="shared" ref="D315:F315" si="145">D64</f>
        <v>0.1</v>
      </c>
      <c r="E315" s="131">
        <f t="shared" si="145"/>
        <v>-0.9</v>
      </c>
      <c r="F315" s="131" t="str">
        <f t="shared" si="145"/>
        <v>-</v>
      </c>
      <c r="G315" s="131">
        <f>G64</f>
        <v>0.5</v>
      </c>
      <c r="I315" s="1210"/>
      <c r="J315" s="131">
        <v>6</v>
      </c>
      <c r="K315" s="131">
        <f>J64</f>
        <v>70</v>
      </c>
      <c r="L315" s="131">
        <f>K64</f>
        <v>-6.7</v>
      </c>
      <c r="M315" s="131">
        <f>L64</f>
        <v>0.9</v>
      </c>
      <c r="N315" s="131" t="str">
        <f>M64</f>
        <v>-</v>
      </c>
      <c r="O315" s="131">
        <f>N64</f>
        <v>3.8000000000000003</v>
      </c>
      <c r="Q315" s="1210"/>
      <c r="R315" s="131">
        <v>6</v>
      </c>
      <c r="S315" s="131">
        <f>Q64</f>
        <v>1000</v>
      </c>
      <c r="T315" s="131">
        <f>R64</f>
        <v>0.9</v>
      </c>
      <c r="U315" s="131">
        <f>S64</f>
        <v>-0.3</v>
      </c>
      <c r="V315" s="131" t="str">
        <f>T64</f>
        <v>-</v>
      </c>
      <c r="W315" s="132">
        <f>U64</f>
        <v>0.6</v>
      </c>
      <c r="AE315" s="110"/>
    </row>
    <row r="316" spans="1:31" hidden="1" x14ac:dyDescent="0.2">
      <c r="A316" s="1210"/>
      <c r="B316" s="131">
        <v>7</v>
      </c>
      <c r="C316" s="131">
        <f>C75</f>
        <v>35</v>
      </c>
      <c r="D316" s="131">
        <f t="shared" ref="D316:F316" si="146">D75</f>
        <v>9.9999999999999995E-7</v>
      </c>
      <c r="E316" s="131">
        <f t="shared" si="146"/>
        <v>-1.1000000000000001</v>
      </c>
      <c r="F316" s="131" t="str">
        <f t="shared" si="146"/>
        <v>-</v>
      </c>
      <c r="G316" s="131">
        <f>G75</f>
        <v>0.5500005</v>
      </c>
      <c r="I316" s="1210"/>
      <c r="J316" s="131">
        <v>7</v>
      </c>
      <c r="K316" s="131">
        <f>J75</f>
        <v>70</v>
      </c>
      <c r="L316" s="131">
        <f>K75</f>
        <v>-2.2999999999999998</v>
      </c>
      <c r="M316" s="131">
        <f>L75</f>
        <v>0.9</v>
      </c>
      <c r="N316" s="131" t="str">
        <f>M75</f>
        <v>-</v>
      </c>
      <c r="O316" s="131">
        <f>N75</f>
        <v>1.5999999999999999</v>
      </c>
      <c r="Q316" s="1210"/>
      <c r="R316" s="131">
        <v>7</v>
      </c>
      <c r="S316" s="131">
        <f>Q75</f>
        <v>1000</v>
      </c>
      <c r="T316" s="131">
        <f>R75</f>
        <v>-3.9</v>
      </c>
      <c r="U316" s="131">
        <f>S75</f>
        <v>-0.4</v>
      </c>
      <c r="V316" s="131" t="str">
        <f>T75</f>
        <v>-</v>
      </c>
      <c r="W316" s="132">
        <f>U75</f>
        <v>1.75</v>
      </c>
      <c r="AE316" s="110"/>
    </row>
    <row r="317" spans="1:31" hidden="1" x14ac:dyDescent="0.2">
      <c r="A317" s="1210"/>
      <c r="B317" s="131">
        <v>8</v>
      </c>
      <c r="C317" s="131">
        <f>C86</f>
        <v>35</v>
      </c>
      <c r="D317" s="131">
        <f t="shared" ref="D317:F317" si="147">D86</f>
        <v>-0.1</v>
      </c>
      <c r="E317" s="131">
        <f t="shared" si="147"/>
        <v>-0.5</v>
      </c>
      <c r="F317" s="131" t="str">
        <f t="shared" si="147"/>
        <v>-</v>
      </c>
      <c r="G317" s="131">
        <f>G86</f>
        <v>0.2</v>
      </c>
      <c r="I317" s="1210"/>
      <c r="J317" s="131">
        <v>8</v>
      </c>
      <c r="K317" s="131">
        <f>J86</f>
        <v>70</v>
      </c>
      <c r="L317" s="131">
        <f>K86</f>
        <v>-4.0999999999999996</v>
      </c>
      <c r="M317" s="131">
        <f>L86</f>
        <v>-1.2</v>
      </c>
      <c r="N317" s="131" t="str">
        <f>M86</f>
        <v>-</v>
      </c>
      <c r="O317" s="131">
        <f>N86</f>
        <v>1.4499999999999997</v>
      </c>
      <c r="Q317" s="1210"/>
      <c r="R317" s="131">
        <v>8</v>
      </c>
      <c r="S317" s="131">
        <f>Q86</f>
        <v>1000</v>
      </c>
      <c r="T317" s="131">
        <f>R86</f>
        <v>-3.5</v>
      </c>
      <c r="U317" s="131">
        <f>S86</f>
        <v>0.2</v>
      </c>
      <c r="V317" s="131" t="str">
        <f>T86</f>
        <v>-</v>
      </c>
      <c r="W317" s="132">
        <f>U86</f>
        <v>1.85</v>
      </c>
      <c r="AE317" s="110"/>
    </row>
    <row r="318" spans="1:31" hidden="1" x14ac:dyDescent="0.2">
      <c r="A318" s="1210"/>
      <c r="B318" s="131">
        <v>9</v>
      </c>
      <c r="C318" s="131">
        <f>C97</f>
        <v>35</v>
      </c>
      <c r="D318" s="131">
        <f t="shared" ref="D318:F318" si="148">D97</f>
        <v>-0.5</v>
      </c>
      <c r="E318" s="131" t="str">
        <f t="shared" si="148"/>
        <v>-</v>
      </c>
      <c r="F318" s="131" t="str">
        <f t="shared" si="148"/>
        <v>-</v>
      </c>
      <c r="G318" s="131">
        <f>G97</f>
        <v>0</v>
      </c>
      <c r="I318" s="1210"/>
      <c r="J318" s="131">
        <v>9</v>
      </c>
      <c r="K318" s="131">
        <f>J97</f>
        <v>70</v>
      </c>
      <c r="L318" s="131">
        <f>K97</f>
        <v>-0.6</v>
      </c>
      <c r="M318" s="131" t="str">
        <f>L97</f>
        <v>-</v>
      </c>
      <c r="N318" s="131" t="str">
        <f>M97</f>
        <v>-</v>
      </c>
      <c r="O318" s="131">
        <f>N97</f>
        <v>0</v>
      </c>
      <c r="Q318" s="1210"/>
      <c r="R318" s="131">
        <v>9</v>
      </c>
      <c r="S318" s="131">
        <f>Q97</f>
        <v>1000</v>
      </c>
      <c r="T318" s="131">
        <f>R97</f>
        <v>0.2</v>
      </c>
      <c r="U318" s="131" t="str">
        <f>S97</f>
        <v>-</v>
      </c>
      <c r="V318" s="131" t="str">
        <f>T97</f>
        <v>-</v>
      </c>
      <c r="W318" s="132">
        <f>U97</f>
        <v>0</v>
      </c>
      <c r="AE318" s="110"/>
    </row>
    <row r="319" spans="1:31" hidden="1" x14ac:dyDescent="0.2">
      <c r="A319" s="1210"/>
      <c r="B319" s="131">
        <v>10</v>
      </c>
      <c r="C319" s="131">
        <f>C108</f>
        <v>35</v>
      </c>
      <c r="D319" s="131">
        <f t="shared" ref="D319:F319" si="149">D108</f>
        <v>0.2</v>
      </c>
      <c r="E319" s="131">
        <f t="shared" si="149"/>
        <v>0.8</v>
      </c>
      <c r="F319" s="131" t="str">
        <f t="shared" si="149"/>
        <v>-</v>
      </c>
      <c r="G319" s="131">
        <f>G108</f>
        <v>0.30000000000000004</v>
      </c>
      <c r="I319" s="1210"/>
      <c r="J319" s="131">
        <v>10</v>
      </c>
      <c r="K319" s="131">
        <f>J108</f>
        <v>70</v>
      </c>
      <c r="L319" s="131">
        <f>K108</f>
        <v>-0.3</v>
      </c>
      <c r="M319" s="131">
        <f>L108</f>
        <v>-5.0999999999999996</v>
      </c>
      <c r="N319" s="131" t="str">
        <f>M108</f>
        <v>-</v>
      </c>
      <c r="O319" s="131">
        <f>N108</f>
        <v>2.4</v>
      </c>
      <c r="Q319" s="1210"/>
      <c r="R319" s="131">
        <v>10</v>
      </c>
      <c r="S319" s="131">
        <f>Q108</f>
        <v>1000</v>
      </c>
      <c r="T319" s="131" t="str">
        <f>R108</f>
        <v>-</v>
      </c>
      <c r="U319" s="131" t="str">
        <f>S108</f>
        <v>-</v>
      </c>
      <c r="V319" s="131" t="str">
        <f>T108</f>
        <v>-</v>
      </c>
      <c r="W319" s="132">
        <f>U108</f>
        <v>0</v>
      </c>
      <c r="AE319" s="110"/>
    </row>
    <row r="320" spans="1:31" hidden="1" x14ac:dyDescent="0.2">
      <c r="A320" s="1210"/>
      <c r="B320" s="131">
        <v>11</v>
      </c>
      <c r="C320" s="131">
        <f>C119</f>
        <v>35</v>
      </c>
      <c r="D320" s="131">
        <f t="shared" ref="D320:F320" si="150">D119</f>
        <v>0.5</v>
      </c>
      <c r="E320" s="131">
        <f t="shared" si="150"/>
        <v>0.4</v>
      </c>
      <c r="F320" s="131" t="str">
        <f t="shared" si="150"/>
        <v>-</v>
      </c>
      <c r="G320" s="131">
        <f>G119</f>
        <v>4.9999999999999989E-2</v>
      </c>
      <c r="I320" s="1210"/>
      <c r="J320" s="131">
        <v>11</v>
      </c>
      <c r="K320" s="131">
        <f>J119</f>
        <v>70</v>
      </c>
      <c r="L320" s="131">
        <f>K119</f>
        <v>-3.4</v>
      </c>
      <c r="M320" s="131">
        <f>L119</f>
        <v>-1.7</v>
      </c>
      <c r="N320" s="131" t="str">
        <f>M119</f>
        <v>-</v>
      </c>
      <c r="O320" s="131">
        <f>N119</f>
        <v>0.85</v>
      </c>
      <c r="Q320" s="1210"/>
      <c r="R320" s="131">
        <v>11</v>
      </c>
      <c r="S320" s="131">
        <f>Q119</f>
        <v>1000</v>
      </c>
      <c r="T320" s="131" t="str">
        <f>R119</f>
        <v>-</v>
      </c>
      <c r="U320" s="131" t="str">
        <f>S119</f>
        <v>-</v>
      </c>
      <c r="V320" s="131" t="str">
        <f>T119</f>
        <v>-</v>
      </c>
      <c r="W320" s="132">
        <f>U119</f>
        <v>0</v>
      </c>
      <c r="AE320" s="110"/>
    </row>
    <row r="321" spans="1:31" hidden="1" x14ac:dyDescent="0.2">
      <c r="A321" s="1210"/>
      <c r="B321" s="131">
        <v>12</v>
      </c>
      <c r="C321" s="131">
        <f>C130</f>
        <v>35</v>
      </c>
      <c r="D321" s="131">
        <f t="shared" ref="D321:F321" si="151">D130</f>
        <v>-0.2</v>
      </c>
      <c r="E321" s="131" t="str">
        <f t="shared" si="151"/>
        <v>-</v>
      </c>
      <c r="F321" s="131" t="str">
        <f t="shared" si="151"/>
        <v>-</v>
      </c>
      <c r="G321" s="131">
        <f>G130</f>
        <v>0</v>
      </c>
      <c r="I321" s="1210"/>
      <c r="J321" s="131">
        <v>12</v>
      </c>
      <c r="K321" s="131">
        <f>J130</f>
        <v>70</v>
      </c>
      <c r="L321" s="131">
        <f>K130</f>
        <v>-0.1</v>
      </c>
      <c r="M321" s="131" t="str">
        <f>L130</f>
        <v>-</v>
      </c>
      <c r="N321" s="131" t="str">
        <f>M130</f>
        <v>-</v>
      </c>
      <c r="O321" s="131">
        <f>N130</f>
        <v>0</v>
      </c>
      <c r="Q321" s="1210"/>
      <c r="R321" s="131">
        <v>12</v>
      </c>
      <c r="S321" s="131">
        <f>Q130</f>
        <v>1000</v>
      </c>
      <c r="T321" s="131">
        <f>R130</f>
        <v>-0.8</v>
      </c>
      <c r="U321" s="131" t="str">
        <f>S130</f>
        <v>-</v>
      </c>
      <c r="V321" s="131" t="str">
        <f>T130</f>
        <v>-</v>
      </c>
      <c r="W321" s="132">
        <f>U130</f>
        <v>0</v>
      </c>
      <c r="AE321" s="110"/>
    </row>
    <row r="322" spans="1:31" hidden="1" x14ac:dyDescent="0.2">
      <c r="A322" s="1210"/>
      <c r="B322" s="131">
        <v>13</v>
      </c>
      <c r="C322" s="131">
        <f>C141</f>
        <v>35</v>
      </c>
      <c r="D322" s="131">
        <f t="shared" ref="D322:F322" si="152">D141</f>
        <v>-0.2</v>
      </c>
      <c r="E322" s="131">
        <f t="shared" si="152"/>
        <v>0.3</v>
      </c>
      <c r="F322" s="131" t="str">
        <f t="shared" si="152"/>
        <v>-</v>
      </c>
      <c r="G322" s="131">
        <f>G141</f>
        <v>0.25</v>
      </c>
      <c r="I322" s="1210"/>
      <c r="J322" s="131">
        <v>13</v>
      </c>
      <c r="K322" s="131">
        <f>J141</f>
        <v>70</v>
      </c>
      <c r="L322" s="131">
        <f>K141</f>
        <v>-1.4</v>
      </c>
      <c r="M322" s="131">
        <f>L141</f>
        <v>-1.9</v>
      </c>
      <c r="N322" s="131" t="str">
        <f>M141</f>
        <v>-</v>
      </c>
      <c r="O322" s="131">
        <f>N141</f>
        <v>0.25</v>
      </c>
      <c r="Q322" s="1210"/>
      <c r="R322" s="131">
        <v>13</v>
      </c>
      <c r="S322" s="131">
        <f>Q141</f>
        <v>1005</v>
      </c>
      <c r="T322" s="131">
        <f>R141</f>
        <v>3.6</v>
      </c>
      <c r="U322" s="131">
        <f>S141</f>
        <v>1.1000000000000001</v>
      </c>
      <c r="V322" s="131" t="str">
        <f>T141</f>
        <v>-</v>
      </c>
      <c r="W322" s="132">
        <f>U141</f>
        <v>1.25</v>
      </c>
      <c r="AE322" s="110"/>
    </row>
    <row r="323" spans="1:31" hidden="1" x14ac:dyDescent="0.2">
      <c r="A323" s="1210"/>
      <c r="B323" s="131">
        <v>14</v>
      </c>
      <c r="C323" s="131">
        <f>C152</f>
        <v>35</v>
      </c>
      <c r="D323" s="131">
        <f t="shared" ref="D323:F323" si="153">D152</f>
        <v>-0.6</v>
      </c>
      <c r="E323" s="131">
        <f t="shared" si="153"/>
        <v>-0.6</v>
      </c>
      <c r="F323" s="131" t="str">
        <f t="shared" si="153"/>
        <v>-</v>
      </c>
      <c r="G323" s="131">
        <f>G152</f>
        <v>0</v>
      </c>
      <c r="I323" s="1210"/>
      <c r="J323" s="131">
        <v>14</v>
      </c>
      <c r="K323" s="131">
        <f>J152</f>
        <v>70</v>
      </c>
      <c r="L323" s="131">
        <f>K152</f>
        <v>0.7</v>
      </c>
      <c r="M323" s="131">
        <f>L152</f>
        <v>-0.8</v>
      </c>
      <c r="N323" s="131" t="str">
        <f>M152</f>
        <v>-</v>
      </c>
      <c r="O323" s="131">
        <f>N152</f>
        <v>0.75</v>
      </c>
      <c r="Q323" s="1210"/>
      <c r="R323" s="131">
        <v>14</v>
      </c>
      <c r="S323" s="131">
        <f>Q152</f>
        <v>1005</v>
      </c>
      <c r="T323" s="131">
        <f>R152</f>
        <v>3.8</v>
      </c>
      <c r="U323" s="131">
        <f>S152</f>
        <v>1.1000000000000001</v>
      </c>
      <c r="V323" s="131" t="str">
        <f>T152</f>
        <v>-</v>
      </c>
      <c r="W323" s="132">
        <f>U152</f>
        <v>1.3499999999999999</v>
      </c>
      <c r="AE323" s="110"/>
    </row>
    <row r="324" spans="1:31" hidden="1" x14ac:dyDescent="0.2">
      <c r="A324" s="1210"/>
      <c r="B324" s="131">
        <v>15</v>
      </c>
      <c r="C324" s="131">
        <f>C163</f>
        <v>35</v>
      </c>
      <c r="D324" s="131">
        <f t="shared" ref="D324:F324" si="154">D163</f>
        <v>0.8</v>
      </c>
      <c r="E324" s="131">
        <f t="shared" si="154"/>
        <v>-0.1</v>
      </c>
      <c r="F324" s="131" t="str">
        <f t="shared" si="154"/>
        <v>-</v>
      </c>
      <c r="G324" s="131">
        <f>G163</f>
        <v>0.45</v>
      </c>
      <c r="I324" s="1210"/>
      <c r="J324" s="131">
        <v>15</v>
      </c>
      <c r="K324" s="131">
        <f>J163</f>
        <v>70</v>
      </c>
      <c r="L324" s="131">
        <f>K163</f>
        <v>-0.7</v>
      </c>
      <c r="M324" s="131">
        <f>L163</f>
        <v>-0.8</v>
      </c>
      <c r="N324" s="131" t="str">
        <f>M163</f>
        <v>-</v>
      </c>
      <c r="O324" s="131">
        <f>N163</f>
        <v>5.0000000000000044E-2</v>
      </c>
      <c r="Q324" s="1210"/>
      <c r="R324" s="131">
        <v>15</v>
      </c>
      <c r="S324" s="131">
        <f>Q163</f>
        <v>1005</v>
      </c>
      <c r="T324" s="131">
        <f>R163</f>
        <v>4</v>
      </c>
      <c r="U324" s="131">
        <f>S163</f>
        <v>1.1000000000000001</v>
      </c>
      <c r="V324" s="131" t="str">
        <f>T163</f>
        <v>-</v>
      </c>
      <c r="W324" s="132">
        <f>U163</f>
        <v>1.45</v>
      </c>
      <c r="AE324" s="110"/>
    </row>
    <row r="325" spans="1:31" hidden="1" x14ac:dyDescent="0.2">
      <c r="A325" s="1210"/>
      <c r="B325" s="131">
        <v>16</v>
      </c>
      <c r="C325" s="131">
        <f>C174</f>
        <v>35</v>
      </c>
      <c r="D325" s="131">
        <f t="shared" ref="D325:F325" si="155">D174</f>
        <v>0.1</v>
      </c>
      <c r="E325" s="131" t="str">
        <f t="shared" si="155"/>
        <v>-</v>
      </c>
      <c r="F325" s="131" t="str">
        <f t="shared" si="155"/>
        <v>-</v>
      </c>
      <c r="G325" s="131">
        <f>G174</f>
        <v>0</v>
      </c>
      <c r="I325" s="1210"/>
      <c r="J325" s="131">
        <v>16</v>
      </c>
      <c r="K325" s="131">
        <f>J174</f>
        <v>70</v>
      </c>
      <c r="L325" s="131">
        <f>K174</f>
        <v>-1.8</v>
      </c>
      <c r="M325" s="131" t="str">
        <f>L174</f>
        <v>-</v>
      </c>
      <c r="N325" s="131" t="str">
        <f>M174</f>
        <v>-</v>
      </c>
      <c r="O325" s="131">
        <f>N174</f>
        <v>0</v>
      </c>
      <c r="Q325" s="1210"/>
      <c r="R325" s="131">
        <v>16</v>
      </c>
      <c r="S325" s="131">
        <f>Q174</f>
        <v>1000</v>
      </c>
      <c r="T325" s="131">
        <f>R174</f>
        <v>-0.4</v>
      </c>
      <c r="U325" s="131" t="str">
        <f>S174</f>
        <v>-</v>
      </c>
      <c r="V325" s="131" t="str">
        <f>T174</f>
        <v>-</v>
      </c>
      <c r="W325" s="132">
        <f>U174</f>
        <v>0</v>
      </c>
      <c r="AE325" s="110"/>
    </row>
    <row r="326" spans="1:31" hidden="1" x14ac:dyDescent="0.2">
      <c r="A326" s="1210"/>
      <c r="B326" s="131">
        <v>17</v>
      </c>
      <c r="C326" s="131">
        <f>C185</f>
        <v>35</v>
      </c>
      <c r="D326" s="131">
        <f t="shared" ref="D326:F326" si="156">D185</f>
        <v>-0.5</v>
      </c>
      <c r="E326" s="131" t="str">
        <f t="shared" si="156"/>
        <v>-</v>
      </c>
      <c r="F326" s="131" t="str">
        <f t="shared" si="156"/>
        <v>-</v>
      </c>
      <c r="G326" s="131">
        <f>G185</f>
        <v>0</v>
      </c>
      <c r="I326" s="1210"/>
      <c r="J326" s="131">
        <v>17</v>
      </c>
      <c r="K326" s="131">
        <f>J185</f>
        <v>70</v>
      </c>
      <c r="L326" s="131">
        <f>K185</f>
        <v>-0.3</v>
      </c>
      <c r="M326" s="131" t="str">
        <f>L185</f>
        <v>-</v>
      </c>
      <c r="N326" s="131" t="str">
        <f>M185</f>
        <v>-</v>
      </c>
      <c r="O326" s="131">
        <f>N185</f>
        <v>0</v>
      </c>
      <c r="Q326" s="1210"/>
      <c r="R326" s="131">
        <v>17</v>
      </c>
      <c r="S326" s="131">
        <f>Q185</f>
        <v>1000</v>
      </c>
      <c r="T326" s="131">
        <f>R185</f>
        <v>-0.6</v>
      </c>
      <c r="U326" s="131" t="str">
        <f>S185</f>
        <v>-</v>
      </c>
      <c r="V326" s="131" t="str">
        <f>T185</f>
        <v>-</v>
      </c>
      <c r="W326" s="132">
        <f>U185</f>
        <v>0</v>
      </c>
      <c r="AE326" s="110"/>
    </row>
    <row r="327" spans="1:31" hidden="1" x14ac:dyDescent="0.2">
      <c r="A327" s="1210"/>
      <c r="B327" s="131">
        <v>18</v>
      </c>
      <c r="C327" s="131">
        <f>C196</f>
        <v>35</v>
      </c>
      <c r="D327" s="131">
        <f t="shared" ref="D327:F327" si="157">D196</f>
        <v>-0.3</v>
      </c>
      <c r="E327" s="131" t="str">
        <f t="shared" si="157"/>
        <v>-</v>
      </c>
      <c r="F327" s="131" t="str">
        <f t="shared" si="157"/>
        <v>-</v>
      </c>
      <c r="G327" s="131">
        <f>G196</f>
        <v>0</v>
      </c>
      <c r="I327" s="1210"/>
      <c r="J327" s="131">
        <v>18</v>
      </c>
      <c r="K327" s="131">
        <f>J196</f>
        <v>70</v>
      </c>
      <c r="L327" s="131">
        <f>K196</f>
        <v>-0.3</v>
      </c>
      <c r="M327" s="131" t="str">
        <f>L196</f>
        <v>-</v>
      </c>
      <c r="N327" s="131" t="str">
        <f>M196</f>
        <v>-</v>
      </c>
      <c r="O327" s="131">
        <f>N196</f>
        <v>0</v>
      </c>
      <c r="Q327" s="1210"/>
      <c r="R327" s="131">
        <v>18</v>
      </c>
      <c r="S327" s="131">
        <f>Q196</f>
        <v>1000</v>
      </c>
      <c r="T327" s="131">
        <f>R196</f>
        <v>-0.8</v>
      </c>
      <c r="U327" s="131" t="str">
        <f>S196</f>
        <v>-</v>
      </c>
      <c r="V327" s="131" t="str">
        <f>T196</f>
        <v>-</v>
      </c>
      <c r="W327" s="132">
        <f>U196</f>
        <v>0</v>
      </c>
      <c r="AE327" s="110"/>
    </row>
    <row r="328" spans="1:31" hidden="1" x14ac:dyDescent="0.2">
      <c r="A328" s="1210"/>
      <c r="B328" s="131">
        <v>19</v>
      </c>
      <c r="C328" s="131">
        <f>C207</f>
        <v>35</v>
      </c>
      <c r="D328" s="131">
        <f t="shared" ref="D328:F328" si="158">D207</f>
        <v>-0.1</v>
      </c>
      <c r="E328" s="131" t="str">
        <f t="shared" si="158"/>
        <v>-</v>
      </c>
      <c r="F328" s="131" t="str">
        <f t="shared" si="158"/>
        <v>-</v>
      </c>
      <c r="G328" s="131">
        <f>G207</f>
        <v>0</v>
      </c>
      <c r="I328" s="1210"/>
      <c r="J328" s="131">
        <v>19</v>
      </c>
      <c r="K328" s="131">
        <f>J207</f>
        <v>70</v>
      </c>
      <c r="L328" s="131">
        <f>K207</f>
        <v>-0.7</v>
      </c>
      <c r="M328" s="131" t="str">
        <f>L207</f>
        <v>-</v>
      </c>
      <c r="N328" s="131" t="str">
        <f>M207</f>
        <v>-</v>
      </c>
      <c r="O328" s="131">
        <f>N207</f>
        <v>0</v>
      </c>
      <c r="Q328" s="1210"/>
      <c r="R328" s="131">
        <v>19</v>
      </c>
      <c r="S328" s="131">
        <f>Q207</f>
        <v>1000</v>
      </c>
      <c r="T328" s="131">
        <f>R207</f>
        <v>2.2000000000000002</v>
      </c>
      <c r="U328" s="131" t="str">
        <f>S207</f>
        <v>-</v>
      </c>
      <c r="V328" s="131" t="str">
        <f>T207</f>
        <v>-</v>
      </c>
      <c r="W328" s="132">
        <f>U207</f>
        <v>0</v>
      </c>
      <c r="AE328" s="110"/>
    </row>
    <row r="329" spans="1:31" ht="13.5" hidden="1" thickBot="1" x14ac:dyDescent="0.25">
      <c r="A329" s="1210"/>
      <c r="B329" s="131">
        <v>20</v>
      </c>
      <c r="C329" s="131">
        <f>C218</f>
        <v>34.5</v>
      </c>
      <c r="D329" s="131" t="str">
        <f t="shared" ref="D329:F329" si="159">D218</f>
        <v>-</v>
      </c>
      <c r="E329" s="131" t="str">
        <f t="shared" si="159"/>
        <v>-</v>
      </c>
      <c r="F329" s="131" t="str">
        <f t="shared" si="159"/>
        <v>-</v>
      </c>
      <c r="G329" s="131">
        <f>G218</f>
        <v>0</v>
      </c>
      <c r="I329" s="1210"/>
      <c r="J329" s="131">
        <v>20</v>
      </c>
      <c r="K329" s="131">
        <f>J218</f>
        <v>80.8</v>
      </c>
      <c r="L329" s="131" t="str">
        <f>K218</f>
        <v>-</v>
      </c>
      <c r="M329" s="131" t="str">
        <f>L218</f>
        <v>-</v>
      </c>
      <c r="N329" s="131" t="str">
        <f>M218</f>
        <v>-</v>
      </c>
      <c r="O329" s="131">
        <f>N218</f>
        <v>0</v>
      </c>
      <c r="Q329" s="1212"/>
      <c r="R329" s="140">
        <v>20</v>
      </c>
      <c r="S329" s="140">
        <f>Q218</f>
        <v>1000</v>
      </c>
      <c r="T329" s="140" t="str">
        <f>R218</f>
        <v>-</v>
      </c>
      <c r="U329" s="140" t="str">
        <f>S218</f>
        <v>-</v>
      </c>
      <c r="V329" s="140" t="str">
        <f>T218</f>
        <v>-</v>
      </c>
      <c r="W329" s="155">
        <f>U218</f>
        <v>0</v>
      </c>
      <c r="AE329" s="144"/>
    </row>
    <row r="330" spans="1:31" hidden="1" x14ac:dyDescent="0.2">
      <c r="A330" s="145"/>
      <c r="B330" s="145"/>
      <c r="C330" s="145"/>
      <c r="D330" s="145"/>
      <c r="E330" s="145"/>
      <c r="F330" s="125"/>
      <c r="G330" s="145"/>
      <c r="I330" s="145"/>
      <c r="J330" s="145"/>
      <c r="K330" s="145"/>
      <c r="L330" s="145"/>
      <c r="M330" s="145"/>
      <c r="N330" s="125"/>
      <c r="O330" s="145"/>
      <c r="Q330" s="156"/>
      <c r="R330" s="146"/>
      <c r="S330" s="157"/>
      <c r="T330" s="157"/>
      <c r="U330" s="157"/>
      <c r="W330" s="158"/>
      <c r="AE330" s="110"/>
    </row>
    <row r="331" spans="1:31" hidden="1" x14ac:dyDescent="0.2">
      <c r="A331" s="1210">
        <v>6</v>
      </c>
      <c r="B331" s="131">
        <v>1</v>
      </c>
      <c r="C331" s="131">
        <f>C10</f>
        <v>37</v>
      </c>
      <c r="D331" s="131">
        <f t="shared" ref="D331:F331" si="160">D10</f>
        <v>-0.2</v>
      </c>
      <c r="E331" s="131">
        <f t="shared" si="160"/>
        <v>-0.6</v>
      </c>
      <c r="F331" s="131" t="str">
        <f t="shared" si="160"/>
        <v>-</v>
      </c>
      <c r="G331" s="131">
        <f>G10</f>
        <v>0.19999999999999998</v>
      </c>
      <c r="I331" s="1210">
        <v>6</v>
      </c>
      <c r="J331" s="131">
        <v>1</v>
      </c>
      <c r="K331" s="131">
        <f>J10</f>
        <v>80</v>
      </c>
      <c r="L331" s="131">
        <f>K10</f>
        <v>-3.2</v>
      </c>
      <c r="M331" s="131">
        <f>L10</f>
        <v>0.7</v>
      </c>
      <c r="N331" s="131" t="str">
        <f>M10</f>
        <v>-</v>
      </c>
      <c r="O331" s="131">
        <f>N10</f>
        <v>1.9500000000000002</v>
      </c>
      <c r="Q331" s="1211">
        <v>6</v>
      </c>
      <c r="R331" s="150">
        <v>1</v>
      </c>
      <c r="S331" s="150">
        <f>Q10</f>
        <v>1005</v>
      </c>
      <c r="T331" s="150" t="str">
        <f>R10</f>
        <v>-</v>
      </c>
      <c r="U331" s="150" t="str">
        <f>S10</f>
        <v>-</v>
      </c>
      <c r="V331" s="150" t="str">
        <f>T10</f>
        <v>-</v>
      </c>
      <c r="W331" s="159">
        <f>U10</f>
        <v>0</v>
      </c>
      <c r="AE331" s="153"/>
    </row>
    <row r="332" spans="1:31" hidden="1" x14ac:dyDescent="0.2">
      <c r="A332" s="1210"/>
      <c r="B332" s="131">
        <v>2</v>
      </c>
      <c r="C332" s="131">
        <f>C21</f>
        <v>37</v>
      </c>
      <c r="D332" s="131">
        <f t="shared" ref="D332:F332" si="161">D21</f>
        <v>-0.2</v>
      </c>
      <c r="E332" s="131">
        <f t="shared" si="161"/>
        <v>-0.3</v>
      </c>
      <c r="F332" s="131" t="str">
        <f t="shared" si="161"/>
        <v>-</v>
      </c>
      <c r="G332" s="131">
        <f>G21</f>
        <v>4.9999999999999989E-2</v>
      </c>
      <c r="I332" s="1210"/>
      <c r="J332" s="131">
        <v>2</v>
      </c>
      <c r="K332" s="131">
        <f>J21</f>
        <v>80</v>
      </c>
      <c r="L332" s="131">
        <f>K21</f>
        <v>-0.5</v>
      </c>
      <c r="M332" s="131">
        <f>L21</f>
        <v>-0.7</v>
      </c>
      <c r="N332" s="131" t="str">
        <f>M21</f>
        <v>-</v>
      </c>
      <c r="O332" s="131">
        <f>N21</f>
        <v>9.9999999999999978E-2</v>
      </c>
      <c r="Q332" s="1210"/>
      <c r="R332" s="131">
        <v>2</v>
      </c>
      <c r="S332" s="131">
        <f>Q21</f>
        <v>1005</v>
      </c>
      <c r="T332" s="131" t="str">
        <f>R21</f>
        <v>-</v>
      </c>
      <c r="U332" s="131" t="str">
        <f>S21</f>
        <v>-</v>
      </c>
      <c r="V332" s="131" t="str">
        <f>T21</f>
        <v>-</v>
      </c>
      <c r="W332" s="132">
        <f>U21</f>
        <v>0</v>
      </c>
      <c r="AE332" s="110"/>
    </row>
    <row r="333" spans="1:31" hidden="1" x14ac:dyDescent="0.2">
      <c r="A333" s="1210"/>
      <c r="B333" s="131">
        <v>3</v>
      </c>
      <c r="C333" s="131">
        <f>C32</f>
        <v>37</v>
      </c>
      <c r="D333" s="131">
        <f t="shared" ref="D333:F333" si="162">D32</f>
        <v>-0.2</v>
      </c>
      <c r="E333" s="131">
        <f t="shared" si="162"/>
        <v>-0.6</v>
      </c>
      <c r="F333" s="131" t="str">
        <f t="shared" si="162"/>
        <v>-</v>
      </c>
      <c r="G333" s="131">
        <f>G32</f>
        <v>0.19999999999999998</v>
      </c>
      <c r="I333" s="1210"/>
      <c r="J333" s="131">
        <v>3</v>
      </c>
      <c r="K333" s="131">
        <f>J32</f>
        <v>80</v>
      </c>
      <c r="L333" s="131">
        <f>K32</f>
        <v>-0.8</v>
      </c>
      <c r="M333" s="131">
        <f>L32</f>
        <v>-2.9</v>
      </c>
      <c r="N333" s="131">
        <f>M32</f>
        <v>0</v>
      </c>
      <c r="O333" s="131">
        <f>N32</f>
        <v>1.0499999999999998</v>
      </c>
      <c r="Q333" s="1210"/>
      <c r="R333" s="131">
        <v>3</v>
      </c>
      <c r="S333" s="131">
        <f>Q32</f>
        <v>1005</v>
      </c>
      <c r="T333" s="131" t="str">
        <f>R32</f>
        <v>-</v>
      </c>
      <c r="U333" s="131" t="str">
        <f>S32</f>
        <v>-</v>
      </c>
      <c r="V333" s="131" t="str">
        <f>T32</f>
        <v>-</v>
      </c>
      <c r="W333" s="132">
        <f>U32</f>
        <v>0</v>
      </c>
      <c r="AE333" s="110"/>
    </row>
    <row r="334" spans="1:31" hidden="1" x14ac:dyDescent="0.2">
      <c r="A334" s="1210"/>
      <c r="B334" s="131">
        <v>4</v>
      </c>
      <c r="C334" s="131">
        <f>C43</f>
        <v>37</v>
      </c>
      <c r="D334" s="131">
        <f t="shared" ref="D334:F334" si="163">D43</f>
        <v>-0.4</v>
      </c>
      <c r="E334" s="131">
        <f t="shared" si="163"/>
        <v>-0.6</v>
      </c>
      <c r="F334" s="131" t="str">
        <f t="shared" si="163"/>
        <v>-</v>
      </c>
      <c r="G334" s="131">
        <f>G43</f>
        <v>9.9999999999999978E-2</v>
      </c>
      <c r="I334" s="1210"/>
      <c r="J334" s="131">
        <v>4</v>
      </c>
      <c r="K334" s="131">
        <f>J43</f>
        <v>80</v>
      </c>
      <c r="L334" s="131">
        <f>K43</f>
        <v>-3.8</v>
      </c>
      <c r="M334" s="131">
        <f>L43</f>
        <v>1.9</v>
      </c>
      <c r="N334" s="131" t="str">
        <f>M43</f>
        <v>-</v>
      </c>
      <c r="O334" s="131">
        <f>N43</f>
        <v>2.8499999999999996</v>
      </c>
      <c r="Q334" s="1210"/>
      <c r="R334" s="131">
        <v>4</v>
      </c>
      <c r="S334" s="131">
        <f>Q43</f>
        <v>1005</v>
      </c>
      <c r="T334" s="131" t="str">
        <f>R43</f>
        <v>-</v>
      </c>
      <c r="U334" s="131" t="str">
        <f>S43</f>
        <v>-</v>
      </c>
      <c r="V334" s="131" t="str">
        <f>T43</f>
        <v>-</v>
      </c>
      <c r="W334" s="132">
        <f>U43</f>
        <v>0</v>
      </c>
      <c r="AE334" s="110"/>
    </row>
    <row r="335" spans="1:31" hidden="1" x14ac:dyDescent="0.2">
      <c r="A335" s="1210"/>
      <c r="B335" s="131">
        <v>5</v>
      </c>
      <c r="C335" s="131">
        <f>C54</f>
        <v>37</v>
      </c>
      <c r="D335" s="131">
        <f t="shared" ref="D335:F335" si="164">D54</f>
        <v>0.7</v>
      </c>
      <c r="E335" s="131">
        <f t="shared" si="164"/>
        <v>9.9999999999999995E-7</v>
      </c>
      <c r="F335" s="131" t="str">
        <f t="shared" si="164"/>
        <v>-</v>
      </c>
      <c r="G335" s="131">
        <f>G54</f>
        <v>0.34999949999999996</v>
      </c>
      <c r="I335" s="1210"/>
      <c r="J335" s="131">
        <v>5</v>
      </c>
      <c r="K335" s="131">
        <f>J54</f>
        <v>80</v>
      </c>
      <c r="L335" s="131">
        <f>K54</f>
        <v>-3</v>
      </c>
      <c r="M335" s="131">
        <f>L54</f>
        <v>0.2</v>
      </c>
      <c r="N335" s="131" t="str">
        <f>M54</f>
        <v>-</v>
      </c>
      <c r="O335" s="131">
        <f>N54</f>
        <v>1.6</v>
      </c>
      <c r="Q335" s="1210"/>
      <c r="R335" s="131">
        <v>5</v>
      </c>
      <c r="S335" s="131">
        <f>Q54</f>
        <v>1005</v>
      </c>
      <c r="T335" s="131" t="str">
        <f>R54</f>
        <v>-</v>
      </c>
      <c r="U335" s="131" t="str">
        <f>S54</f>
        <v>-</v>
      </c>
      <c r="V335" s="131" t="str">
        <f>T54</f>
        <v>-</v>
      </c>
      <c r="W335" s="132">
        <f>U54</f>
        <v>0</v>
      </c>
      <c r="AE335" s="110"/>
    </row>
    <row r="336" spans="1:31" hidden="1" x14ac:dyDescent="0.2">
      <c r="A336" s="1210"/>
      <c r="B336" s="131">
        <v>6</v>
      </c>
      <c r="C336" s="131">
        <f>C65</f>
        <v>37</v>
      </c>
      <c r="D336" s="131">
        <f t="shared" ref="D336:F336" si="165">D65</f>
        <v>0.1</v>
      </c>
      <c r="E336" s="131">
        <f t="shared" si="165"/>
        <v>-1.1000000000000001</v>
      </c>
      <c r="F336" s="131" t="str">
        <f t="shared" si="165"/>
        <v>-</v>
      </c>
      <c r="G336" s="131">
        <f>G65</f>
        <v>0.60000000000000009</v>
      </c>
      <c r="I336" s="1210"/>
      <c r="J336" s="131">
        <v>6</v>
      </c>
      <c r="K336" s="131">
        <f>J65</f>
        <v>80</v>
      </c>
      <c r="L336" s="131">
        <f>K65</f>
        <v>-6.3</v>
      </c>
      <c r="M336" s="131">
        <f>L65</f>
        <v>0.8</v>
      </c>
      <c r="N336" s="131" t="str">
        <f>M65</f>
        <v>-</v>
      </c>
      <c r="O336" s="131">
        <f>N65</f>
        <v>3.55</v>
      </c>
      <c r="Q336" s="1210"/>
      <c r="R336" s="131">
        <v>6</v>
      </c>
      <c r="S336" s="131">
        <f>Q65</f>
        <v>1005</v>
      </c>
      <c r="T336" s="131">
        <f>R65</f>
        <v>0.9</v>
      </c>
      <c r="U336" s="131">
        <f>S65</f>
        <v>-0.3</v>
      </c>
      <c r="V336" s="131" t="str">
        <f>T65</f>
        <v>-</v>
      </c>
      <c r="W336" s="132">
        <f>U65</f>
        <v>0.6</v>
      </c>
      <c r="AE336" s="110"/>
    </row>
    <row r="337" spans="1:31" hidden="1" x14ac:dyDescent="0.2">
      <c r="A337" s="1210"/>
      <c r="B337" s="131">
        <v>7</v>
      </c>
      <c r="C337" s="131">
        <f>C76</f>
        <v>37</v>
      </c>
      <c r="D337" s="131">
        <f t="shared" ref="D337:F337" si="166">D76</f>
        <v>9.9999999999999995E-7</v>
      </c>
      <c r="E337" s="131">
        <f t="shared" si="166"/>
        <v>-1.4</v>
      </c>
      <c r="F337" s="131" t="str">
        <f t="shared" si="166"/>
        <v>-</v>
      </c>
      <c r="G337" s="131">
        <f>G76</f>
        <v>0.70000049999999991</v>
      </c>
      <c r="I337" s="1210"/>
      <c r="J337" s="131">
        <v>7</v>
      </c>
      <c r="K337" s="131">
        <f>J76</f>
        <v>80</v>
      </c>
      <c r="L337" s="131">
        <f>K76</f>
        <v>-2.6</v>
      </c>
      <c r="M337" s="131">
        <f>L76</f>
        <v>1.2</v>
      </c>
      <c r="N337" s="131" t="str">
        <f>M76</f>
        <v>-</v>
      </c>
      <c r="O337" s="131">
        <f>N76</f>
        <v>1.9</v>
      </c>
      <c r="Q337" s="1210"/>
      <c r="R337" s="131">
        <v>7</v>
      </c>
      <c r="S337" s="131">
        <f>Q76</f>
        <v>1005</v>
      </c>
      <c r="T337" s="131">
        <f>R76</f>
        <v>-3.8</v>
      </c>
      <c r="U337" s="131">
        <f>S76</f>
        <v>-0.5</v>
      </c>
      <c r="V337" s="131" t="str">
        <f>T76</f>
        <v>-</v>
      </c>
      <c r="W337" s="132">
        <f>U76</f>
        <v>1.65</v>
      </c>
      <c r="AE337" s="110"/>
    </row>
    <row r="338" spans="1:31" hidden="1" x14ac:dyDescent="0.2">
      <c r="A338" s="1210"/>
      <c r="B338" s="131">
        <v>8</v>
      </c>
      <c r="C338" s="131">
        <f>C87</f>
        <v>37</v>
      </c>
      <c r="D338" s="131">
        <f t="shared" ref="D338:F338" si="167">D87</f>
        <v>-0.1</v>
      </c>
      <c r="E338" s="131">
        <f t="shared" si="167"/>
        <v>-0.5</v>
      </c>
      <c r="F338" s="131" t="str">
        <f t="shared" si="167"/>
        <v>-</v>
      </c>
      <c r="G338" s="131">
        <f>G87</f>
        <v>0.2</v>
      </c>
      <c r="I338" s="1210"/>
      <c r="J338" s="131">
        <v>8</v>
      </c>
      <c r="K338" s="131">
        <f>J87</f>
        <v>80</v>
      </c>
      <c r="L338" s="131">
        <f>K87</f>
        <v>-4.5</v>
      </c>
      <c r="M338" s="131">
        <f>L87</f>
        <v>-1.2</v>
      </c>
      <c r="N338" s="131" t="str">
        <f>M87</f>
        <v>-</v>
      </c>
      <c r="O338" s="131">
        <f>N87</f>
        <v>1.65</v>
      </c>
      <c r="Q338" s="1210"/>
      <c r="R338" s="131">
        <v>8</v>
      </c>
      <c r="S338" s="131">
        <f>Q87</f>
        <v>1005</v>
      </c>
      <c r="T338" s="131">
        <f>R87</f>
        <v>-3.4</v>
      </c>
      <c r="U338" s="131">
        <f>S87</f>
        <v>0.2</v>
      </c>
      <c r="V338" s="131" t="str">
        <f>T87</f>
        <v>-</v>
      </c>
      <c r="W338" s="132">
        <f>U87</f>
        <v>1.8</v>
      </c>
      <c r="AE338" s="110"/>
    </row>
    <row r="339" spans="1:31" hidden="1" x14ac:dyDescent="0.2">
      <c r="A339" s="1210"/>
      <c r="B339" s="131">
        <v>9</v>
      </c>
      <c r="C339" s="131">
        <f>C98</f>
        <v>37</v>
      </c>
      <c r="D339" s="131">
        <f t="shared" ref="D339:F339" si="168">D98</f>
        <v>-0.5</v>
      </c>
      <c r="E339" s="131" t="str">
        <f t="shared" si="168"/>
        <v>-</v>
      </c>
      <c r="F339" s="131" t="str">
        <f t="shared" si="168"/>
        <v>-</v>
      </c>
      <c r="G339" s="131">
        <f>G98</f>
        <v>0</v>
      </c>
      <c r="I339" s="1210"/>
      <c r="J339" s="131">
        <v>9</v>
      </c>
      <c r="K339" s="131">
        <f>J98</f>
        <v>80</v>
      </c>
      <c r="L339" s="131">
        <f>K98</f>
        <v>-0.5</v>
      </c>
      <c r="M339" s="131" t="str">
        <f>L98</f>
        <v>-</v>
      </c>
      <c r="N339" s="131" t="str">
        <f>M98</f>
        <v>-</v>
      </c>
      <c r="O339" s="131">
        <f>N98</f>
        <v>0</v>
      </c>
      <c r="Q339" s="1210"/>
      <c r="R339" s="131">
        <v>9</v>
      </c>
      <c r="S339" s="131">
        <f>Q98</f>
        <v>1005</v>
      </c>
      <c r="T339" s="131">
        <f>R98</f>
        <v>0.2</v>
      </c>
      <c r="U339" s="131" t="str">
        <f>S98</f>
        <v>-</v>
      </c>
      <c r="V339" s="131" t="str">
        <f>T98</f>
        <v>-</v>
      </c>
      <c r="W339" s="132">
        <f>U98</f>
        <v>0</v>
      </c>
      <c r="AE339" s="110"/>
    </row>
    <row r="340" spans="1:31" hidden="1" x14ac:dyDescent="0.2">
      <c r="A340" s="1210"/>
      <c r="B340" s="131">
        <v>10</v>
      </c>
      <c r="C340" s="131">
        <f>C109</f>
        <v>37</v>
      </c>
      <c r="D340" s="131">
        <f t="shared" ref="D340:F340" si="169">D109</f>
        <v>0.2</v>
      </c>
      <c r="E340" s="131">
        <f t="shared" si="169"/>
        <v>0.4</v>
      </c>
      <c r="F340" s="131" t="str">
        <f t="shared" si="169"/>
        <v>-</v>
      </c>
      <c r="G340" s="131">
        <f>G109</f>
        <v>0.1</v>
      </c>
      <c r="I340" s="1210"/>
      <c r="J340" s="131">
        <v>10</v>
      </c>
      <c r="K340" s="131">
        <f>J109</f>
        <v>80</v>
      </c>
      <c r="L340" s="131">
        <f>K109</f>
        <v>2.2000000000000002</v>
      </c>
      <c r="M340" s="131">
        <f>L109</f>
        <v>-4.7</v>
      </c>
      <c r="N340" s="131" t="str">
        <f>M109</f>
        <v>-</v>
      </c>
      <c r="O340" s="131">
        <f>N109</f>
        <v>3.45</v>
      </c>
      <c r="Q340" s="1210"/>
      <c r="R340" s="131">
        <v>10</v>
      </c>
      <c r="S340" s="131">
        <f>Q109</f>
        <v>1005</v>
      </c>
      <c r="T340" s="131" t="str">
        <f>R109</f>
        <v>-</v>
      </c>
      <c r="U340" s="131" t="str">
        <f>S109</f>
        <v>-</v>
      </c>
      <c r="V340" s="131" t="str">
        <f>T109</f>
        <v>-</v>
      </c>
      <c r="W340" s="132">
        <f>U109</f>
        <v>0</v>
      </c>
      <c r="AE340" s="110"/>
    </row>
    <row r="341" spans="1:31" hidden="1" x14ac:dyDescent="0.2">
      <c r="A341" s="1210"/>
      <c r="B341" s="131">
        <v>11</v>
      </c>
      <c r="C341" s="131">
        <f>C120</f>
        <v>37</v>
      </c>
      <c r="D341" s="131">
        <f t="shared" ref="D341:F341" si="170">D120</f>
        <v>0.5</v>
      </c>
      <c r="E341" s="131">
        <f t="shared" si="170"/>
        <v>0.5</v>
      </c>
      <c r="F341" s="131" t="str">
        <f t="shared" si="170"/>
        <v>-</v>
      </c>
      <c r="G341" s="131">
        <f>G120</f>
        <v>0</v>
      </c>
      <c r="I341" s="1210"/>
      <c r="J341" s="131">
        <v>11</v>
      </c>
      <c r="K341" s="131">
        <f>J120</f>
        <v>80</v>
      </c>
      <c r="L341" s="131">
        <f>K120</f>
        <v>-1.4</v>
      </c>
      <c r="M341" s="131">
        <f>L120</f>
        <v>2.6</v>
      </c>
      <c r="N341" s="131" t="str">
        <f>M120</f>
        <v>-</v>
      </c>
      <c r="O341" s="131">
        <f>N120</f>
        <v>2</v>
      </c>
      <c r="Q341" s="1210"/>
      <c r="R341" s="131">
        <v>11</v>
      </c>
      <c r="S341" s="131">
        <f>Q120</f>
        <v>1005</v>
      </c>
      <c r="T341" s="131" t="str">
        <f>R120</f>
        <v>-</v>
      </c>
      <c r="U341" s="131" t="str">
        <f>S120</f>
        <v>-</v>
      </c>
      <c r="V341" s="131" t="str">
        <f>T120</f>
        <v>-</v>
      </c>
      <c r="W341" s="132">
        <f>U120</f>
        <v>0</v>
      </c>
      <c r="AE341" s="110"/>
    </row>
    <row r="342" spans="1:31" hidden="1" x14ac:dyDescent="0.2">
      <c r="A342" s="1210"/>
      <c r="B342" s="131">
        <v>12</v>
      </c>
      <c r="C342" s="131">
        <f>C131</f>
        <v>37</v>
      </c>
      <c r="D342" s="131">
        <f t="shared" ref="D342:F342" si="171">D131</f>
        <v>-0.3</v>
      </c>
      <c r="E342" s="131" t="str">
        <f t="shared" si="171"/>
        <v>-</v>
      </c>
      <c r="F342" s="131" t="str">
        <f t="shared" si="171"/>
        <v>-</v>
      </c>
      <c r="G342" s="131">
        <f>G131</f>
        <v>0</v>
      </c>
      <c r="I342" s="1210"/>
      <c r="J342" s="131">
        <v>12</v>
      </c>
      <c r="K342" s="131">
        <f>J131</f>
        <v>80</v>
      </c>
      <c r="L342" s="131">
        <f>K131</f>
        <v>-0.5</v>
      </c>
      <c r="M342" s="131" t="str">
        <f>L131</f>
        <v>-</v>
      </c>
      <c r="N342" s="131" t="str">
        <f>M131</f>
        <v>-</v>
      </c>
      <c r="O342" s="131">
        <f>N131</f>
        <v>0</v>
      </c>
      <c r="Q342" s="1210"/>
      <c r="R342" s="131">
        <v>12</v>
      </c>
      <c r="S342" s="131">
        <f>Q131</f>
        <v>1005</v>
      </c>
      <c r="T342" s="131">
        <f>R131</f>
        <v>-0.8</v>
      </c>
      <c r="U342" s="131" t="str">
        <f>S131</f>
        <v>-</v>
      </c>
      <c r="V342" s="131" t="str">
        <f>T131</f>
        <v>-</v>
      </c>
      <c r="W342" s="132">
        <f>U131</f>
        <v>0</v>
      </c>
      <c r="AE342" s="110"/>
    </row>
    <row r="343" spans="1:31" hidden="1" x14ac:dyDescent="0.2">
      <c r="A343" s="1210"/>
      <c r="B343" s="131">
        <v>13</v>
      </c>
      <c r="C343" s="131">
        <f>C142</f>
        <v>37</v>
      </c>
      <c r="D343" s="131">
        <f t="shared" ref="D343:F343" si="172">D142</f>
        <v>-0.2</v>
      </c>
      <c r="E343" s="131">
        <f t="shared" si="172"/>
        <v>0.4</v>
      </c>
      <c r="F343" s="131" t="str">
        <f t="shared" si="172"/>
        <v>-</v>
      </c>
      <c r="G343" s="131">
        <f>G142</f>
        <v>0.30000000000000004</v>
      </c>
      <c r="I343" s="1210"/>
      <c r="J343" s="131">
        <v>13</v>
      </c>
      <c r="K343" s="131">
        <f>J142</f>
        <v>80</v>
      </c>
      <c r="L343" s="131">
        <f>K142</f>
        <v>-1.2</v>
      </c>
      <c r="M343" s="131">
        <f>L142</f>
        <v>-2.5</v>
      </c>
      <c r="N343" s="131" t="str">
        <f>M142</f>
        <v>-</v>
      </c>
      <c r="O343" s="131">
        <f>N142</f>
        <v>0.65</v>
      </c>
      <c r="Q343" s="1210"/>
      <c r="R343" s="131">
        <v>13</v>
      </c>
      <c r="S343" s="131">
        <f>Q142</f>
        <v>1010</v>
      </c>
      <c r="T343" s="131">
        <f>R142</f>
        <v>3.5</v>
      </c>
      <c r="U343" s="131">
        <f>S142</f>
        <v>1.1000000000000001</v>
      </c>
      <c r="V343" s="131" t="str">
        <f>T142</f>
        <v>-</v>
      </c>
      <c r="W343" s="132">
        <f>U142</f>
        <v>1.2</v>
      </c>
      <c r="AE343" s="110"/>
    </row>
    <row r="344" spans="1:31" hidden="1" x14ac:dyDescent="0.2">
      <c r="A344" s="1210"/>
      <c r="B344" s="131">
        <v>14</v>
      </c>
      <c r="C344" s="131">
        <f>C153</f>
        <v>37</v>
      </c>
      <c r="D344" s="131">
        <f t="shared" ref="D344:F344" si="173">D153</f>
        <v>-0.7</v>
      </c>
      <c r="E344" s="131">
        <f t="shared" si="173"/>
        <v>-0.8</v>
      </c>
      <c r="F344" s="131" t="str">
        <f t="shared" si="173"/>
        <v>-</v>
      </c>
      <c r="G344" s="131">
        <f>G153</f>
        <v>5.0000000000000044E-2</v>
      </c>
      <c r="I344" s="1210"/>
      <c r="J344" s="131">
        <v>14</v>
      </c>
      <c r="K344" s="131">
        <f>J153</f>
        <v>80</v>
      </c>
      <c r="L344" s="131">
        <f>K153</f>
        <v>1.1000000000000001</v>
      </c>
      <c r="M344" s="131">
        <f>L153</f>
        <v>-0.9</v>
      </c>
      <c r="N344" s="131" t="str">
        <f>M153</f>
        <v>-</v>
      </c>
      <c r="O344" s="131">
        <f>N153</f>
        <v>1</v>
      </c>
      <c r="Q344" s="1210"/>
      <c r="R344" s="131">
        <v>14</v>
      </c>
      <c r="S344" s="131">
        <f>Q153</f>
        <v>1010</v>
      </c>
      <c r="T344" s="131">
        <f>R153</f>
        <v>3.7</v>
      </c>
      <c r="U344" s="131">
        <f>S153</f>
        <v>1.1000000000000001</v>
      </c>
      <c r="V344" s="131" t="str">
        <f>T153</f>
        <v>-</v>
      </c>
      <c r="W344" s="132">
        <f>U153</f>
        <v>1.3</v>
      </c>
      <c r="AE344" s="110"/>
    </row>
    <row r="345" spans="1:31" hidden="1" x14ac:dyDescent="0.2">
      <c r="A345" s="1210"/>
      <c r="B345" s="131">
        <v>15</v>
      </c>
      <c r="C345" s="131">
        <f>C164</f>
        <v>37</v>
      </c>
      <c r="D345" s="131">
        <f t="shared" ref="D345:F345" si="174">D164</f>
        <v>1</v>
      </c>
      <c r="E345" s="131">
        <f t="shared" si="174"/>
        <v>-0.1</v>
      </c>
      <c r="F345" s="131" t="str">
        <f t="shared" si="174"/>
        <v>-</v>
      </c>
      <c r="G345" s="131">
        <f>G164</f>
        <v>0.55000000000000004</v>
      </c>
      <c r="I345" s="1210"/>
      <c r="J345" s="131">
        <v>15</v>
      </c>
      <c r="K345" s="131">
        <f>J164</f>
        <v>80</v>
      </c>
      <c r="L345" s="131">
        <f>K164</f>
        <v>-0.4</v>
      </c>
      <c r="M345" s="131">
        <f>L164</f>
        <v>-1.3</v>
      </c>
      <c r="N345" s="131" t="str">
        <f>M164</f>
        <v>-</v>
      </c>
      <c r="O345" s="131">
        <f>N164</f>
        <v>0.45</v>
      </c>
      <c r="Q345" s="1210"/>
      <c r="R345" s="131">
        <v>15</v>
      </c>
      <c r="S345" s="131">
        <f>Q164</f>
        <v>1010</v>
      </c>
      <c r="T345" s="131">
        <f>R164</f>
        <v>3.9</v>
      </c>
      <c r="U345" s="131">
        <f>S164</f>
        <v>1.1000000000000001</v>
      </c>
      <c r="V345" s="131" t="str">
        <f>T164</f>
        <v>-</v>
      </c>
      <c r="W345" s="132">
        <f>U164</f>
        <v>1.4</v>
      </c>
      <c r="AE345" s="110"/>
    </row>
    <row r="346" spans="1:31" hidden="1" x14ac:dyDescent="0.2">
      <c r="A346" s="1210"/>
      <c r="B346" s="131">
        <v>16</v>
      </c>
      <c r="C346" s="131">
        <f>C175</f>
        <v>37</v>
      </c>
      <c r="D346" s="131">
        <f t="shared" ref="D346:F346" si="175">D175</f>
        <v>9.9999999999999995E-7</v>
      </c>
      <c r="E346" s="131" t="str">
        <f t="shared" si="175"/>
        <v>-</v>
      </c>
      <c r="F346" s="131" t="str">
        <f t="shared" si="175"/>
        <v>-</v>
      </c>
      <c r="G346" s="131">
        <f>G175</f>
        <v>0</v>
      </c>
      <c r="I346" s="1210"/>
      <c r="J346" s="131">
        <v>16</v>
      </c>
      <c r="K346" s="131">
        <f>J175</f>
        <v>80</v>
      </c>
      <c r="L346" s="131">
        <f>K175</f>
        <v>-2.2999999999999998</v>
      </c>
      <c r="M346" s="131" t="str">
        <f>L175</f>
        <v>-</v>
      </c>
      <c r="N346" s="131" t="str">
        <f>M175</f>
        <v>-</v>
      </c>
      <c r="O346" s="131">
        <f>N175</f>
        <v>0</v>
      </c>
      <c r="Q346" s="1210"/>
      <c r="R346" s="131">
        <v>16</v>
      </c>
      <c r="S346" s="131">
        <f>Q175</f>
        <v>1005</v>
      </c>
      <c r="T346" s="131">
        <f>R175</f>
        <v>-0.4</v>
      </c>
      <c r="U346" s="131" t="str">
        <f>S175</f>
        <v>-</v>
      </c>
      <c r="V346" s="131" t="str">
        <f>T175</f>
        <v>-</v>
      </c>
      <c r="W346" s="132">
        <f>U175</f>
        <v>0</v>
      </c>
      <c r="AE346" s="110"/>
    </row>
    <row r="347" spans="1:31" hidden="1" x14ac:dyDescent="0.2">
      <c r="A347" s="1210"/>
      <c r="B347" s="131">
        <v>17</v>
      </c>
      <c r="C347" s="131">
        <f>C186</f>
        <v>37</v>
      </c>
      <c r="D347" s="131">
        <f t="shared" ref="D347:F347" si="176">D186</f>
        <v>-0.6</v>
      </c>
      <c r="E347" s="131" t="str">
        <f t="shared" si="176"/>
        <v>-</v>
      </c>
      <c r="F347" s="131" t="str">
        <f t="shared" si="176"/>
        <v>-</v>
      </c>
      <c r="G347" s="131">
        <f>G186</f>
        <v>0</v>
      </c>
      <c r="I347" s="1210"/>
      <c r="J347" s="131">
        <v>17</v>
      </c>
      <c r="K347" s="131">
        <f>J186</f>
        <v>80</v>
      </c>
      <c r="L347" s="131">
        <f>K186</f>
        <v>-0.8</v>
      </c>
      <c r="M347" s="131" t="str">
        <f>L186</f>
        <v>-</v>
      </c>
      <c r="N347" s="131" t="str">
        <f>M186</f>
        <v>-</v>
      </c>
      <c r="O347" s="131">
        <f>N186</f>
        <v>0</v>
      </c>
      <c r="Q347" s="1210"/>
      <c r="R347" s="131">
        <v>17</v>
      </c>
      <c r="S347" s="131">
        <f>Q186</f>
        <v>1005</v>
      </c>
      <c r="T347" s="131">
        <f>R186</f>
        <v>-0.6</v>
      </c>
      <c r="U347" s="131" t="str">
        <f>S186</f>
        <v>-</v>
      </c>
      <c r="V347" s="131" t="str">
        <f>T186</f>
        <v>-</v>
      </c>
      <c r="W347" s="132">
        <f>U186</f>
        <v>0</v>
      </c>
      <c r="AE347" s="110"/>
    </row>
    <row r="348" spans="1:31" hidden="1" x14ac:dyDescent="0.2">
      <c r="A348" s="1210"/>
      <c r="B348" s="131">
        <v>18</v>
      </c>
      <c r="C348" s="131">
        <f>C197</f>
        <v>37</v>
      </c>
      <c r="D348" s="131">
        <f t="shared" ref="D348:F348" si="177">D197</f>
        <v>-0.3</v>
      </c>
      <c r="E348" s="131" t="str">
        <f t="shared" si="177"/>
        <v>-</v>
      </c>
      <c r="F348" s="131" t="str">
        <f t="shared" si="177"/>
        <v>-</v>
      </c>
      <c r="G348" s="131">
        <f>G197</f>
        <v>0</v>
      </c>
      <c r="I348" s="1210"/>
      <c r="J348" s="131">
        <v>18</v>
      </c>
      <c r="K348" s="131">
        <f>J197</f>
        <v>80</v>
      </c>
      <c r="L348" s="131">
        <f>K197</f>
        <v>-0.5</v>
      </c>
      <c r="M348" s="131" t="str">
        <f>L197</f>
        <v>-</v>
      </c>
      <c r="N348" s="131" t="str">
        <f>M197</f>
        <v>-</v>
      </c>
      <c r="O348" s="131">
        <f>N197</f>
        <v>0</v>
      </c>
      <c r="Q348" s="1210"/>
      <c r="R348" s="131">
        <v>18</v>
      </c>
      <c r="S348" s="131">
        <f>Q197</f>
        <v>1005</v>
      </c>
      <c r="T348" s="131">
        <f>R197</f>
        <v>-0.7</v>
      </c>
      <c r="U348" s="131" t="str">
        <f>S197</f>
        <v>-</v>
      </c>
      <c r="V348" s="131" t="str">
        <f>T197</f>
        <v>-</v>
      </c>
      <c r="W348" s="132">
        <f>U197</f>
        <v>0</v>
      </c>
      <c r="AE348" s="110"/>
    </row>
    <row r="349" spans="1:31" hidden="1" x14ac:dyDescent="0.2">
      <c r="A349" s="1210"/>
      <c r="B349" s="131">
        <v>19</v>
      </c>
      <c r="C349" s="131">
        <f>C208</f>
        <v>37</v>
      </c>
      <c r="D349" s="131">
        <f t="shared" ref="D349:F349" si="178">D208</f>
        <v>9.9999999999999995E-7</v>
      </c>
      <c r="E349" s="131" t="str">
        <f t="shared" si="178"/>
        <v>-</v>
      </c>
      <c r="F349" s="131" t="str">
        <f t="shared" si="178"/>
        <v>-</v>
      </c>
      <c r="G349" s="131">
        <f>G208</f>
        <v>0</v>
      </c>
      <c r="I349" s="1210"/>
      <c r="J349" s="131">
        <v>19</v>
      </c>
      <c r="K349" s="131">
        <f>J208</f>
        <v>80</v>
      </c>
      <c r="L349" s="131">
        <f>K208</f>
        <v>-0.9</v>
      </c>
      <c r="M349" s="131" t="str">
        <f>L208</f>
        <v>-</v>
      </c>
      <c r="N349" s="131" t="str">
        <f>M208</f>
        <v>-</v>
      </c>
      <c r="O349" s="131">
        <f>N208</f>
        <v>0</v>
      </c>
      <c r="Q349" s="1210"/>
      <c r="R349" s="131">
        <v>19</v>
      </c>
      <c r="S349" s="131">
        <f>Q208</f>
        <v>1005</v>
      </c>
      <c r="T349" s="131">
        <f>R208</f>
        <v>2.2000000000000002</v>
      </c>
      <c r="U349" s="131" t="str">
        <f>S208</f>
        <v>-</v>
      </c>
      <c r="V349" s="131" t="str">
        <f>T208</f>
        <v>-</v>
      </c>
      <c r="W349" s="132">
        <f>U208</f>
        <v>0</v>
      </c>
      <c r="AE349" s="110"/>
    </row>
    <row r="350" spans="1:31" ht="13.5" hidden="1" thickBot="1" x14ac:dyDescent="0.25">
      <c r="A350" s="1210"/>
      <c r="B350" s="131">
        <v>20</v>
      </c>
      <c r="C350" s="131">
        <f>C219</f>
        <v>39.5</v>
      </c>
      <c r="D350" s="131" t="str">
        <f t="shared" ref="D350:F350" si="179">D219</f>
        <v>-</v>
      </c>
      <c r="E350" s="131" t="str">
        <f t="shared" si="179"/>
        <v>-</v>
      </c>
      <c r="F350" s="131" t="str">
        <f t="shared" si="179"/>
        <v>-</v>
      </c>
      <c r="G350" s="131">
        <f>G219</f>
        <v>0</v>
      </c>
      <c r="I350" s="1210"/>
      <c r="J350" s="131">
        <v>20</v>
      </c>
      <c r="K350" s="131">
        <f>J219</f>
        <v>88.7</v>
      </c>
      <c r="L350" s="131" t="str">
        <f>K219</f>
        <v>-</v>
      </c>
      <c r="M350" s="131" t="str">
        <f>L219</f>
        <v>-</v>
      </c>
      <c r="N350" s="131" t="str">
        <f>M219</f>
        <v>-</v>
      </c>
      <c r="O350" s="131">
        <f>N219</f>
        <v>0</v>
      </c>
      <c r="Q350" s="1212"/>
      <c r="R350" s="140">
        <v>20</v>
      </c>
      <c r="S350" s="140">
        <f>Q219</f>
        <v>1005</v>
      </c>
      <c r="T350" s="140" t="str">
        <f>R219</f>
        <v>-</v>
      </c>
      <c r="U350" s="140" t="str">
        <f>S219</f>
        <v>-</v>
      </c>
      <c r="V350" s="140" t="str">
        <f>T219</f>
        <v>-</v>
      </c>
      <c r="W350" s="155">
        <f>U219</f>
        <v>0</v>
      </c>
      <c r="AE350" s="144"/>
    </row>
    <row r="351" spans="1:31" hidden="1" x14ac:dyDescent="0.2">
      <c r="A351" s="145"/>
      <c r="B351" s="145"/>
      <c r="C351" s="145"/>
      <c r="D351" s="145"/>
      <c r="E351" s="145"/>
      <c r="F351" s="125"/>
      <c r="G351" s="145"/>
      <c r="I351" s="145"/>
      <c r="J351" s="145"/>
      <c r="K351" s="145"/>
      <c r="L351" s="145"/>
      <c r="M351" s="145"/>
      <c r="N351" s="125"/>
      <c r="O351" s="145"/>
      <c r="Q351" s="161"/>
      <c r="R351" s="146"/>
      <c r="S351" s="157"/>
      <c r="T351" s="157"/>
      <c r="U351" s="157"/>
      <c r="W351" s="158"/>
      <c r="AE351" s="110"/>
    </row>
    <row r="352" spans="1:31" hidden="1" x14ac:dyDescent="0.2">
      <c r="A352" s="1210">
        <v>7</v>
      </c>
      <c r="B352" s="131">
        <v>1</v>
      </c>
      <c r="C352" s="131">
        <f>C11</f>
        <v>40</v>
      </c>
      <c r="D352" s="131">
        <f t="shared" ref="D352:F352" si="180">D11</f>
        <v>-0.3</v>
      </c>
      <c r="E352" s="131">
        <f t="shared" si="180"/>
        <v>-0.8</v>
      </c>
      <c r="F352" s="131" t="str">
        <f t="shared" si="180"/>
        <v>-</v>
      </c>
      <c r="G352" s="131">
        <f>G11</f>
        <v>0.25</v>
      </c>
      <c r="I352" s="1210">
        <v>7</v>
      </c>
      <c r="J352" s="131">
        <v>1</v>
      </c>
      <c r="K352" s="131">
        <f>J11</f>
        <v>90</v>
      </c>
      <c r="L352" s="131">
        <f>K11</f>
        <v>-1.6</v>
      </c>
      <c r="M352" s="131">
        <f>L11</f>
        <v>4.5</v>
      </c>
      <c r="N352" s="131" t="str">
        <f>M11</f>
        <v>-</v>
      </c>
      <c r="O352" s="131">
        <f>N11</f>
        <v>3.05</v>
      </c>
      <c r="Q352" s="1213">
        <v>7</v>
      </c>
      <c r="R352" s="150">
        <v>1</v>
      </c>
      <c r="S352" s="150">
        <f>Q11</f>
        <v>1020</v>
      </c>
      <c r="T352" s="150" t="str">
        <f>R11</f>
        <v>-</v>
      </c>
      <c r="U352" s="150" t="str">
        <f>S11</f>
        <v>-</v>
      </c>
      <c r="V352" s="150" t="str">
        <f>T11</f>
        <v>-</v>
      </c>
      <c r="W352" s="159">
        <f>U11</f>
        <v>0</v>
      </c>
      <c r="AE352" s="153"/>
    </row>
    <row r="353" spans="1:31" hidden="1" x14ac:dyDescent="0.2">
      <c r="A353" s="1210"/>
      <c r="B353" s="131">
        <v>2</v>
      </c>
      <c r="C353" s="131">
        <f>C22</f>
        <v>40</v>
      </c>
      <c r="D353" s="131">
        <f t="shared" ref="D353:F353" si="181">D22</f>
        <v>-0.1</v>
      </c>
      <c r="E353" s="131">
        <f t="shared" si="181"/>
        <v>-0.3</v>
      </c>
      <c r="F353" s="131" t="str">
        <f t="shared" si="181"/>
        <v>-</v>
      </c>
      <c r="G353" s="131">
        <f>G22</f>
        <v>9.9999999999999992E-2</v>
      </c>
      <c r="I353" s="1210"/>
      <c r="J353" s="131">
        <v>2</v>
      </c>
      <c r="K353" s="131">
        <f>J22</f>
        <v>90</v>
      </c>
      <c r="L353" s="131">
        <f>K22</f>
        <v>1.7</v>
      </c>
      <c r="M353" s="131">
        <f>L22</f>
        <v>-0.3</v>
      </c>
      <c r="N353" s="131" t="str">
        <f>M22</f>
        <v>-</v>
      </c>
      <c r="O353" s="131">
        <f>N22</f>
        <v>1</v>
      </c>
      <c r="Q353" s="1214"/>
      <c r="R353" s="131">
        <v>2</v>
      </c>
      <c r="S353" s="131">
        <f>Q22</f>
        <v>1020</v>
      </c>
      <c r="T353" s="131" t="str">
        <f>R22</f>
        <v>-</v>
      </c>
      <c r="U353" s="131" t="str">
        <f>S22</f>
        <v>-</v>
      </c>
      <c r="V353" s="131" t="str">
        <f>T22</f>
        <v>-</v>
      </c>
      <c r="W353" s="132">
        <f>U22</f>
        <v>0</v>
      </c>
      <c r="AE353" s="110"/>
    </row>
    <row r="354" spans="1:31" hidden="1" x14ac:dyDescent="0.2">
      <c r="A354" s="1210"/>
      <c r="B354" s="131">
        <v>3</v>
      </c>
      <c r="C354" s="131">
        <f>C33</f>
        <v>40</v>
      </c>
      <c r="D354" s="131">
        <f t="shared" ref="D354:F354" si="182">D33</f>
        <v>0.2</v>
      </c>
      <c r="E354" s="131">
        <f t="shared" si="182"/>
        <v>-0.7</v>
      </c>
      <c r="F354" s="131" t="str">
        <f t="shared" si="182"/>
        <v>-</v>
      </c>
      <c r="G354" s="131">
        <f>G33</f>
        <v>0.44999999999999996</v>
      </c>
      <c r="I354" s="1210"/>
      <c r="J354" s="131">
        <v>3</v>
      </c>
      <c r="K354" s="131">
        <f>J33</f>
        <v>90</v>
      </c>
      <c r="L354" s="131">
        <f>K33</f>
        <v>0.3</v>
      </c>
      <c r="M354" s="131">
        <f>L33</f>
        <v>-2</v>
      </c>
      <c r="N354" s="131">
        <f>M33</f>
        <v>0</v>
      </c>
      <c r="O354" s="131">
        <f>N33</f>
        <v>1.1499999999999999</v>
      </c>
      <c r="Q354" s="1214"/>
      <c r="R354" s="131">
        <v>3</v>
      </c>
      <c r="S354" s="131">
        <f>Q33</f>
        <v>1020</v>
      </c>
      <c r="T354" s="131" t="str">
        <f>R33</f>
        <v>-</v>
      </c>
      <c r="U354" s="131" t="str">
        <f>S33</f>
        <v>-</v>
      </c>
      <c r="V354" s="131" t="str">
        <f>T33</f>
        <v>-</v>
      </c>
      <c r="W354" s="132">
        <f>U33</f>
        <v>0</v>
      </c>
      <c r="AE354" s="110"/>
    </row>
    <row r="355" spans="1:31" hidden="1" x14ac:dyDescent="0.2">
      <c r="A355" s="1210"/>
      <c r="B355" s="131">
        <v>4</v>
      </c>
      <c r="C355" s="131">
        <f>C44</f>
        <v>40</v>
      </c>
      <c r="D355" s="131">
        <f t="shared" ref="D355:F355" si="183">D44</f>
        <v>-0.5</v>
      </c>
      <c r="E355" s="131">
        <f t="shared" si="183"/>
        <v>-0.6</v>
      </c>
      <c r="F355" s="131" t="str">
        <f t="shared" si="183"/>
        <v>-</v>
      </c>
      <c r="G355" s="131">
        <f>G44</f>
        <v>4.9999999999999989E-2</v>
      </c>
      <c r="I355" s="1210"/>
      <c r="J355" s="131">
        <v>4</v>
      </c>
      <c r="K355" s="131">
        <f>J44</f>
        <v>90</v>
      </c>
      <c r="L355" s="131">
        <f>K44</f>
        <v>-3.5</v>
      </c>
      <c r="M355" s="131">
        <f>L44</f>
        <v>3.3</v>
      </c>
      <c r="N355" s="131" t="str">
        <f>M44</f>
        <v>-</v>
      </c>
      <c r="O355" s="131">
        <f>N44</f>
        <v>3.4</v>
      </c>
      <c r="Q355" s="1214"/>
      <c r="R355" s="131">
        <v>4</v>
      </c>
      <c r="S355" s="131">
        <f>Q44</f>
        <v>1020</v>
      </c>
      <c r="T355" s="131" t="str">
        <f>R44</f>
        <v>-</v>
      </c>
      <c r="U355" s="131" t="str">
        <f>S44</f>
        <v>-</v>
      </c>
      <c r="V355" s="131" t="str">
        <f>T44</f>
        <v>-</v>
      </c>
      <c r="W355" s="132">
        <f>U44</f>
        <v>0</v>
      </c>
      <c r="AE355" s="110"/>
    </row>
    <row r="356" spans="1:31" hidden="1" x14ac:dyDescent="0.2">
      <c r="A356" s="1210"/>
      <c r="B356" s="131">
        <v>5</v>
      </c>
      <c r="C356" s="131">
        <f>C55</f>
        <v>40</v>
      </c>
      <c r="D356" s="131">
        <f t="shared" ref="D356:F356" si="184">D55</f>
        <v>0.7</v>
      </c>
      <c r="E356" s="131">
        <f t="shared" si="184"/>
        <v>-0.1</v>
      </c>
      <c r="F356" s="131" t="str">
        <f t="shared" si="184"/>
        <v>-</v>
      </c>
      <c r="G356" s="131">
        <f>G55</f>
        <v>0.39999999999999997</v>
      </c>
      <c r="I356" s="1210"/>
      <c r="J356" s="131">
        <v>5</v>
      </c>
      <c r="K356" s="131">
        <f>J55</f>
        <v>90</v>
      </c>
      <c r="L356" s="131">
        <f>K55</f>
        <v>-1.8</v>
      </c>
      <c r="M356" s="131">
        <f>L55</f>
        <v>2.7</v>
      </c>
      <c r="N356" s="131" t="str">
        <f>M55</f>
        <v>-</v>
      </c>
      <c r="O356" s="131">
        <f>N55</f>
        <v>2.25</v>
      </c>
      <c r="Q356" s="1214"/>
      <c r="R356" s="131">
        <v>5</v>
      </c>
      <c r="S356" s="131">
        <f>Q55</f>
        <v>1020</v>
      </c>
      <c r="T356" s="131" t="str">
        <f>R55</f>
        <v>-</v>
      </c>
      <c r="U356" s="131" t="str">
        <f>S55</f>
        <v>-</v>
      </c>
      <c r="V356" s="131" t="str">
        <f>T55</f>
        <v>-</v>
      </c>
      <c r="W356" s="132">
        <f>U55</f>
        <v>0</v>
      </c>
      <c r="AE356" s="110"/>
    </row>
    <row r="357" spans="1:31" hidden="1" x14ac:dyDescent="0.2">
      <c r="A357" s="1210"/>
      <c r="B357" s="131">
        <v>6</v>
      </c>
      <c r="C357" s="131">
        <f>C66</f>
        <v>40</v>
      </c>
      <c r="D357" s="131">
        <f t="shared" ref="D357:F357" si="185">D66</f>
        <v>0.1</v>
      </c>
      <c r="E357" s="131">
        <f t="shared" si="185"/>
        <v>-1.4</v>
      </c>
      <c r="F357" s="131" t="str">
        <f t="shared" si="185"/>
        <v>-</v>
      </c>
      <c r="G357" s="131">
        <f>G66</f>
        <v>0.75</v>
      </c>
      <c r="I357" s="1210"/>
      <c r="J357" s="131">
        <v>6</v>
      </c>
      <c r="K357" s="131">
        <f>J66</f>
        <v>90</v>
      </c>
      <c r="L357" s="131">
        <f>K66</f>
        <v>-5.2</v>
      </c>
      <c r="M357" s="131">
        <f>L66</f>
        <v>0.7</v>
      </c>
      <c r="N357" s="131" t="str">
        <f>M66</f>
        <v>-</v>
      </c>
      <c r="O357" s="131">
        <f>N66</f>
        <v>2.95</v>
      </c>
      <c r="Q357" s="1214"/>
      <c r="R357" s="131">
        <v>6</v>
      </c>
      <c r="S357" s="131">
        <f>Q66</f>
        <v>1020</v>
      </c>
      <c r="T357" s="131">
        <f>R66</f>
        <v>0.9</v>
      </c>
      <c r="U357" s="131">
        <f>S66</f>
        <v>9.9999999999999995E-7</v>
      </c>
      <c r="V357" s="131" t="str">
        <f>T66</f>
        <v>-</v>
      </c>
      <c r="W357" s="132">
        <f>U66</f>
        <v>0.4499995</v>
      </c>
      <c r="AE357" s="110"/>
    </row>
    <row r="358" spans="1:31" hidden="1" x14ac:dyDescent="0.2">
      <c r="A358" s="1210"/>
      <c r="B358" s="131">
        <v>7</v>
      </c>
      <c r="C358" s="131">
        <f>C77</f>
        <v>40</v>
      </c>
      <c r="D358" s="131">
        <f t="shared" ref="D358:F358" si="186">D77</f>
        <v>0.1</v>
      </c>
      <c r="E358" s="131">
        <f t="shared" si="186"/>
        <v>-1.7</v>
      </c>
      <c r="F358" s="131" t="str">
        <f t="shared" si="186"/>
        <v>-</v>
      </c>
      <c r="G358" s="131">
        <f>G77</f>
        <v>0.9</v>
      </c>
      <c r="I358" s="1210"/>
      <c r="J358" s="131">
        <v>7</v>
      </c>
      <c r="K358" s="131">
        <f>J77</f>
        <v>90</v>
      </c>
      <c r="L358" s="131">
        <f>K77</f>
        <v>-3</v>
      </c>
      <c r="M358" s="131">
        <f>L77</f>
        <v>1.8</v>
      </c>
      <c r="N358" s="131" t="str">
        <f>M77</f>
        <v>-</v>
      </c>
      <c r="O358" s="131">
        <f>N77</f>
        <v>2.4</v>
      </c>
      <c r="Q358" s="1214"/>
      <c r="R358" s="131">
        <v>7</v>
      </c>
      <c r="S358" s="131">
        <f>Q77</f>
        <v>1020</v>
      </c>
      <c r="T358" s="131">
        <f>R77</f>
        <v>-3.8</v>
      </c>
      <c r="U358" s="131">
        <f>S77</f>
        <v>9.9999999999999995E-7</v>
      </c>
      <c r="V358" s="131" t="str">
        <f>T77</f>
        <v>-</v>
      </c>
      <c r="W358" s="132">
        <f>U77</f>
        <v>1.9000005</v>
      </c>
      <c r="AE358" s="110"/>
    </row>
    <row r="359" spans="1:31" hidden="1" x14ac:dyDescent="0.2">
      <c r="A359" s="1210"/>
      <c r="B359" s="131">
        <v>8</v>
      </c>
      <c r="C359" s="131">
        <f>C88</f>
        <v>40</v>
      </c>
      <c r="D359" s="131">
        <f t="shared" ref="D359:F359" si="187">D88</f>
        <v>9.9999999999999995E-7</v>
      </c>
      <c r="E359" s="131">
        <f t="shared" si="187"/>
        <v>-0.4</v>
      </c>
      <c r="F359" s="131" t="str">
        <f t="shared" si="187"/>
        <v>-</v>
      </c>
      <c r="G359" s="131">
        <f>G88</f>
        <v>0.2000005</v>
      </c>
      <c r="I359" s="1210"/>
      <c r="J359" s="131">
        <v>8</v>
      </c>
      <c r="K359" s="131">
        <f>J88</f>
        <v>90</v>
      </c>
      <c r="L359" s="131">
        <f>K88</f>
        <v>-4.9000000000000004</v>
      </c>
      <c r="M359" s="131">
        <f>L88</f>
        <v>-1.3</v>
      </c>
      <c r="N359" s="131" t="str">
        <f>M88</f>
        <v>-</v>
      </c>
      <c r="O359" s="131">
        <f>N88</f>
        <v>1.8000000000000003</v>
      </c>
      <c r="Q359" s="1214"/>
      <c r="R359" s="131">
        <v>8</v>
      </c>
      <c r="S359" s="131">
        <f>Q88</f>
        <v>1020</v>
      </c>
      <c r="T359" s="131">
        <f>R88</f>
        <v>-3.4</v>
      </c>
      <c r="U359" s="131">
        <f>S88</f>
        <v>9.9999999999999995E-7</v>
      </c>
      <c r="V359" s="131" t="str">
        <f>T88</f>
        <v>-</v>
      </c>
      <c r="W359" s="132">
        <f>U88</f>
        <v>1.7000005</v>
      </c>
      <c r="AE359" s="110"/>
    </row>
    <row r="360" spans="1:31" hidden="1" x14ac:dyDescent="0.2">
      <c r="A360" s="1210"/>
      <c r="B360" s="131">
        <v>9</v>
      </c>
      <c r="C360" s="131">
        <f>C99</f>
        <v>40</v>
      </c>
      <c r="D360" s="131">
        <f t="shared" ref="D360:F360" si="188">D99</f>
        <v>-0.4</v>
      </c>
      <c r="E360" s="131" t="str">
        <f t="shared" si="188"/>
        <v>-</v>
      </c>
      <c r="F360" s="131" t="str">
        <f t="shared" si="188"/>
        <v>-</v>
      </c>
      <c r="G360" s="131">
        <f>G99</f>
        <v>0</v>
      </c>
      <c r="I360" s="1210"/>
      <c r="J360" s="131">
        <v>9</v>
      </c>
      <c r="K360" s="131">
        <f>J99</f>
        <v>90</v>
      </c>
      <c r="L360" s="131">
        <f>K99</f>
        <v>-0.2</v>
      </c>
      <c r="M360" s="131" t="str">
        <f>L99</f>
        <v>-</v>
      </c>
      <c r="N360" s="131" t="str">
        <f>M99</f>
        <v>-</v>
      </c>
      <c r="O360" s="131">
        <f>N99</f>
        <v>0</v>
      </c>
      <c r="Q360" s="1214"/>
      <c r="R360" s="131">
        <v>9</v>
      </c>
      <c r="S360" s="131">
        <f>Q99</f>
        <v>1020</v>
      </c>
      <c r="T360" s="131">
        <f>R99</f>
        <v>9.9999999999999995E-7</v>
      </c>
      <c r="U360" s="131" t="str">
        <f>S99</f>
        <v>-</v>
      </c>
      <c r="V360" s="131" t="str">
        <f>T99</f>
        <v>-</v>
      </c>
      <c r="W360" s="132">
        <f>U99</f>
        <v>0</v>
      </c>
      <c r="AE360" s="110"/>
    </row>
    <row r="361" spans="1:31" hidden="1" x14ac:dyDescent="0.2">
      <c r="A361" s="1210"/>
      <c r="B361" s="131">
        <v>10</v>
      </c>
      <c r="C361" s="131">
        <f>C110</f>
        <v>40</v>
      </c>
      <c r="D361" s="131">
        <f t="shared" ref="D361:F361" si="189">D110</f>
        <v>0.2</v>
      </c>
      <c r="E361" s="131">
        <f t="shared" si="189"/>
        <v>9.9999999999999995E-7</v>
      </c>
      <c r="F361" s="131" t="str">
        <f t="shared" si="189"/>
        <v>-</v>
      </c>
      <c r="G361" s="131">
        <f>G110</f>
        <v>9.9999500000000005E-2</v>
      </c>
      <c r="I361" s="1210"/>
      <c r="J361" s="131">
        <v>10</v>
      </c>
      <c r="K361" s="131">
        <f>J110</f>
        <v>90</v>
      </c>
      <c r="L361" s="131">
        <f>K110</f>
        <v>5.4</v>
      </c>
      <c r="M361" s="131">
        <f>L110</f>
        <v>9.9999999999999995E-7</v>
      </c>
      <c r="N361" s="131" t="str">
        <f>M110</f>
        <v>-</v>
      </c>
      <c r="O361" s="131">
        <f>N110</f>
        <v>2.6999995000000001</v>
      </c>
      <c r="Q361" s="1214"/>
      <c r="R361" s="131">
        <v>10</v>
      </c>
      <c r="S361" s="131">
        <f>Q110</f>
        <v>1020</v>
      </c>
      <c r="T361" s="131" t="str">
        <f>R110</f>
        <v>-</v>
      </c>
      <c r="U361" s="131" t="str">
        <f>S110</f>
        <v>-</v>
      </c>
      <c r="V361" s="131" t="str">
        <f>T110</f>
        <v>-</v>
      </c>
      <c r="W361" s="132">
        <f>U110</f>
        <v>0</v>
      </c>
      <c r="AE361" s="110"/>
    </row>
    <row r="362" spans="1:31" hidden="1" x14ac:dyDescent="0.2">
      <c r="A362" s="1210"/>
      <c r="B362" s="131">
        <v>11</v>
      </c>
      <c r="C362" s="131">
        <f>C121</f>
        <v>40</v>
      </c>
      <c r="D362" s="131">
        <f t="shared" ref="D362:F362" si="190">D121</f>
        <v>0.5</v>
      </c>
      <c r="E362" s="131">
        <f t="shared" si="190"/>
        <v>9.9999999999999995E-7</v>
      </c>
      <c r="F362" s="131" t="str">
        <f t="shared" si="190"/>
        <v>-</v>
      </c>
      <c r="G362" s="131">
        <f>G121</f>
        <v>0.24999950000000001</v>
      </c>
      <c r="I362" s="1210"/>
      <c r="J362" s="131">
        <v>11</v>
      </c>
      <c r="K362" s="131">
        <f>J121</f>
        <v>90</v>
      </c>
      <c r="L362" s="131">
        <f>K121</f>
        <v>1.3</v>
      </c>
      <c r="M362" s="131">
        <f>L121</f>
        <v>9.9999999999999995E-7</v>
      </c>
      <c r="N362" s="131" t="str">
        <f>M121</f>
        <v>-</v>
      </c>
      <c r="O362" s="131">
        <f>N121</f>
        <v>0.64999950000000006</v>
      </c>
      <c r="Q362" s="1214"/>
      <c r="R362" s="131">
        <v>11</v>
      </c>
      <c r="S362" s="131">
        <f>Q121</f>
        <v>1020</v>
      </c>
      <c r="T362" s="131" t="str">
        <f>R121</f>
        <v>-</v>
      </c>
      <c r="U362" s="131" t="str">
        <f>S121</f>
        <v>-</v>
      </c>
      <c r="V362" s="131" t="str">
        <f>T121</f>
        <v>-</v>
      </c>
      <c r="W362" s="132">
        <f>U121</f>
        <v>0</v>
      </c>
      <c r="AE362" s="110"/>
    </row>
    <row r="363" spans="1:31" hidden="1" x14ac:dyDescent="0.2">
      <c r="A363" s="1210"/>
      <c r="B363" s="131">
        <v>12</v>
      </c>
      <c r="C363" s="131">
        <f>C132</f>
        <v>40</v>
      </c>
      <c r="D363" s="131">
        <f t="shared" ref="D363:F363" si="191">D132</f>
        <v>-0.4</v>
      </c>
      <c r="E363" s="131" t="str">
        <f t="shared" si="191"/>
        <v>-</v>
      </c>
      <c r="F363" s="131" t="str">
        <f t="shared" si="191"/>
        <v>-</v>
      </c>
      <c r="G363" s="131">
        <f>G132</f>
        <v>0</v>
      </c>
      <c r="I363" s="1210"/>
      <c r="J363" s="131">
        <v>12</v>
      </c>
      <c r="K363" s="131">
        <f>J132</f>
        <v>90</v>
      </c>
      <c r="L363" s="131">
        <f>K132</f>
        <v>-0.9</v>
      </c>
      <c r="M363" s="131" t="str">
        <f>L132</f>
        <v>-</v>
      </c>
      <c r="N363" s="131" t="str">
        <f>M132</f>
        <v>-</v>
      </c>
      <c r="O363" s="131">
        <f>N132</f>
        <v>0</v>
      </c>
      <c r="Q363" s="1214"/>
      <c r="R363" s="131">
        <v>12</v>
      </c>
      <c r="S363" s="131">
        <f>Q132</f>
        <v>1020</v>
      </c>
      <c r="T363" s="131">
        <f>R132</f>
        <v>9.9999999999999995E-7</v>
      </c>
      <c r="U363" s="131" t="str">
        <f>S132</f>
        <v>-</v>
      </c>
      <c r="V363" s="131" t="str">
        <f>T132</f>
        <v>-</v>
      </c>
      <c r="W363" s="132">
        <f>U132</f>
        <v>0</v>
      </c>
      <c r="AE363" s="110"/>
    </row>
    <row r="364" spans="1:31" hidden="1" x14ac:dyDescent="0.2">
      <c r="A364" s="1210"/>
      <c r="B364" s="131">
        <v>13</v>
      </c>
      <c r="C364" s="131">
        <f>C143</f>
        <v>40</v>
      </c>
      <c r="D364" s="131">
        <f t="shared" ref="D364:F364" si="192">D143</f>
        <v>-0.2</v>
      </c>
      <c r="E364" s="131">
        <f t="shared" si="192"/>
        <v>0.5</v>
      </c>
      <c r="F364" s="131" t="str">
        <f t="shared" si="192"/>
        <v>-</v>
      </c>
      <c r="G364" s="131">
        <f>G143</f>
        <v>0.35</v>
      </c>
      <c r="I364" s="1210"/>
      <c r="J364" s="131">
        <v>13</v>
      </c>
      <c r="K364" s="131">
        <f>J143</f>
        <v>90</v>
      </c>
      <c r="L364" s="131">
        <f>K143</f>
        <v>-1</v>
      </c>
      <c r="M364" s="131">
        <f>L143</f>
        <v>-3.2</v>
      </c>
      <c r="N364" s="131" t="str">
        <f>M143</f>
        <v>-</v>
      </c>
      <c r="O364" s="131">
        <f>N143</f>
        <v>1.1000000000000001</v>
      </c>
      <c r="Q364" s="1214"/>
      <c r="R364" s="131">
        <v>13</v>
      </c>
      <c r="S364" s="131">
        <f>Q143</f>
        <v>1020</v>
      </c>
      <c r="T364" s="131">
        <f>R143</f>
        <v>9.9999999999999995E-7</v>
      </c>
      <c r="U364" s="131">
        <f>S143</f>
        <v>9.9999999999999995E-7</v>
      </c>
      <c r="V364" s="131" t="str">
        <f>T143</f>
        <v>-</v>
      </c>
      <c r="W364" s="132">
        <f>U143</f>
        <v>0</v>
      </c>
      <c r="AE364" s="110"/>
    </row>
    <row r="365" spans="1:31" hidden="1" x14ac:dyDescent="0.2">
      <c r="A365" s="1210"/>
      <c r="B365" s="131">
        <v>14</v>
      </c>
      <c r="C365" s="131">
        <f>C154</f>
        <v>40</v>
      </c>
      <c r="D365" s="131">
        <f t="shared" ref="D365:F365" si="193">D154</f>
        <v>-0.8</v>
      </c>
      <c r="E365" s="131">
        <f t="shared" si="193"/>
        <v>-1.1000000000000001</v>
      </c>
      <c r="F365" s="131" t="str">
        <f t="shared" si="193"/>
        <v>-</v>
      </c>
      <c r="G365" s="131">
        <f>G154</f>
        <v>0.15000000000000002</v>
      </c>
      <c r="I365" s="1210"/>
      <c r="J365" s="131">
        <v>14</v>
      </c>
      <c r="K365" s="131">
        <f>J154</f>
        <v>90</v>
      </c>
      <c r="L365" s="131">
        <f>K154</f>
        <v>1.5</v>
      </c>
      <c r="M365" s="131">
        <f>L154</f>
        <v>-0.8</v>
      </c>
      <c r="N365" s="131" t="str">
        <f>M154</f>
        <v>-</v>
      </c>
      <c r="O365" s="131">
        <f>N154</f>
        <v>1.1499999999999999</v>
      </c>
      <c r="Q365" s="1214"/>
      <c r="R365" s="131">
        <v>14</v>
      </c>
      <c r="S365" s="131">
        <f>Q154</f>
        <v>1020</v>
      </c>
      <c r="T365" s="131">
        <f>R154</f>
        <v>9.9999999999999995E-7</v>
      </c>
      <c r="U365" s="131">
        <f>S154</f>
        <v>9.9999999999999995E-7</v>
      </c>
      <c r="V365" s="131" t="str">
        <f>T154</f>
        <v>-</v>
      </c>
      <c r="W365" s="132">
        <f>U154</f>
        <v>0</v>
      </c>
      <c r="AE365" s="110"/>
    </row>
    <row r="366" spans="1:31" hidden="1" x14ac:dyDescent="0.2">
      <c r="A366" s="1210"/>
      <c r="B366" s="131">
        <v>15</v>
      </c>
      <c r="C366" s="131">
        <f>C165</f>
        <v>40</v>
      </c>
      <c r="D366" s="131">
        <f t="shared" ref="D366:F366" si="194">D165</f>
        <v>1.4</v>
      </c>
      <c r="E366" s="131">
        <f t="shared" si="194"/>
        <v>9.9999999999999995E-7</v>
      </c>
      <c r="F366" s="131" t="str">
        <f t="shared" si="194"/>
        <v>-</v>
      </c>
      <c r="G366" s="131">
        <f>G165</f>
        <v>0.6999995</v>
      </c>
      <c r="I366" s="1210"/>
      <c r="J366" s="131">
        <v>15</v>
      </c>
      <c r="K366" s="131">
        <f>J165</f>
        <v>90</v>
      </c>
      <c r="L366" s="131">
        <f>K165</f>
        <v>-0.1</v>
      </c>
      <c r="M366" s="131">
        <f>L165</f>
        <v>-2</v>
      </c>
      <c r="N366" s="131" t="str">
        <f>M165</f>
        <v>-</v>
      </c>
      <c r="O366" s="131">
        <f>N165</f>
        <v>0.95</v>
      </c>
      <c r="Q366" s="1214"/>
      <c r="R366" s="131">
        <v>15</v>
      </c>
      <c r="S366" s="131">
        <f>Q165</f>
        <v>1020</v>
      </c>
      <c r="T366" s="131">
        <f>R165</f>
        <v>9.9999999999999995E-7</v>
      </c>
      <c r="U366" s="131">
        <f>S165</f>
        <v>9.9999999999999995E-7</v>
      </c>
      <c r="V366" s="131" t="str">
        <f>T165</f>
        <v>-</v>
      </c>
      <c r="W366" s="132">
        <f>U165</f>
        <v>0</v>
      </c>
      <c r="AE366" s="110"/>
    </row>
    <row r="367" spans="1:31" hidden="1" x14ac:dyDescent="0.2">
      <c r="A367" s="1210"/>
      <c r="B367" s="131">
        <v>16</v>
      </c>
      <c r="C367" s="131">
        <f>C176</f>
        <v>40</v>
      </c>
      <c r="D367" s="131">
        <f t="shared" ref="D367:F367" si="195">D176</f>
        <v>9.9999999999999995E-7</v>
      </c>
      <c r="E367" s="131" t="str">
        <f t="shared" si="195"/>
        <v>-</v>
      </c>
      <c r="F367" s="131" t="str">
        <f t="shared" si="195"/>
        <v>-</v>
      </c>
      <c r="G367" s="131">
        <f>G176</f>
        <v>0</v>
      </c>
      <c r="I367" s="1210"/>
      <c r="J367" s="131">
        <v>16</v>
      </c>
      <c r="K367" s="131">
        <f>J176</f>
        <v>90</v>
      </c>
      <c r="L367" s="131">
        <f>K176</f>
        <v>-3</v>
      </c>
      <c r="M367" s="131" t="str">
        <f>L176</f>
        <v>-</v>
      </c>
      <c r="N367" s="131" t="str">
        <f>M176</f>
        <v>-</v>
      </c>
      <c r="O367" s="131">
        <f>N176</f>
        <v>0</v>
      </c>
      <c r="Q367" s="1214"/>
      <c r="R367" s="131">
        <v>16</v>
      </c>
      <c r="S367" s="131">
        <f>Q176</f>
        <v>1020</v>
      </c>
      <c r="T367" s="131">
        <f>R176</f>
        <v>9.9999999999999995E-7</v>
      </c>
      <c r="U367" s="131" t="str">
        <f>S176</f>
        <v>-</v>
      </c>
      <c r="V367" s="131" t="str">
        <f>T176</f>
        <v>-</v>
      </c>
      <c r="W367" s="132">
        <f>U176</f>
        <v>0</v>
      </c>
      <c r="AE367" s="110"/>
    </row>
    <row r="368" spans="1:31" hidden="1" x14ac:dyDescent="0.2">
      <c r="A368" s="1210"/>
      <c r="B368" s="131">
        <v>17</v>
      </c>
      <c r="C368" s="131">
        <f>C187</f>
        <v>40</v>
      </c>
      <c r="D368" s="131">
        <f t="shared" ref="D368:F368" si="196">D187</f>
        <v>-0.8</v>
      </c>
      <c r="E368" s="131" t="str">
        <f t="shared" si="196"/>
        <v>-</v>
      </c>
      <c r="F368" s="131" t="str">
        <f t="shared" si="196"/>
        <v>-</v>
      </c>
      <c r="G368" s="131">
        <f>G187</f>
        <v>0</v>
      </c>
      <c r="I368" s="1210"/>
      <c r="J368" s="131">
        <v>17</v>
      </c>
      <c r="K368" s="131">
        <f>J187</f>
        <v>90</v>
      </c>
      <c r="L368" s="131">
        <f>K187</f>
        <v>-1.4</v>
      </c>
      <c r="M368" s="131" t="str">
        <f>L187</f>
        <v>-</v>
      </c>
      <c r="N368" s="131" t="str">
        <f>M187</f>
        <v>-</v>
      </c>
      <c r="O368" s="131">
        <f>N187</f>
        <v>0</v>
      </c>
      <c r="Q368" s="1214"/>
      <c r="R368" s="131">
        <v>17</v>
      </c>
      <c r="S368" s="131">
        <f>Q187</f>
        <v>1020</v>
      </c>
      <c r="T368" s="131">
        <f>R187</f>
        <v>9.9999999999999995E-7</v>
      </c>
      <c r="U368" s="131" t="str">
        <f>S187</f>
        <v>-</v>
      </c>
      <c r="V368" s="131" t="str">
        <f>T187</f>
        <v>-</v>
      </c>
      <c r="W368" s="132">
        <f>U187</f>
        <v>0</v>
      </c>
      <c r="AE368" s="110"/>
    </row>
    <row r="369" spans="1:31" hidden="1" x14ac:dyDescent="0.2">
      <c r="A369" s="1210"/>
      <c r="B369" s="131">
        <v>18</v>
      </c>
      <c r="C369" s="131">
        <f>C198</f>
        <v>40</v>
      </c>
      <c r="D369" s="131">
        <f t="shared" ref="D369:F369" si="197">D198</f>
        <v>-0.4</v>
      </c>
      <c r="E369" s="131" t="str">
        <f t="shared" si="197"/>
        <v>-</v>
      </c>
      <c r="F369" s="131" t="str">
        <f t="shared" si="197"/>
        <v>-</v>
      </c>
      <c r="G369" s="131">
        <f>G198</f>
        <v>0</v>
      </c>
      <c r="I369" s="1210"/>
      <c r="J369" s="131">
        <v>18</v>
      </c>
      <c r="K369" s="131">
        <f>J198</f>
        <v>90</v>
      </c>
      <c r="L369" s="131">
        <f>K198</f>
        <v>-0.8</v>
      </c>
      <c r="M369" s="131" t="str">
        <f>L198</f>
        <v>-</v>
      </c>
      <c r="N369" s="131" t="str">
        <f>M198</f>
        <v>-</v>
      </c>
      <c r="O369" s="131">
        <f>N198</f>
        <v>0</v>
      </c>
      <c r="Q369" s="1214"/>
      <c r="R369" s="131">
        <v>18</v>
      </c>
      <c r="S369" s="131">
        <f>Q198</f>
        <v>1020</v>
      </c>
      <c r="T369" s="131">
        <f>R198</f>
        <v>9.9999999999999995E-7</v>
      </c>
      <c r="U369" s="131" t="str">
        <f>S198</f>
        <v>-</v>
      </c>
      <c r="V369" s="131" t="str">
        <f>T198</f>
        <v>-</v>
      </c>
      <c r="W369" s="132">
        <f>U198</f>
        <v>0</v>
      </c>
      <c r="AE369" s="110"/>
    </row>
    <row r="370" spans="1:31" hidden="1" x14ac:dyDescent="0.2">
      <c r="A370" s="1210"/>
      <c r="B370" s="131">
        <v>19</v>
      </c>
      <c r="C370" s="131">
        <f>C209</f>
        <v>40</v>
      </c>
      <c r="D370" s="131">
        <f t="shared" ref="D370:F370" si="198">D209</f>
        <v>0.2</v>
      </c>
      <c r="E370" s="131" t="str">
        <f t="shared" si="198"/>
        <v>-</v>
      </c>
      <c r="F370" s="131" t="str">
        <f t="shared" si="198"/>
        <v>-</v>
      </c>
      <c r="G370" s="131">
        <f>G209</f>
        <v>0</v>
      </c>
      <c r="I370" s="1210"/>
      <c r="J370" s="131">
        <v>19</v>
      </c>
      <c r="K370" s="131">
        <f>J209</f>
        <v>90</v>
      </c>
      <c r="L370" s="131">
        <f>K209</f>
        <v>-0.6</v>
      </c>
      <c r="M370" s="131" t="str">
        <f>L209</f>
        <v>-</v>
      </c>
      <c r="N370" s="131" t="str">
        <f>M209</f>
        <v>-</v>
      </c>
      <c r="O370" s="131">
        <f>N209</f>
        <v>0</v>
      </c>
      <c r="Q370" s="1214"/>
      <c r="R370" s="131">
        <v>19</v>
      </c>
      <c r="S370" s="131">
        <f>Q209</f>
        <v>1020</v>
      </c>
      <c r="T370" s="131">
        <f>R209</f>
        <v>2.2999999999999998</v>
      </c>
      <c r="U370" s="131" t="str">
        <f>S209</f>
        <v>-</v>
      </c>
      <c r="V370" s="131" t="str">
        <f>T209</f>
        <v>-</v>
      </c>
      <c r="W370" s="132">
        <f>U209</f>
        <v>0</v>
      </c>
      <c r="AE370" s="110"/>
    </row>
    <row r="371" spans="1:31" ht="13.5" hidden="1" thickBot="1" x14ac:dyDescent="0.25">
      <c r="A371" s="1210"/>
      <c r="B371" s="131">
        <v>20</v>
      </c>
      <c r="C371" s="131">
        <f>C220</f>
        <v>40</v>
      </c>
      <c r="D371" s="131" t="str">
        <f t="shared" ref="D371:F371" si="199">D220</f>
        <v>-</v>
      </c>
      <c r="E371" s="131" t="str">
        <f t="shared" si="199"/>
        <v>-</v>
      </c>
      <c r="F371" s="131" t="str">
        <f t="shared" si="199"/>
        <v>-</v>
      </c>
      <c r="G371" s="131">
        <f>G220</f>
        <v>0</v>
      </c>
      <c r="I371" s="1210"/>
      <c r="J371" s="131">
        <v>20</v>
      </c>
      <c r="K371" s="131">
        <f>J220</f>
        <v>90</v>
      </c>
      <c r="L371" s="131" t="str">
        <f>K220</f>
        <v>-</v>
      </c>
      <c r="M371" s="131" t="str">
        <f>L220</f>
        <v>-</v>
      </c>
      <c r="N371" s="131" t="str">
        <f>M220</f>
        <v>-</v>
      </c>
      <c r="O371" s="131">
        <f>N220</f>
        <v>0</v>
      </c>
      <c r="Q371" s="1215"/>
      <c r="R371" s="140">
        <v>20</v>
      </c>
      <c r="S371" s="140">
        <f>Q220</f>
        <v>1020</v>
      </c>
      <c r="T371" s="140" t="str">
        <f>R220</f>
        <v>-</v>
      </c>
      <c r="U371" s="140" t="str">
        <f>S220</f>
        <v>-</v>
      </c>
      <c r="V371" s="140" t="str">
        <f>T220</f>
        <v>-</v>
      </c>
      <c r="W371" s="155">
        <f>U220</f>
        <v>0</v>
      </c>
      <c r="AE371" s="144"/>
    </row>
    <row r="372" spans="1:31" ht="13.5" thickBot="1" x14ac:dyDescent="0.25">
      <c r="A372" s="162"/>
      <c r="B372" s="163"/>
      <c r="C372" s="149"/>
      <c r="D372" s="149"/>
      <c r="E372" s="149"/>
      <c r="F372" s="149"/>
      <c r="G372" s="149"/>
      <c r="H372" s="110"/>
      <c r="I372" s="143"/>
      <c r="J372" s="163"/>
      <c r="K372" s="149"/>
      <c r="L372" s="149"/>
      <c r="M372" s="149"/>
      <c r="N372" s="149"/>
      <c r="O372" s="149"/>
      <c r="P372" s="110"/>
    </row>
    <row r="373" spans="1:31" ht="29.25" customHeight="1" x14ac:dyDescent="0.2">
      <c r="A373" s="164">
        <f>A410</f>
        <v>18</v>
      </c>
      <c r="B373" s="1202" t="str">
        <f>A389</f>
        <v>Thermohygrolight, Merek : EXTECH, Model : SD700, SN : A.100618</v>
      </c>
      <c r="C373" s="1202"/>
      <c r="D373" s="1202"/>
      <c r="E373" s="1202"/>
      <c r="G373" s="164">
        <f>A373</f>
        <v>18</v>
      </c>
      <c r="H373" s="1202" t="str">
        <f>B373</f>
        <v>Thermohygrolight, Merek : EXTECH, Model : SD700, SN : A.100618</v>
      </c>
      <c r="I373" s="1202"/>
      <c r="J373" s="1202"/>
      <c r="K373" s="1202"/>
      <c r="M373" s="164">
        <f>G373</f>
        <v>18</v>
      </c>
      <c r="N373" s="1202" t="str">
        <f>H373</f>
        <v>Thermohygrolight, Merek : EXTECH, Model : SD700, SN : A.100618</v>
      </c>
      <c r="O373" s="1202"/>
      <c r="P373" s="1202"/>
      <c r="Q373" s="1202"/>
      <c r="S373" s="165">
        <f>A373</f>
        <v>18</v>
      </c>
      <c r="T373" s="1207" t="str">
        <f>H373</f>
        <v>Thermohygrolight, Merek : EXTECH, Model : SD700, SN : A.100618</v>
      </c>
      <c r="U373" s="1207"/>
      <c r="V373" s="1207"/>
      <c r="W373" s="1208"/>
      <c r="Z373" s="166"/>
      <c r="AE373" s="119"/>
    </row>
    <row r="374" spans="1:31" ht="13.5" x14ac:dyDescent="0.2">
      <c r="A374" s="167" t="s">
        <v>225</v>
      </c>
      <c r="B374" s="1209" t="s">
        <v>226</v>
      </c>
      <c r="C374" s="1209"/>
      <c r="D374" s="1209"/>
      <c r="E374" s="1209" t="s">
        <v>227</v>
      </c>
      <c r="G374" s="167" t="s">
        <v>228</v>
      </c>
      <c r="H374" s="1209" t="s">
        <v>226</v>
      </c>
      <c r="I374" s="1209"/>
      <c r="J374" s="1209"/>
      <c r="K374" s="1209" t="s">
        <v>227</v>
      </c>
      <c r="M374" s="167" t="s">
        <v>229</v>
      </c>
      <c r="N374" s="1209" t="s">
        <v>226</v>
      </c>
      <c r="O374" s="1209"/>
      <c r="P374" s="1209"/>
      <c r="Q374" s="1209" t="s">
        <v>227</v>
      </c>
      <c r="S374" s="1201"/>
      <c r="T374" s="1202" t="s">
        <v>253</v>
      </c>
      <c r="U374" s="1202" t="s">
        <v>254</v>
      </c>
      <c r="V374" s="1202" t="s">
        <v>255</v>
      </c>
      <c r="W374" s="1203" t="s">
        <v>224</v>
      </c>
      <c r="Z374" s="149"/>
    </row>
    <row r="375" spans="1:31" ht="15" x14ac:dyDescent="0.2">
      <c r="A375" s="168" t="s">
        <v>252</v>
      </c>
      <c r="B375" s="169">
        <f>VLOOKUP(B373,A390:L409,9,FALSE)</f>
        <v>2020</v>
      </c>
      <c r="C375" s="169" t="str">
        <f>VLOOKUP(B373,A390:L409,10,FALSE)</f>
        <v>-</v>
      </c>
      <c r="D375" s="169" t="str">
        <f>VLOOKUP(B373,A390:L409,11,FALSE)</f>
        <v>-</v>
      </c>
      <c r="E375" s="1209"/>
      <c r="G375" s="170" t="s">
        <v>16</v>
      </c>
      <c r="H375" s="169">
        <f>B375</f>
        <v>2020</v>
      </c>
      <c r="I375" s="169" t="str">
        <f>C375</f>
        <v>-</v>
      </c>
      <c r="J375" s="169" t="str">
        <f>D375</f>
        <v>-</v>
      </c>
      <c r="K375" s="1209"/>
      <c r="M375" s="170" t="s">
        <v>231</v>
      </c>
      <c r="N375" s="169">
        <f>H375</f>
        <v>2020</v>
      </c>
      <c r="O375" s="169" t="str">
        <f>I375</f>
        <v>-</v>
      </c>
      <c r="P375" s="169" t="str">
        <f>J375</f>
        <v>-</v>
      </c>
      <c r="Q375" s="1209"/>
      <c r="S375" s="1201"/>
      <c r="T375" s="1202"/>
      <c r="U375" s="1202"/>
      <c r="V375" s="1202"/>
      <c r="W375" s="1203"/>
      <c r="Z375" s="149"/>
    </row>
    <row r="376" spans="1:31" x14ac:dyDescent="0.2">
      <c r="A376" s="465">
        <f>VLOOKUP($A$373,$B$226:$G$245,2,FALSE)</f>
        <v>15</v>
      </c>
      <c r="B376" s="466">
        <f>VLOOKUP($A$373,$B$226:$G$245,3,FALSE)</f>
        <v>9.9999999999999995E-7</v>
      </c>
      <c r="C376" s="466" t="str">
        <f>VLOOKUP($A$373,$B$226:$G$245,4,FALSE)</f>
        <v>-</v>
      </c>
      <c r="D376" s="466" t="str">
        <f>VLOOKUP($A$373,$B$226:$G$245,5,FALSE)</f>
        <v>-</v>
      </c>
      <c r="E376" s="466">
        <f>VLOOKUP($A$373,$B$226:$G$245,6,FALSE)</f>
        <v>0</v>
      </c>
      <c r="G376" s="465">
        <f>VLOOKUP($G$373,$J$226:$O$245,2,FALSE)</f>
        <v>30</v>
      </c>
      <c r="H376" s="466">
        <f>VLOOKUP($G$373,$J$226:$O$245,3,FALSE)</f>
        <v>-0.4</v>
      </c>
      <c r="I376" s="466" t="str">
        <f>VLOOKUP($G$373,$J$226:$O$245,4,FALSE)</f>
        <v>-</v>
      </c>
      <c r="J376" s="466" t="str">
        <f>VLOOKUP($G$373,$J$226:$O$245,5,FALSE)</f>
        <v>-</v>
      </c>
      <c r="K376" s="466">
        <f>VLOOKUP($G$373,$J$226:$O$245,6,FALSE)</f>
        <v>0</v>
      </c>
      <c r="M376" s="145">
        <f>VLOOKUP($M$373,$R$226:$W$245,2,FALSE)</f>
        <v>800</v>
      </c>
      <c r="N376" s="145">
        <f>VLOOKUP($M$373,$R$226:$W$245,3,FALSE)</f>
        <v>-1.5</v>
      </c>
      <c r="O376" s="145" t="str">
        <f>VLOOKUP($M$373,$R$226:$W$245,4,FALSE)</f>
        <v>-</v>
      </c>
      <c r="P376" s="145" t="str">
        <f>VLOOKUP($M$373,$R$226:$W$245,5,FALSE)</f>
        <v>-</v>
      </c>
      <c r="Q376" s="145">
        <f>VLOOKUP($M$373,$R$226:$W$245,6,FALSE)</f>
        <v>0</v>
      </c>
      <c r="S376" s="1201"/>
      <c r="T376" s="1202"/>
      <c r="U376" s="1202"/>
      <c r="V376" s="1202"/>
      <c r="W376" s="1203"/>
      <c r="Z376" s="149"/>
    </row>
    <row r="377" spans="1:31" x14ac:dyDescent="0.2">
      <c r="A377" s="465">
        <f>VLOOKUP($A$373,$B$247:$G$266,2,FALSE)</f>
        <v>20</v>
      </c>
      <c r="B377" s="466">
        <f>VLOOKUP($A$373,$B$247:$G$266,3,FALSE)</f>
        <v>-0.1</v>
      </c>
      <c r="C377" s="466" t="str">
        <f>VLOOKUP($A$373,$B$247:$G$266,4,FALSE)</f>
        <v>-</v>
      </c>
      <c r="D377" s="466" t="str">
        <f>VLOOKUP($A$373,$B$247:$G$266,5,FALSE)</f>
        <v>-</v>
      </c>
      <c r="E377" s="466">
        <f>VLOOKUP($A$373,$B$247:$G$266,6,FALSE)</f>
        <v>0</v>
      </c>
      <c r="G377" s="465">
        <f>VLOOKUP($G$373,$J$247:$O$266,2,FALSE)</f>
        <v>40</v>
      </c>
      <c r="H377" s="466">
        <f>VLOOKUP($G$373,$J$247:$O$266,3,FALSE)</f>
        <v>-0.2</v>
      </c>
      <c r="I377" s="466" t="str">
        <f>VLOOKUP($G$373,$J$247:$O$266,4,FALSE)</f>
        <v>-</v>
      </c>
      <c r="J377" s="466" t="str">
        <f>VLOOKUP($G$373,$J$247:$O$266,5,FALSE)</f>
        <v>-</v>
      </c>
      <c r="K377" s="466">
        <f>VLOOKUP($G$373,$J$247:$O$266,6,FALSE)</f>
        <v>0</v>
      </c>
      <c r="M377" s="145">
        <f>VLOOKUP($M$373,$R$247:$W$266,2,FALSE)</f>
        <v>850</v>
      </c>
      <c r="N377" s="145">
        <f>VLOOKUP($M$373,$R$247:$W$266,3,FALSE)</f>
        <v>-1.3</v>
      </c>
      <c r="O377" s="145" t="str">
        <f>VLOOKUP($M$373,$R$247:$W$266,4,FALSE)</f>
        <v>-</v>
      </c>
      <c r="P377" s="145" t="str">
        <f>VLOOKUP($M$373,$R$247:$W$266,5,FALSE)</f>
        <v>-</v>
      </c>
      <c r="Q377" s="145">
        <f>VLOOKUP($M$373,$R$247:$W$266,6,FALSE)</f>
        <v>0</v>
      </c>
      <c r="S377" s="171" t="s">
        <v>225</v>
      </c>
      <c r="T377" s="172">
        <f>AVERAGE(ID!F14:G14)</f>
        <v>24.7</v>
      </c>
      <c r="U377" s="20">
        <f>T377+S386</f>
        <v>24.544772729772475</v>
      </c>
      <c r="V377" s="172">
        <f>STDEV(ID!F14:G14)</f>
        <v>0</v>
      </c>
      <c r="W377" s="173">
        <f>VLOOKUP(S373,Y225:Z244,2,(FALSE))</f>
        <v>0.3</v>
      </c>
      <c r="Z377" s="149"/>
    </row>
    <row r="378" spans="1:31" x14ac:dyDescent="0.2">
      <c r="A378" s="465">
        <f>VLOOKUP($A$373,$B$268:$G$287,2,FALSE)</f>
        <v>25</v>
      </c>
      <c r="B378" s="466">
        <f>VLOOKUP($A$373,$B$268:$G$287,3,FALSE)</f>
        <v>-0.2</v>
      </c>
      <c r="C378" s="466" t="str">
        <f>VLOOKUP($A$373,$B$268:$G$287,4,FALSE)</f>
        <v>-</v>
      </c>
      <c r="D378" s="466" t="str">
        <f>VLOOKUP($A$373,$B$268:$G$287,5,FALSE)</f>
        <v>-</v>
      </c>
      <c r="E378" s="466">
        <f>VLOOKUP($A$373,$B$268:$G$287,6,FALSE)</f>
        <v>0</v>
      </c>
      <c r="G378" s="465">
        <f>VLOOKUP($G$373,$J$268:$O$287,2,FALSE)</f>
        <v>50</v>
      </c>
      <c r="H378" s="466">
        <f>VLOOKUP($G$373,$J$268:$O$287,3,FALSE)</f>
        <v>-0.2</v>
      </c>
      <c r="I378" s="466" t="str">
        <f>VLOOKUP($G$373,$J$268:$O$287,4,FALSE)</f>
        <v>-</v>
      </c>
      <c r="J378" s="466" t="str">
        <f>VLOOKUP($G$373,$J$268:$O$287,5,FALSE)</f>
        <v>-</v>
      </c>
      <c r="K378" s="466">
        <f>VLOOKUP($G$373,$J$268:$O$287,6,FALSE)</f>
        <v>0</v>
      </c>
      <c r="M378" s="145">
        <f>VLOOKUP($M$373,$R$268:$W$287,2,FALSE)</f>
        <v>900</v>
      </c>
      <c r="N378" s="145">
        <f>VLOOKUP($M$373,$R$268:$W$287,3,FALSE)</f>
        <v>-1.1000000000000001</v>
      </c>
      <c r="O378" s="145" t="str">
        <f>VLOOKUP($M$373,$R$268:$W$287,4,FALSE)</f>
        <v>-</v>
      </c>
      <c r="P378" s="145" t="str">
        <f>VLOOKUP($M$373,$R$268:$W$287,5,FALSE)</f>
        <v>-</v>
      </c>
      <c r="Q378" s="145">
        <f>VLOOKUP($M$373,$R$268:$W$287,6,FALSE)</f>
        <v>0</v>
      </c>
      <c r="S378" s="171" t="s">
        <v>16</v>
      </c>
      <c r="T378" s="172">
        <f>AVERAGE(ID!F15:G15)</f>
        <v>72.400000000000006</v>
      </c>
      <c r="U378" s="20">
        <f>T378+T386</f>
        <v>71.944428571428574</v>
      </c>
      <c r="V378" s="172">
        <f>STDEV(ID!F15:G15)</f>
        <v>0</v>
      </c>
      <c r="W378" s="173">
        <f>VLOOKUP(S373,Y249:Z268,2,(FALSE))</f>
        <v>1.6</v>
      </c>
      <c r="Z378" s="149"/>
    </row>
    <row r="379" spans="1:31" ht="13.5" thickBot="1" x14ac:dyDescent="0.25">
      <c r="A379" s="465">
        <f>VLOOKUP($A$373,$B$289:$G$308,2,FALSE)</f>
        <v>30</v>
      </c>
      <c r="B379" s="466">
        <f>VLOOKUP($A$373,$B$289:$G$308,3,FALSE)</f>
        <v>-0.2</v>
      </c>
      <c r="C379" s="466" t="str">
        <f>VLOOKUP($A$373,$B$289:$G$308,4,FALSE)</f>
        <v>-</v>
      </c>
      <c r="D379" s="466" t="str">
        <f>VLOOKUP($A$373,$B$289:$G$308,5,FALSE)</f>
        <v>-</v>
      </c>
      <c r="E379" s="466">
        <f>VLOOKUP($A$373,$B$289:$G$308,6,FALSE)</f>
        <v>0</v>
      </c>
      <c r="G379" s="465">
        <f>VLOOKUP($G$373,$J$289:$O$308,2,FALSE)</f>
        <v>60</v>
      </c>
      <c r="H379" s="466">
        <f>VLOOKUP($G$373,$J$289:$O$308,3,FALSE)</f>
        <v>-0.2</v>
      </c>
      <c r="I379" s="466" t="str">
        <f>VLOOKUP($G$373,$J$289:$O$308,4,FALSE)</f>
        <v>-</v>
      </c>
      <c r="J379" s="466" t="str">
        <f>VLOOKUP($G$373,$J$289:$O$308,5,FALSE)</f>
        <v>-</v>
      </c>
      <c r="K379" s="466">
        <f>VLOOKUP($G$373,$J$289:$O$308,6,FALSE)</f>
        <v>0</v>
      </c>
      <c r="M379" s="145">
        <f>VLOOKUP($M$373,$R$289:$W$308,2,FALSE)</f>
        <v>950</v>
      </c>
      <c r="N379" s="145">
        <f>VLOOKUP($M$373,$R$289:$W$308,3,FALSE)</f>
        <v>-0.9</v>
      </c>
      <c r="O379" s="145" t="str">
        <f>VLOOKUP($M$373,$R$289:$W$308,4,FALSE)</f>
        <v>-</v>
      </c>
      <c r="P379" s="145" t="str">
        <f>VLOOKUP($M$373,$R$289:$W$308,5,FALSE)</f>
        <v>-</v>
      </c>
      <c r="Q379" s="145">
        <f>VLOOKUP($M$373,$R$289:$W$308,6,FALSE)</f>
        <v>0</v>
      </c>
      <c r="S379" s="174" t="s">
        <v>231</v>
      </c>
      <c r="T379" s="175" t="s">
        <v>103</v>
      </c>
      <c r="U379" s="176" t="str">
        <f>IFERROR(T379+U386,"-")</f>
        <v>-</v>
      </c>
      <c r="V379" s="175" t="s">
        <v>103</v>
      </c>
      <c r="W379" s="177">
        <f>VLOOKUP(S373,Y273:Z292,2,(FALSE))</f>
        <v>2.4</v>
      </c>
      <c r="Z379" s="149"/>
      <c r="AE379" s="178"/>
    </row>
    <row r="380" spans="1:31" ht="13.5" thickBot="1" x14ac:dyDescent="0.25">
      <c r="A380" s="465">
        <f>VLOOKUP($A$373,$B$310:$G$329,2,FALSE)</f>
        <v>35</v>
      </c>
      <c r="B380" s="466">
        <f>VLOOKUP($A$373,$B$310:$G$329,3,FALSE)</f>
        <v>-0.3</v>
      </c>
      <c r="C380" s="466" t="str">
        <f>VLOOKUP($A$373,$B$310:$G$329,4,FALSE)</f>
        <v>-</v>
      </c>
      <c r="D380" s="466" t="str">
        <f>VLOOKUP($A$373,$B$310:$G$329,5,FALSE)</f>
        <v>-</v>
      </c>
      <c r="E380" s="466">
        <f>VLOOKUP($A$373,$B$310:$G$329,6,FALSE)</f>
        <v>0</v>
      </c>
      <c r="G380" s="465">
        <f>VLOOKUP($G$373,$J$310:$O$329,2,FALSE)</f>
        <v>70</v>
      </c>
      <c r="H380" s="466">
        <f>VLOOKUP($G$373,$J$310:$O$329,3,FALSE)</f>
        <v>-0.3</v>
      </c>
      <c r="I380" s="466" t="str">
        <f>VLOOKUP($G$373,$J$310:$O$329,4,FALSE)</f>
        <v>-</v>
      </c>
      <c r="J380" s="466" t="str">
        <f>VLOOKUP($G$373,$J$310:$O$329,5,FALSE)</f>
        <v>-</v>
      </c>
      <c r="K380" s="466">
        <f>VLOOKUP($G$373,$J$310:$O$329,6,FALSE)</f>
        <v>0</v>
      </c>
      <c r="M380" s="145">
        <f>VLOOKUP($M$373,$R$310:$W$329,2,FALSE)</f>
        <v>1000</v>
      </c>
      <c r="N380" s="145">
        <f>VLOOKUP($M$373,$R$310:$W$329,3,FALSE)</f>
        <v>-0.8</v>
      </c>
      <c r="O380" s="145" t="str">
        <f>VLOOKUP($M$373,$R$310:$W$329,4,FALSE)</f>
        <v>-</v>
      </c>
      <c r="P380" s="145" t="str">
        <f>VLOOKUP($M$373,$R$310:$W$329,5,FALSE)</f>
        <v>-</v>
      </c>
      <c r="Q380" s="145">
        <f>VLOOKUP($M$373,$R$310:$W$329,6,FALSE)</f>
        <v>0</v>
      </c>
      <c r="S380" s="119"/>
      <c r="W380" s="179"/>
      <c r="Z380" s="149"/>
      <c r="AE380" s="25"/>
    </row>
    <row r="381" spans="1:31" ht="14.25" x14ac:dyDescent="0.2">
      <c r="A381" s="465">
        <f>VLOOKUP($A$373,$B$331:$G$350,2,FALSE)</f>
        <v>37</v>
      </c>
      <c r="B381" s="466">
        <f>VLOOKUP($A$373,$B$331:$G$350,3,FALSE)</f>
        <v>-0.3</v>
      </c>
      <c r="C381" s="466" t="str">
        <f>VLOOKUP($A$373,$B$331:$G$350,4,FALSE)</f>
        <v>-</v>
      </c>
      <c r="D381" s="466" t="str">
        <f>VLOOKUP($A$373,$B$331:$G$350,5,FALSE)</f>
        <v>-</v>
      </c>
      <c r="E381" s="466">
        <f>VLOOKUP($A$373,$B$331:$G$350,6,FALSE)</f>
        <v>0</v>
      </c>
      <c r="G381" s="465">
        <f>VLOOKUP($G$373,$J$331:$O$350,2,FALSE)</f>
        <v>80</v>
      </c>
      <c r="H381" s="466">
        <f>VLOOKUP($G$373,$J$331:$O$350,3,FALSE)</f>
        <v>-0.5</v>
      </c>
      <c r="I381" s="466" t="str">
        <f>VLOOKUP($G$373,$J$331:$O$350,4,FALSE)</f>
        <v>-</v>
      </c>
      <c r="J381" s="466" t="str">
        <f>VLOOKUP($G$373,$J$331:$O$350,5,FALSE)</f>
        <v>-</v>
      </c>
      <c r="K381" s="466">
        <f>VLOOKUP($G$373,$J$331:$O$350,6,FALSE)</f>
        <v>0</v>
      </c>
      <c r="M381" s="145">
        <f>VLOOKUP($M$373,$R$331:$W$350,2,FALSE)</f>
        <v>1005</v>
      </c>
      <c r="N381" s="145">
        <f>VLOOKUP($M$373,$R$331:$W$350,3,FALSE)</f>
        <v>-0.7</v>
      </c>
      <c r="O381" s="145" t="str">
        <f>VLOOKUP($M$373,$R$331:$W$350,4,FALSE)</f>
        <v>-</v>
      </c>
      <c r="P381" s="145" t="str">
        <f>VLOOKUP($M$373,$R$331:$W$350,5,FALSE)</f>
        <v>-</v>
      </c>
      <c r="Q381" s="145">
        <f>VLOOKUP($M$373,$R$331:$W$350,6,FALSE)</f>
        <v>0</v>
      </c>
      <c r="S381" s="1204" t="s">
        <v>256</v>
      </c>
      <c r="T381" s="180" t="str">
        <f>N393&amp;N390&amp;O393&amp;O390&amp;P393&amp;P390</f>
        <v>( 24.5 ± 0.3 ) °C</v>
      </c>
      <c r="U381" s="181"/>
      <c r="W381" s="179"/>
      <c r="Z381" s="149"/>
      <c r="AE381" s="182"/>
    </row>
    <row r="382" spans="1:31" ht="14.25" x14ac:dyDescent="0.2">
      <c r="A382" s="465">
        <f>VLOOKUP($A$373,$B$352:$G$371,2,FALSE)</f>
        <v>40</v>
      </c>
      <c r="B382" s="466">
        <f>VLOOKUP($A$373,$B$352:$G$371,3,FALSE)</f>
        <v>-0.4</v>
      </c>
      <c r="C382" s="466" t="str">
        <f>VLOOKUP($A$373,$B$352:$G$371,4,FALSE)</f>
        <v>-</v>
      </c>
      <c r="D382" s="466" t="str">
        <f>VLOOKUP($A$373,$B$352:$G$371,5,FALSE)</f>
        <v>-</v>
      </c>
      <c r="E382" s="466">
        <f>VLOOKUP($A$373,$B$352:$G$371,6,FALSE)</f>
        <v>0</v>
      </c>
      <c r="G382" s="465">
        <f>VLOOKUP($G$373,$J$352:$O$371,2,FALSE)</f>
        <v>90</v>
      </c>
      <c r="H382" s="466">
        <f>VLOOKUP($G$373,$J$352:$O$371,3,FALSE)</f>
        <v>-0.8</v>
      </c>
      <c r="I382" s="466" t="str">
        <f>VLOOKUP($G$373,$J$352:$O$371,4,FALSE)</f>
        <v>-</v>
      </c>
      <c r="J382" s="466" t="str">
        <f>VLOOKUP($G$373,$J$352:$O$371,5,FALSE)</f>
        <v>-</v>
      </c>
      <c r="K382" s="466">
        <f>VLOOKUP($G$373,$J$352:$O$371,6,FALSE)</f>
        <v>0</v>
      </c>
      <c r="M382" s="145">
        <f>VLOOKUP($M$373,$R$352:$W$371,2,FALSE)</f>
        <v>1020</v>
      </c>
      <c r="N382" s="145">
        <f>VLOOKUP($M$373,$R$352:$W$371,3,FALSE)</f>
        <v>9.9999999999999995E-7</v>
      </c>
      <c r="O382" s="145" t="str">
        <f>VLOOKUP($M$373,$R$352:$W$371,4,FALSE)</f>
        <v>-</v>
      </c>
      <c r="P382" s="145" t="str">
        <f>VLOOKUP($M$373,$R$352:$W$371,5,FALSE)</f>
        <v>-</v>
      </c>
      <c r="Q382" s="145">
        <f>VLOOKUP($M$373,$R$352:$W$371,6,FALSE)</f>
        <v>0</v>
      </c>
      <c r="S382" s="1205"/>
      <c r="T382" s="111" t="str">
        <f>N393&amp;N391&amp;O393&amp;O391&amp;P393&amp;P391</f>
        <v>( 71.9 ± 1.6 ) %RH</v>
      </c>
      <c r="U382" s="183"/>
      <c r="W382" s="179"/>
      <c r="Z382" s="149"/>
      <c r="AE382" s="182"/>
    </row>
    <row r="383" spans="1:31" ht="15" thickBot="1" x14ac:dyDescent="0.25">
      <c r="A383" s="184"/>
      <c r="B383" s="149"/>
      <c r="C383" s="149"/>
      <c r="D383" s="149"/>
      <c r="E383" s="149"/>
      <c r="G383" s="149"/>
      <c r="H383" s="149"/>
      <c r="I383" s="149"/>
      <c r="J383" s="149"/>
      <c r="M383" s="149"/>
      <c r="N383" s="149"/>
      <c r="O383" s="149"/>
      <c r="P383" s="149"/>
      <c r="S383" s="1206"/>
      <c r="T383" s="185" t="str">
        <f>N393&amp;N392&amp;O393&amp;O392&amp;P393&amp;P392</f>
        <v>( - ± 2.4 ) hPa</v>
      </c>
      <c r="U383" s="186"/>
      <c r="W383" s="179"/>
      <c r="Z383" s="149"/>
      <c r="AE383" s="182"/>
    </row>
    <row r="385" spans="1:21" ht="38.25" x14ac:dyDescent="0.2">
      <c r="S385" s="187" t="s">
        <v>257</v>
      </c>
      <c r="T385" s="187" t="s">
        <v>258</v>
      </c>
      <c r="U385" s="187" t="s">
        <v>259</v>
      </c>
    </row>
    <row r="386" spans="1:21" x14ac:dyDescent="0.2">
      <c r="S386" s="187">
        <f>FORECAST(T377,B376:B382,A376:A382)</f>
        <v>-0.15522727022752492</v>
      </c>
      <c r="T386" s="187">
        <f>FORECAST(T378,H376:H382,G376:G382)</f>
        <v>-0.45557142857142863</v>
      </c>
      <c r="U386" s="187" t="str">
        <f>IFERROR(FORECAST(T379,N376:N382,M376:M382),"-")</f>
        <v>-</v>
      </c>
    </row>
    <row r="388" spans="1:21" ht="13.5" thickBot="1" x14ac:dyDescent="0.25"/>
    <row r="389" spans="1:21" x14ac:dyDescent="0.2">
      <c r="A389" s="1198" t="str">
        <f>ID!B44</f>
        <v>Thermohygrolight, Merek : EXTECH, Model : SD700, SN : A.100618</v>
      </c>
      <c r="B389" s="1198"/>
      <c r="C389" s="1198"/>
      <c r="D389" s="1198"/>
      <c r="E389" s="1198"/>
      <c r="F389" s="1198"/>
      <c r="G389" s="1199"/>
      <c r="H389" s="1198"/>
      <c r="I389" s="1198"/>
      <c r="J389" s="1198"/>
      <c r="K389" s="1198"/>
      <c r="L389" s="1198"/>
      <c r="N389" s="1059" t="s">
        <v>260</v>
      </c>
      <c r="O389" s="1060"/>
      <c r="P389" s="1061"/>
    </row>
    <row r="390" spans="1:21" ht="15.75" x14ac:dyDescent="0.2">
      <c r="A390" s="188" t="s">
        <v>110</v>
      </c>
      <c r="B390" s="131"/>
      <c r="C390" s="131"/>
      <c r="D390" s="188"/>
      <c r="E390" s="188"/>
      <c r="F390" s="458"/>
      <c r="G390" s="460"/>
      <c r="H390" s="198"/>
      <c r="I390" s="189">
        <f>D4</f>
        <v>2020</v>
      </c>
      <c r="J390" s="189">
        <f>E4</f>
        <v>2017</v>
      </c>
      <c r="K390" s="189" t="str">
        <f>F4</f>
        <v>-</v>
      </c>
      <c r="L390" s="189">
        <v>1</v>
      </c>
      <c r="N390" s="190" t="str">
        <f>TEXT(U377,"0.0")</f>
        <v>24.5</v>
      </c>
      <c r="O390" s="191" t="str">
        <f>TEXT(W377,"0.0")</f>
        <v>0.3</v>
      </c>
      <c r="P390" s="192" t="s">
        <v>261</v>
      </c>
    </row>
    <row r="391" spans="1:21" ht="15.75" x14ac:dyDescent="0.2">
      <c r="A391" s="188" t="s">
        <v>262</v>
      </c>
      <c r="B391" s="131"/>
      <c r="C391" s="131"/>
      <c r="D391" s="188"/>
      <c r="E391" s="188"/>
      <c r="F391" s="458"/>
      <c r="G391" s="460"/>
      <c r="H391" s="198"/>
      <c r="I391" s="189">
        <f>D15</f>
        <v>2021</v>
      </c>
      <c r="J391" s="189">
        <f>E15</f>
        <v>2018</v>
      </c>
      <c r="K391" s="189" t="str">
        <f>F15</f>
        <v>-</v>
      </c>
      <c r="L391" s="189">
        <v>2</v>
      </c>
      <c r="N391" s="193" t="str">
        <f>TEXT(U378,"0.0")</f>
        <v>71.9</v>
      </c>
      <c r="O391" s="191" t="str">
        <f>TEXT(W378,"0.0")</f>
        <v>1.6</v>
      </c>
      <c r="P391" s="192" t="s">
        <v>263</v>
      </c>
    </row>
    <row r="392" spans="1:21" ht="15" x14ac:dyDescent="0.2">
      <c r="A392" s="188" t="s">
        <v>264</v>
      </c>
      <c r="B392" s="131"/>
      <c r="C392" s="131"/>
      <c r="D392" s="188"/>
      <c r="E392" s="188"/>
      <c r="F392" s="458"/>
      <c r="G392" s="460"/>
      <c r="H392" s="198"/>
      <c r="I392" s="189">
        <f>D26</f>
        <v>2021</v>
      </c>
      <c r="J392" s="189">
        <f>E26</f>
        <v>2018</v>
      </c>
      <c r="K392" s="189" t="str">
        <f>F26</f>
        <v>-</v>
      </c>
      <c r="L392" s="189">
        <v>3</v>
      </c>
      <c r="N392" s="193" t="str">
        <f>TEXT(U379,"0.0")</f>
        <v>-</v>
      </c>
      <c r="O392" s="191" t="str">
        <f>TEXT(W379,"0.0")</f>
        <v>2.4</v>
      </c>
      <c r="P392" s="194" t="s">
        <v>265</v>
      </c>
    </row>
    <row r="393" spans="1:21" ht="16.5" thickBot="1" x14ac:dyDescent="0.25">
      <c r="A393" s="188" t="s">
        <v>266</v>
      </c>
      <c r="B393" s="131"/>
      <c r="C393" s="131"/>
      <c r="D393" s="188"/>
      <c r="E393" s="188"/>
      <c r="F393" s="458"/>
      <c r="G393" s="460"/>
      <c r="H393" s="198"/>
      <c r="I393" s="189">
        <f>D37</f>
        <v>2019</v>
      </c>
      <c r="J393" s="189">
        <f>E37</f>
        <v>2017</v>
      </c>
      <c r="K393" s="189" t="str">
        <f>F37</f>
        <v>-</v>
      </c>
      <c r="L393" s="189">
        <v>4</v>
      </c>
      <c r="N393" s="195" t="s">
        <v>267</v>
      </c>
      <c r="O393" s="196" t="s">
        <v>268</v>
      </c>
      <c r="P393" s="197" t="s">
        <v>269</v>
      </c>
    </row>
    <row r="394" spans="1:21" x14ac:dyDescent="0.2">
      <c r="A394" s="188" t="s">
        <v>270</v>
      </c>
      <c r="B394" s="131"/>
      <c r="C394" s="131"/>
      <c r="D394" s="188"/>
      <c r="E394" s="188"/>
      <c r="F394" s="458"/>
      <c r="G394" s="460"/>
      <c r="H394" s="198"/>
      <c r="I394" s="189">
        <f>D48</f>
        <v>2020</v>
      </c>
      <c r="J394" s="189">
        <f>E48</f>
        <v>2017</v>
      </c>
      <c r="K394" s="189">
        <f>F48</f>
        <v>2016</v>
      </c>
      <c r="L394" s="189">
        <v>5</v>
      </c>
    </row>
    <row r="395" spans="1:21" x14ac:dyDescent="0.2">
      <c r="A395" s="188" t="s">
        <v>271</v>
      </c>
      <c r="B395" s="131"/>
      <c r="C395" s="131"/>
      <c r="D395" s="188"/>
      <c r="E395" s="188"/>
      <c r="F395" s="458"/>
      <c r="G395" s="460"/>
      <c r="H395" s="198"/>
      <c r="I395" s="189">
        <f>D59</f>
        <v>2019</v>
      </c>
      <c r="J395" s="189">
        <f>E59</f>
        <v>2018</v>
      </c>
      <c r="K395" s="189" t="str">
        <f>F59</f>
        <v>-</v>
      </c>
      <c r="L395" s="189">
        <v>6</v>
      </c>
    </row>
    <row r="396" spans="1:21" x14ac:dyDescent="0.2">
      <c r="A396" s="188" t="s">
        <v>272</v>
      </c>
      <c r="B396" s="131"/>
      <c r="C396" s="131"/>
      <c r="D396" s="188"/>
      <c r="E396" s="188"/>
      <c r="F396" s="458"/>
      <c r="G396" s="460"/>
      <c r="H396" s="198"/>
      <c r="I396" s="189">
        <f>D70</f>
        <v>2021</v>
      </c>
      <c r="J396" s="189">
        <f>E70</f>
        <v>2018</v>
      </c>
      <c r="K396" s="189" t="str">
        <f>F70</f>
        <v>-</v>
      </c>
      <c r="L396" s="189">
        <v>7</v>
      </c>
    </row>
    <row r="397" spans="1:21" x14ac:dyDescent="0.2">
      <c r="A397" s="188" t="s">
        <v>273</v>
      </c>
      <c r="B397" s="131"/>
      <c r="C397" s="131"/>
      <c r="D397" s="188"/>
      <c r="E397" s="188"/>
      <c r="F397" s="458"/>
      <c r="G397" s="460"/>
      <c r="H397" s="198"/>
      <c r="I397" s="189">
        <f>D81</f>
        <v>2021</v>
      </c>
      <c r="J397" s="189">
        <f>E81</f>
        <v>2019</v>
      </c>
      <c r="K397" s="189" t="str">
        <f>F81</f>
        <v>-</v>
      </c>
      <c r="L397" s="189">
        <v>8</v>
      </c>
    </row>
    <row r="398" spans="1:21" x14ac:dyDescent="0.2">
      <c r="A398" s="188" t="s">
        <v>274</v>
      </c>
      <c r="B398" s="131"/>
      <c r="C398" s="131"/>
      <c r="D398" s="188"/>
      <c r="E398" s="188"/>
      <c r="F398" s="458"/>
      <c r="G398" s="460"/>
      <c r="H398" s="198"/>
      <c r="I398" s="189">
        <f>D92</f>
        <v>2019</v>
      </c>
      <c r="J398" s="189" t="str">
        <f>E92</f>
        <v>-</v>
      </c>
      <c r="K398" s="189" t="str">
        <f>F92</f>
        <v>-</v>
      </c>
      <c r="L398" s="189">
        <v>9</v>
      </c>
    </row>
    <row r="399" spans="1:21" x14ac:dyDescent="0.2">
      <c r="A399" s="188" t="s">
        <v>275</v>
      </c>
      <c r="B399" s="131"/>
      <c r="C399" s="131"/>
      <c r="D399" s="188"/>
      <c r="E399" s="188"/>
      <c r="F399" s="458"/>
      <c r="G399" s="460"/>
      <c r="H399" s="198"/>
      <c r="I399" s="189">
        <f>D103</f>
        <v>2019</v>
      </c>
      <c r="J399" s="189">
        <f>E103</f>
        <v>2016</v>
      </c>
      <c r="K399" s="189" t="str">
        <f>F103</f>
        <v>-</v>
      </c>
      <c r="L399" s="189">
        <v>10</v>
      </c>
    </row>
    <row r="400" spans="1:21" x14ac:dyDescent="0.2">
      <c r="A400" s="188" t="s">
        <v>276</v>
      </c>
      <c r="B400" s="131"/>
      <c r="C400" s="131"/>
      <c r="D400" s="188"/>
      <c r="E400" s="188"/>
      <c r="F400" s="458"/>
      <c r="G400" s="460"/>
      <c r="H400" s="198"/>
      <c r="I400" s="189">
        <f>D114</f>
        <v>2020</v>
      </c>
      <c r="J400" s="189">
        <f>E114</f>
        <v>2016</v>
      </c>
      <c r="K400" s="189" t="str">
        <f>F114</f>
        <v>-</v>
      </c>
      <c r="L400" s="189">
        <v>11</v>
      </c>
    </row>
    <row r="401" spans="1:12" x14ac:dyDescent="0.2">
      <c r="A401" s="188" t="s">
        <v>277</v>
      </c>
      <c r="B401" s="131"/>
      <c r="C401" s="131"/>
      <c r="D401" s="188"/>
      <c r="E401" s="188"/>
      <c r="F401" s="458"/>
      <c r="G401" s="460"/>
      <c r="H401" s="198"/>
      <c r="I401" s="189">
        <f>D125</f>
        <v>2020</v>
      </c>
      <c r="J401" s="189" t="str">
        <f>E125</f>
        <v>-</v>
      </c>
      <c r="K401" s="189" t="str">
        <f>F125</f>
        <v>-</v>
      </c>
      <c r="L401" s="189">
        <v>12</v>
      </c>
    </row>
    <row r="402" spans="1:12" x14ac:dyDescent="0.2">
      <c r="A402" s="188" t="s">
        <v>278</v>
      </c>
      <c r="B402" s="131"/>
      <c r="C402" s="131"/>
      <c r="D402" s="188"/>
      <c r="E402" s="188"/>
      <c r="F402" s="458"/>
      <c r="G402" s="460"/>
      <c r="H402" s="198"/>
      <c r="I402" s="189">
        <f>D136</f>
        <v>2022</v>
      </c>
      <c r="J402" s="189">
        <f>E136</f>
        <v>2020</v>
      </c>
      <c r="K402" s="189" t="str">
        <f>F136</f>
        <v>-</v>
      </c>
      <c r="L402" s="189">
        <v>13</v>
      </c>
    </row>
    <row r="403" spans="1:12" x14ac:dyDescent="0.2">
      <c r="A403" s="188" t="s">
        <v>279</v>
      </c>
      <c r="B403" s="131"/>
      <c r="C403" s="131"/>
      <c r="D403" s="188"/>
      <c r="E403" s="188"/>
      <c r="F403" s="458"/>
      <c r="G403" s="460"/>
      <c r="H403" s="198"/>
      <c r="I403" s="189">
        <f>D147</f>
        <v>2022</v>
      </c>
      <c r="J403" s="189">
        <f>E147</f>
        <v>2020</v>
      </c>
      <c r="K403" s="189" t="str">
        <f>F147</f>
        <v>-</v>
      </c>
      <c r="L403" s="189">
        <v>14</v>
      </c>
    </row>
    <row r="404" spans="1:12" x14ac:dyDescent="0.2">
      <c r="A404" s="188" t="s">
        <v>280</v>
      </c>
      <c r="B404" s="131"/>
      <c r="C404" s="131"/>
      <c r="D404" s="188"/>
      <c r="E404" s="188"/>
      <c r="F404" s="458"/>
      <c r="G404" s="460"/>
      <c r="H404" s="198"/>
      <c r="I404" s="189">
        <f>D158</f>
        <v>2022</v>
      </c>
      <c r="J404" s="189">
        <f>E158</f>
        <v>2020</v>
      </c>
      <c r="K404" s="189" t="str">
        <f>F158</f>
        <v>-</v>
      </c>
      <c r="L404" s="189">
        <v>15</v>
      </c>
    </row>
    <row r="405" spans="1:12" x14ac:dyDescent="0.2">
      <c r="A405" s="188" t="s">
        <v>281</v>
      </c>
      <c r="B405" s="131"/>
      <c r="C405" s="131"/>
      <c r="D405" s="188"/>
      <c r="E405" s="188"/>
      <c r="F405" s="458"/>
      <c r="G405" s="460"/>
      <c r="H405" s="198"/>
      <c r="I405" s="189">
        <f>D169</f>
        <v>2020</v>
      </c>
      <c r="J405" s="189" t="str">
        <f>E169</f>
        <v>-</v>
      </c>
      <c r="K405" s="189" t="str">
        <f>F169</f>
        <v>-</v>
      </c>
      <c r="L405" s="189">
        <v>16</v>
      </c>
    </row>
    <row r="406" spans="1:12" x14ac:dyDescent="0.2">
      <c r="A406" s="188" t="s">
        <v>282</v>
      </c>
      <c r="B406" s="131"/>
      <c r="C406" s="131"/>
      <c r="D406" s="188"/>
      <c r="E406" s="188"/>
      <c r="F406" s="458"/>
      <c r="G406" s="460"/>
      <c r="H406" s="198"/>
      <c r="I406" s="189">
        <f>D180</f>
        <v>2020</v>
      </c>
      <c r="J406" s="189" t="str">
        <f>E180</f>
        <v>-</v>
      </c>
      <c r="K406" s="189" t="str">
        <f>F180</f>
        <v>-</v>
      </c>
      <c r="L406" s="189">
        <v>17</v>
      </c>
    </row>
    <row r="407" spans="1:12" x14ac:dyDescent="0.2">
      <c r="A407" s="188" t="s">
        <v>283</v>
      </c>
      <c r="B407" s="131"/>
      <c r="C407" s="131"/>
      <c r="D407" s="188"/>
      <c r="E407" s="188"/>
      <c r="F407" s="458"/>
      <c r="G407" s="460"/>
      <c r="H407" s="198"/>
      <c r="I407" s="189">
        <f>D191</f>
        <v>2020</v>
      </c>
      <c r="J407" s="189" t="str">
        <f>E191</f>
        <v>-</v>
      </c>
      <c r="K407" s="189" t="str">
        <f>F191</f>
        <v>-</v>
      </c>
      <c r="L407" s="189">
        <v>18</v>
      </c>
    </row>
    <row r="408" spans="1:12" x14ac:dyDescent="0.2">
      <c r="A408" s="199" t="s">
        <v>284</v>
      </c>
      <c r="B408" s="200"/>
      <c r="C408" s="200"/>
      <c r="D408" s="199"/>
      <c r="E408" s="199"/>
      <c r="F408" s="459"/>
      <c r="G408" s="460"/>
      <c r="H408" s="198"/>
      <c r="I408" s="189">
        <v>2021</v>
      </c>
      <c r="J408" s="189" t="str">
        <f>E202</f>
        <v>-</v>
      </c>
      <c r="K408" s="189" t="str">
        <f>F202</f>
        <v>-</v>
      </c>
      <c r="L408" s="189">
        <v>19</v>
      </c>
    </row>
    <row r="409" spans="1:12" x14ac:dyDescent="0.2">
      <c r="A409" s="461">
        <v>20</v>
      </c>
      <c r="B409" s="462"/>
      <c r="C409" s="462"/>
      <c r="D409" s="460"/>
      <c r="E409" s="460"/>
      <c r="F409" s="460"/>
      <c r="G409" s="460"/>
      <c r="H409" s="463"/>
      <c r="I409" s="464">
        <f>D213</f>
        <v>2017</v>
      </c>
      <c r="J409" s="464" t="str">
        <f>E213</f>
        <v>-</v>
      </c>
      <c r="K409" s="464" t="str">
        <f>F213</f>
        <v>-</v>
      </c>
      <c r="L409" s="464">
        <v>20</v>
      </c>
    </row>
    <row r="410" spans="1:12" x14ac:dyDescent="0.2">
      <c r="A410" s="1200">
        <f>VLOOKUP(A389,A390:L409,12,(FALSE))</f>
        <v>18</v>
      </c>
      <c r="B410" s="1200"/>
      <c r="C410" s="1200"/>
      <c r="D410" s="1200"/>
      <c r="E410" s="1200"/>
      <c r="F410" s="1200"/>
      <c r="G410" s="1200"/>
      <c r="H410" s="1200"/>
      <c r="I410" s="1200"/>
      <c r="J410" s="1200"/>
      <c r="K410" s="1200"/>
      <c r="L410" s="1200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paperSize="9" scale="2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R163"/>
  <sheetViews>
    <sheetView showGridLines="0" view="pageBreakPreview" topLeftCell="A5" zoomScaleNormal="100" zoomScaleSheetLayoutView="100" workbookViewId="0">
      <selection activeCell="H16" sqref="H16"/>
    </sheetView>
  </sheetViews>
  <sheetFormatPr defaultColWidth="9.140625" defaultRowHeight="12.75" x14ac:dyDescent="0.2"/>
  <cols>
    <col min="1" max="1" width="4.140625" style="51" customWidth="1"/>
    <col min="2" max="2" width="3.85546875" style="51" customWidth="1"/>
    <col min="3" max="3" width="9.5703125" style="51" customWidth="1"/>
    <col min="4" max="4" width="15.42578125" style="51" customWidth="1"/>
    <col min="5" max="5" width="1.85546875" style="99" customWidth="1"/>
    <col min="6" max="6" width="11.85546875" style="51" customWidth="1"/>
    <col min="7" max="10" width="10.5703125" style="51" customWidth="1"/>
    <col min="11" max="11" width="9.28515625" style="51" customWidth="1"/>
    <col min="12" max="12" width="8.7109375" style="51" customWidth="1"/>
    <col min="13" max="13" width="5.7109375" style="51" customWidth="1"/>
    <col min="14" max="16384" width="9.140625" style="51"/>
  </cols>
  <sheetData>
    <row r="1" spans="1:18" ht="18.600000000000001" customHeight="1" x14ac:dyDescent="0.25">
      <c r="A1" s="923" t="s">
        <v>416</v>
      </c>
      <c r="B1" s="923"/>
      <c r="C1" s="923"/>
      <c r="D1" s="923"/>
      <c r="E1" s="923"/>
      <c r="F1" s="923"/>
      <c r="G1" s="923"/>
      <c r="H1" s="923"/>
      <c r="I1" s="923"/>
      <c r="J1" s="923"/>
      <c r="K1" s="923"/>
      <c r="L1" s="923"/>
      <c r="M1" s="923"/>
      <c r="N1" s="773"/>
      <c r="O1" s="774"/>
      <c r="P1" s="774"/>
      <c r="Q1" s="774"/>
      <c r="R1" s="774"/>
    </row>
    <row r="2" spans="1:18" ht="14.1" customHeight="1" x14ac:dyDescent="0.25">
      <c r="A2" s="924" t="s">
        <v>417</v>
      </c>
      <c r="B2" s="924"/>
      <c r="C2" s="924"/>
      <c r="D2" s="924"/>
      <c r="E2" s="924"/>
      <c r="F2" s="924"/>
      <c r="G2" s="924"/>
      <c r="H2" s="924"/>
      <c r="I2" s="924"/>
      <c r="J2" s="924"/>
      <c r="K2" s="924"/>
      <c r="L2" s="924"/>
      <c r="M2" s="924"/>
      <c r="N2" s="775"/>
      <c r="O2" s="776"/>
      <c r="P2" s="776"/>
      <c r="Q2" s="776"/>
      <c r="R2" s="776"/>
    </row>
    <row r="3" spans="1:18" ht="14.1" customHeight="1" x14ac:dyDescent="0.2">
      <c r="N3" s="777"/>
      <c r="O3" s="778"/>
    </row>
    <row r="4" spans="1:18" ht="14.1" customHeight="1" x14ac:dyDescent="0.2">
      <c r="A4" s="922" t="s">
        <v>0</v>
      </c>
      <c r="B4" s="922"/>
      <c r="C4" s="780"/>
      <c r="D4" s="780"/>
      <c r="E4" s="667" t="s">
        <v>1</v>
      </c>
      <c r="F4" s="781"/>
      <c r="G4" s="782"/>
      <c r="H4" s="782"/>
      <c r="I4" s="782"/>
      <c r="J4" s="782"/>
      <c r="K4" s="782"/>
      <c r="L4" s="780"/>
      <c r="M4" s="780"/>
      <c r="N4" s="783"/>
      <c r="O4" s="778"/>
      <c r="P4" s="780"/>
      <c r="Q4" s="780"/>
      <c r="R4" s="780"/>
    </row>
    <row r="5" spans="1:18" ht="14.1" customHeight="1" x14ac:dyDescent="0.2">
      <c r="A5" s="780" t="s">
        <v>2</v>
      </c>
      <c r="B5" s="780"/>
      <c r="C5" s="780"/>
      <c r="D5" s="780"/>
      <c r="E5" s="667" t="s">
        <v>1</v>
      </c>
      <c r="F5" s="784"/>
      <c r="G5" s="785"/>
      <c r="H5" s="785"/>
      <c r="I5" s="785"/>
      <c r="J5" s="785"/>
      <c r="K5" s="785"/>
      <c r="L5" s="780"/>
      <c r="M5" s="780"/>
      <c r="N5" s="783"/>
      <c r="O5" s="778"/>
      <c r="P5" s="780"/>
      <c r="Q5" s="780"/>
      <c r="R5" s="780"/>
    </row>
    <row r="6" spans="1:18" ht="14.1" customHeight="1" x14ac:dyDescent="0.2">
      <c r="A6" s="922" t="s">
        <v>3</v>
      </c>
      <c r="B6" s="922"/>
      <c r="C6" s="780"/>
      <c r="D6" s="780"/>
      <c r="E6" s="667" t="s">
        <v>1</v>
      </c>
      <c r="F6" s="784"/>
      <c r="G6" s="785"/>
      <c r="H6" s="785"/>
      <c r="I6" s="785"/>
      <c r="J6" s="785"/>
      <c r="K6" s="785"/>
      <c r="L6" s="780"/>
      <c r="M6" s="780"/>
      <c r="N6" s="783"/>
      <c r="O6" s="778"/>
      <c r="P6" s="780"/>
      <c r="Q6" s="780"/>
      <c r="R6" s="780"/>
    </row>
    <row r="7" spans="1:18" ht="14.1" customHeight="1" x14ac:dyDescent="0.2">
      <c r="A7" s="779" t="s">
        <v>4</v>
      </c>
      <c r="B7" s="779"/>
      <c r="C7" s="780"/>
      <c r="D7" s="780"/>
      <c r="E7" s="667" t="s">
        <v>5</v>
      </c>
      <c r="F7" s="784"/>
      <c r="G7" s="785"/>
      <c r="H7" s="785"/>
      <c r="I7" s="785"/>
      <c r="J7" s="785"/>
      <c r="K7" s="785"/>
      <c r="L7" s="780"/>
      <c r="M7" s="780"/>
      <c r="N7" s="783"/>
      <c r="O7" s="778"/>
      <c r="P7" s="780"/>
      <c r="Q7" s="780"/>
      <c r="R7" s="780"/>
    </row>
    <row r="8" spans="1:18" ht="14.1" customHeight="1" x14ac:dyDescent="0.2">
      <c r="A8" s="779" t="s">
        <v>6</v>
      </c>
      <c r="B8" s="779"/>
      <c r="C8" s="779"/>
      <c r="D8" s="779"/>
      <c r="E8" s="667" t="s">
        <v>1</v>
      </c>
      <c r="F8" s="784"/>
      <c r="G8" s="785"/>
      <c r="H8" s="785"/>
      <c r="I8" s="785"/>
      <c r="J8" s="785"/>
      <c r="K8" s="785"/>
      <c r="L8" s="780"/>
      <c r="M8" s="780"/>
      <c r="N8" s="783"/>
      <c r="O8" s="778"/>
      <c r="P8" s="780"/>
      <c r="Q8" s="780"/>
      <c r="R8" s="780"/>
    </row>
    <row r="9" spans="1:18" ht="14.1" customHeight="1" x14ac:dyDescent="0.2">
      <c r="A9" s="779" t="s">
        <v>7</v>
      </c>
      <c r="B9" s="779"/>
      <c r="C9" s="779"/>
      <c r="D9" s="779"/>
      <c r="E9" s="667" t="s">
        <v>1</v>
      </c>
      <c r="F9" s="784"/>
      <c r="G9" s="785"/>
      <c r="H9" s="785"/>
      <c r="I9" s="785"/>
      <c r="J9" s="785"/>
      <c r="K9" s="785"/>
      <c r="L9" s="780"/>
      <c r="M9" s="780"/>
      <c r="N9" s="783"/>
      <c r="O9" s="778"/>
      <c r="P9" s="780"/>
      <c r="Q9" s="780"/>
      <c r="R9" s="780"/>
    </row>
    <row r="10" spans="1:18" ht="14.1" customHeight="1" x14ac:dyDescent="0.2">
      <c r="A10" s="780" t="s">
        <v>8</v>
      </c>
      <c r="B10" s="780"/>
      <c r="C10" s="780"/>
      <c r="D10" s="780"/>
      <c r="E10" s="667" t="s">
        <v>1</v>
      </c>
      <c r="F10" s="784"/>
      <c r="G10" s="785"/>
      <c r="H10" s="785"/>
      <c r="I10" s="785"/>
      <c r="J10" s="785"/>
      <c r="K10" s="785"/>
      <c r="L10" s="780"/>
      <c r="M10" s="780"/>
      <c r="N10" s="783"/>
      <c r="O10" s="780"/>
      <c r="P10" s="780"/>
      <c r="Q10" s="780"/>
      <c r="R10" s="780"/>
    </row>
    <row r="11" spans="1:18" ht="14.1" customHeight="1" x14ac:dyDescent="0.2">
      <c r="B11" s="780"/>
      <c r="C11" s="780"/>
      <c r="D11" s="780"/>
      <c r="E11" s="667"/>
      <c r="F11" s="780"/>
      <c r="G11" s="780"/>
      <c r="H11" s="780"/>
      <c r="I11" s="780"/>
      <c r="J11" s="780"/>
      <c r="K11" s="780"/>
      <c r="L11" s="780"/>
      <c r="M11" s="780"/>
      <c r="N11" s="783"/>
      <c r="O11" s="780"/>
      <c r="P11" s="780"/>
      <c r="Q11" s="780"/>
      <c r="R11" s="780"/>
    </row>
    <row r="12" spans="1:18" ht="14.1" customHeight="1" x14ac:dyDescent="0.25">
      <c r="A12" s="786" t="s">
        <v>9</v>
      </c>
      <c r="B12" s="786" t="s">
        <v>10</v>
      </c>
      <c r="C12" s="786"/>
      <c r="D12" s="786"/>
      <c r="E12" s="667"/>
      <c r="F12" s="780"/>
      <c r="G12" s="780"/>
      <c r="H12" s="780"/>
      <c r="I12" s="780"/>
      <c r="J12" s="780"/>
      <c r="K12" s="780"/>
      <c r="L12" s="780"/>
      <c r="M12" s="780"/>
      <c r="N12" s="780"/>
      <c r="O12" s="780"/>
      <c r="P12" s="780"/>
      <c r="Q12" s="780"/>
      <c r="R12" s="780"/>
    </row>
    <row r="13" spans="1:18" ht="14.1" customHeight="1" x14ac:dyDescent="0.25">
      <c r="A13" s="786"/>
      <c r="B13" s="786"/>
      <c r="C13" s="786"/>
      <c r="D13" s="786"/>
      <c r="E13" s="667"/>
      <c r="F13" s="925" t="s">
        <v>11</v>
      </c>
      <c r="G13" s="926"/>
      <c r="H13" s="925" t="s">
        <v>12</v>
      </c>
      <c r="I13" s="926"/>
      <c r="J13" s="780"/>
      <c r="K13" s="780"/>
      <c r="L13" s="780"/>
      <c r="M13" s="780"/>
      <c r="N13" s="780"/>
      <c r="O13" s="780"/>
      <c r="P13" s="780"/>
      <c r="Q13" s="780"/>
      <c r="R13" s="780"/>
    </row>
    <row r="14" spans="1:18" ht="14.1" customHeight="1" x14ac:dyDescent="0.2">
      <c r="B14" s="922" t="s">
        <v>13</v>
      </c>
      <c r="C14" s="922"/>
      <c r="D14" s="779"/>
      <c r="E14" s="667" t="s">
        <v>5</v>
      </c>
      <c r="F14" s="927"/>
      <c r="G14" s="928"/>
      <c r="H14" s="927"/>
      <c r="I14" s="928"/>
      <c r="J14" s="780" t="s">
        <v>14</v>
      </c>
      <c r="K14" s="780"/>
      <c r="L14" s="780"/>
      <c r="M14" s="780"/>
      <c r="N14" s="780"/>
      <c r="O14" s="780"/>
      <c r="P14" s="780"/>
      <c r="Q14" s="780"/>
      <c r="R14" s="780"/>
    </row>
    <row r="15" spans="1:18" ht="14.1" customHeight="1" x14ac:dyDescent="0.2">
      <c r="B15" s="922" t="s">
        <v>15</v>
      </c>
      <c r="C15" s="922"/>
      <c r="D15" s="779"/>
      <c r="E15" s="667" t="s">
        <v>5</v>
      </c>
      <c r="F15" s="927"/>
      <c r="G15" s="928"/>
      <c r="H15" s="927"/>
      <c r="I15" s="928"/>
      <c r="J15" s="780" t="s">
        <v>16</v>
      </c>
      <c r="K15" s="780"/>
      <c r="L15" s="780"/>
      <c r="M15" s="780"/>
      <c r="N15" s="780"/>
      <c r="O15" s="780"/>
      <c r="P15" s="780"/>
      <c r="Q15" s="780"/>
      <c r="R15" s="780"/>
    </row>
    <row r="16" spans="1:18" ht="14.1" customHeight="1" x14ac:dyDescent="0.2">
      <c r="B16" s="779" t="s">
        <v>17</v>
      </c>
      <c r="C16" s="779"/>
      <c r="D16" s="779"/>
      <c r="E16" s="667" t="s">
        <v>5</v>
      </c>
      <c r="F16" s="787"/>
      <c r="G16" s="787"/>
      <c r="H16" s="788" t="s">
        <v>18</v>
      </c>
      <c r="I16" s="788"/>
      <c r="J16" s="780"/>
      <c r="K16" s="780"/>
      <c r="L16" s="780"/>
      <c r="M16" s="780"/>
      <c r="N16" s="780"/>
      <c r="O16" s="780"/>
      <c r="P16" s="780"/>
      <c r="Q16" s="780"/>
      <c r="R16" s="780"/>
    </row>
    <row r="17" spans="1:18" ht="14.1" customHeight="1" x14ac:dyDescent="0.2">
      <c r="B17" s="780"/>
      <c r="C17" s="780"/>
      <c r="D17" s="780"/>
      <c r="E17" s="667"/>
      <c r="F17" s="780"/>
      <c r="G17" s="780"/>
      <c r="H17" s="780"/>
      <c r="I17" s="780"/>
      <c r="J17" s="780"/>
      <c r="K17" s="780"/>
      <c r="L17" s="780"/>
      <c r="M17" s="780"/>
      <c r="N17" s="780"/>
      <c r="O17" s="780"/>
      <c r="P17" s="780"/>
      <c r="Q17" s="780"/>
      <c r="R17" s="780"/>
    </row>
    <row r="18" spans="1:18" ht="14.1" customHeight="1" x14ac:dyDescent="0.25">
      <c r="A18" s="786" t="s">
        <v>19</v>
      </c>
      <c r="B18" s="786" t="s">
        <v>20</v>
      </c>
      <c r="C18" s="786"/>
      <c r="D18" s="786"/>
      <c r="E18" s="667"/>
      <c r="F18" s="780"/>
      <c r="G18" s="780"/>
      <c r="H18" s="780"/>
      <c r="I18" s="780"/>
      <c r="J18" s="780"/>
      <c r="K18" s="789"/>
      <c r="L18" s="789"/>
      <c r="M18" s="780"/>
      <c r="N18" s="780"/>
      <c r="O18" s="780"/>
      <c r="P18" s="780"/>
      <c r="Q18" s="780"/>
      <c r="R18" s="780"/>
    </row>
    <row r="19" spans="1:18" ht="14.1" customHeight="1" x14ac:dyDescent="0.25">
      <c r="A19" s="786"/>
      <c r="B19" s="346" t="s">
        <v>21</v>
      </c>
      <c r="C19" s="346"/>
      <c r="E19" s="346" t="s">
        <v>5</v>
      </c>
      <c r="F19" s="579" t="s">
        <v>22</v>
      </c>
      <c r="G19" s="427"/>
      <c r="H19" s="427"/>
      <c r="I19" s="427"/>
      <c r="J19" s="780"/>
      <c r="K19" s="789"/>
      <c r="L19" s="789"/>
      <c r="M19" s="780"/>
      <c r="N19" s="780"/>
      <c r="O19" s="780"/>
      <c r="P19" s="780"/>
      <c r="Q19" s="780"/>
      <c r="R19" s="780"/>
    </row>
    <row r="20" spans="1:18" ht="14.1" customHeight="1" x14ac:dyDescent="0.25">
      <c r="A20" s="786"/>
      <c r="B20" s="346" t="s">
        <v>23</v>
      </c>
      <c r="C20" s="346"/>
      <c r="E20" s="346" t="s">
        <v>5</v>
      </c>
      <c r="F20" s="579" t="s">
        <v>22</v>
      </c>
      <c r="G20" s="427"/>
      <c r="H20" s="427"/>
      <c r="I20" s="427"/>
      <c r="J20" s="780"/>
      <c r="K20" s="789"/>
      <c r="L20" s="789"/>
      <c r="M20" s="780"/>
      <c r="N20" s="780"/>
      <c r="O20" s="780"/>
      <c r="P20" s="780"/>
      <c r="Q20" s="780"/>
      <c r="R20" s="780"/>
    </row>
    <row r="21" spans="1:18" ht="14.1" customHeight="1" x14ac:dyDescent="0.2">
      <c r="B21" s="780"/>
      <c r="C21" s="780"/>
      <c r="D21" s="780"/>
      <c r="E21" s="667"/>
      <c r="F21" s="780"/>
      <c r="G21" s="780"/>
      <c r="H21" s="780"/>
      <c r="I21" s="780"/>
      <c r="J21" s="780"/>
      <c r="K21" s="789"/>
      <c r="L21" s="789"/>
      <c r="M21" s="780"/>
      <c r="N21" s="780"/>
      <c r="O21" s="780"/>
      <c r="P21" s="780"/>
      <c r="Q21" s="780"/>
      <c r="R21" s="780"/>
    </row>
    <row r="22" spans="1:18" ht="14.1" customHeight="1" x14ac:dyDescent="0.25">
      <c r="A22" s="786" t="s">
        <v>24</v>
      </c>
      <c r="B22" s="790" t="s">
        <v>25</v>
      </c>
      <c r="C22" s="786"/>
      <c r="D22" s="786"/>
      <c r="E22" s="667"/>
      <c r="F22" s="780"/>
      <c r="G22" s="780"/>
      <c r="H22" s="780"/>
      <c r="I22" s="780"/>
      <c r="J22" s="780"/>
      <c r="K22" s="789"/>
      <c r="L22" s="789"/>
      <c r="M22" s="780"/>
      <c r="N22" s="780"/>
      <c r="O22" s="780"/>
      <c r="P22" s="780"/>
      <c r="Q22" s="780"/>
      <c r="R22" s="780"/>
    </row>
    <row r="23" spans="1:18" ht="22.5" customHeight="1" x14ac:dyDescent="0.2">
      <c r="B23" s="791" t="s">
        <v>26</v>
      </c>
      <c r="C23" s="940" t="s">
        <v>27</v>
      </c>
      <c r="D23" s="941"/>
      <c r="E23" s="941"/>
      <c r="F23" s="941"/>
      <c r="G23" s="942"/>
      <c r="H23" s="939" t="s">
        <v>28</v>
      </c>
      <c r="I23" s="939"/>
      <c r="J23" s="940" t="s">
        <v>29</v>
      </c>
      <c r="K23" s="942"/>
      <c r="N23" s="792"/>
      <c r="O23" s="792"/>
      <c r="P23" s="792"/>
      <c r="Q23" s="780"/>
      <c r="R23" s="780"/>
    </row>
    <row r="24" spans="1:18" ht="15" customHeight="1" x14ac:dyDescent="0.2">
      <c r="B24" s="793">
        <v>1</v>
      </c>
      <c r="C24" s="794" t="s">
        <v>30</v>
      </c>
      <c r="D24" s="795"/>
      <c r="E24" s="795"/>
      <c r="F24" s="795"/>
      <c r="G24" s="796"/>
      <c r="H24" s="797"/>
      <c r="I24" s="798" t="s">
        <v>31</v>
      </c>
      <c r="J24" s="799">
        <v>2</v>
      </c>
      <c r="K24" s="800" t="s">
        <v>31</v>
      </c>
      <c r="N24" s="801"/>
      <c r="O24" s="802"/>
      <c r="P24" s="801"/>
      <c r="Q24" s="780"/>
      <c r="R24" s="780"/>
    </row>
    <row r="25" spans="1:18" ht="15" customHeight="1" x14ac:dyDescent="0.2">
      <c r="B25" s="803">
        <v>2</v>
      </c>
      <c r="C25" s="804" t="s">
        <v>32</v>
      </c>
      <c r="D25" s="796"/>
      <c r="E25" s="796"/>
      <c r="F25" s="796"/>
      <c r="G25" s="796"/>
      <c r="H25" s="797"/>
      <c r="I25" s="805" t="s">
        <v>33</v>
      </c>
      <c r="J25" s="806" t="s">
        <v>34</v>
      </c>
      <c r="K25" s="800" t="s">
        <v>33</v>
      </c>
      <c r="N25" s="801"/>
      <c r="O25" s="802"/>
      <c r="P25" s="801"/>
      <c r="Q25" s="780"/>
      <c r="R25" s="780"/>
    </row>
    <row r="26" spans="1:18" ht="15" customHeight="1" x14ac:dyDescent="0.2">
      <c r="B26" s="807">
        <v>3</v>
      </c>
      <c r="C26" s="808" t="s">
        <v>35</v>
      </c>
      <c r="D26" s="809"/>
      <c r="E26" s="809"/>
      <c r="F26" s="809"/>
      <c r="G26" s="809"/>
      <c r="H26" s="810"/>
      <c r="I26" s="811" t="s">
        <v>36</v>
      </c>
      <c r="J26" s="812" t="s">
        <v>37</v>
      </c>
      <c r="K26" s="813" t="s">
        <v>36</v>
      </c>
      <c r="N26" s="780"/>
      <c r="O26" s="802"/>
      <c r="P26" s="780"/>
      <c r="Q26" s="780"/>
      <c r="R26" s="780"/>
    </row>
    <row r="27" spans="1:18" ht="14.1" customHeight="1" x14ac:dyDescent="0.2">
      <c r="B27" s="814"/>
      <c r="C27" s="815"/>
      <c r="D27" s="815"/>
      <c r="E27" s="815"/>
      <c r="F27" s="815"/>
      <c r="G27" s="815"/>
      <c r="H27" s="815"/>
      <c r="I27" s="815"/>
      <c r="J27" s="815"/>
      <c r="K27" s="816"/>
      <c r="L27" s="816"/>
      <c r="M27" s="817"/>
      <c r="N27" s="780"/>
      <c r="O27" s="802"/>
      <c r="P27" s="780"/>
      <c r="Q27" s="780"/>
      <c r="R27" s="780"/>
    </row>
    <row r="28" spans="1:18" ht="14.1" customHeight="1" x14ac:dyDescent="0.25">
      <c r="A28" s="786" t="s">
        <v>38</v>
      </c>
      <c r="B28" s="786" t="s">
        <v>39</v>
      </c>
      <c r="C28" s="786"/>
      <c r="D28" s="786"/>
      <c r="E28" s="665"/>
      <c r="F28" s="786"/>
      <c r="G28" s="786"/>
      <c r="H28" s="786"/>
      <c r="I28" s="786"/>
      <c r="J28" s="786"/>
      <c r="K28" s="788"/>
      <c r="L28" s="788"/>
      <c r="M28" s="780"/>
      <c r="N28" s="783"/>
      <c r="O28" s="780"/>
      <c r="P28" s="780"/>
      <c r="Q28" s="780"/>
      <c r="R28" s="780"/>
    </row>
    <row r="29" spans="1:18" ht="14.1" customHeight="1" x14ac:dyDescent="0.2">
      <c r="B29" s="933" t="s">
        <v>40</v>
      </c>
      <c r="C29" s="933" t="s">
        <v>27</v>
      </c>
      <c r="D29" s="933"/>
      <c r="E29" s="933" t="s">
        <v>433</v>
      </c>
      <c r="F29" s="933"/>
      <c r="G29" s="933" t="s">
        <v>41</v>
      </c>
      <c r="H29" s="933"/>
      <c r="I29" s="933"/>
      <c r="J29" s="933"/>
      <c r="K29" s="933"/>
      <c r="L29" s="933" t="s">
        <v>100</v>
      </c>
      <c r="M29" s="818"/>
      <c r="N29" s="930"/>
      <c r="O29" s="931"/>
      <c r="P29" s="931"/>
      <c r="Q29" s="931"/>
      <c r="R29" s="931"/>
    </row>
    <row r="30" spans="1:18" ht="14.1" customHeight="1" x14ac:dyDescent="0.2">
      <c r="B30" s="933"/>
      <c r="C30" s="933"/>
      <c r="D30" s="933"/>
      <c r="E30" s="933"/>
      <c r="F30" s="933"/>
      <c r="G30" s="819" t="s">
        <v>42</v>
      </c>
      <c r="H30" s="819" t="s">
        <v>43</v>
      </c>
      <c r="I30" s="819" t="s">
        <v>44</v>
      </c>
      <c r="J30" s="819" t="s">
        <v>45</v>
      </c>
      <c r="K30" s="819" t="s">
        <v>46</v>
      </c>
      <c r="L30" s="933"/>
      <c r="M30" s="818"/>
      <c r="N30" s="930"/>
      <c r="O30" s="931"/>
      <c r="P30" s="931"/>
      <c r="Q30" s="931"/>
      <c r="R30" s="931"/>
    </row>
    <row r="31" spans="1:18" ht="44.1" customHeight="1" x14ac:dyDescent="0.2">
      <c r="B31" s="820">
        <v>1</v>
      </c>
      <c r="C31" s="944" t="s">
        <v>419</v>
      </c>
      <c r="D31" s="944"/>
      <c r="E31" s="943">
        <v>15</v>
      </c>
      <c r="F31" s="943"/>
      <c r="G31" s="821"/>
      <c r="H31" s="821"/>
      <c r="I31" s="821"/>
      <c r="J31" s="822"/>
      <c r="K31" s="823"/>
      <c r="L31" s="934">
        <v>0.1</v>
      </c>
      <c r="M31" s="824"/>
      <c r="N31" s="825"/>
      <c r="O31" s="826"/>
      <c r="P31" s="932"/>
      <c r="Q31" s="828"/>
      <c r="R31" s="829"/>
    </row>
    <row r="32" spans="1:18" ht="44.1" customHeight="1" x14ac:dyDescent="0.2">
      <c r="B32" s="830">
        <v>2</v>
      </c>
      <c r="C32" s="935" t="s">
        <v>420</v>
      </c>
      <c r="D32" s="935"/>
      <c r="E32" s="937">
        <v>5</v>
      </c>
      <c r="F32" s="937"/>
      <c r="G32" s="831"/>
      <c r="H32" s="831"/>
      <c r="I32" s="831"/>
      <c r="J32" s="832"/>
      <c r="K32" s="833"/>
      <c r="L32" s="934"/>
      <c r="M32" s="834"/>
      <c r="N32" s="825"/>
      <c r="O32" s="826"/>
      <c r="P32" s="932"/>
      <c r="Q32" s="828"/>
      <c r="R32" s="829"/>
    </row>
    <row r="33" spans="1:18" ht="44.1" customHeight="1" x14ac:dyDescent="0.2">
      <c r="B33" s="835">
        <v>3</v>
      </c>
      <c r="C33" s="936" t="s">
        <v>47</v>
      </c>
      <c r="D33" s="936"/>
      <c r="E33" s="938">
        <v>12</v>
      </c>
      <c r="F33" s="938"/>
      <c r="G33" s="836"/>
      <c r="H33" s="836"/>
      <c r="I33" s="836"/>
      <c r="J33" s="837"/>
      <c r="K33" s="838"/>
      <c r="L33" s="934"/>
      <c r="M33" s="824"/>
      <c r="N33" s="825"/>
      <c r="O33" s="826"/>
      <c r="P33" s="932"/>
      <c r="Q33" s="828"/>
      <c r="R33" s="829"/>
    </row>
    <row r="34" spans="1:18" ht="14.1" customHeight="1" x14ac:dyDescent="0.2">
      <c r="B34" s="839"/>
      <c r="C34" s="840"/>
      <c r="D34" s="840"/>
      <c r="E34" s="841"/>
      <c r="F34" s="842"/>
      <c r="G34" s="843"/>
      <c r="H34" s="844"/>
      <c r="I34" s="845"/>
      <c r="J34" s="844"/>
      <c r="K34" s="845"/>
      <c r="L34" s="604"/>
      <c r="M34" s="844"/>
      <c r="N34" s="825"/>
      <c r="O34" s="826"/>
      <c r="P34" s="932"/>
      <c r="Q34" s="828"/>
      <c r="R34" s="829"/>
    </row>
    <row r="35" spans="1:18" ht="14.1" customHeight="1" x14ac:dyDescent="0.2">
      <c r="B35" s="839"/>
      <c r="C35" s="840"/>
      <c r="D35" s="840"/>
      <c r="E35" s="841"/>
      <c r="F35" s="842"/>
      <c r="G35" s="843"/>
      <c r="H35" s="844"/>
      <c r="I35" s="845"/>
      <c r="J35" s="844"/>
      <c r="K35" s="845"/>
      <c r="L35" s="604"/>
      <c r="M35" s="824"/>
      <c r="N35" s="825"/>
      <c r="O35" s="826"/>
      <c r="P35" s="827"/>
      <c r="Q35" s="828"/>
      <c r="R35" s="829"/>
    </row>
    <row r="36" spans="1:18" ht="14.1" customHeight="1" x14ac:dyDescent="0.25">
      <c r="A36" s="846" t="s">
        <v>48</v>
      </c>
      <c r="B36" s="786" t="s">
        <v>49</v>
      </c>
      <c r="L36" s="847"/>
      <c r="M36" s="847"/>
      <c r="N36" s="847"/>
      <c r="O36" s="848"/>
      <c r="P36" s="849"/>
      <c r="Q36" s="850"/>
      <c r="R36" s="851"/>
    </row>
    <row r="37" spans="1:18" ht="14.1" customHeight="1" x14ac:dyDescent="0.2">
      <c r="B37" s="782" t="s">
        <v>418</v>
      </c>
      <c r="C37" s="782"/>
      <c r="D37" s="782"/>
      <c r="E37" s="852"/>
      <c r="F37" s="853"/>
      <c r="G37" s="854"/>
      <c r="H37" s="847"/>
      <c r="I37" s="847"/>
      <c r="J37" s="847"/>
      <c r="K37" s="847"/>
      <c r="L37" s="847"/>
      <c r="M37" s="847"/>
      <c r="N37" s="855"/>
      <c r="O37" s="855"/>
      <c r="P37" s="855"/>
      <c r="Q37" s="780"/>
      <c r="R37" s="780"/>
    </row>
    <row r="38" spans="1:18" ht="14.1" customHeight="1" x14ac:dyDescent="0.2">
      <c r="B38" s="929"/>
      <c r="C38" s="929"/>
      <c r="D38" s="929"/>
      <c r="E38" s="929"/>
      <c r="F38" s="929"/>
      <c r="G38" s="929"/>
      <c r="H38" s="847"/>
      <c r="I38" s="847"/>
      <c r="J38" s="847"/>
      <c r="K38" s="847"/>
      <c r="L38" s="847"/>
      <c r="M38" s="847"/>
      <c r="N38" s="855"/>
      <c r="O38" s="855"/>
      <c r="P38" s="855"/>
      <c r="Q38" s="780"/>
      <c r="R38" s="780"/>
    </row>
    <row r="39" spans="1:18" ht="14.1" customHeight="1" x14ac:dyDescent="0.2">
      <c r="H39" s="779"/>
      <c r="I39" s="847"/>
      <c r="J39" s="847"/>
      <c r="K39" s="847"/>
      <c r="L39" s="847"/>
      <c r="M39" s="847"/>
      <c r="N39" s="856"/>
      <c r="O39" s="855"/>
      <c r="P39" s="855"/>
      <c r="Q39" s="780"/>
      <c r="R39" s="780"/>
    </row>
    <row r="40" spans="1:18" ht="14.1" customHeight="1" x14ac:dyDescent="0.25">
      <c r="A40" s="790" t="s">
        <v>51</v>
      </c>
      <c r="B40" s="790" t="s">
        <v>52</v>
      </c>
      <c r="C40" s="790"/>
      <c r="D40" s="790"/>
      <c r="E40" s="667"/>
      <c r="F40" s="788"/>
      <c r="G40" s="788"/>
      <c r="H40" s="788"/>
      <c r="I40" s="788"/>
      <c r="J40" s="788"/>
      <c r="K40" s="788"/>
      <c r="L40" s="788"/>
      <c r="M40" s="788"/>
      <c r="N40" s="788"/>
      <c r="O40" s="849"/>
      <c r="P40" s="849"/>
      <c r="Q40" s="780"/>
      <c r="R40" s="780"/>
    </row>
    <row r="41" spans="1:18" ht="14.1" customHeight="1" x14ac:dyDescent="0.25">
      <c r="A41" s="790"/>
      <c r="B41" s="857"/>
      <c r="C41" s="858" t="s">
        <v>53</v>
      </c>
      <c r="D41" s="790"/>
      <c r="E41" s="667"/>
      <c r="F41" s="788"/>
      <c r="G41" s="788"/>
      <c r="H41" s="788"/>
      <c r="I41" s="788"/>
      <c r="J41" s="788"/>
      <c r="K41" s="788"/>
      <c r="L41" s="788"/>
      <c r="M41" s="788"/>
      <c r="N41" s="788"/>
      <c r="O41" s="849"/>
      <c r="P41" s="849"/>
      <c r="Q41" s="780"/>
      <c r="R41" s="780"/>
    </row>
    <row r="42" spans="1:18" ht="14.1" customHeight="1" x14ac:dyDescent="0.25">
      <c r="A42" s="790"/>
      <c r="B42" s="857"/>
      <c r="C42" s="858" t="s">
        <v>54</v>
      </c>
      <c r="D42" s="790"/>
      <c r="E42" s="667"/>
      <c r="F42" s="788"/>
      <c r="G42" s="788"/>
      <c r="H42" s="788"/>
      <c r="I42" s="788"/>
      <c r="J42" s="788"/>
      <c r="K42" s="788"/>
      <c r="L42" s="788"/>
      <c r="M42" s="788"/>
      <c r="N42" s="788"/>
      <c r="O42" s="849"/>
      <c r="P42" s="849"/>
      <c r="Q42" s="780"/>
      <c r="R42" s="780"/>
    </row>
    <row r="43" spans="1:18" ht="14.1" customHeight="1" x14ac:dyDescent="0.25">
      <c r="A43" s="790"/>
      <c r="B43" s="857"/>
      <c r="C43" s="858" t="s">
        <v>55</v>
      </c>
      <c r="D43" s="790"/>
      <c r="E43" s="667"/>
      <c r="F43" s="788"/>
      <c r="G43" s="788"/>
      <c r="H43" s="788"/>
      <c r="I43" s="788"/>
      <c r="J43" s="788"/>
      <c r="K43" s="788"/>
      <c r="L43" s="788"/>
      <c r="M43" s="788"/>
      <c r="N43" s="788"/>
      <c r="O43" s="849"/>
      <c r="P43" s="849"/>
      <c r="Q43" s="780"/>
      <c r="R43" s="780"/>
    </row>
    <row r="44" spans="1:18" ht="14.1" customHeight="1" x14ac:dyDescent="0.25">
      <c r="A44" s="790"/>
      <c r="B44" s="857"/>
      <c r="C44" s="859" t="s">
        <v>56</v>
      </c>
      <c r="D44" s="790"/>
      <c r="E44" s="667"/>
      <c r="F44" s="788"/>
      <c r="G44" s="788"/>
      <c r="H44" s="788"/>
      <c r="I44" s="788"/>
      <c r="J44" s="788"/>
      <c r="K44" s="788"/>
      <c r="L44" s="788"/>
      <c r="M44" s="788"/>
      <c r="N44" s="788"/>
      <c r="O44" s="849"/>
      <c r="P44" s="849"/>
      <c r="Q44" s="780"/>
      <c r="R44" s="780"/>
    </row>
    <row r="45" spans="1:18" ht="14.1" customHeight="1" x14ac:dyDescent="0.25">
      <c r="A45" s="790"/>
      <c r="B45" s="857"/>
      <c r="C45" s="859" t="s">
        <v>57</v>
      </c>
      <c r="D45" s="790"/>
      <c r="E45" s="667"/>
      <c r="F45" s="788"/>
      <c r="G45" s="788"/>
      <c r="H45" s="788"/>
      <c r="I45" s="788"/>
      <c r="J45" s="788"/>
      <c r="K45" s="788"/>
      <c r="L45" s="788"/>
      <c r="M45" s="788"/>
      <c r="N45" s="788"/>
      <c r="O45" s="849"/>
      <c r="P45" s="849"/>
      <c r="Q45" s="780"/>
      <c r="R45" s="780"/>
    </row>
    <row r="46" spans="1:18" ht="14.1" customHeight="1" x14ac:dyDescent="0.25">
      <c r="A46" s="790"/>
      <c r="B46" s="857"/>
      <c r="C46" s="346" t="s">
        <v>58</v>
      </c>
      <c r="D46" s="790"/>
      <c r="E46" s="667"/>
      <c r="F46" s="788"/>
      <c r="G46" s="788"/>
      <c r="H46" s="788"/>
      <c r="I46" s="788"/>
      <c r="J46" s="788"/>
      <c r="K46" s="788"/>
      <c r="L46" s="788"/>
      <c r="M46" s="788"/>
      <c r="N46" s="788"/>
      <c r="O46" s="849"/>
      <c r="P46" s="849"/>
      <c r="Q46" s="780"/>
      <c r="R46" s="780"/>
    </row>
    <row r="47" spans="1:18" ht="14.1" customHeight="1" x14ac:dyDescent="0.25">
      <c r="A47" s="790"/>
      <c r="B47" s="857"/>
      <c r="C47" s="346" t="s">
        <v>59</v>
      </c>
      <c r="D47" s="790"/>
      <c r="E47" s="667"/>
      <c r="F47" s="788"/>
      <c r="G47" s="788"/>
      <c r="H47" s="788"/>
      <c r="I47" s="788"/>
      <c r="J47" s="788"/>
      <c r="K47" s="788"/>
      <c r="L47" s="788"/>
      <c r="M47" s="788"/>
      <c r="N47" s="788"/>
      <c r="O47" s="849"/>
      <c r="P47" s="849"/>
      <c r="Q47" s="780"/>
      <c r="R47" s="780"/>
    </row>
    <row r="48" spans="1:18" ht="14.1" customHeight="1" x14ac:dyDescent="0.25">
      <c r="A48" s="790"/>
      <c r="B48" s="857"/>
      <c r="C48" s="346" t="s">
        <v>60</v>
      </c>
      <c r="D48" s="790"/>
      <c r="E48" s="667"/>
      <c r="F48" s="788"/>
      <c r="G48" s="788"/>
      <c r="H48" s="788"/>
      <c r="I48" s="788"/>
      <c r="J48" s="788"/>
      <c r="K48" s="788"/>
      <c r="L48" s="788"/>
      <c r="M48" s="788"/>
      <c r="N48" s="788"/>
      <c r="O48" s="849"/>
      <c r="P48" s="849"/>
      <c r="Q48" s="780"/>
      <c r="R48" s="780"/>
    </row>
    <row r="49" spans="1:18" ht="14.1" customHeight="1" x14ac:dyDescent="0.25">
      <c r="A49" s="790"/>
      <c r="B49" s="857"/>
      <c r="C49" s="858" t="s">
        <v>61</v>
      </c>
      <c r="D49" s="790"/>
      <c r="E49" s="667"/>
      <c r="F49" s="788"/>
      <c r="G49" s="788"/>
      <c r="H49" s="788"/>
      <c r="I49" s="788"/>
      <c r="J49" s="788"/>
      <c r="K49" s="788"/>
      <c r="L49" s="788"/>
      <c r="M49" s="788"/>
      <c r="N49" s="788"/>
      <c r="O49" s="849"/>
      <c r="P49" s="849"/>
      <c r="Q49" s="780"/>
      <c r="R49" s="780"/>
    </row>
    <row r="50" spans="1:18" ht="14.1" customHeight="1" x14ac:dyDescent="0.25">
      <c r="A50" s="790"/>
      <c r="B50" s="857"/>
      <c r="C50" s="858" t="s">
        <v>62</v>
      </c>
      <c r="D50" s="790"/>
      <c r="E50" s="667"/>
      <c r="F50" s="788"/>
      <c r="G50" s="788"/>
      <c r="H50" s="788"/>
      <c r="I50" s="788"/>
      <c r="J50" s="788"/>
      <c r="K50" s="788"/>
      <c r="L50" s="788"/>
      <c r="M50" s="788"/>
      <c r="N50" s="788"/>
      <c r="O50" s="849"/>
      <c r="P50" s="849"/>
      <c r="Q50" s="780"/>
      <c r="R50" s="780"/>
    </row>
    <row r="51" spans="1:18" ht="14.1" customHeight="1" x14ac:dyDescent="0.25">
      <c r="A51" s="790"/>
      <c r="B51" s="857"/>
      <c r="C51" s="859" t="s">
        <v>63</v>
      </c>
      <c r="D51" s="790"/>
      <c r="E51" s="667"/>
      <c r="F51" s="788"/>
      <c r="G51" s="788"/>
      <c r="H51" s="788"/>
      <c r="I51" s="788"/>
      <c r="J51" s="788"/>
      <c r="K51" s="788"/>
      <c r="L51" s="788"/>
      <c r="M51" s="788"/>
      <c r="N51" s="788"/>
      <c r="O51" s="849"/>
      <c r="P51" s="849"/>
      <c r="Q51" s="780"/>
      <c r="R51" s="780"/>
    </row>
    <row r="52" spans="1:18" ht="14.1" customHeight="1" x14ac:dyDescent="0.2">
      <c r="B52" s="860"/>
      <c r="C52" s="858" t="s">
        <v>64</v>
      </c>
      <c r="D52" s="861"/>
      <c r="E52" s="667"/>
      <c r="F52" s="427"/>
      <c r="G52" s="427"/>
      <c r="H52" s="427"/>
      <c r="I52" s="427"/>
      <c r="J52" s="427"/>
      <c r="K52" s="427"/>
      <c r="L52" s="427"/>
      <c r="M52" s="427"/>
      <c r="N52" s="788"/>
      <c r="O52" s="849"/>
      <c r="P52" s="849"/>
      <c r="Q52" s="780"/>
      <c r="R52" s="780"/>
    </row>
    <row r="53" spans="1:18" ht="14.1" customHeight="1" x14ac:dyDescent="0.2">
      <c r="B53" s="862"/>
      <c r="C53" s="858" t="s">
        <v>65</v>
      </c>
      <c r="D53" s="780"/>
      <c r="E53" s="667"/>
      <c r="F53" s="427"/>
      <c r="G53" s="427"/>
      <c r="H53" s="427"/>
      <c r="I53" s="427"/>
      <c r="J53" s="427"/>
      <c r="K53" s="427"/>
      <c r="L53" s="427"/>
      <c r="M53" s="427"/>
      <c r="N53" s="788"/>
      <c r="O53" s="849"/>
      <c r="P53" s="849"/>
      <c r="Q53" s="780"/>
      <c r="R53" s="780"/>
    </row>
    <row r="54" spans="1:18" ht="14.1" customHeight="1" x14ac:dyDescent="0.2">
      <c r="B54" s="862"/>
      <c r="C54" s="858" t="s">
        <v>66</v>
      </c>
      <c r="D54" s="780"/>
      <c r="E54" s="667"/>
      <c r="F54" s="427"/>
      <c r="G54" s="427"/>
      <c r="H54" s="427"/>
      <c r="I54" s="427"/>
      <c r="J54" s="427"/>
      <c r="K54" s="427"/>
      <c r="L54" s="427"/>
      <c r="M54" s="427"/>
      <c r="N54" s="788"/>
      <c r="O54" s="849"/>
      <c r="P54" s="849"/>
      <c r="Q54" s="780"/>
      <c r="R54" s="780"/>
    </row>
    <row r="55" spans="1:18" ht="14.1" customHeight="1" x14ac:dyDescent="0.2">
      <c r="B55" s="780"/>
      <c r="C55" s="779"/>
      <c r="D55" s="779"/>
      <c r="E55" s="667"/>
      <c r="F55" s="427"/>
      <c r="G55" s="427"/>
      <c r="H55" s="427"/>
      <c r="I55" s="427"/>
      <c r="J55" s="427"/>
      <c r="K55" s="427"/>
      <c r="L55" s="427"/>
      <c r="M55" s="427"/>
      <c r="N55" s="780"/>
      <c r="Q55" s="780"/>
      <c r="R55" s="780"/>
    </row>
    <row r="56" spans="1:18" ht="14.1" customHeight="1" x14ac:dyDescent="0.25">
      <c r="A56" s="790" t="s">
        <v>67</v>
      </c>
      <c r="B56" s="846" t="s">
        <v>68</v>
      </c>
      <c r="C56" s="846"/>
      <c r="D56" s="846"/>
      <c r="E56" s="667"/>
      <c r="F56" s="780"/>
      <c r="G56" s="780"/>
      <c r="H56" s="780"/>
      <c r="I56" s="780"/>
      <c r="J56" s="780"/>
      <c r="K56" s="780"/>
      <c r="L56" s="780"/>
      <c r="M56" s="780"/>
      <c r="N56" s="780"/>
      <c r="O56" s="863"/>
    </row>
    <row r="57" spans="1:18" ht="14.1" customHeight="1" x14ac:dyDescent="0.25">
      <c r="A57" s="790"/>
      <c r="B57" s="864"/>
      <c r="C57" s="864"/>
      <c r="D57" s="846"/>
      <c r="E57" s="667"/>
      <c r="F57" s="780"/>
      <c r="G57" s="780"/>
      <c r="H57" s="780"/>
      <c r="I57" s="780"/>
      <c r="J57" s="780"/>
      <c r="K57" s="780"/>
      <c r="L57" s="780"/>
      <c r="M57" s="780"/>
      <c r="N57" s="780"/>
      <c r="O57" s="863"/>
    </row>
    <row r="58" spans="1:18" ht="14.1" customHeight="1" x14ac:dyDescent="0.2"/>
    <row r="128" spans="3:4" x14ac:dyDescent="0.2">
      <c r="C128" s="865" t="s">
        <v>69</v>
      </c>
      <c r="D128" s="865"/>
    </row>
    <row r="129" spans="3:13" x14ac:dyDescent="0.2">
      <c r="C129" s="865" t="s">
        <v>70</v>
      </c>
      <c r="D129" s="865"/>
    </row>
    <row r="131" spans="3:13" x14ac:dyDescent="0.2">
      <c r="C131" s="866" t="s">
        <v>71</v>
      </c>
      <c r="D131" s="866"/>
      <c r="I131" s="867">
        <v>250</v>
      </c>
      <c r="J131" s="867"/>
      <c r="K131" s="867" t="s">
        <v>72</v>
      </c>
    </row>
    <row r="132" spans="3:13" x14ac:dyDescent="0.2">
      <c r="C132" s="866" t="s">
        <v>73</v>
      </c>
      <c r="D132" s="866"/>
      <c r="I132" s="867">
        <v>300</v>
      </c>
      <c r="J132" s="867"/>
      <c r="K132" s="867" t="s">
        <v>74</v>
      </c>
    </row>
    <row r="133" spans="3:13" x14ac:dyDescent="0.2">
      <c r="C133" s="866" t="s">
        <v>75</v>
      </c>
      <c r="D133" s="866"/>
      <c r="I133" s="867">
        <v>350</v>
      </c>
      <c r="J133" s="867"/>
      <c r="K133" s="867" t="s">
        <v>76</v>
      </c>
    </row>
    <row r="134" spans="3:13" x14ac:dyDescent="0.2">
      <c r="C134" s="866" t="s">
        <v>77</v>
      </c>
      <c r="D134" s="866"/>
      <c r="I134" s="867">
        <v>400</v>
      </c>
      <c r="J134" s="867"/>
      <c r="K134" s="867" t="s">
        <v>78</v>
      </c>
    </row>
    <row r="135" spans="3:13" x14ac:dyDescent="0.2">
      <c r="C135" s="866" t="s">
        <v>79</v>
      </c>
      <c r="D135" s="866"/>
      <c r="I135" s="867">
        <v>450</v>
      </c>
      <c r="J135" s="867"/>
      <c r="K135" s="867" t="s">
        <v>80</v>
      </c>
    </row>
    <row r="136" spans="3:13" x14ac:dyDescent="0.2">
      <c r="I136" s="867">
        <v>500</v>
      </c>
      <c r="J136" s="867"/>
    </row>
    <row r="137" spans="3:13" x14ac:dyDescent="0.2">
      <c r="C137" s="866" t="s">
        <v>81</v>
      </c>
      <c r="D137" s="866"/>
      <c r="E137" s="95"/>
      <c r="F137" s="866"/>
      <c r="G137" s="866"/>
      <c r="H137" s="866"/>
      <c r="I137" s="867">
        <v>600</v>
      </c>
      <c r="J137" s="867"/>
      <c r="K137" s="866"/>
      <c r="L137" s="866"/>
      <c r="M137" s="866"/>
    </row>
    <row r="138" spans="3:13" x14ac:dyDescent="0.2">
      <c r="C138" s="866" t="s">
        <v>82</v>
      </c>
      <c r="D138" s="866"/>
      <c r="E138" s="95"/>
      <c r="F138" s="866"/>
      <c r="G138" s="866"/>
      <c r="H138" s="866"/>
      <c r="I138" s="867">
        <v>700</v>
      </c>
      <c r="J138" s="867"/>
      <c r="K138" s="866"/>
      <c r="L138" s="866"/>
      <c r="M138" s="866"/>
    </row>
    <row r="140" spans="3:13" x14ac:dyDescent="0.2">
      <c r="C140" s="866" t="s">
        <v>81</v>
      </c>
      <c r="D140" s="866"/>
      <c r="E140" s="95"/>
      <c r="F140" s="866"/>
    </row>
    <row r="141" spans="3:13" ht="14.25" x14ac:dyDescent="0.2">
      <c r="C141" s="866" t="s">
        <v>82</v>
      </c>
      <c r="D141" s="866"/>
      <c r="E141" s="95"/>
      <c r="F141" s="866"/>
      <c r="I141" s="868" t="s">
        <v>83</v>
      </c>
      <c r="J141" s="868"/>
    </row>
    <row r="142" spans="3:13" ht="14.25" x14ac:dyDescent="0.2">
      <c r="I142" s="868" t="s">
        <v>84</v>
      </c>
      <c r="J142" s="868"/>
    </row>
    <row r="143" spans="3:13" ht="14.25" x14ac:dyDescent="0.2">
      <c r="C143" s="866" t="s">
        <v>71</v>
      </c>
      <c r="D143" s="866"/>
      <c r="I143" s="868" t="s">
        <v>85</v>
      </c>
      <c r="J143" s="868"/>
    </row>
    <row r="144" spans="3:13" ht="14.25" x14ac:dyDescent="0.2">
      <c r="C144" s="866" t="s">
        <v>75</v>
      </c>
      <c r="D144" s="866"/>
      <c r="I144" s="868" t="s">
        <v>86</v>
      </c>
      <c r="J144" s="868"/>
    </row>
    <row r="146" spans="3:12" x14ac:dyDescent="0.2">
      <c r="C146" s="866" t="s">
        <v>87</v>
      </c>
      <c r="D146" s="866"/>
    </row>
    <row r="147" spans="3:12" x14ac:dyDescent="0.2">
      <c r="C147" s="866" t="s">
        <v>88</v>
      </c>
      <c r="D147" s="866"/>
      <c r="I147" s="866" t="s">
        <v>89</v>
      </c>
      <c r="J147" s="866"/>
      <c r="K147" s="866" t="s">
        <v>89</v>
      </c>
      <c r="L147" s="866"/>
    </row>
    <row r="148" spans="3:12" x14ac:dyDescent="0.2">
      <c r="C148" s="866" t="s">
        <v>90</v>
      </c>
      <c r="D148" s="866"/>
      <c r="I148" s="866" t="s">
        <v>91</v>
      </c>
      <c r="J148" s="866"/>
      <c r="K148" s="866" t="s">
        <v>91</v>
      </c>
      <c r="L148" s="866"/>
    </row>
    <row r="149" spans="3:12" x14ac:dyDescent="0.2">
      <c r="C149" s="866" t="s">
        <v>92</v>
      </c>
      <c r="D149" s="866"/>
    </row>
    <row r="150" spans="3:12" x14ac:dyDescent="0.2">
      <c r="C150" s="866" t="s">
        <v>93</v>
      </c>
      <c r="D150" s="866"/>
      <c r="I150" s="866" t="s">
        <v>89</v>
      </c>
      <c r="J150" s="866"/>
      <c r="K150" s="866" t="s">
        <v>89</v>
      </c>
      <c r="L150" s="866"/>
    </row>
    <row r="151" spans="3:12" x14ac:dyDescent="0.2">
      <c r="I151" s="866" t="s">
        <v>91</v>
      </c>
      <c r="J151" s="866"/>
      <c r="K151" s="866" t="s">
        <v>91</v>
      </c>
      <c r="L151" s="866"/>
    </row>
    <row r="152" spans="3:12" x14ac:dyDescent="0.2">
      <c r="C152" s="866" t="s">
        <v>94</v>
      </c>
      <c r="D152" s="866"/>
    </row>
    <row r="153" spans="3:12" x14ac:dyDescent="0.2">
      <c r="C153" s="866" t="s">
        <v>95</v>
      </c>
      <c r="D153" s="866"/>
      <c r="I153" s="866" t="s">
        <v>89</v>
      </c>
      <c r="J153" s="866"/>
      <c r="K153" s="866" t="s">
        <v>89</v>
      </c>
      <c r="L153" s="866"/>
    </row>
    <row r="154" spans="3:12" x14ac:dyDescent="0.2">
      <c r="C154" s="866" t="s">
        <v>96</v>
      </c>
      <c r="D154" s="866"/>
      <c r="I154" s="866" t="s">
        <v>91</v>
      </c>
      <c r="J154" s="866"/>
      <c r="K154" s="866" t="s">
        <v>91</v>
      </c>
      <c r="L154" s="866"/>
    </row>
    <row r="155" spans="3:12" x14ac:dyDescent="0.2">
      <c r="C155" s="866" t="s">
        <v>97</v>
      </c>
      <c r="D155" s="866"/>
    </row>
    <row r="156" spans="3:12" x14ac:dyDescent="0.2">
      <c r="I156" s="866" t="s">
        <v>89</v>
      </c>
      <c r="J156" s="866"/>
      <c r="K156" s="866" t="s">
        <v>89</v>
      </c>
      <c r="L156" s="866"/>
    </row>
    <row r="157" spans="3:12" x14ac:dyDescent="0.2">
      <c r="I157" s="866" t="s">
        <v>91</v>
      </c>
      <c r="J157" s="866"/>
      <c r="K157" s="866" t="s">
        <v>91</v>
      </c>
      <c r="L157" s="866"/>
    </row>
    <row r="158" spans="3:12" x14ac:dyDescent="0.2">
      <c r="C158" s="866"/>
      <c r="D158" s="866"/>
    </row>
    <row r="159" spans="3:12" x14ac:dyDescent="0.2">
      <c r="I159" s="866" t="s">
        <v>89</v>
      </c>
      <c r="J159" s="866"/>
      <c r="K159" s="866" t="s">
        <v>89</v>
      </c>
      <c r="L159" s="866"/>
    </row>
    <row r="160" spans="3:12" x14ac:dyDescent="0.2">
      <c r="I160" s="866" t="s">
        <v>91</v>
      </c>
      <c r="J160" s="866"/>
      <c r="K160" s="866" t="s">
        <v>91</v>
      </c>
      <c r="L160" s="866"/>
    </row>
    <row r="162" spans="9:12" x14ac:dyDescent="0.2">
      <c r="I162" s="866" t="s">
        <v>89</v>
      </c>
      <c r="J162" s="866"/>
      <c r="K162" s="866" t="s">
        <v>89</v>
      </c>
      <c r="L162" s="866"/>
    </row>
    <row r="163" spans="9:12" x14ac:dyDescent="0.2">
      <c r="I163" s="866" t="s">
        <v>91</v>
      </c>
      <c r="J163" s="866"/>
      <c r="K163" s="866" t="s">
        <v>91</v>
      </c>
      <c r="L163" s="866"/>
    </row>
  </sheetData>
  <mergeCells count="33">
    <mergeCell ref="H23:I23"/>
    <mergeCell ref="C23:G23"/>
    <mergeCell ref="J23:K23"/>
    <mergeCell ref="E29:F30"/>
    <mergeCell ref="E31:F31"/>
    <mergeCell ref="C31:D31"/>
    <mergeCell ref="B38:G38"/>
    <mergeCell ref="N29:N30"/>
    <mergeCell ref="O29:O30"/>
    <mergeCell ref="P29:P30"/>
    <mergeCell ref="Q29:R30"/>
    <mergeCell ref="P31:P34"/>
    <mergeCell ref="L29:L30"/>
    <mergeCell ref="L31:L33"/>
    <mergeCell ref="B29:B30"/>
    <mergeCell ref="C32:D32"/>
    <mergeCell ref="C33:D33"/>
    <mergeCell ref="C29:D30"/>
    <mergeCell ref="G29:K29"/>
    <mergeCell ref="E32:F32"/>
    <mergeCell ref="E33:F33"/>
    <mergeCell ref="B15:C15"/>
    <mergeCell ref="A1:M1"/>
    <mergeCell ref="A2:M2"/>
    <mergeCell ref="A4:B4"/>
    <mergeCell ref="A6:B6"/>
    <mergeCell ref="B14:C14"/>
    <mergeCell ref="F13:G13"/>
    <mergeCell ref="H13:I13"/>
    <mergeCell ref="F14:G14"/>
    <mergeCell ref="F15:G15"/>
    <mergeCell ref="H14:I14"/>
    <mergeCell ref="H15:I15"/>
  </mergeCells>
  <printOptions horizontalCentered="1"/>
  <pageMargins left="0.5" right="0.25" top="0.5" bottom="0.4" header="0.25" footer="0.25"/>
  <pageSetup paperSize="9" scale="86" orientation="portrait" horizontalDpi="4294967294" verticalDpi="4294967293" r:id="rId1"/>
  <headerFooter>
    <oddHeader>&amp;R&amp;"-,Regular"&amp;8FV. 069-18 / REV : 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K42"/>
  <sheetViews>
    <sheetView showGridLines="0" view="pageBreakPreview" topLeftCell="C2" zoomScaleNormal="100" zoomScaleSheetLayoutView="100" workbookViewId="0">
      <selection activeCell="J12" sqref="J12"/>
    </sheetView>
  </sheetViews>
  <sheetFormatPr defaultRowHeight="12.75" x14ac:dyDescent="0.2"/>
  <cols>
    <col min="1" max="1" width="19" style="51" customWidth="1"/>
    <col min="2" max="2" width="8.28515625" style="51" customWidth="1"/>
    <col min="3" max="3" width="13.140625" style="51" customWidth="1"/>
    <col min="4" max="4" width="7.5703125" style="51" customWidth="1"/>
    <col min="5" max="5" width="9.140625" style="51"/>
    <col min="6" max="6" width="6.5703125" style="51" customWidth="1"/>
    <col min="7" max="7" width="9.140625" style="51"/>
    <col min="8" max="8" width="6.140625" style="51" customWidth="1"/>
    <col min="9" max="9" width="7.42578125" style="51" customWidth="1"/>
    <col min="10" max="10" width="9.7109375" style="51" customWidth="1"/>
    <col min="11" max="11" width="10.28515625" style="51" customWidth="1"/>
    <col min="12" max="218" width="9.140625" style="51"/>
    <col min="219" max="219" width="13.42578125" style="51" customWidth="1"/>
    <col min="220" max="220" width="9.140625" style="51"/>
    <col min="221" max="221" width="17" style="51" customWidth="1"/>
    <col min="222" max="222" width="7.5703125" style="51" customWidth="1"/>
    <col min="223" max="223" width="9.140625" style="51"/>
    <col min="224" max="224" width="9.140625" style="51" customWidth="1"/>
    <col min="225" max="225" width="9.140625" style="51"/>
    <col min="226" max="226" width="8.7109375" style="51" customWidth="1"/>
    <col min="227" max="227" width="7.42578125" style="51" customWidth="1"/>
    <col min="228" max="228" width="7.5703125" style="51" customWidth="1"/>
    <col min="229" max="229" width="9.140625" style="51" customWidth="1"/>
    <col min="230" max="230" width="9.140625" style="51"/>
    <col min="231" max="231" width="10" style="51" customWidth="1"/>
    <col min="232" max="232" width="7.85546875" style="51" customWidth="1"/>
    <col min="233" max="233" width="6.140625" style="51" customWidth="1"/>
    <col min="234" max="234" width="8.7109375" style="51" customWidth="1"/>
    <col min="235" max="474" width="9.140625" style="51"/>
    <col min="475" max="475" width="13.42578125" style="51" customWidth="1"/>
    <col min="476" max="476" width="9.140625" style="51"/>
    <col min="477" max="477" width="17" style="51" customWidth="1"/>
    <col min="478" max="478" width="7.5703125" style="51" customWidth="1"/>
    <col min="479" max="479" width="9.140625" style="51"/>
    <col min="480" max="480" width="9.140625" style="51" customWidth="1"/>
    <col min="481" max="481" width="9.140625" style="51"/>
    <col min="482" max="482" width="8.7109375" style="51" customWidth="1"/>
    <col min="483" max="483" width="7.42578125" style="51" customWidth="1"/>
    <col min="484" max="484" width="7.5703125" style="51" customWidth="1"/>
    <col min="485" max="485" width="9.140625" style="51" customWidth="1"/>
    <col min="486" max="486" width="9.140625" style="51"/>
    <col min="487" max="487" width="10" style="51" customWidth="1"/>
    <col min="488" max="488" width="7.85546875" style="51" customWidth="1"/>
    <col min="489" max="489" width="6.140625" style="51" customWidth="1"/>
    <col min="490" max="490" width="8.7109375" style="51" customWidth="1"/>
    <col min="491" max="730" width="9.140625" style="51"/>
    <col min="731" max="731" width="13.42578125" style="51" customWidth="1"/>
    <col min="732" max="732" width="9.140625" style="51"/>
    <col min="733" max="733" width="17" style="51" customWidth="1"/>
    <col min="734" max="734" width="7.5703125" style="51" customWidth="1"/>
    <col min="735" max="735" width="9.140625" style="51"/>
    <col min="736" max="736" width="9.140625" style="51" customWidth="1"/>
    <col min="737" max="737" width="9.140625" style="51"/>
    <col min="738" max="738" width="8.7109375" style="51" customWidth="1"/>
    <col min="739" max="739" width="7.42578125" style="51" customWidth="1"/>
    <col min="740" max="740" width="7.5703125" style="51" customWidth="1"/>
    <col min="741" max="741" width="9.140625" style="51" customWidth="1"/>
    <col min="742" max="742" width="9.140625" style="51"/>
    <col min="743" max="743" width="10" style="51" customWidth="1"/>
    <col min="744" max="744" width="7.85546875" style="51" customWidth="1"/>
    <col min="745" max="745" width="6.140625" style="51" customWidth="1"/>
    <col min="746" max="746" width="8.7109375" style="51" customWidth="1"/>
    <col min="747" max="986" width="9.140625" style="51"/>
    <col min="987" max="987" width="13.42578125" style="51" customWidth="1"/>
    <col min="988" max="988" width="9.140625" style="51"/>
    <col min="989" max="989" width="17" style="51" customWidth="1"/>
    <col min="990" max="990" width="7.5703125" style="51" customWidth="1"/>
    <col min="991" max="991" width="9.140625" style="51"/>
    <col min="992" max="992" width="9.140625" style="51" customWidth="1"/>
    <col min="993" max="993" width="9.140625" style="51"/>
    <col min="994" max="994" width="8.7109375" style="51" customWidth="1"/>
    <col min="995" max="995" width="7.42578125" style="51" customWidth="1"/>
    <col min="996" max="996" width="7.5703125" style="51" customWidth="1"/>
    <col min="997" max="997" width="9.140625" style="51" customWidth="1"/>
    <col min="998" max="998" width="9.140625" style="51"/>
    <col min="999" max="999" width="10" style="51" customWidth="1"/>
    <col min="1000" max="1000" width="7.85546875" style="51" customWidth="1"/>
    <col min="1001" max="1001" width="6.140625" style="51" customWidth="1"/>
    <col min="1002" max="1002" width="8.7109375" style="51" customWidth="1"/>
    <col min="1003" max="1242" width="9.140625" style="51"/>
    <col min="1243" max="1243" width="13.42578125" style="51" customWidth="1"/>
    <col min="1244" max="1244" width="9.140625" style="51"/>
    <col min="1245" max="1245" width="17" style="51" customWidth="1"/>
    <col min="1246" max="1246" width="7.5703125" style="51" customWidth="1"/>
    <col min="1247" max="1247" width="9.140625" style="51"/>
    <col min="1248" max="1248" width="9.140625" style="51" customWidth="1"/>
    <col min="1249" max="1249" width="9.140625" style="51"/>
    <col min="1250" max="1250" width="8.7109375" style="51" customWidth="1"/>
    <col min="1251" max="1251" width="7.42578125" style="51" customWidth="1"/>
    <col min="1252" max="1252" width="7.5703125" style="51" customWidth="1"/>
    <col min="1253" max="1253" width="9.140625" style="51" customWidth="1"/>
    <col min="1254" max="1254" width="9.140625" style="51"/>
    <col min="1255" max="1255" width="10" style="51" customWidth="1"/>
    <col min="1256" max="1256" width="7.85546875" style="51" customWidth="1"/>
    <col min="1257" max="1257" width="6.140625" style="51" customWidth="1"/>
    <col min="1258" max="1258" width="8.7109375" style="51" customWidth="1"/>
    <col min="1259" max="1498" width="9.140625" style="51"/>
    <col min="1499" max="1499" width="13.42578125" style="51" customWidth="1"/>
    <col min="1500" max="1500" width="9.140625" style="51"/>
    <col min="1501" max="1501" width="17" style="51" customWidth="1"/>
    <col min="1502" max="1502" width="7.5703125" style="51" customWidth="1"/>
    <col min="1503" max="1503" width="9.140625" style="51"/>
    <col min="1504" max="1504" width="9.140625" style="51" customWidth="1"/>
    <col min="1505" max="1505" width="9.140625" style="51"/>
    <col min="1506" max="1506" width="8.7109375" style="51" customWidth="1"/>
    <col min="1507" max="1507" width="7.42578125" style="51" customWidth="1"/>
    <col min="1508" max="1508" width="7.5703125" style="51" customWidth="1"/>
    <col min="1509" max="1509" width="9.140625" style="51" customWidth="1"/>
    <col min="1510" max="1510" width="9.140625" style="51"/>
    <col min="1511" max="1511" width="10" style="51" customWidth="1"/>
    <col min="1512" max="1512" width="7.85546875" style="51" customWidth="1"/>
    <col min="1513" max="1513" width="6.140625" style="51" customWidth="1"/>
    <col min="1514" max="1514" width="8.7109375" style="51" customWidth="1"/>
    <col min="1515" max="1754" width="9.140625" style="51"/>
    <col min="1755" max="1755" width="13.42578125" style="51" customWidth="1"/>
    <col min="1756" max="1756" width="9.140625" style="51"/>
    <col min="1757" max="1757" width="17" style="51" customWidth="1"/>
    <col min="1758" max="1758" width="7.5703125" style="51" customWidth="1"/>
    <col min="1759" max="1759" width="9.140625" style="51"/>
    <col min="1760" max="1760" width="9.140625" style="51" customWidth="1"/>
    <col min="1761" max="1761" width="9.140625" style="51"/>
    <col min="1762" max="1762" width="8.7109375" style="51" customWidth="1"/>
    <col min="1763" max="1763" width="7.42578125" style="51" customWidth="1"/>
    <col min="1764" max="1764" width="7.5703125" style="51" customWidth="1"/>
    <col min="1765" max="1765" width="9.140625" style="51" customWidth="1"/>
    <col min="1766" max="1766" width="9.140625" style="51"/>
    <col min="1767" max="1767" width="10" style="51" customWidth="1"/>
    <col min="1768" max="1768" width="7.85546875" style="51" customWidth="1"/>
    <col min="1769" max="1769" width="6.140625" style="51" customWidth="1"/>
    <col min="1770" max="1770" width="8.7109375" style="51" customWidth="1"/>
    <col min="1771" max="2010" width="9.140625" style="51"/>
    <col min="2011" max="2011" width="13.42578125" style="51" customWidth="1"/>
    <col min="2012" max="2012" width="9.140625" style="51"/>
    <col min="2013" max="2013" width="17" style="51" customWidth="1"/>
    <col min="2014" max="2014" width="7.5703125" style="51" customWidth="1"/>
    <col min="2015" max="2015" width="9.140625" style="51"/>
    <col min="2016" max="2016" width="9.140625" style="51" customWidth="1"/>
    <col min="2017" max="2017" width="9.140625" style="51"/>
    <col min="2018" max="2018" width="8.7109375" style="51" customWidth="1"/>
    <col min="2019" max="2019" width="7.42578125" style="51" customWidth="1"/>
    <col min="2020" max="2020" width="7.5703125" style="51" customWidth="1"/>
    <col min="2021" max="2021" width="9.140625" style="51" customWidth="1"/>
    <col min="2022" max="2022" width="9.140625" style="51"/>
    <col min="2023" max="2023" width="10" style="51" customWidth="1"/>
    <col min="2024" max="2024" width="7.85546875" style="51" customWidth="1"/>
    <col min="2025" max="2025" width="6.140625" style="51" customWidth="1"/>
    <col min="2026" max="2026" width="8.7109375" style="51" customWidth="1"/>
    <col min="2027" max="2266" width="9.140625" style="51"/>
    <col min="2267" max="2267" width="13.42578125" style="51" customWidth="1"/>
    <col min="2268" max="2268" width="9.140625" style="51"/>
    <col min="2269" max="2269" width="17" style="51" customWidth="1"/>
    <col min="2270" max="2270" width="7.5703125" style="51" customWidth="1"/>
    <col min="2271" max="2271" width="9.140625" style="51"/>
    <col min="2272" max="2272" width="9.140625" style="51" customWidth="1"/>
    <col min="2273" max="2273" width="9.140625" style="51"/>
    <col min="2274" max="2274" width="8.7109375" style="51" customWidth="1"/>
    <col min="2275" max="2275" width="7.42578125" style="51" customWidth="1"/>
    <col min="2276" max="2276" width="7.5703125" style="51" customWidth="1"/>
    <col min="2277" max="2277" width="9.140625" style="51" customWidth="1"/>
    <col min="2278" max="2278" width="9.140625" style="51"/>
    <col min="2279" max="2279" width="10" style="51" customWidth="1"/>
    <col min="2280" max="2280" width="7.85546875" style="51" customWidth="1"/>
    <col min="2281" max="2281" width="6.140625" style="51" customWidth="1"/>
    <col min="2282" max="2282" width="8.7109375" style="51" customWidth="1"/>
    <col min="2283" max="2522" width="9.140625" style="51"/>
    <col min="2523" max="2523" width="13.42578125" style="51" customWidth="1"/>
    <col min="2524" max="2524" width="9.140625" style="51"/>
    <col min="2525" max="2525" width="17" style="51" customWidth="1"/>
    <col min="2526" max="2526" width="7.5703125" style="51" customWidth="1"/>
    <col min="2527" max="2527" width="9.140625" style="51"/>
    <col min="2528" max="2528" width="9.140625" style="51" customWidth="1"/>
    <col min="2529" max="2529" width="9.140625" style="51"/>
    <col min="2530" max="2530" width="8.7109375" style="51" customWidth="1"/>
    <col min="2531" max="2531" width="7.42578125" style="51" customWidth="1"/>
    <col min="2532" max="2532" width="7.5703125" style="51" customWidth="1"/>
    <col min="2533" max="2533" width="9.140625" style="51" customWidth="1"/>
    <col min="2534" max="2534" width="9.140625" style="51"/>
    <col min="2535" max="2535" width="10" style="51" customWidth="1"/>
    <col min="2536" max="2536" width="7.85546875" style="51" customWidth="1"/>
    <col min="2537" max="2537" width="6.140625" style="51" customWidth="1"/>
    <col min="2538" max="2538" width="8.7109375" style="51" customWidth="1"/>
    <col min="2539" max="2778" width="9.140625" style="51"/>
    <col min="2779" max="2779" width="13.42578125" style="51" customWidth="1"/>
    <col min="2780" max="2780" width="9.140625" style="51"/>
    <col min="2781" max="2781" width="17" style="51" customWidth="1"/>
    <col min="2782" max="2782" width="7.5703125" style="51" customWidth="1"/>
    <col min="2783" max="2783" width="9.140625" style="51"/>
    <col min="2784" max="2784" width="9.140625" style="51" customWidth="1"/>
    <col min="2785" max="2785" width="9.140625" style="51"/>
    <col min="2786" max="2786" width="8.7109375" style="51" customWidth="1"/>
    <col min="2787" max="2787" width="7.42578125" style="51" customWidth="1"/>
    <col min="2788" max="2788" width="7.5703125" style="51" customWidth="1"/>
    <col min="2789" max="2789" width="9.140625" style="51" customWidth="1"/>
    <col min="2790" max="2790" width="9.140625" style="51"/>
    <col min="2791" max="2791" width="10" style="51" customWidth="1"/>
    <col min="2792" max="2792" width="7.85546875" style="51" customWidth="1"/>
    <col min="2793" max="2793" width="6.140625" style="51" customWidth="1"/>
    <col min="2794" max="2794" width="8.7109375" style="51" customWidth="1"/>
    <col min="2795" max="3034" width="9.140625" style="51"/>
    <col min="3035" max="3035" width="13.42578125" style="51" customWidth="1"/>
    <col min="3036" max="3036" width="9.140625" style="51"/>
    <col min="3037" max="3037" width="17" style="51" customWidth="1"/>
    <col min="3038" max="3038" width="7.5703125" style="51" customWidth="1"/>
    <col min="3039" max="3039" width="9.140625" style="51"/>
    <col min="3040" max="3040" width="9.140625" style="51" customWidth="1"/>
    <col min="3041" max="3041" width="9.140625" style="51"/>
    <col min="3042" max="3042" width="8.7109375" style="51" customWidth="1"/>
    <col min="3043" max="3043" width="7.42578125" style="51" customWidth="1"/>
    <col min="3044" max="3044" width="7.5703125" style="51" customWidth="1"/>
    <col min="3045" max="3045" width="9.140625" style="51" customWidth="1"/>
    <col min="3046" max="3046" width="9.140625" style="51"/>
    <col min="3047" max="3047" width="10" style="51" customWidth="1"/>
    <col min="3048" max="3048" width="7.85546875" style="51" customWidth="1"/>
    <col min="3049" max="3049" width="6.140625" style="51" customWidth="1"/>
    <col min="3050" max="3050" width="8.7109375" style="51" customWidth="1"/>
    <col min="3051" max="3290" width="9.140625" style="51"/>
    <col min="3291" max="3291" width="13.42578125" style="51" customWidth="1"/>
    <col min="3292" max="3292" width="9.140625" style="51"/>
    <col min="3293" max="3293" width="17" style="51" customWidth="1"/>
    <col min="3294" max="3294" width="7.5703125" style="51" customWidth="1"/>
    <col min="3295" max="3295" width="9.140625" style="51"/>
    <col min="3296" max="3296" width="9.140625" style="51" customWidth="1"/>
    <col min="3297" max="3297" width="9.140625" style="51"/>
    <col min="3298" max="3298" width="8.7109375" style="51" customWidth="1"/>
    <col min="3299" max="3299" width="7.42578125" style="51" customWidth="1"/>
    <col min="3300" max="3300" width="7.5703125" style="51" customWidth="1"/>
    <col min="3301" max="3301" width="9.140625" style="51" customWidth="1"/>
    <col min="3302" max="3302" width="9.140625" style="51"/>
    <col min="3303" max="3303" width="10" style="51" customWidth="1"/>
    <col min="3304" max="3304" width="7.85546875" style="51" customWidth="1"/>
    <col min="3305" max="3305" width="6.140625" style="51" customWidth="1"/>
    <col min="3306" max="3306" width="8.7109375" style="51" customWidth="1"/>
    <col min="3307" max="3546" width="9.140625" style="51"/>
    <col min="3547" max="3547" width="13.42578125" style="51" customWidth="1"/>
    <col min="3548" max="3548" width="9.140625" style="51"/>
    <col min="3549" max="3549" width="17" style="51" customWidth="1"/>
    <col min="3550" max="3550" width="7.5703125" style="51" customWidth="1"/>
    <col min="3551" max="3551" width="9.140625" style="51"/>
    <col min="3552" max="3552" width="9.140625" style="51" customWidth="1"/>
    <col min="3553" max="3553" width="9.140625" style="51"/>
    <col min="3554" max="3554" width="8.7109375" style="51" customWidth="1"/>
    <col min="3555" max="3555" width="7.42578125" style="51" customWidth="1"/>
    <col min="3556" max="3556" width="7.5703125" style="51" customWidth="1"/>
    <col min="3557" max="3557" width="9.140625" style="51" customWidth="1"/>
    <col min="3558" max="3558" width="9.140625" style="51"/>
    <col min="3559" max="3559" width="10" style="51" customWidth="1"/>
    <col min="3560" max="3560" width="7.85546875" style="51" customWidth="1"/>
    <col min="3561" max="3561" width="6.140625" style="51" customWidth="1"/>
    <col min="3562" max="3562" width="8.7109375" style="51" customWidth="1"/>
    <col min="3563" max="3802" width="9.140625" style="51"/>
    <col min="3803" max="3803" width="13.42578125" style="51" customWidth="1"/>
    <col min="3804" max="3804" width="9.140625" style="51"/>
    <col min="3805" max="3805" width="17" style="51" customWidth="1"/>
    <col min="3806" max="3806" width="7.5703125" style="51" customWidth="1"/>
    <col min="3807" max="3807" width="9.140625" style="51"/>
    <col min="3808" max="3808" width="9.140625" style="51" customWidth="1"/>
    <col min="3809" max="3809" width="9.140625" style="51"/>
    <col min="3810" max="3810" width="8.7109375" style="51" customWidth="1"/>
    <col min="3811" max="3811" width="7.42578125" style="51" customWidth="1"/>
    <col min="3812" max="3812" width="7.5703125" style="51" customWidth="1"/>
    <col min="3813" max="3813" width="9.140625" style="51" customWidth="1"/>
    <col min="3814" max="3814" width="9.140625" style="51"/>
    <col min="3815" max="3815" width="10" style="51" customWidth="1"/>
    <col min="3816" max="3816" width="7.85546875" style="51" customWidth="1"/>
    <col min="3817" max="3817" width="6.140625" style="51" customWidth="1"/>
    <col min="3818" max="3818" width="8.7109375" style="51" customWidth="1"/>
    <col min="3819" max="4058" width="9.140625" style="51"/>
    <col min="4059" max="4059" width="13.42578125" style="51" customWidth="1"/>
    <col min="4060" max="4060" width="9.140625" style="51"/>
    <col min="4061" max="4061" width="17" style="51" customWidth="1"/>
    <col min="4062" max="4062" width="7.5703125" style="51" customWidth="1"/>
    <col min="4063" max="4063" width="9.140625" style="51"/>
    <col min="4064" max="4064" width="9.140625" style="51" customWidth="1"/>
    <col min="4065" max="4065" width="9.140625" style="51"/>
    <col min="4066" max="4066" width="8.7109375" style="51" customWidth="1"/>
    <col min="4067" max="4067" width="7.42578125" style="51" customWidth="1"/>
    <col min="4068" max="4068" width="7.5703125" style="51" customWidth="1"/>
    <col min="4069" max="4069" width="9.140625" style="51" customWidth="1"/>
    <col min="4070" max="4070" width="9.140625" style="51"/>
    <col min="4071" max="4071" width="10" style="51" customWidth="1"/>
    <col min="4072" max="4072" width="7.85546875" style="51" customWidth="1"/>
    <col min="4073" max="4073" width="6.140625" style="51" customWidth="1"/>
    <col min="4074" max="4074" width="8.7109375" style="51" customWidth="1"/>
    <col min="4075" max="4314" width="9.140625" style="51"/>
    <col min="4315" max="4315" width="13.42578125" style="51" customWidth="1"/>
    <col min="4316" max="4316" width="9.140625" style="51"/>
    <col min="4317" max="4317" width="17" style="51" customWidth="1"/>
    <col min="4318" max="4318" width="7.5703125" style="51" customWidth="1"/>
    <col min="4319" max="4319" width="9.140625" style="51"/>
    <col min="4320" max="4320" width="9.140625" style="51" customWidth="1"/>
    <col min="4321" max="4321" width="9.140625" style="51"/>
    <col min="4322" max="4322" width="8.7109375" style="51" customWidth="1"/>
    <col min="4323" max="4323" width="7.42578125" style="51" customWidth="1"/>
    <col min="4324" max="4324" width="7.5703125" style="51" customWidth="1"/>
    <col min="4325" max="4325" width="9.140625" style="51" customWidth="1"/>
    <col min="4326" max="4326" width="9.140625" style="51"/>
    <col min="4327" max="4327" width="10" style="51" customWidth="1"/>
    <col min="4328" max="4328" width="7.85546875" style="51" customWidth="1"/>
    <col min="4329" max="4329" width="6.140625" style="51" customWidth="1"/>
    <col min="4330" max="4330" width="8.7109375" style="51" customWidth="1"/>
    <col min="4331" max="4570" width="9.140625" style="51"/>
    <col min="4571" max="4571" width="13.42578125" style="51" customWidth="1"/>
    <col min="4572" max="4572" width="9.140625" style="51"/>
    <col min="4573" max="4573" width="17" style="51" customWidth="1"/>
    <col min="4574" max="4574" width="7.5703125" style="51" customWidth="1"/>
    <col min="4575" max="4575" width="9.140625" style="51"/>
    <col min="4576" max="4576" width="9.140625" style="51" customWidth="1"/>
    <col min="4577" max="4577" width="9.140625" style="51"/>
    <col min="4578" max="4578" width="8.7109375" style="51" customWidth="1"/>
    <col min="4579" max="4579" width="7.42578125" style="51" customWidth="1"/>
    <col min="4580" max="4580" width="7.5703125" style="51" customWidth="1"/>
    <col min="4581" max="4581" width="9.140625" style="51" customWidth="1"/>
    <col min="4582" max="4582" width="9.140625" style="51"/>
    <col min="4583" max="4583" width="10" style="51" customWidth="1"/>
    <col min="4584" max="4584" width="7.85546875" style="51" customWidth="1"/>
    <col min="4585" max="4585" width="6.140625" style="51" customWidth="1"/>
    <col min="4586" max="4586" width="8.7109375" style="51" customWidth="1"/>
    <col min="4587" max="4826" width="9.140625" style="51"/>
    <col min="4827" max="4827" width="13.42578125" style="51" customWidth="1"/>
    <col min="4828" max="4828" width="9.140625" style="51"/>
    <col min="4829" max="4829" width="17" style="51" customWidth="1"/>
    <col min="4830" max="4830" width="7.5703125" style="51" customWidth="1"/>
    <col min="4831" max="4831" width="9.140625" style="51"/>
    <col min="4832" max="4832" width="9.140625" style="51" customWidth="1"/>
    <col min="4833" max="4833" width="9.140625" style="51"/>
    <col min="4834" max="4834" width="8.7109375" style="51" customWidth="1"/>
    <col min="4835" max="4835" width="7.42578125" style="51" customWidth="1"/>
    <col min="4836" max="4836" width="7.5703125" style="51" customWidth="1"/>
    <col min="4837" max="4837" width="9.140625" style="51" customWidth="1"/>
    <col min="4838" max="4838" width="9.140625" style="51"/>
    <col min="4839" max="4839" width="10" style="51" customWidth="1"/>
    <col min="4840" max="4840" width="7.85546875" style="51" customWidth="1"/>
    <col min="4841" max="4841" width="6.140625" style="51" customWidth="1"/>
    <col min="4842" max="4842" width="8.7109375" style="51" customWidth="1"/>
    <col min="4843" max="5082" width="9.140625" style="51"/>
    <col min="5083" max="5083" width="13.42578125" style="51" customWidth="1"/>
    <col min="5084" max="5084" width="9.140625" style="51"/>
    <col min="5085" max="5085" width="17" style="51" customWidth="1"/>
    <col min="5086" max="5086" width="7.5703125" style="51" customWidth="1"/>
    <col min="5087" max="5087" width="9.140625" style="51"/>
    <col min="5088" max="5088" width="9.140625" style="51" customWidth="1"/>
    <col min="5089" max="5089" width="9.140625" style="51"/>
    <col min="5090" max="5090" width="8.7109375" style="51" customWidth="1"/>
    <col min="5091" max="5091" width="7.42578125" style="51" customWidth="1"/>
    <col min="5092" max="5092" width="7.5703125" style="51" customWidth="1"/>
    <col min="5093" max="5093" width="9.140625" style="51" customWidth="1"/>
    <col min="5094" max="5094" width="9.140625" style="51"/>
    <col min="5095" max="5095" width="10" style="51" customWidth="1"/>
    <col min="5096" max="5096" width="7.85546875" style="51" customWidth="1"/>
    <col min="5097" max="5097" width="6.140625" style="51" customWidth="1"/>
    <col min="5098" max="5098" width="8.7109375" style="51" customWidth="1"/>
    <col min="5099" max="5338" width="9.140625" style="51"/>
    <col min="5339" max="5339" width="13.42578125" style="51" customWidth="1"/>
    <col min="5340" max="5340" width="9.140625" style="51"/>
    <col min="5341" max="5341" width="17" style="51" customWidth="1"/>
    <col min="5342" max="5342" width="7.5703125" style="51" customWidth="1"/>
    <col min="5343" max="5343" width="9.140625" style="51"/>
    <col min="5344" max="5344" width="9.140625" style="51" customWidth="1"/>
    <col min="5345" max="5345" width="9.140625" style="51"/>
    <col min="5346" max="5346" width="8.7109375" style="51" customWidth="1"/>
    <col min="5347" max="5347" width="7.42578125" style="51" customWidth="1"/>
    <col min="5348" max="5348" width="7.5703125" style="51" customWidth="1"/>
    <col min="5349" max="5349" width="9.140625" style="51" customWidth="1"/>
    <col min="5350" max="5350" width="9.140625" style="51"/>
    <col min="5351" max="5351" width="10" style="51" customWidth="1"/>
    <col min="5352" max="5352" width="7.85546875" style="51" customWidth="1"/>
    <col min="5353" max="5353" width="6.140625" style="51" customWidth="1"/>
    <col min="5354" max="5354" width="8.7109375" style="51" customWidth="1"/>
    <col min="5355" max="5594" width="9.140625" style="51"/>
    <col min="5595" max="5595" width="13.42578125" style="51" customWidth="1"/>
    <col min="5596" max="5596" width="9.140625" style="51"/>
    <col min="5597" max="5597" width="17" style="51" customWidth="1"/>
    <col min="5598" max="5598" width="7.5703125" style="51" customWidth="1"/>
    <col min="5599" max="5599" width="9.140625" style="51"/>
    <col min="5600" max="5600" width="9.140625" style="51" customWidth="1"/>
    <col min="5601" max="5601" width="9.140625" style="51"/>
    <col min="5602" max="5602" width="8.7109375" style="51" customWidth="1"/>
    <col min="5603" max="5603" width="7.42578125" style="51" customWidth="1"/>
    <col min="5604" max="5604" width="7.5703125" style="51" customWidth="1"/>
    <col min="5605" max="5605" width="9.140625" style="51" customWidth="1"/>
    <col min="5606" max="5606" width="9.140625" style="51"/>
    <col min="5607" max="5607" width="10" style="51" customWidth="1"/>
    <col min="5608" max="5608" width="7.85546875" style="51" customWidth="1"/>
    <col min="5609" max="5609" width="6.140625" style="51" customWidth="1"/>
    <col min="5610" max="5610" width="8.7109375" style="51" customWidth="1"/>
    <col min="5611" max="5850" width="9.140625" style="51"/>
    <col min="5851" max="5851" width="13.42578125" style="51" customWidth="1"/>
    <col min="5852" max="5852" width="9.140625" style="51"/>
    <col min="5853" max="5853" width="17" style="51" customWidth="1"/>
    <col min="5854" max="5854" width="7.5703125" style="51" customWidth="1"/>
    <col min="5855" max="5855" width="9.140625" style="51"/>
    <col min="5856" max="5856" width="9.140625" style="51" customWidth="1"/>
    <col min="5857" max="5857" width="9.140625" style="51"/>
    <col min="5858" max="5858" width="8.7109375" style="51" customWidth="1"/>
    <col min="5859" max="5859" width="7.42578125" style="51" customWidth="1"/>
    <col min="5860" max="5860" width="7.5703125" style="51" customWidth="1"/>
    <col min="5861" max="5861" width="9.140625" style="51" customWidth="1"/>
    <col min="5862" max="5862" width="9.140625" style="51"/>
    <col min="5863" max="5863" width="10" style="51" customWidth="1"/>
    <col min="5864" max="5864" width="7.85546875" style="51" customWidth="1"/>
    <col min="5865" max="5865" width="6.140625" style="51" customWidth="1"/>
    <col min="5866" max="5866" width="8.7109375" style="51" customWidth="1"/>
    <col min="5867" max="6106" width="9.140625" style="51"/>
    <col min="6107" max="6107" width="13.42578125" style="51" customWidth="1"/>
    <col min="6108" max="6108" width="9.140625" style="51"/>
    <col min="6109" max="6109" width="17" style="51" customWidth="1"/>
    <col min="6110" max="6110" width="7.5703125" style="51" customWidth="1"/>
    <col min="6111" max="6111" width="9.140625" style="51"/>
    <col min="6112" max="6112" width="9.140625" style="51" customWidth="1"/>
    <col min="6113" max="6113" width="9.140625" style="51"/>
    <col min="6114" max="6114" width="8.7109375" style="51" customWidth="1"/>
    <col min="6115" max="6115" width="7.42578125" style="51" customWidth="1"/>
    <col min="6116" max="6116" width="7.5703125" style="51" customWidth="1"/>
    <col min="6117" max="6117" width="9.140625" style="51" customWidth="1"/>
    <col min="6118" max="6118" width="9.140625" style="51"/>
    <col min="6119" max="6119" width="10" style="51" customWidth="1"/>
    <col min="6120" max="6120" width="7.85546875" style="51" customWidth="1"/>
    <col min="6121" max="6121" width="6.140625" style="51" customWidth="1"/>
    <col min="6122" max="6122" width="8.7109375" style="51" customWidth="1"/>
    <col min="6123" max="6362" width="9.140625" style="51"/>
    <col min="6363" max="6363" width="13.42578125" style="51" customWidth="1"/>
    <col min="6364" max="6364" width="9.140625" style="51"/>
    <col min="6365" max="6365" width="17" style="51" customWidth="1"/>
    <col min="6366" max="6366" width="7.5703125" style="51" customWidth="1"/>
    <col min="6367" max="6367" width="9.140625" style="51"/>
    <col min="6368" max="6368" width="9.140625" style="51" customWidth="1"/>
    <col min="6369" max="6369" width="9.140625" style="51"/>
    <col min="6370" max="6370" width="8.7109375" style="51" customWidth="1"/>
    <col min="6371" max="6371" width="7.42578125" style="51" customWidth="1"/>
    <col min="6372" max="6372" width="7.5703125" style="51" customWidth="1"/>
    <col min="6373" max="6373" width="9.140625" style="51" customWidth="1"/>
    <col min="6374" max="6374" width="9.140625" style="51"/>
    <col min="6375" max="6375" width="10" style="51" customWidth="1"/>
    <col min="6376" max="6376" width="7.85546875" style="51" customWidth="1"/>
    <col min="6377" max="6377" width="6.140625" style="51" customWidth="1"/>
    <col min="6378" max="6378" width="8.7109375" style="51" customWidth="1"/>
    <col min="6379" max="6618" width="9.140625" style="51"/>
    <col min="6619" max="6619" width="13.42578125" style="51" customWidth="1"/>
    <col min="6620" max="6620" width="9.140625" style="51"/>
    <col min="6621" max="6621" width="17" style="51" customWidth="1"/>
    <col min="6622" max="6622" width="7.5703125" style="51" customWidth="1"/>
    <col min="6623" max="6623" width="9.140625" style="51"/>
    <col min="6624" max="6624" width="9.140625" style="51" customWidth="1"/>
    <col min="6625" max="6625" width="9.140625" style="51"/>
    <col min="6626" max="6626" width="8.7109375" style="51" customWidth="1"/>
    <col min="6627" max="6627" width="7.42578125" style="51" customWidth="1"/>
    <col min="6628" max="6628" width="7.5703125" style="51" customWidth="1"/>
    <col min="6629" max="6629" width="9.140625" style="51" customWidth="1"/>
    <col min="6630" max="6630" width="9.140625" style="51"/>
    <col min="6631" max="6631" width="10" style="51" customWidth="1"/>
    <col min="6632" max="6632" width="7.85546875" style="51" customWidth="1"/>
    <col min="6633" max="6633" width="6.140625" style="51" customWidth="1"/>
    <col min="6634" max="6634" width="8.7109375" style="51" customWidth="1"/>
    <col min="6635" max="6874" width="9.140625" style="51"/>
    <col min="6875" max="6875" width="13.42578125" style="51" customWidth="1"/>
    <col min="6876" max="6876" width="9.140625" style="51"/>
    <col min="6877" max="6877" width="17" style="51" customWidth="1"/>
    <col min="6878" max="6878" width="7.5703125" style="51" customWidth="1"/>
    <col min="6879" max="6879" width="9.140625" style="51"/>
    <col min="6880" max="6880" width="9.140625" style="51" customWidth="1"/>
    <col min="6881" max="6881" width="9.140625" style="51"/>
    <col min="6882" max="6882" width="8.7109375" style="51" customWidth="1"/>
    <col min="6883" max="6883" width="7.42578125" style="51" customWidth="1"/>
    <col min="6884" max="6884" width="7.5703125" style="51" customWidth="1"/>
    <col min="6885" max="6885" width="9.140625" style="51" customWidth="1"/>
    <col min="6886" max="6886" width="9.140625" style="51"/>
    <col min="6887" max="6887" width="10" style="51" customWidth="1"/>
    <col min="6888" max="6888" width="7.85546875" style="51" customWidth="1"/>
    <col min="6889" max="6889" width="6.140625" style="51" customWidth="1"/>
    <col min="6890" max="6890" width="8.7109375" style="51" customWidth="1"/>
    <col min="6891" max="7130" width="9.140625" style="51"/>
    <col min="7131" max="7131" width="13.42578125" style="51" customWidth="1"/>
    <col min="7132" max="7132" width="9.140625" style="51"/>
    <col min="7133" max="7133" width="17" style="51" customWidth="1"/>
    <col min="7134" max="7134" width="7.5703125" style="51" customWidth="1"/>
    <col min="7135" max="7135" width="9.140625" style="51"/>
    <col min="7136" max="7136" width="9.140625" style="51" customWidth="1"/>
    <col min="7137" max="7137" width="9.140625" style="51"/>
    <col min="7138" max="7138" width="8.7109375" style="51" customWidth="1"/>
    <col min="7139" max="7139" width="7.42578125" style="51" customWidth="1"/>
    <col min="7140" max="7140" width="7.5703125" style="51" customWidth="1"/>
    <col min="7141" max="7141" width="9.140625" style="51" customWidth="1"/>
    <col min="7142" max="7142" width="9.140625" style="51"/>
    <col min="7143" max="7143" width="10" style="51" customWidth="1"/>
    <col min="7144" max="7144" width="7.85546875" style="51" customWidth="1"/>
    <col min="7145" max="7145" width="6.140625" style="51" customWidth="1"/>
    <col min="7146" max="7146" width="8.7109375" style="51" customWidth="1"/>
    <col min="7147" max="7386" width="9.140625" style="51"/>
    <col min="7387" max="7387" width="13.42578125" style="51" customWidth="1"/>
    <col min="7388" max="7388" width="9.140625" style="51"/>
    <col min="7389" max="7389" width="17" style="51" customWidth="1"/>
    <col min="7390" max="7390" width="7.5703125" style="51" customWidth="1"/>
    <col min="7391" max="7391" width="9.140625" style="51"/>
    <col min="7392" max="7392" width="9.140625" style="51" customWidth="1"/>
    <col min="7393" max="7393" width="9.140625" style="51"/>
    <col min="7394" max="7394" width="8.7109375" style="51" customWidth="1"/>
    <col min="7395" max="7395" width="7.42578125" style="51" customWidth="1"/>
    <col min="7396" max="7396" width="7.5703125" style="51" customWidth="1"/>
    <col min="7397" max="7397" width="9.140625" style="51" customWidth="1"/>
    <col min="7398" max="7398" width="9.140625" style="51"/>
    <col min="7399" max="7399" width="10" style="51" customWidth="1"/>
    <col min="7400" max="7400" width="7.85546875" style="51" customWidth="1"/>
    <col min="7401" max="7401" width="6.140625" style="51" customWidth="1"/>
    <col min="7402" max="7402" width="8.7109375" style="51" customWidth="1"/>
    <col min="7403" max="7642" width="9.140625" style="51"/>
    <col min="7643" max="7643" width="13.42578125" style="51" customWidth="1"/>
    <col min="7644" max="7644" width="9.140625" style="51"/>
    <col min="7645" max="7645" width="17" style="51" customWidth="1"/>
    <col min="7646" max="7646" width="7.5703125" style="51" customWidth="1"/>
    <col min="7647" max="7647" width="9.140625" style="51"/>
    <col min="7648" max="7648" width="9.140625" style="51" customWidth="1"/>
    <col min="7649" max="7649" width="9.140625" style="51"/>
    <col min="7650" max="7650" width="8.7109375" style="51" customWidth="1"/>
    <col min="7651" max="7651" width="7.42578125" style="51" customWidth="1"/>
    <col min="7652" max="7652" width="7.5703125" style="51" customWidth="1"/>
    <col min="7653" max="7653" width="9.140625" style="51" customWidth="1"/>
    <col min="7654" max="7654" width="9.140625" style="51"/>
    <col min="7655" max="7655" width="10" style="51" customWidth="1"/>
    <col min="7656" max="7656" width="7.85546875" style="51" customWidth="1"/>
    <col min="7657" max="7657" width="6.140625" style="51" customWidth="1"/>
    <col min="7658" max="7658" width="8.7109375" style="51" customWidth="1"/>
    <col min="7659" max="7898" width="9.140625" style="51"/>
    <col min="7899" max="7899" width="13.42578125" style="51" customWidth="1"/>
    <col min="7900" max="7900" width="9.140625" style="51"/>
    <col min="7901" max="7901" width="17" style="51" customWidth="1"/>
    <col min="7902" max="7902" width="7.5703125" style="51" customWidth="1"/>
    <col min="7903" max="7903" width="9.140625" style="51"/>
    <col min="7904" max="7904" width="9.140625" style="51" customWidth="1"/>
    <col min="7905" max="7905" width="9.140625" style="51"/>
    <col min="7906" max="7906" width="8.7109375" style="51" customWidth="1"/>
    <col min="7907" max="7907" width="7.42578125" style="51" customWidth="1"/>
    <col min="7908" max="7908" width="7.5703125" style="51" customWidth="1"/>
    <col min="7909" max="7909" width="9.140625" style="51" customWidth="1"/>
    <col min="7910" max="7910" width="9.140625" style="51"/>
    <col min="7911" max="7911" width="10" style="51" customWidth="1"/>
    <col min="7912" max="7912" width="7.85546875" style="51" customWidth="1"/>
    <col min="7913" max="7913" width="6.140625" style="51" customWidth="1"/>
    <col min="7914" max="7914" width="8.7109375" style="51" customWidth="1"/>
    <col min="7915" max="8154" width="9.140625" style="51"/>
    <col min="8155" max="8155" width="13.42578125" style="51" customWidth="1"/>
    <col min="8156" max="8156" width="9.140625" style="51"/>
    <col min="8157" max="8157" width="17" style="51" customWidth="1"/>
    <col min="8158" max="8158" width="7.5703125" style="51" customWidth="1"/>
    <col min="8159" max="8159" width="9.140625" style="51"/>
    <col min="8160" max="8160" width="9.140625" style="51" customWidth="1"/>
    <col min="8161" max="8161" width="9.140625" style="51"/>
    <col min="8162" max="8162" width="8.7109375" style="51" customWidth="1"/>
    <col min="8163" max="8163" width="7.42578125" style="51" customWidth="1"/>
    <col min="8164" max="8164" width="7.5703125" style="51" customWidth="1"/>
    <col min="8165" max="8165" width="9.140625" style="51" customWidth="1"/>
    <col min="8166" max="8166" width="9.140625" style="51"/>
    <col min="8167" max="8167" width="10" style="51" customWidth="1"/>
    <col min="8168" max="8168" width="7.85546875" style="51" customWidth="1"/>
    <col min="8169" max="8169" width="6.140625" style="51" customWidth="1"/>
    <col min="8170" max="8170" width="8.7109375" style="51" customWidth="1"/>
    <col min="8171" max="8410" width="9.140625" style="51"/>
    <col min="8411" max="8411" width="13.42578125" style="51" customWidth="1"/>
    <col min="8412" max="8412" width="9.140625" style="51"/>
    <col min="8413" max="8413" width="17" style="51" customWidth="1"/>
    <col min="8414" max="8414" width="7.5703125" style="51" customWidth="1"/>
    <col min="8415" max="8415" width="9.140625" style="51"/>
    <col min="8416" max="8416" width="9.140625" style="51" customWidth="1"/>
    <col min="8417" max="8417" width="9.140625" style="51"/>
    <col min="8418" max="8418" width="8.7109375" style="51" customWidth="1"/>
    <col min="8419" max="8419" width="7.42578125" style="51" customWidth="1"/>
    <col min="8420" max="8420" width="7.5703125" style="51" customWidth="1"/>
    <col min="8421" max="8421" width="9.140625" style="51" customWidth="1"/>
    <col min="8422" max="8422" width="9.140625" style="51"/>
    <col min="8423" max="8423" width="10" style="51" customWidth="1"/>
    <col min="8424" max="8424" width="7.85546875" style="51" customWidth="1"/>
    <col min="8425" max="8425" width="6.140625" style="51" customWidth="1"/>
    <col min="8426" max="8426" width="8.7109375" style="51" customWidth="1"/>
    <col min="8427" max="8666" width="9.140625" style="51"/>
    <col min="8667" max="8667" width="13.42578125" style="51" customWidth="1"/>
    <col min="8668" max="8668" width="9.140625" style="51"/>
    <col min="8669" max="8669" width="17" style="51" customWidth="1"/>
    <col min="8670" max="8670" width="7.5703125" style="51" customWidth="1"/>
    <col min="8671" max="8671" width="9.140625" style="51"/>
    <col min="8672" max="8672" width="9.140625" style="51" customWidth="1"/>
    <col min="8673" max="8673" width="9.140625" style="51"/>
    <col min="8674" max="8674" width="8.7109375" style="51" customWidth="1"/>
    <col min="8675" max="8675" width="7.42578125" style="51" customWidth="1"/>
    <col min="8676" max="8676" width="7.5703125" style="51" customWidth="1"/>
    <col min="8677" max="8677" width="9.140625" style="51" customWidth="1"/>
    <col min="8678" max="8678" width="9.140625" style="51"/>
    <col min="8679" max="8679" width="10" style="51" customWidth="1"/>
    <col min="8680" max="8680" width="7.85546875" style="51" customWidth="1"/>
    <col min="8681" max="8681" width="6.140625" style="51" customWidth="1"/>
    <col min="8682" max="8682" width="8.7109375" style="51" customWidth="1"/>
    <col min="8683" max="8922" width="9.140625" style="51"/>
    <col min="8923" max="8923" width="13.42578125" style="51" customWidth="1"/>
    <col min="8924" max="8924" width="9.140625" style="51"/>
    <col min="8925" max="8925" width="17" style="51" customWidth="1"/>
    <col min="8926" max="8926" width="7.5703125" style="51" customWidth="1"/>
    <col min="8927" max="8927" width="9.140625" style="51"/>
    <col min="8928" max="8928" width="9.140625" style="51" customWidth="1"/>
    <col min="8929" max="8929" width="9.140625" style="51"/>
    <col min="8930" max="8930" width="8.7109375" style="51" customWidth="1"/>
    <col min="8931" max="8931" width="7.42578125" style="51" customWidth="1"/>
    <col min="8932" max="8932" width="7.5703125" style="51" customWidth="1"/>
    <col min="8933" max="8933" width="9.140625" style="51" customWidth="1"/>
    <col min="8934" max="8934" width="9.140625" style="51"/>
    <col min="8935" max="8935" width="10" style="51" customWidth="1"/>
    <col min="8936" max="8936" width="7.85546875" style="51" customWidth="1"/>
    <col min="8937" max="8937" width="6.140625" style="51" customWidth="1"/>
    <col min="8938" max="8938" width="8.7109375" style="51" customWidth="1"/>
    <col min="8939" max="9178" width="9.140625" style="51"/>
    <col min="9179" max="9179" width="13.42578125" style="51" customWidth="1"/>
    <col min="9180" max="9180" width="9.140625" style="51"/>
    <col min="9181" max="9181" width="17" style="51" customWidth="1"/>
    <col min="9182" max="9182" width="7.5703125" style="51" customWidth="1"/>
    <col min="9183" max="9183" width="9.140625" style="51"/>
    <col min="9184" max="9184" width="9.140625" style="51" customWidth="1"/>
    <col min="9185" max="9185" width="9.140625" style="51"/>
    <col min="9186" max="9186" width="8.7109375" style="51" customWidth="1"/>
    <col min="9187" max="9187" width="7.42578125" style="51" customWidth="1"/>
    <col min="9188" max="9188" width="7.5703125" style="51" customWidth="1"/>
    <col min="9189" max="9189" width="9.140625" style="51" customWidth="1"/>
    <col min="9190" max="9190" width="9.140625" style="51"/>
    <col min="9191" max="9191" width="10" style="51" customWidth="1"/>
    <col min="9192" max="9192" width="7.85546875" style="51" customWidth="1"/>
    <col min="9193" max="9193" width="6.140625" style="51" customWidth="1"/>
    <col min="9194" max="9194" width="8.7109375" style="51" customWidth="1"/>
    <col min="9195" max="9434" width="9.140625" style="51"/>
    <col min="9435" max="9435" width="13.42578125" style="51" customWidth="1"/>
    <col min="9436" max="9436" width="9.140625" style="51"/>
    <col min="9437" max="9437" width="17" style="51" customWidth="1"/>
    <col min="9438" max="9438" width="7.5703125" style="51" customWidth="1"/>
    <col min="9439" max="9439" width="9.140625" style="51"/>
    <col min="9440" max="9440" width="9.140625" style="51" customWidth="1"/>
    <col min="9441" max="9441" width="9.140625" style="51"/>
    <col min="9442" max="9442" width="8.7109375" style="51" customWidth="1"/>
    <col min="9443" max="9443" width="7.42578125" style="51" customWidth="1"/>
    <col min="9444" max="9444" width="7.5703125" style="51" customWidth="1"/>
    <col min="9445" max="9445" width="9.140625" style="51" customWidth="1"/>
    <col min="9446" max="9446" width="9.140625" style="51"/>
    <col min="9447" max="9447" width="10" style="51" customWidth="1"/>
    <col min="9448" max="9448" width="7.85546875" style="51" customWidth="1"/>
    <col min="9449" max="9449" width="6.140625" style="51" customWidth="1"/>
    <col min="9450" max="9450" width="8.7109375" style="51" customWidth="1"/>
    <col min="9451" max="9690" width="9.140625" style="51"/>
    <col min="9691" max="9691" width="13.42578125" style="51" customWidth="1"/>
    <col min="9692" max="9692" width="9.140625" style="51"/>
    <col min="9693" max="9693" width="17" style="51" customWidth="1"/>
    <col min="9694" max="9694" width="7.5703125" style="51" customWidth="1"/>
    <col min="9695" max="9695" width="9.140625" style="51"/>
    <col min="9696" max="9696" width="9.140625" style="51" customWidth="1"/>
    <col min="9697" max="9697" width="9.140625" style="51"/>
    <col min="9698" max="9698" width="8.7109375" style="51" customWidth="1"/>
    <col min="9699" max="9699" width="7.42578125" style="51" customWidth="1"/>
    <col min="9700" max="9700" width="7.5703125" style="51" customWidth="1"/>
    <col min="9701" max="9701" width="9.140625" style="51" customWidth="1"/>
    <col min="9702" max="9702" width="9.140625" style="51"/>
    <col min="9703" max="9703" width="10" style="51" customWidth="1"/>
    <col min="9704" max="9704" width="7.85546875" style="51" customWidth="1"/>
    <col min="9705" max="9705" width="6.140625" style="51" customWidth="1"/>
    <col min="9706" max="9706" width="8.7109375" style="51" customWidth="1"/>
    <col min="9707" max="9946" width="9.140625" style="51"/>
    <col min="9947" max="9947" width="13.42578125" style="51" customWidth="1"/>
    <col min="9948" max="9948" width="9.140625" style="51"/>
    <col min="9949" max="9949" width="17" style="51" customWidth="1"/>
    <col min="9950" max="9950" width="7.5703125" style="51" customWidth="1"/>
    <col min="9951" max="9951" width="9.140625" style="51"/>
    <col min="9952" max="9952" width="9.140625" style="51" customWidth="1"/>
    <col min="9953" max="9953" width="9.140625" style="51"/>
    <col min="9954" max="9954" width="8.7109375" style="51" customWidth="1"/>
    <col min="9955" max="9955" width="7.42578125" style="51" customWidth="1"/>
    <col min="9956" max="9956" width="7.5703125" style="51" customWidth="1"/>
    <col min="9957" max="9957" width="9.140625" style="51" customWidth="1"/>
    <col min="9958" max="9958" width="9.140625" style="51"/>
    <col min="9959" max="9959" width="10" style="51" customWidth="1"/>
    <col min="9960" max="9960" width="7.85546875" style="51" customWidth="1"/>
    <col min="9961" max="9961" width="6.140625" style="51" customWidth="1"/>
    <col min="9962" max="9962" width="8.7109375" style="51" customWidth="1"/>
    <col min="9963" max="10202" width="9.140625" style="51"/>
    <col min="10203" max="10203" width="13.42578125" style="51" customWidth="1"/>
    <col min="10204" max="10204" width="9.140625" style="51"/>
    <col min="10205" max="10205" width="17" style="51" customWidth="1"/>
    <col min="10206" max="10206" width="7.5703125" style="51" customWidth="1"/>
    <col min="10207" max="10207" width="9.140625" style="51"/>
    <col min="10208" max="10208" width="9.140625" style="51" customWidth="1"/>
    <col min="10209" max="10209" width="9.140625" style="51"/>
    <col min="10210" max="10210" width="8.7109375" style="51" customWidth="1"/>
    <col min="10211" max="10211" width="7.42578125" style="51" customWidth="1"/>
    <col min="10212" max="10212" width="7.5703125" style="51" customWidth="1"/>
    <col min="10213" max="10213" width="9.140625" style="51" customWidth="1"/>
    <col min="10214" max="10214" width="9.140625" style="51"/>
    <col min="10215" max="10215" width="10" style="51" customWidth="1"/>
    <col min="10216" max="10216" width="7.85546875" style="51" customWidth="1"/>
    <col min="10217" max="10217" width="6.140625" style="51" customWidth="1"/>
    <col min="10218" max="10218" width="8.7109375" style="51" customWidth="1"/>
    <col min="10219" max="10458" width="9.140625" style="51"/>
    <col min="10459" max="10459" width="13.42578125" style="51" customWidth="1"/>
    <col min="10460" max="10460" width="9.140625" style="51"/>
    <col min="10461" max="10461" width="17" style="51" customWidth="1"/>
    <col min="10462" max="10462" width="7.5703125" style="51" customWidth="1"/>
    <col min="10463" max="10463" width="9.140625" style="51"/>
    <col min="10464" max="10464" width="9.140625" style="51" customWidth="1"/>
    <col min="10465" max="10465" width="9.140625" style="51"/>
    <col min="10466" max="10466" width="8.7109375" style="51" customWidth="1"/>
    <col min="10467" max="10467" width="7.42578125" style="51" customWidth="1"/>
    <col min="10468" max="10468" width="7.5703125" style="51" customWidth="1"/>
    <col min="10469" max="10469" width="9.140625" style="51" customWidth="1"/>
    <col min="10470" max="10470" width="9.140625" style="51"/>
    <col min="10471" max="10471" width="10" style="51" customWidth="1"/>
    <col min="10472" max="10472" width="7.85546875" style="51" customWidth="1"/>
    <col min="10473" max="10473" width="6.140625" style="51" customWidth="1"/>
    <col min="10474" max="10474" width="8.7109375" style="51" customWidth="1"/>
    <col min="10475" max="10714" width="9.140625" style="51"/>
    <col min="10715" max="10715" width="13.42578125" style="51" customWidth="1"/>
    <col min="10716" max="10716" width="9.140625" style="51"/>
    <col min="10717" max="10717" width="17" style="51" customWidth="1"/>
    <col min="10718" max="10718" width="7.5703125" style="51" customWidth="1"/>
    <col min="10719" max="10719" width="9.140625" style="51"/>
    <col min="10720" max="10720" width="9.140625" style="51" customWidth="1"/>
    <col min="10721" max="10721" width="9.140625" style="51"/>
    <col min="10722" max="10722" width="8.7109375" style="51" customWidth="1"/>
    <col min="10723" max="10723" width="7.42578125" style="51" customWidth="1"/>
    <col min="10724" max="10724" width="7.5703125" style="51" customWidth="1"/>
    <col min="10725" max="10725" width="9.140625" style="51" customWidth="1"/>
    <col min="10726" max="10726" width="9.140625" style="51"/>
    <col min="10727" max="10727" width="10" style="51" customWidth="1"/>
    <col min="10728" max="10728" width="7.85546875" style="51" customWidth="1"/>
    <col min="10729" max="10729" width="6.140625" style="51" customWidth="1"/>
    <col min="10730" max="10730" width="8.7109375" style="51" customWidth="1"/>
    <col min="10731" max="10970" width="9.140625" style="51"/>
    <col min="10971" max="10971" width="13.42578125" style="51" customWidth="1"/>
    <col min="10972" max="10972" width="9.140625" style="51"/>
    <col min="10973" max="10973" width="17" style="51" customWidth="1"/>
    <col min="10974" max="10974" width="7.5703125" style="51" customWidth="1"/>
    <col min="10975" max="10975" width="9.140625" style="51"/>
    <col min="10976" max="10976" width="9.140625" style="51" customWidth="1"/>
    <col min="10977" max="10977" width="9.140625" style="51"/>
    <col min="10978" max="10978" width="8.7109375" style="51" customWidth="1"/>
    <col min="10979" max="10979" width="7.42578125" style="51" customWidth="1"/>
    <col min="10980" max="10980" width="7.5703125" style="51" customWidth="1"/>
    <col min="10981" max="10981" width="9.140625" style="51" customWidth="1"/>
    <col min="10982" max="10982" width="9.140625" style="51"/>
    <col min="10983" max="10983" width="10" style="51" customWidth="1"/>
    <col min="10984" max="10984" width="7.85546875" style="51" customWidth="1"/>
    <col min="10985" max="10985" width="6.140625" style="51" customWidth="1"/>
    <col min="10986" max="10986" width="8.7109375" style="51" customWidth="1"/>
    <col min="10987" max="11226" width="9.140625" style="51"/>
    <col min="11227" max="11227" width="13.42578125" style="51" customWidth="1"/>
    <col min="11228" max="11228" width="9.140625" style="51"/>
    <col min="11229" max="11229" width="17" style="51" customWidth="1"/>
    <col min="11230" max="11230" width="7.5703125" style="51" customWidth="1"/>
    <col min="11231" max="11231" width="9.140625" style="51"/>
    <col min="11232" max="11232" width="9.140625" style="51" customWidth="1"/>
    <col min="11233" max="11233" width="9.140625" style="51"/>
    <col min="11234" max="11234" width="8.7109375" style="51" customWidth="1"/>
    <col min="11235" max="11235" width="7.42578125" style="51" customWidth="1"/>
    <col min="11236" max="11236" width="7.5703125" style="51" customWidth="1"/>
    <col min="11237" max="11237" width="9.140625" style="51" customWidth="1"/>
    <col min="11238" max="11238" width="9.140625" style="51"/>
    <col min="11239" max="11239" width="10" style="51" customWidth="1"/>
    <col min="11240" max="11240" width="7.85546875" style="51" customWidth="1"/>
    <col min="11241" max="11241" width="6.140625" style="51" customWidth="1"/>
    <col min="11242" max="11242" width="8.7109375" style="51" customWidth="1"/>
    <col min="11243" max="11482" width="9.140625" style="51"/>
    <col min="11483" max="11483" width="13.42578125" style="51" customWidth="1"/>
    <col min="11484" max="11484" width="9.140625" style="51"/>
    <col min="11485" max="11485" width="17" style="51" customWidth="1"/>
    <col min="11486" max="11486" width="7.5703125" style="51" customWidth="1"/>
    <col min="11487" max="11487" width="9.140625" style="51"/>
    <col min="11488" max="11488" width="9.140625" style="51" customWidth="1"/>
    <col min="11489" max="11489" width="9.140625" style="51"/>
    <col min="11490" max="11490" width="8.7109375" style="51" customWidth="1"/>
    <col min="11491" max="11491" width="7.42578125" style="51" customWidth="1"/>
    <col min="11492" max="11492" width="7.5703125" style="51" customWidth="1"/>
    <col min="11493" max="11493" width="9.140625" style="51" customWidth="1"/>
    <col min="11494" max="11494" width="9.140625" style="51"/>
    <col min="11495" max="11495" width="10" style="51" customWidth="1"/>
    <col min="11496" max="11496" width="7.85546875" style="51" customWidth="1"/>
    <col min="11497" max="11497" width="6.140625" style="51" customWidth="1"/>
    <col min="11498" max="11498" width="8.7109375" style="51" customWidth="1"/>
    <col min="11499" max="11738" width="9.140625" style="51"/>
    <col min="11739" max="11739" width="13.42578125" style="51" customWidth="1"/>
    <col min="11740" max="11740" width="9.140625" style="51"/>
    <col min="11741" max="11741" width="17" style="51" customWidth="1"/>
    <col min="11742" max="11742" width="7.5703125" style="51" customWidth="1"/>
    <col min="11743" max="11743" width="9.140625" style="51"/>
    <col min="11744" max="11744" width="9.140625" style="51" customWidth="1"/>
    <col min="11745" max="11745" width="9.140625" style="51"/>
    <col min="11746" max="11746" width="8.7109375" style="51" customWidth="1"/>
    <col min="11747" max="11747" width="7.42578125" style="51" customWidth="1"/>
    <col min="11748" max="11748" width="7.5703125" style="51" customWidth="1"/>
    <col min="11749" max="11749" width="9.140625" style="51" customWidth="1"/>
    <col min="11750" max="11750" width="9.140625" style="51"/>
    <col min="11751" max="11751" width="10" style="51" customWidth="1"/>
    <col min="11752" max="11752" width="7.85546875" style="51" customWidth="1"/>
    <col min="11753" max="11753" width="6.140625" style="51" customWidth="1"/>
    <col min="11754" max="11754" width="8.7109375" style="51" customWidth="1"/>
    <col min="11755" max="11994" width="9.140625" style="51"/>
    <col min="11995" max="11995" width="13.42578125" style="51" customWidth="1"/>
    <col min="11996" max="11996" width="9.140625" style="51"/>
    <col min="11997" max="11997" width="17" style="51" customWidth="1"/>
    <col min="11998" max="11998" width="7.5703125" style="51" customWidth="1"/>
    <col min="11999" max="11999" width="9.140625" style="51"/>
    <col min="12000" max="12000" width="9.140625" style="51" customWidth="1"/>
    <col min="12001" max="12001" width="9.140625" style="51"/>
    <col min="12002" max="12002" width="8.7109375" style="51" customWidth="1"/>
    <col min="12003" max="12003" width="7.42578125" style="51" customWidth="1"/>
    <col min="12004" max="12004" width="7.5703125" style="51" customWidth="1"/>
    <col min="12005" max="12005" width="9.140625" style="51" customWidth="1"/>
    <col min="12006" max="12006" width="9.140625" style="51"/>
    <col min="12007" max="12007" width="10" style="51" customWidth="1"/>
    <col min="12008" max="12008" width="7.85546875" style="51" customWidth="1"/>
    <col min="12009" max="12009" width="6.140625" style="51" customWidth="1"/>
    <col min="12010" max="12010" width="8.7109375" style="51" customWidth="1"/>
    <col min="12011" max="12250" width="9.140625" style="51"/>
    <col min="12251" max="12251" width="13.42578125" style="51" customWidth="1"/>
    <col min="12252" max="12252" width="9.140625" style="51"/>
    <col min="12253" max="12253" width="17" style="51" customWidth="1"/>
    <col min="12254" max="12254" width="7.5703125" style="51" customWidth="1"/>
    <col min="12255" max="12255" width="9.140625" style="51"/>
    <col min="12256" max="12256" width="9.140625" style="51" customWidth="1"/>
    <col min="12257" max="12257" width="9.140625" style="51"/>
    <col min="12258" max="12258" width="8.7109375" style="51" customWidth="1"/>
    <col min="12259" max="12259" width="7.42578125" style="51" customWidth="1"/>
    <col min="12260" max="12260" width="7.5703125" style="51" customWidth="1"/>
    <col min="12261" max="12261" width="9.140625" style="51" customWidth="1"/>
    <col min="12262" max="12262" width="9.140625" style="51"/>
    <col min="12263" max="12263" width="10" style="51" customWidth="1"/>
    <col min="12264" max="12264" width="7.85546875" style="51" customWidth="1"/>
    <col min="12265" max="12265" width="6.140625" style="51" customWidth="1"/>
    <col min="12266" max="12266" width="8.7109375" style="51" customWidth="1"/>
    <col min="12267" max="12506" width="9.140625" style="51"/>
    <col min="12507" max="12507" width="13.42578125" style="51" customWidth="1"/>
    <col min="12508" max="12508" width="9.140625" style="51"/>
    <col min="12509" max="12509" width="17" style="51" customWidth="1"/>
    <col min="12510" max="12510" width="7.5703125" style="51" customWidth="1"/>
    <col min="12511" max="12511" width="9.140625" style="51"/>
    <col min="12512" max="12512" width="9.140625" style="51" customWidth="1"/>
    <col min="12513" max="12513" width="9.140625" style="51"/>
    <col min="12514" max="12514" width="8.7109375" style="51" customWidth="1"/>
    <col min="12515" max="12515" width="7.42578125" style="51" customWidth="1"/>
    <col min="12516" max="12516" width="7.5703125" style="51" customWidth="1"/>
    <col min="12517" max="12517" width="9.140625" style="51" customWidth="1"/>
    <col min="12518" max="12518" width="9.140625" style="51"/>
    <col min="12519" max="12519" width="10" style="51" customWidth="1"/>
    <col min="12520" max="12520" width="7.85546875" style="51" customWidth="1"/>
    <col min="12521" max="12521" width="6.140625" style="51" customWidth="1"/>
    <col min="12522" max="12522" width="8.7109375" style="51" customWidth="1"/>
    <col min="12523" max="12762" width="9.140625" style="51"/>
    <col min="12763" max="12763" width="13.42578125" style="51" customWidth="1"/>
    <col min="12764" max="12764" width="9.140625" style="51"/>
    <col min="12765" max="12765" width="17" style="51" customWidth="1"/>
    <col min="12766" max="12766" width="7.5703125" style="51" customWidth="1"/>
    <col min="12767" max="12767" width="9.140625" style="51"/>
    <col min="12768" max="12768" width="9.140625" style="51" customWidth="1"/>
    <col min="12769" max="12769" width="9.140625" style="51"/>
    <col min="12770" max="12770" width="8.7109375" style="51" customWidth="1"/>
    <col min="12771" max="12771" width="7.42578125" style="51" customWidth="1"/>
    <col min="12772" max="12772" width="7.5703125" style="51" customWidth="1"/>
    <col min="12773" max="12773" width="9.140625" style="51" customWidth="1"/>
    <col min="12774" max="12774" width="9.140625" style="51"/>
    <col min="12775" max="12775" width="10" style="51" customWidth="1"/>
    <col min="12776" max="12776" width="7.85546875" style="51" customWidth="1"/>
    <col min="12777" max="12777" width="6.140625" style="51" customWidth="1"/>
    <col min="12778" max="12778" width="8.7109375" style="51" customWidth="1"/>
    <col min="12779" max="13018" width="9.140625" style="51"/>
    <col min="13019" max="13019" width="13.42578125" style="51" customWidth="1"/>
    <col min="13020" max="13020" width="9.140625" style="51"/>
    <col min="13021" max="13021" width="17" style="51" customWidth="1"/>
    <col min="13022" max="13022" width="7.5703125" style="51" customWidth="1"/>
    <col min="13023" max="13023" width="9.140625" style="51"/>
    <col min="13024" max="13024" width="9.140625" style="51" customWidth="1"/>
    <col min="13025" max="13025" width="9.140625" style="51"/>
    <col min="13026" max="13026" width="8.7109375" style="51" customWidth="1"/>
    <col min="13027" max="13027" width="7.42578125" style="51" customWidth="1"/>
    <col min="13028" max="13028" width="7.5703125" style="51" customWidth="1"/>
    <col min="13029" max="13029" width="9.140625" style="51" customWidth="1"/>
    <col min="13030" max="13030" width="9.140625" style="51"/>
    <col min="13031" max="13031" width="10" style="51" customWidth="1"/>
    <col min="13032" max="13032" width="7.85546875" style="51" customWidth="1"/>
    <col min="13033" max="13033" width="6.140625" style="51" customWidth="1"/>
    <col min="13034" max="13034" width="8.7109375" style="51" customWidth="1"/>
    <col min="13035" max="13274" width="9.140625" style="51"/>
    <col min="13275" max="13275" width="13.42578125" style="51" customWidth="1"/>
    <col min="13276" max="13276" width="9.140625" style="51"/>
    <col min="13277" max="13277" width="17" style="51" customWidth="1"/>
    <col min="13278" max="13278" width="7.5703125" style="51" customWidth="1"/>
    <col min="13279" max="13279" width="9.140625" style="51"/>
    <col min="13280" max="13280" width="9.140625" style="51" customWidth="1"/>
    <col min="13281" max="13281" width="9.140625" style="51"/>
    <col min="13282" max="13282" width="8.7109375" style="51" customWidth="1"/>
    <col min="13283" max="13283" width="7.42578125" style="51" customWidth="1"/>
    <col min="13284" max="13284" width="7.5703125" style="51" customWidth="1"/>
    <col min="13285" max="13285" width="9.140625" style="51" customWidth="1"/>
    <col min="13286" max="13286" width="9.140625" style="51"/>
    <col min="13287" max="13287" width="10" style="51" customWidth="1"/>
    <col min="13288" max="13288" width="7.85546875" style="51" customWidth="1"/>
    <col min="13289" max="13289" width="6.140625" style="51" customWidth="1"/>
    <col min="13290" max="13290" width="8.7109375" style="51" customWidth="1"/>
    <col min="13291" max="13530" width="9.140625" style="51"/>
    <col min="13531" max="13531" width="13.42578125" style="51" customWidth="1"/>
    <col min="13532" max="13532" width="9.140625" style="51"/>
    <col min="13533" max="13533" width="17" style="51" customWidth="1"/>
    <col min="13534" max="13534" width="7.5703125" style="51" customWidth="1"/>
    <col min="13535" max="13535" width="9.140625" style="51"/>
    <col min="13536" max="13536" width="9.140625" style="51" customWidth="1"/>
    <col min="13537" max="13537" width="9.140625" style="51"/>
    <col min="13538" max="13538" width="8.7109375" style="51" customWidth="1"/>
    <col min="13539" max="13539" width="7.42578125" style="51" customWidth="1"/>
    <col min="13540" max="13540" width="7.5703125" style="51" customWidth="1"/>
    <col min="13541" max="13541" width="9.140625" style="51" customWidth="1"/>
    <col min="13542" max="13542" width="9.140625" style="51"/>
    <col min="13543" max="13543" width="10" style="51" customWidth="1"/>
    <col min="13544" max="13544" width="7.85546875" style="51" customWidth="1"/>
    <col min="13545" max="13545" width="6.140625" style="51" customWidth="1"/>
    <col min="13546" max="13546" width="8.7109375" style="51" customWidth="1"/>
    <col min="13547" max="13786" width="9.140625" style="51"/>
    <col min="13787" max="13787" width="13.42578125" style="51" customWidth="1"/>
    <col min="13788" max="13788" width="9.140625" style="51"/>
    <col min="13789" max="13789" width="17" style="51" customWidth="1"/>
    <col min="13790" max="13790" width="7.5703125" style="51" customWidth="1"/>
    <col min="13791" max="13791" width="9.140625" style="51"/>
    <col min="13792" max="13792" width="9.140625" style="51" customWidth="1"/>
    <col min="13793" max="13793" width="9.140625" style="51"/>
    <col min="13794" max="13794" width="8.7109375" style="51" customWidth="1"/>
    <col min="13795" max="13795" width="7.42578125" style="51" customWidth="1"/>
    <col min="13796" max="13796" width="7.5703125" style="51" customWidth="1"/>
    <col min="13797" max="13797" width="9.140625" style="51" customWidth="1"/>
    <col min="13798" max="13798" width="9.140625" style="51"/>
    <col min="13799" max="13799" width="10" style="51" customWidth="1"/>
    <col min="13800" max="13800" width="7.85546875" style="51" customWidth="1"/>
    <col min="13801" max="13801" width="6.140625" style="51" customWidth="1"/>
    <col min="13802" max="13802" width="8.7109375" style="51" customWidth="1"/>
    <col min="13803" max="14042" width="9.140625" style="51"/>
    <col min="14043" max="14043" width="13.42578125" style="51" customWidth="1"/>
    <col min="14044" max="14044" width="9.140625" style="51"/>
    <col min="14045" max="14045" width="17" style="51" customWidth="1"/>
    <col min="14046" max="14046" width="7.5703125" style="51" customWidth="1"/>
    <col min="14047" max="14047" width="9.140625" style="51"/>
    <col min="14048" max="14048" width="9.140625" style="51" customWidth="1"/>
    <col min="14049" max="14049" width="9.140625" style="51"/>
    <col min="14050" max="14050" width="8.7109375" style="51" customWidth="1"/>
    <col min="14051" max="14051" width="7.42578125" style="51" customWidth="1"/>
    <col min="14052" max="14052" width="7.5703125" style="51" customWidth="1"/>
    <col min="14053" max="14053" width="9.140625" style="51" customWidth="1"/>
    <col min="14054" max="14054" width="9.140625" style="51"/>
    <col min="14055" max="14055" width="10" style="51" customWidth="1"/>
    <col min="14056" max="14056" width="7.85546875" style="51" customWidth="1"/>
    <col min="14057" max="14057" width="6.140625" style="51" customWidth="1"/>
    <col min="14058" max="14058" width="8.7109375" style="51" customWidth="1"/>
    <col min="14059" max="14298" width="9.140625" style="51"/>
    <col min="14299" max="14299" width="13.42578125" style="51" customWidth="1"/>
    <col min="14300" max="14300" width="9.140625" style="51"/>
    <col min="14301" max="14301" width="17" style="51" customWidth="1"/>
    <col min="14302" max="14302" width="7.5703125" style="51" customWidth="1"/>
    <col min="14303" max="14303" width="9.140625" style="51"/>
    <col min="14304" max="14304" width="9.140625" style="51" customWidth="1"/>
    <col min="14305" max="14305" width="9.140625" style="51"/>
    <col min="14306" max="14306" width="8.7109375" style="51" customWidth="1"/>
    <col min="14307" max="14307" width="7.42578125" style="51" customWidth="1"/>
    <col min="14308" max="14308" width="7.5703125" style="51" customWidth="1"/>
    <col min="14309" max="14309" width="9.140625" style="51" customWidth="1"/>
    <col min="14310" max="14310" width="9.140625" style="51"/>
    <col min="14311" max="14311" width="10" style="51" customWidth="1"/>
    <col min="14312" max="14312" width="7.85546875" style="51" customWidth="1"/>
    <col min="14313" max="14313" width="6.140625" style="51" customWidth="1"/>
    <col min="14314" max="14314" width="8.7109375" style="51" customWidth="1"/>
    <col min="14315" max="14554" width="9.140625" style="51"/>
    <col min="14555" max="14555" width="13.42578125" style="51" customWidth="1"/>
    <col min="14556" max="14556" width="9.140625" style="51"/>
    <col min="14557" max="14557" width="17" style="51" customWidth="1"/>
    <col min="14558" max="14558" width="7.5703125" style="51" customWidth="1"/>
    <col min="14559" max="14559" width="9.140625" style="51"/>
    <col min="14560" max="14560" width="9.140625" style="51" customWidth="1"/>
    <col min="14561" max="14561" width="9.140625" style="51"/>
    <col min="14562" max="14562" width="8.7109375" style="51" customWidth="1"/>
    <col min="14563" max="14563" width="7.42578125" style="51" customWidth="1"/>
    <col min="14564" max="14564" width="7.5703125" style="51" customWidth="1"/>
    <col min="14565" max="14565" width="9.140625" style="51" customWidth="1"/>
    <col min="14566" max="14566" width="9.140625" style="51"/>
    <col min="14567" max="14567" width="10" style="51" customWidth="1"/>
    <col min="14568" max="14568" width="7.85546875" style="51" customWidth="1"/>
    <col min="14569" max="14569" width="6.140625" style="51" customWidth="1"/>
    <col min="14570" max="14570" width="8.7109375" style="51" customWidth="1"/>
    <col min="14571" max="14810" width="9.140625" style="51"/>
    <col min="14811" max="14811" width="13.42578125" style="51" customWidth="1"/>
    <col min="14812" max="14812" width="9.140625" style="51"/>
    <col min="14813" max="14813" width="17" style="51" customWidth="1"/>
    <col min="14814" max="14814" width="7.5703125" style="51" customWidth="1"/>
    <col min="14815" max="14815" width="9.140625" style="51"/>
    <col min="14816" max="14816" width="9.140625" style="51" customWidth="1"/>
    <col min="14817" max="14817" width="9.140625" style="51"/>
    <col min="14818" max="14818" width="8.7109375" style="51" customWidth="1"/>
    <col min="14819" max="14819" width="7.42578125" style="51" customWidth="1"/>
    <col min="14820" max="14820" width="7.5703125" style="51" customWidth="1"/>
    <col min="14821" max="14821" width="9.140625" style="51" customWidth="1"/>
    <col min="14822" max="14822" width="9.140625" style="51"/>
    <col min="14823" max="14823" width="10" style="51" customWidth="1"/>
    <col min="14824" max="14824" width="7.85546875" style="51" customWidth="1"/>
    <col min="14825" max="14825" width="6.140625" style="51" customWidth="1"/>
    <col min="14826" max="14826" width="8.7109375" style="51" customWidth="1"/>
    <col min="14827" max="15066" width="9.140625" style="51"/>
    <col min="15067" max="15067" width="13.42578125" style="51" customWidth="1"/>
    <col min="15068" max="15068" width="9.140625" style="51"/>
    <col min="15069" max="15069" width="17" style="51" customWidth="1"/>
    <col min="15070" max="15070" width="7.5703125" style="51" customWidth="1"/>
    <col min="15071" max="15071" width="9.140625" style="51"/>
    <col min="15072" max="15072" width="9.140625" style="51" customWidth="1"/>
    <col min="15073" max="15073" width="9.140625" style="51"/>
    <col min="15074" max="15074" width="8.7109375" style="51" customWidth="1"/>
    <col min="15075" max="15075" width="7.42578125" style="51" customWidth="1"/>
    <col min="15076" max="15076" width="7.5703125" style="51" customWidth="1"/>
    <col min="15077" max="15077" width="9.140625" style="51" customWidth="1"/>
    <col min="15078" max="15078" width="9.140625" style="51"/>
    <col min="15079" max="15079" width="10" style="51" customWidth="1"/>
    <col min="15080" max="15080" width="7.85546875" style="51" customWidth="1"/>
    <col min="15081" max="15081" width="6.140625" style="51" customWidth="1"/>
    <col min="15082" max="15082" width="8.7109375" style="51" customWidth="1"/>
    <col min="15083" max="15322" width="9.140625" style="51"/>
    <col min="15323" max="15323" width="13.42578125" style="51" customWidth="1"/>
    <col min="15324" max="15324" width="9.140625" style="51"/>
    <col min="15325" max="15325" width="17" style="51" customWidth="1"/>
    <col min="15326" max="15326" width="7.5703125" style="51" customWidth="1"/>
    <col min="15327" max="15327" width="9.140625" style="51"/>
    <col min="15328" max="15328" width="9.140625" style="51" customWidth="1"/>
    <col min="15329" max="15329" width="9.140625" style="51"/>
    <col min="15330" max="15330" width="8.7109375" style="51" customWidth="1"/>
    <col min="15331" max="15331" width="7.42578125" style="51" customWidth="1"/>
    <col min="15332" max="15332" width="7.5703125" style="51" customWidth="1"/>
    <col min="15333" max="15333" width="9.140625" style="51" customWidth="1"/>
    <col min="15334" max="15334" width="9.140625" style="51"/>
    <col min="15335" max="15335" width="10" style="51" customWidth="1"/>
    <col min="15336" max="15336" width="7.85546875" style="51" customWidth="1"/>
    <col min="15337" max="15337" width="6.140625" style="51" customWidth="1"/>
    <col min="15338" max="15338" width="8.7109375" style="51" customWidth="1"/>
    <col min="15339" max="15578" width="9.140625" style="51"/>
    <col min="15579" max="15579" width="13.42578125" style="51" customWidth="1"/>
    <col min="15580" max="15580" width="9.140625" style="51"/>
    <col min="15581" max="15581" width="17" style="51" customWidth="1"/>
    <col min="15582" max="15582" width="7.5703125" style="51" customWidth="1"/>
    <col min="15583" max="15583" width="9.140625" style="51"/>
    <col min="15584" max="15584" width="9.140625" style="51" customWidth="1"/>
    <col min="15585" max="15585" width="9.140625" style="51"/>
    <col min="15586" max="15586" width="8.7109375" style="51" customWidth="1"/>
    <col min="15587" max="15587" width="7.42578125" style="51" customWidth="1"/>
    <col min="15588" max="15588" width="7.5703125" style="51" customWidth="1"/>
    <col min="15589" max="15589" width="9.140625" style="51" customWidth="1"/>
    <col min="15590" max="15590" width="9.140625" style="51"/>
    <col min="15591" max="15591" width="10" style="51" customWidth="1"/>
    <col min="15592" max="15592" width="7.85546875" style="51" customWidth="1"/>
    <col min="15593" max="15593" width="6.140625" style="51" customWidth="1"/>
    <col min="15594" max="15594" width="8.7109375" style="51" customWidth="1"/>
    <col min="15595" max="15834" width="9.140625" style="51"/>
    <col min="15835" max="15835" width="13.42578125" style="51" customWidth="1"/>
    <col min="15836" max="15836" width="9.140625" style="51"/>
    <col min="15837" max="15837" width="17" style="51" customWidth="1"/>
    <col min="15838" max="15838" width="7.5703125" style="51" customWidth="1"/>
    <col min="15839" max="15839" width="9.140625" style="51"/>
    <col min="15840" max="15840" width="9.140625" style="51" customWidth="1"/>
    <col min="15841" max="15841" width="9.140625" style="51"/>
    <col min="15842" max="15842" width="8.7109375" style="51" customWidth="1"/>
    <col min="15843" max="15843" width="7.42578125" style="51" customWidth="1"/>
    <col min="15844" max="15844" width="7.5703125" style="51" customWidth="1"/>
    <col min="15845" max="15845" width="9.140625" style="51" customWidth="1"/>
    <col min="15846" max="15846" width="9.140625" style="51"/>
    <col min="15847" max="15847" width="10" style="51" customWidth="1"/>
    <col min="15848" max="15848" width="7.85546875" style="51" customWidth="1"/>
    <col min="15849" max="15849" width="6.140625" style="51" customWidth="1"/>
    <col min="15850" max="15850" width="8.7109375" style="51" customWidth="1"/>
    <col min="15851" max="16090" width="9.140625" style="51"/>
    <col min="16091" max="16091" width="13.42578125" style="51" customWidth="1"/>
    <col min="16092" max="16092" width="9.140625" style="51"/>
    <col min="16093" max="16093" width="17" style="51" customWidth="1"/>
    <col min="16094" max="16094" width="7.5703125" style="51" customWidth="1"/>
    <col min="16095" max="16095" width="9.140625" style="51"/>
    <col min="16096" max="16096" width="9.140625" style="51" customWidth="1"/>
    <col min="16097" max="16097" width="9.140625" style="51"/>
    <col min="16098" max="16098" width="8.7109375" style="51" customWidth="1"/>
    <col min="16099" max="16099" width="7.42578125" style="51" customWidth="1"/>
    <col min="16100" max="16100" width="7.5703125" style="51" customWidth="1"/>
    <col min="16101" max="16101" width="9.140625" style="51" customWidth="1"/>
    <col min="16102" max="16102" width="9.140625" style="51"/>
    <col min="16103" max="16103" width="10" style="51" customWidth="1"/>
    <col min="16104" max="16104" width="7.85546875" style="51" customWidth="1"/>
    <col min="16105" max="16105" width="6.140625" style="51" customWidth="1"/>
    <col min="16106" max="16106" width="8.7109375" style="51" customWidth="1"/>
    <col min="16107" max="16358" width="9.140625" style="51"/>
    <col min="16359" max="16384" width="9.140625" style="51" customWidth="1"/>
  </cols>
  <sheetData>
    <row r="1" spans="1:11" ht="12.6" customHeight="1" x14ac:dyDescent="0.2">
      <c r="A1" s="951" t="s">
        <v>126</v>
      </c>
      <c r="B1" s="952"/>
      <c r="C1" s="952"/>
      <c r="D1" s="952"/>
      <c r="E1" s="952"/>
      <c r="F1" s="952"/>
      <c r="G1" s="952"/>
      <c r="H1" s="952"/>
      <c r="I1" s="952"/>
      <c r="J1" s="952"/>
      <c r="K1" s="953"/>
    </row>
    <row r="2" spans="1:11" ht="12.95" customHeight="1" thickBot="1" x14ac:dyDescent="0.25">
      <c r="A2" s="954"/>
      <c r="B2" s="955"/>
      <c r="C2" s="955"/>
      <c r="D2" s="955"/>
      <c r="E2" s="955"/>
      <c r="F2" s="955"/>
      <c r="G2" s="955"/>
      <c r="H2" s="955"/>
      <c r="I2" s="955"/>
      <c r="J2" s="955"/>
      <c r="K2" s="956"/>
    </row>
    <row r="3" spans="1:11" ht="12.95" customHeight="1" x14ac:dyDescent="0.2">
      <c r="A3" s="601">
        <f>ID!B31</f>
        <v>1</v>
      </c>
      <c r="B3" s="945" t="str">
        <f>ID!C31</f>
        <v>Peak Inspirasi Pressure (PIP) / (IPAP) (mbar)</v>
      </c>
      <c r="C3" s="946"/>
      <c r="D3" s="37" t="s">
        <v>429</v>
      </c>
      <c r="E3" s="52"/>
      <c r="F3" s="52"/>
      <c r="G3" s="52"/>
      <c r="H3" s="52"/>
      <c r="I3" s="52"/>
      <c r="J3" s="52"/>
      <c r="K3" s="53"/>
    </row>
    <row r="4" spans="1:11" ht="13.5" customHeight="1" x14ac:dyDescent="0.25">
      <c r="A4" s="58" t="s">
        <v>127</v>
      </c>
      <c r="B4" s="54" t="s">
        <v>128</v>
      </c>
      <c r="C4" s="55" t="s">
        <v>129</v>
      </c>
      <c r="D4" s="54" t="s">
        <v>130</v>
      </c>
      <c r="E4" s="56" t="s">
        <v>131</v>
      </c>
      <c r="F4" s="54" t="s">
        <v>132</v>
      </c>
      <c r="G4" s="55" t="s">
        <v>133</v>
      </c>
      <c r="H4" s="54" t="s">
        <v>134</v>
      </c>
      <c r="I4" s="55" t="s">
        <v>135</v>
      </c>
      <c r="J4" s="54" t="s">
        <v>136</v>
      </c>
      <c r="K4" s="57" t="s">
        <v>137</v>
      </c>
    </row>
    <row r="5" spans="1:11" ht="13.5" customHeight="1" x14ac:dyDescent="0.2">
      <c r="A5" s="6" t="s">
        <v>138</v>
      </c>
      <c r="B5" s="7" t="str">
        <f>$D$3</f>
        <v>mbar</v>
      </c>
      <c r="C5" s="637" t="s">
        <v>139</v>
      </c>
      <c r="D5" s="8">
        <f>'DB Gas Flow'!H104</f>
        <v>0</v>
      </c>
      <c r="E5" s="638">
        <f>SQRT(5)</f>
        <v>2.2360679774997898</v>
      </c>
      <c r="F5" s="7">
        <v>4</v>
      </c>
      <c r="G5" s="639">
        <f>D5/E5</f>
        <v>0</v>
      </c>
      <c r="H5" s="9">
        <v>1</v>
      </c>
      <c r="I5" s="639">
        <f>G5*H5</f>
        <v>0</v>
      </c>
      <c r="J5" s="10">
        <f>I5^2</f>
        <v>0</v>
      </c>
      <c r="K5" s="11">
        <f>I5^4/F5</f>
        <v>0</v>
      </c>
    </row>
    <row r="6" spans="1:11" ht="12.95" customHeight="1" x14ac:dyDescent="0.2">
      <c r="A6" s="12" t="s">
        <v>402</v>
      </c>
      <c r="B6" s="7" t="str">
        <f t="shared" ref="B6:B8" si="0">$D$3</f>
        <v>mbar</v>
      </c>
      <c r="C6" s="13" t="s">
        <v>139</v>
      </c>
      <c r="D6" s="14">
        <f>'DB Gas Flow'!J104</f>
        <v>0.10197100000000001</v>
      </c>
      <c r="E6" s="15">
        <v>2</v>
      </c>
      <c r="F6" s="7">
        <f>1/2*(100/10)^2</f>
        <v>50</v>
      </c>
      <c r="G6" s="16">
        <f>D6/E6</f>
        <v>5.0985500000000003E-2</v>
      </c>
      <c r="H6" s="7">
        <v>1</v>
      </c>
      <c r="I6" s="16">
        <f>G6*H6</f>
        <v>5.0985500000000003E-2</v>
      </c>
      <c r="J6" s="17">
        <f>I6^2</f>
        <v>2.5995212102500002E-3</v>
      </c>
      <c r="K6" s="18">
        <f>I6^4/F6</f>
        <v>1.3515021045079253E-7</v>
      </c>
    </row>
    <row r="7" spans="1:11" ht="12.95" customHeight="1" x14ac:dyDescent="0.2">
      <c r="A7" s="6" t="s">
        <v>404</v>
      </c>
      <c r="B7" s="7" t="str">
        <f t="shared" si="0"/>
        <v>mbar</v>
      </c>
      <c r="C7" s="13" t="s">
        <v>140</v>
      </c>
      <c r="D7" s="19">
        <f>'DB Gas Flow'!I104</f>
        <v>0.05</v>
      </c>
      <c r="E7" s="20">
        <f>SQRT(3)</f>
        <v>1.7320508075688772</v>
      </c>
      <c r="F7" s="7">
        <f t="shared" ref="F7:F8" si="1">1/2*(100/10)^2</f>
        <v>50</v>
      </c>
      <c r="G7" s="16">
        <f t="shared" ref="G7:G8" si="2">D7/E7</f>
        <v>2.8867513459481291E-2</v>
      </c>
      <c r="H7" s="7">
        <v>1</v>
      </c>
      <c r="I7" s="16">
        <f t="shared" ref="I7:I8" si="3">G7*H7</f>
        <v>2.8867513459481291E-2</v>
      </c>
      <c r="J7" s="17">
        <f>I7^2</f>
        <v>8.333333333333335E-4</v>
      </c>
      <c r="K7" s="18">
        <f t="shared" ref="K7:K8" si="4">I7^4/F7</f>
        <v>1.3888888888888894E-8</v>
      </c>
    </row>
    <row r="8" spans="1:11" ht="12.95" customHeight="1" x14ac:dyDescent="0.2">
      <c r="A8" s="23" t="s">
        <v>403</v>
      </c>
      <c r="B8" s="7" t="str">
        <f t="shared" si="0"/>
        <v>mbar</v>
      </c>
      <c r="C8" s="13" t="s">
        <v>140</v>
      </c>
      <c r="D8" s="24">
        <f>'DB Gas Flow'!K104</f>
        <v>1.4677362868313457E-3</v>
      </c>
      <c r="E8" s="20">
        <f>SQRT(3)</f>
        <v>1.7320508075688772</v>
      </c>
      <c r="F8" s="7">
        <f t="shared" si="1"/>
        <v>50</v>
      </c>
      <c r="G8" s="16">
        <f t="shared" si="2"/>
        <v>8.4739794030145926E-4</v>
      </c>
      <c r="H8" s="7">
        <v>1</v>
      </c>
      <c r="I8" s="16">
        <f t="shared" si="3"/>
        <v>8.4739794030145926E-4</v>
      </c>
      <c r="J8" s="17">
        <f t="shared" ref="J8" si="5">I8^2</f>
        <v>7.1808326922715553E-7</v>
      </c>
      <c r="K8" s="18">
        <f t="shared" si="4"/>
        <v>1.0312871630879191E-14</v>
      </c>
    </row>
    <row r="9" spans="1:11" ht="12.95" customHeight="1" x14ac:dyDescent="0.2">
      <c r="A9" s="23"/>
      <c r="B9" s="7"/>
      <c r="C9" s="7"/>
      <c r="D9" s="7"/>
      <c r="E9" s="20"/>
      <c r="F9" s="7"/>
      <c r="G9" s="21"/>
      <c r="H9" s="7"/>
      <c r="I9" s="21"/>
      <c r="J9" s="17"/>
      <c r="K9" s="22"/>
    </row>
    <row r="10" spans="1:11" ht="13.5" customHeight="1" x14ac:dyDescent="0.25">
      <c r="A10" s="59" t="s">
        <v>141</v>
      </c>
      <c r="B10" s="640"/>
      <c r="C10" s="640"/>
      <c r="D10" s="640"/>
      <c r="E10" s="25"/>
      <c r="F10" s="640"/>
      <c r="G10" s="640"/>
      <c r="H10" s="640"/>
      <c r="I10" s="640"/>
      <c r="J10" s="26">
        <f>SUM(J5:J8)</f>
        <v>3.4335726268525609E-3</v>
      </c>
      <c r="K10" s="27">
        <f>SUM(K5:K8)</f>
        <v>1.4903910965255306E-7</v>
      </c>
    </row>
    <row r="11" spans="1:11" ht="15" customHeight="1" x14ac:dyDescent="0.25">
      <c r="A11" s="65" t="s">
        <v>142</v>
      </c>
      <c r="B11" s="60"/>
      <c r="C11" s="60"/>
      <c r="D11" s="60"/>
      <c r="E11" s="61"/>
      <c r="F11" s="60"/>
      <c r="G11" s="62" t="s">
        <v>143</v>
      </c>
      <c r="H11" s="60"/>
      <c r="I11" s="60"/>
      <c r="J11" s="63">
        <f>SQRT(J10)</f>
        <v>5.8596694675148366E-2</v>
      </c>
      <c r="K11" s="64"/>
    </row>
    <row r="12" spans="1:11" ht="16.5" customHeight="1" x14ac:dyDescent="0.25">
      <c r="A12" s="59" t="s">
        <v>144</v>
      </c>
      <c r="B12" s="640"/>
      <c r="C12" s="640"/>
      <c r="D12" s="640"/>
      <c r="E12" s="25"/>
      <c r="F12" s="640"/>
      <c r="G12" s="641" t="s">
        <v>145</v>
      </c>
      <c r="H12" s="640"/>
      <c r="I12" s="640"/>
      <c r="J12" s="26">
        <f>J11^4/(K10)</f>
        <v>79.102867773131791</v>
      </c>
      <c r="K12" s="66"/>
    </row>
    <row r="13" spans="1:11" ht="16.5" customHeight="1" x14ac:dyDescent="0.25">
      <c r="A13" s="65" t="s">
        <v>146</v>
      </c>
      <c r="B13" s="60"/>
      <c r="C13" s="60"/>
      <c r="D13" s="60"/>
      <c r="E13" s="61"/>
      <c r="F13" s="60"/>
      <c r="G13" s="67" t="s">
        <v>147</v>
      </c>
      <c r="H13" s="60"/>
      <c r="I13" s="60"/>
      <c r="J13" s="68">
        <f>1.95996+(2.37356/J12)+(2.818745/J12^2)+(2.546662/J12^3)+(1.761829/J12^4)+(0.245458/J12^5)+(1.000764/J12^6)</f>
        <v>1.9904216576303133</v>
      </c>
      <c r="K13" s="64"/>
    </row>
    <row r="14" spans="1:11" ht="14.1" customHeight="1" thickBot="1" x14ac:dyDescent="0.3">
      <c r="A14" s="290" t="s">
        <v>148</v>
      </c>
      <c r="B14" s="291"/>
      <c r="C14" s="291"/>
      <c r="D14" s="291"/>
      <c r="E14" s="292"/>
      <c r="F14" s="291"/>
      <c r="G14" s="293" t="s">
        <v>149</v>
      </c>
      <c r="H14" s="291"/>
      <c r="I14" s="291"/>
      <c r="J14" s="294">
        <f>J11*J13</f>
        <v>0.11663213014696616</v>
      </c>
      <c r="K14" s="580" t="str">
        <f>D3</f>
        <v>mbar</v>
      </c>
    </row>
    <row r="15" spans="1:11" ht="14.1" customHeight="1" thickBot="1" x14ac:dyDescent="0.3">
      <c r="A15" s="59"/>
      <c r="B15" s="640"/>
      <c r="C15" s="640"/>
      <c r="D15" s="640"/>
      <c r="E15" s="25"/>
      <c r="F15" s="640"/>
      <c r="G15" s="642"/>
      <c r="H15" s="640"/>
      <c r="I15" s="640"/>
      <c r="J15" s="643"/>
      <c r="K15" s="71"/>
    </row>
    <row r="16" spans="1:11" ht="12.95" customHeight="1" x14ac:dyDescent="0.2">
      <c r="A16" s="601">
        <f>ID!B32</f>
        <v>2</v>
      </c>
      <c r="B16" s="947" t="str">
        <f>ID!C32</f>
        <v>Positive End Expiratory Pressure (PEEP) / (EPAP) (mbar)</v>
      </c>
      <c r="C16" s="948"/>
      <c r="D16" s="37" t="s">
        <v>429</v>
      </c>
      <c r="E16" s="52"/>
      <c r="F16" s="52"/>
      <c r="G16" s="52"/>
      <c r="H16" s="52"/>
      <c r="I16" s="52"/>
      <c r="J16" s="52"/>
      <c r="K16" s="53"/>
    </row>
    <row r="17" spans="1:11" ht="13.5" customHeight="1" x14ac:dyDescent="0.25">
      <c r="A17" s="58" t="s">
        <v>127</v>
      </c>
      <c r="B17" s="54" t="s">
        <v>128</v>
      </c>
      <c r="C17" s="55" t="s">
        <v>129</v>
      </c>
      <c r="D17" s="54" t="s">
        <v>130</v>
      </c>
      <c r="E17" s="56" t="s">
        <v>131</v>
      </c>
      <c r="F17" s="54" t="s">
        <v>132</v>
      </c>
      <c r="G17" s="55" t="s">
        <v>133</v>
      </c>
      <c r="H17" s="54" t="s">
        <v>134</v>
      </c>
      <c r="I17" s="55" t="s">
        <v>135</v>
      </c>
      <c r="J17" s="54" t="s">
        <v>136</v>
      </c>
      <c r="K17" s="57" t="s">
        <v>137</v>
      </c>
    </row>
    <row r="18" spans="1:11" ht="13.5" customHeight="1" x14ac:dyDescent="0.2">
      <c r="A18" s="6" t="s">
        <v>138</v>
      </c>
      <c r="B18" s="7" t="str">
        <f>D$16</f>
        <v>mbar</v>
      </c>
      <c r="C18" s="637" t="s">
        <v>139</v>
      </c>
      <c r="D18" s="8">
        <f>'DB Gas Flow'!H105</f>
        <v>0</v>
      </c>
      <c r="E18" s="638">
        <f>SQRT(5)</f>
        <v>2.2360679774997898</v>
      </c>
      <c r="F18" s="7">
        <v>4</v>
      </c>
      <c r="G18" s="639">
        <f>D18/E18</f>
        <v>0</v>
      </c>
      <c r="H18" s="9">
        <v>1</v>
      </c>
      <c r="I18" s="639">
        <f>G18*H18</f>
        <v>0</v>
      </c>
      <c r="J18" s="10">
        <f>I18^2</f>
        <v>0</v>
      </c>
      <c r="K18" s="11">
        <f>I18^4/F18</f>
        <v>0</v>
      </c>
    </row>
    <row r="19" spans="1:11" ht="12.95" customHeight="1" x14ac:dyDescent="0.2">
      <c r="A19" s="12" t="s">
        <v>402</v>
      </c>
      <c r="B19" s="7" t="str">
        <f t="shared" ref="B19:B21" si="6">D$16</f>
        <v>mbar</v>
      </c>
      <c r="C19" s="13" t="s">
        <v>139</v>
      </c>
      <c r="D19" s="14">
        <f>'DB Gas Flow'!J105</f>
        <v>0.10197100000000001</v>
      </c>
      <c r="E19" s="15">
        <v>2</v>
      </c>
      <c r="F19" s="7">
        <f>1/2*(100/10)^2</f>
        <v>50</v>
      </c>
      <c r="G19" s="16">
        <f>D19/E19</f>
        <v>5.0985500000000003E-2</v>
      </c>
      <c r="H19" s="7">
        <v>1</v>
      </c>
      <c r="I19" s="16">
        <f>G19*H19</f>
        <v>5.0985500000000003E-2</v>
      </c>
      <c r="J19" s="17">
        <f>I19^2</f>
        <v>2.5995212102500002E-3</v>
      </c>
      <c r="K19" s="18">
        <f>I19^4/F19</f>
        <v>1.3515021045079253E-7</v>
      </c>
    </row>
    <row r="20" spans="1:11" ht="12.95" customHeight="1" x14ac:dyDescent="0.2">
      <c r="A20" s="6" t="s">
        <v>404</v>
      </c>
      <c r="B20" s="7" t="str">
        <f t="shared" si="6"/>
        <v>mbar</v>
      </c>
      <c r="C20" s="13" t="s">
        <v>140</v>
      </c>
      <c r="D20" s="19">
        <f>'DB Gas Flow'!I105</f>
        <v>0.05</v>
      </c>
      <c r="E20" s="20">
        <f>SQRT(3)</f>
        <v>1.7320508075688772</v>
      </c>
      <c r="F20" s="7">
        <f t="shared" ref="F20:F21" si="7">1/2*(100/10)^2</f>
        <v>50</v>
      </c>
      <c r="G20" s="16">
        <f t="shared" ref="G20:G21" si="8">D20/E20</f>
        <v>2.8867513459481291E-2</v>
      </c>
      <c r="H20" s="7">
        <v>1</v>
      </c>
      <c r="I20" s="16">
        <f t="shared" ref="I20:I21" si="9">G20*H20</f>
        <v>2.8867513459481291E-2</v>
      </c>
      <c r="J20" s="17">
        <f t="shared" ref="J20:J21" si="10">I20^2</f>
        <v>8.333333333333335E-4</v>
      </c>
      <c r="K20" s="18">
        <f t="shared" ref="K20:K21" si="11">I20^4/F20</f>
        <v>1.3888888888888894E-8</v>
      </c>
    </row>
    <row r="21" spans="1:11" ht="12.95" customHeight="1" x14ac:dyDescent="0.2">
      <c r="A21" s="23" t="s">
        <v>403</v>
      </c>
      <c r="B21" s="7" t="str">
        <f t="shared" si="6"/>
        <v>mbar</v>
      </c>
      <c r="C21" s="13" t="s">
        <v>140</v>
      </c>
      <c r="D21" s="24">
        <f>'DB Gas Flow'!K105</f>
        <v>3.4201457874220623E-3</v>
      </c>
      <c r="E21" s="20">
        <f>SQRT(3)</f>
        <v>1.7320508075688772</v>
      </c>
      <c r="F21" s="7">
        <f t="shared" si="7"/>
        <v>50</v>
      </c>
      <c r="G21" s="16">
        <f t="shared" si="8"/>
        <v>1.9746220910358925E-3</v>
      </c>
      <c r="H21" s="7">
        <v>1</v>
      </c>
      <c r="I21" s="16">
        <f t="shared" si="9"/>
        <v>1.9746220910358925E-3</v>
      </c>
      <c r="J21" s="17">
        <f t="shared" si="10"/>
        <v>3.8991324024069605E-6</v>
      </c>
      <c r="K21" s="18">
        <f t="shared" si="11"/>
        <v>3.0406466982999747E-13</v>
      </c>
    </row>
    <row r="22" spans="1:11" ht="12.95" customHeight="1" x14ac:dyDescent="0.2">
      <c r="A22" s="23"/>
      <c r="B22" s="7"/>
      <c r="C22" s="7"/>
      <c r="D22" s="7"/>
      <c r="E22" s="20"/>
      <c r="F22" s="7"/>
      <c r="G22" s="21"/>
      <c r="H22" s="7"/>
      <c r="I22" s="21"/>
      <c r="J22" s="17"/>
      <c r="K22" s="22"/>
    </row>
    <row r="23" spans="1:11" ht="13.5" customHeight="1" x14ac:dyDescent="0.25">
      <c r="A23" s="59" t="s">
        <v>141</v>
      </c>
      <c r="B23" s="640"/>
      <c r="C23" s="640"/>
      <c r="D23" s="640"/>
      <c r="E23" s="25"/>
      <c r="F23" s="640"/>
      <c r="G23" s="640"/>
      <c r="H23" s="640"/>
      <c r="I23" s="640"/>
      <c r="J23" s="26">
        <f>SUM(J18:J21)</f>
        <v>3.4367536759857408E-3</v>
      </c>
      <c r="K23" s="27">
        <f>SUM(K18:K21)</f>
        <v>1.4903940340435124E-7</v>
      </c>
    </row>
    <row r="24" spans="1:11" ht="15" customHeight="1" x14ac:dyDescent="0.25">
      <c r="A24" s="65" t="s">
        <v>142</v>
      </c>
      <c r="B24" s="60"/>
      <c r="C24" s="60"/>
      <c r="D24" s="60"/>
      <c r="E24" s="61"/>
      <c r="F24" s="60"/>
      <c r="G24" s="62" t="s">
        <v>143</v>
      </c>
      <c r="H24" s="60"/>
      <c r="I24" s="60"/>
      <c r="J24" s="63">
        <f>SQRT(J23)</f>
        <v>5.8623831979714026E-2</v>
      </c>
      <c r="K24" s="64"/>
    </row>
    <row r="25" spans="1:11" ht="16.5" customHeight="1" x14ac:dyDescent="0.25">
      <c r="A25" s="59" t="s">
        <v>144</v>
      </c>
      <c r="B25" s="640"/>
      <c r="C25" s="640"/>
      <c r="D25" s="640"/>
      <c r="E25" s="25"/>
      <c r="F25" s="640"/>
      <c r="G25" s="641" t="s">
        <v>145</v>
      </c>
      <c r="H25" s="640"/>
      <c r="I25" s="640"/>
      <c r="J25" s="26">
        <f>J24^4/(K23)</f>
        <v>79.2493499008241</v>
      </c>
      <c r="K25" s="66"/>
    </row>
    <row r="26" spans="1:11" ht="16.5" customHeight="1" x14ac:dyDescent="0.25">
      <c r="A26" s="65" t="s">
        <v>146</v>
      </c>
      <c r="B26" s="60"/>
      <c r="C26" s="60"/>
      <c r="D26" s="60"/>
      <c r="E26" s="61"/>
      <c r="F26" s="60"/>
      <c r="G26" s="67" t="s">
        <v>147</v>
      </c>
      <c r="H26" s="60"/>
      <c r="I26" s="60"/>
      <c r="J26" s="68">
        <f>1.95996+(2.37356/J25)+(2.818745/J25^2)+(2.546662/J25^3)+(1.761829/J25^4)+(0.245458/J25^5)+(1.000764/J25^6)</f>
        <v>1.9903645028902293</v>
      </c>
      <c r="K26" s="64"/>
    </row>
    <row r="27" spans="1:11" ht="14.1" customHeight="1" thickBot="1" x14ac:dyDescent="0.3">
      <c r="A27" s="290" t="s">
        <v>148</v>
      </c>
      <c r="B27" s="291"/>
      <c r="C27" s="291"/>
      <c r="D27" s="291"/>
      <c r="E27" s="292"/>
      <c r="F27" s="291"/>
      <c r="G27" s="293" t="s">
        <v>149</v>
      </c>
      <c r="H27" s="291"/>
      <c r="I27" s="291"/>
      <c r="J27" s="294">
        <f>J24*J26</f>
        <v>0.11668279419582384</v>
      </c>
      <c r="K27" s="580" t="str">
        <f>D16</f>
        <v>mbar</v>
      </c>
    </row>
    <row r="28" spans="1:11" ht="14.1" customHeight="1" x14ac:dyDescent="0.2">
      <c r="A28" s="70"/>
      <c r="B28" s="644"/>
      <c r="C28" s="644"/>
      <c r="D28" s="644"/>
      <c r="E28" s="644"/>
      <c r="F28" s="644"/>
      <c r="G28" s="644"/>
      <c r="H28" s="644"/>
      <c r="I28" s="644"/>
      <c r="J28" s="644"/>
      <c r="K28" s="36"/>
    </row>
    <row r="29" spans="1:11" ht="12.95" customHeight="1" x14ac:dyDescent="0.2">
      <c r="A29" s="602">
        <f>ID!B33</f>
        <v>3</v>
      </c>
      <c r="B29" s="949" t="str">
        <f>ID!C33</f>
        <v>Breath Rate (BPM)</v>
      </c>
      <c r="C29" s="950"/>
      <c r="D29" s="5" t="s">
        <v>430</v>
      </c>
      <c r="E29" s="645"/>
      <c r="F29" s="645"/>
      <c r="G29" s="645"/>
      <c r="H29" s="645"/>
      <c r="I29" s="645"/>
      <c r="J29" s="645"/>
      <c r="K29" s="69"/>
    </row>
    <row r="30" spans="1:11" ht="13.5" customHeight="1" x14ac:dyDescent="0.25">
      <c r="A30" s="58" t="s">
        <v>127</v>
      </c>
      <c r="B30" s="54" t="s">
        <v>128</v>
      </c>
      <c r="C30" s="55" t="s">
        <v>129</v>
      </c>
      <c r="D30" s="54" t="s">
        <v>130</v>
      </c>
      <c r="E30" s="56" t="s">
        <v>131</v>
      </c>
      <c r="F30" s="54" t="s">
        <v>132</v>
      </c>
      <c r="G30" s="55" t="s">
        <v>133</v>
      </c>
      <c r="H30" s="54" t="s">
        <v>134</v>
      </c>
      <c r="I30" s="55" t="s">
        <v>135</v>
      </c>
      <c r="J30" s="54" t="s">
        <v>136</v>
      </c>
      <c r="K30" s="57" t="s">
        <v>137</v>
      </c>
    </row>
    <row r="31" spans="1:11" ht="13.5" customHeight="1" x14ac:dyDescent="0.2">
      <c r="A31" s="6" t="s">
        <v>138</v>
      </c>
      <c r="B31" s="7" t="str">
        <f>$D$29</f>
        <v>BPM</v>
      </c>
      <c r="C31" s="637" t="s">
        <v>139</v>
      </c>
      <c r="D31" s="8">
        <f>'DB Gas Flow'!H106</f>
        <v>0</v>
      </c>
      <c r="E31" s="638">
        <f>SQRT(5)</f>
        <v>2.2360679774997898</v>
      </c>
      <c r="F31" s="7">
        <v>4</v>
      </c>
      <c r="G31" s="639">
        <f>D31/E31</f>
        <v>0</v>
      </c>
      <c r="H31" s="9">
        <v>1</v>
      </c>
      <c r="I31" s="639">
        <f>G31*H31</f>
        <v>0</v>
      </c>
      <c r="J31" s="10">
        <f>I31^2</f>
        <v>0</v>
      </c>
      <c r="K31" s="11">
        <f>I31^4/F31</f>
        <v>0</v>
      </c>
    </row>
    <row r="32" spans="1:11" ht="12.95" customHeight="1" x14ac:dyDescent="0.2">
      <c r="A32" s="12" t="s">
        <v>402</v>
      </c>
      <c r="B32" s="7" t="str">
        <f t="shared" ref="B32:B34" si="12">$D$29</f>
        <v>BPM</v>
      </c>
      <c r="C32" s="13" t="s">
        <v>139</v>
      </c>
      <c r="D32" s="14">
        <f>'DB Gas Flow'!J106</f>
        <v>9.9999999999999995E-7</v>
      </c>
      <c r="E32" s="15">
        <v>2</v>
      </c>
      <c r="F32" s="7">
        <f>1/2*(100/10)^2</f>
        <v>50</v>
      </c>
      <c r="G32" s="16">
        <f>D32/E32</f>
        <v>4.9999999999999998E-7</v>
      </c>
      <c r="H32" s="7">
        <v>1</v>
      </c>
      <c r="I32" s="16">
        <f>G32*H32</f>
        <v>4.9999999999999998E-7</v>
      </c>
      <c r="J32" s="17">
        <f>I32^2</f>
        <v>2.4999999999999999E-13</v>
      </c>
      <c r="K32" s="18">
        <f>I32^4/F32</f>
        <v>1.2499999999999999E-27</v>
      </c>
    </row>
    <row r="33" spans="1:11" ht="12.95" customHeight="1" x14ac:dyDescent="0.2">
      <c r="A33" s="6" t="s">
        <v>404</v>
      </c>
      <c r="B33" s="7" t="str">
        <f t="shared" si="12"/>
        <v>BPM</v>
      </c>
      <c r="C33" s="13" t="s">
        <v>140</v>
      </c>
      <c r="D33" s="19">
        <f>'DB Gas Flow'!I106</f>
        <v>0.05</v>
      </c>
      <c r="E33" s="20">
        <f>SQRT(3)</f>
        <v>1.7320508075688772</v>
      </c>
      <c r="F33" s="7">
        <f t="shared" ref="F33:F34" si="13">1/2*(100/10)^2</f>
        <v>50</v>
      </c>
      <c r="G33" s="16">
        <f t="shared" ref="G33:G34" si="14">D33/E33</f>
        <v>2.8867513459481291E-2</v>
      </c>
      <c r="H33" s="7">
        <v>1</v>
      </c>
      <c r="I33" s="16">
        <f t="shared" ref="I33:I34" si="15">G33*H33</f>
        <v>2.8867513459481291E-2</v>
      </c>
      <c r="J33" s="17">
        <f t="shared" ref="J33:J34" si="16">I33^2</f>
        <v>8.333333333333335E-4</v>
      </c>
      <c r="K33" s="18">
        <f t="shared" ref="K33:K34" si="17">I33^4/F33</f>
        <v>1.3888888888888894E-8</v>
      </c>
    </row>
    <row r="34" spans="1:11" ht="12.95" customHeight="1" x14ac:dyDescent="0.2">
      <c r="A34" s="23" t="s">
        <v>403</v>
      </c>
      <c r="B34" s="7" t="str">
        <f t="shared" si="12"/>
        <v>BPM</v>
      </c>
      <c r="C34" s="13" t="s">
        <v>140</v>
      </c>
      <c r="D34" s="24">
        <f>'DB Gas Flow'!K106</f>
        <v>9.9999999999999995E-7</v>
      </c>
      <c r="E34" s="20">
        <f>SQRT(3)</f>
        <v>1.7320508075688772</v>
      </c>
      <c r="F34" s="7">
        <f t="shared" si="13"/>
        <v>50</v>
      </c>
      <c r="G34" s="16">
        <f t="shared" si="14"/>
        <v>5.7735026918962578E-7</v>
      </c>
      <c r="H34" s="7">
        <v>1</v>
      </c>
      <c r="I34" s="16">
        <f t="shared" si="15"/>
        <v>5.7735026918962578E-7</v>
      </c>
      <c r="J34" s="17">
        <f t="shared" si="16"/>
        <v>3.3333333333333334E-13</v>
      </c>
      <c r="K34" s="18">
        <f t="shared" si="17"/>
        <v>2.2222222222222221E-27</v>
      </c>
    </row>
    <row r="35" spans="1:11" ht="12.95" customHeight="1" x14ac:dyDescent="0.2">
      <c r="A35" s="23"/>
      <c r="B35" s="7"/>
      <c r="C35" s="7"/>
      <c r="D35" s="7"/>
      <c r="E35" s="20"/>
      <c r="F35" s="7"/>
      <c r="G35" s="21"/>
      <c r="H35" s="7"/>
      <c r="I35" s="21"/>
      <c r="J35" s="17"/>
      <c r="K35" s="22"/>
    </row>
    <row r="36" spans="1:11" ht="13.5" customHeight="1" x14ac:dyDescent="0.25">
      <c r="A36" s="59" t="s">
        <v>141</v>
      </c>
      <c r="B36" s="640"/>
      <c r="C36" s="640"/>
      <c r="D36" s="640"/>
      <c r="E36" s="25"/>
      <c r="F36" s="640"/>
      <c r="G36" s="640"/>
      <c r="H36" s="640"/>
      <c r="I36" s="640"/>
      <c r="J36" s="26">
        <f>SUM(J31:J34)</f>
        <v>8.3333333391666679E-4</v>
      </c>
      <c r="K36" s="27">
        <f>SUM(K31:K34)</f>
        <v>1.3888888888888894E-8</v>
      </c>
    </row>
    <row r="37" spans="1:11" ht="15" customHeight="1" x14ac:dyDescent="0.25">
      <c r="A37" s="65" t="s">
        <v>142</v>
      </c>
      <c r="B37" s="60"/>
      <c r="C37" s="60"/>
      <c r="D37" s="60"/>
      <c r="E37" s="61"/>
      <c r="F37" s="60"/>
      <c r="G37" s="62" t="s">
        <v>143</v>
      </c>
      <c r="H37" s="60"/>
      <c r="I37" s="60"/>
      <c r="J37" s="63">
        <f>SQRT(J36)</f>
        <v>2.886751346958492E-2</v>
      </c>
      <c r="K37" s="64"/>
    </row>
    <row r="38" spans="1:11" ht="16.5" customHeight="1" x14ac:dyDescent="0.25">
      <c r="A38" s="59" t="s">
        <v>144</v>
      </c>
      <c r="B38" s="640"/>
      <c r="C38" s="640"/>
      <c r="D38" s="640"/>
      <c r="E38" s="25"/>
      <c r="F38" s="640"/>
      <c r="G38" s="641" t="s">
        <v>145</v>
      </c>
      <c r="H38" s="640"/>
      <c r="I38" s="640"/>
      <c r="J38" s="26">
        <f>J37^4/(K36)</f>
        <v>50.000000069999999</v>
      </c>
      <c r="K38" s="66"/>
    </row>
    <row r="39" spans="1:11" ht="16.5" customHeight="1" x14ac:dyDescent="0.25">
      <c r="A39" s="65" t="s">
        <v>146</v>
      </c>
      <c r="B39" s="60"/>
      <c r="C39" s="60"/>
      <c r="D39" s="60"/>
      <c r="E39" s="61"/>
      <c r="F39" s="60"/>
      <c r="G39" s="67" t="s">
        <v>147</v>
      </c>
      <c r="H39" s="60"/>
      <c r="I39" s="60"/>
      <c r="J39" s="68">
        <f>1.95996+(2.37356/J38)+(2.818745/J38^2)+(2.546662/J38^3)+(1.761829/J38^4)+(0.245458/J38^5)+(1.000764/J38^6)</f>
        <v>2.0085793539684507</v>
      </c>
      <c r="K39" s="64"/>
    </row>
    <row r="40" spans="1:11" ht="14.1" customHeight="1" thickBot="1" x14ac:dyDescent="0.3">
      <c r="A40" s="290" t="s">
        <v>148</v>
      </c>
      <c r="B40" s="291"/>
      <c r="C40" s="291"/>
      <c r="D40" s="291"/>
      <c r="E40" s="292"/>
      <c r="F40" s="291"/>
      <c r="G40" s="293" t="s">
        <v>149</v>
      </c>
      <c r="H40" s="291"/>
      <c r="I40" s="291"/>
      <c r="J40" s="294">
        <f>J37*J39</f>
        <v>5.7982691555414426E-2</v>
      </c>
      <c r="K40" s="580" t="s">
        <v>438</v>
      </c>
    </row>
    <row r="41" spans="1:11" ht="14.1" customHeight="1" thickBot="1" x14ac:dyDescent="0.25">
      <c r="A41" s="634"/>
      <c r="B41" s="635"/>
      <c r="C41" s="635"/>
      <c r="D41" s="635"/>
      <c r="E41" s="635"/>
      <c r="F41" s="635"/>
      <c r="G41" s="635"/>
      <c r="H41" s="635"/>
      <c r="I41" s="635"/>
      <c r="J41" s="635"/>
      <c r="K41" s="636"/>
    </row>
    <row r="42" spans="1:11" ht="24.95" customHeight="1" x14ac:dyDescent="0.2"/>
  </sheetData>
  <sheetProtection algorithmName="SHA-512" hashValue="nU6jzr26oGlg7U84tTiEGRTc+r/g/KZatt8FSRxKlNJrdDOJOMtc5p7DszdSoiQnDChFjVyk0cyKRVwWzo9HnQ==" saltValue="5XSYKzqU2AyFTWKxOc6G+Q==" spinCount="100000" sheet="1" objects="1" scenarios="1"/>
  <mergeCells count="4">
    <mergeCell ref="B3:C3"/>
    <mergeCell ref="B16:C16"/>
    <mergeCell ref="B29:C29"/>
    <mergeCell ref="A1:K2"/>
  </mergeCells>
  <printOptions horizontalCentered="1"/>
  <pageMargins left="0.25" right="0.25" top="0.5" bottom="0.25" header="0.25" footer="0.25"/>
  <pageSetup paperSize="9" scale="94" orientation="portrait" horizontalDpi="4294967294" verticalDpi="4294967293" r:id="rId1"/>
  <headerFooter>
    <oddHeader>&amp;R&amp;"-,Regular"&amp;8FV. 069-18 / REV :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185"/>
  <sheetViews>
    <sheetView showGridLines="0" tabSelected="1" view="pageBreakPreview" topLeftCell="D23" zoomScaleNormal="100" zoomScaleSheetLayoutView="100" zoomScalePageLayoutView="90" workbookViewId="0">
      <selection activeCell="L28" sqref="L28"/>
    </sheetView>
  </sheetViews>
  <sheetFormatPr defaultColWidth="9.140625" defaultRowHeight="12.75" x14ac:dyDescent="0.2"/>
  <cols>
    <col min="1" max="1" width="4.5703125" style="99" customWidth="1"/>
    <col min="2" max="2" width="4" style="99" customWidth="1"/>
    <col min="3" max="3" width="4.7109375" style="99" customWidth="1"/>
    <col min="4" max="4" width="16.7109375" style="99" customWidth="1"/>
    <col min="5" max="5" width="5.140625" style="99" customWidth="1"/>
    <col min="6" max="6" width="4.7109375" style="99" customWidth="1"/>
    <col min="7" max="7" width="10.7109375" style="99" customWidth="1"/>
    <col min="8" max="8" width="9.85546875" style="99" customWidth="1"/>
    <col min="9" max="9" width="10" style="99" customWidth="1"/>
    <col min="10" max="10" width="9.140625" style="99" customWidth="1"/>
    <col min="11" max="11" width="6" style="99" customWidth="1"/>
    <col min="12" max="12" width="8.42578125" style="99" customWidth="1"/>
    <col min="13" max="13" width="4.7109375" style="99" customWidth="1"/>
    <col min="14" max="14" width="4.42578125" style="99" customWidth="1"/>
    <col min="15" max="15" width="8.7109375" style="99" customWidth="1"/>
    <col min="16" max="16" width="13.42578125" style="99" customWidth="1"/>
    <col min="17" max="17" width="8.140625" style="99" customWidth="1"/>
    <col min="18" max="18" width="10.42578125" style="99" customWidth="1"/>
    <col min="19" max="19" width="9.140625" style="99" customWidth="1"/>
    <col min="20" max="20" width="9" style="99" customWidth="1"/>
    <col min="21" max="21" width="9.5703125" style="99" bestFit="1" customWidth="1"/>
    <col min="22" max="22" width="6.85546875" style="99" customWidth="1"/>
    <col min="23" max="16384" width="9.140625" style="99"/>
  </cols>
  <sheetData>
    <row r="1" spans="1:35" ht="18" x14ac:dyDescent="0.2">
      <c r="A1" s="981" t="s">
        <v>432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710"/>
      <c r="R1" s="710"/>
      <c r="S1" s="710"/>
      <c r="T1" s="710"/>
      <c r="U1" s="710"/>
      <c r="V1" s="710"/>
    </row>
    <row r="2" spans="1:35" ht="16.5" x14ac:dyDescent="0.2">
      <c r="A2" s="980" t="str">
        <f>ID!E2&amp;'DB Gas Flow'!G136&amp;ID!I2</f>
        <v>Nomor Sertifikat : 82 / 1 / IX - 22 / E - 095.139 DL</v>
      </c>
      <c r="B2" s="980"/>
      <c r="C2" s="980"/>
      <c r="D2" s="980"/>
      <c r="E2" s="980"/>
      <c r="F2" s="980"/>
      <c r="G2" s="980"/>
      <c r="H2" s="980"/>
      <c r="I2" s="980"/>
      <c r="J2" s="980"/>
      <c r="K2" s="980"/>
      <c r="L2" s="980"/>
      <c r="M2" s="980"/>
      <c r="N2" s="980"/>
      <c r="O2" s="980"/>
      <c r="P2" s="980"/>
      <c r="Q2" s="711"/>
      <c r="R2" s="711"/>
      <c r="S2" s="711"/>
      <c r="T2" s="711"/>
      <c r="U2" s="711"/>
      <c r="V2" s="711"/>
    </row>
    <row r="3" spans="1:35" ht="14.45" customHeight="1" x14ac:dyDescent="0.2">
      <c r="Q3" s="712"/>
      <c r="R3" s="712"/>
    </row>
    <row r="4" spans="1:35" ht="14.25" x14ac:dyDescent="0.2">
      <c r="A4" s="982" t="str">
        <f>ID!A4</f>
        <v>Merek</v>
      </c>
      <c r="B4" s="982"/>
      <c r="C4" s="667"/>
      <c r="E4" s="713" t="s">
        <v>5</v>
      </c>
      <c r="F4" s="667" t="str">
        <f>ID!F4</f>
        <v>yuwell</v>
      </c>
      <c r="G4" s="667"/>
      <c r="H4" s="667"/>
      <c r="J4" s="667"/>
      <c r="Q4" s="712"/>
      <c r="R4" s="712"/>
    </row>
    <row r="5" spans="1:35" ht="14.25" x14ac:dyDescent="0.2">
      <c r="A5" s="667" t="str">
        <f>ID!A5</f>
        <v>Model/Tipe</v>
      </c>
      <c r="B5" s="667"/>
      <c r="C5" s="667"/>
      <c r="E5" s="713" t="s">
        <v>5</v>
      </c>
      <c r="F5" s="667" t="str">
        <f>ID!F5</f>
        <v>YH-730</v>
      </c>
      <c r="G5" s="667"/>
      <c r="H5" s="667"/>
      <c r="J5" s="667"/>
      <c r="Q5" s="712"/>
      <c r="R5" s="712"/>
    </row>
    <row r="6" spans="1:35" ht="14.25" x14ac:dyDescent="0.2">
      <c r="A6" s="982" t="str">
        <f>ID!A6</f>
        <v>No. Seri</v>
      </c>
      <c r="B6" s="982"/>
      <c r="C6" s="667"/>
      <c r="E6" s="713" t="s">
        <v>5</v>
      </c>
      <c r="F6" s="667" t="str">
        <f>ID!F6</f>
        <v>YH730A-V20408384</v>
      </c>
      <c r="G6" s="667"/>
      <c r="H6" s="667"/>
      <c r="J6" s="667"/>
      <c r="Q6" s="712"/>
      <c r="R6" s="712"/>
    </row>
    <row r="7" spans="1:35" ht="14.25" x14ac:dyDescent="0.2">
      <c r="A7" s="92" t="str">
        <f>ID!A7</f>
        <v>Tanggal Penerimaan Alat</v>
      </c>
      <c r="B7" s="92"/>
      <c r="C7" s="667"/>
      <c r="E7" s="713" t="str">
        <f>ID!E7</f>
        <v>:</v>
      </c>
      <c r="F7" s="979" t="str">
        <f>ID!F7</f>
        <v>19 September 2022</v>
      </c>
      <c r="G7" s="979"/>
      <c r="H7" s="979"/>
      <c r="J7" s="667"/>
      <c r="Q7" s="712"/>
      <c r="R7" s="712"/>
    </row>
    <row r="8" spans="1:35" ht="14.25" x14ac:dyDescent="0.2">
      <c r="A8" s="667" t="str">
        <f>ID!A8</f>
        <v>Tanggal Kalibrasi</v>
      </c>
      <c r="B8" s="667"/>
      <c r="C8" s="667"/>
      <c r="E8" s="713" t="s">
        <v>5</v>
      </c>
      <c r="F8" s="979" t="str">
        <f>ID!F8</f>
        <v>19 September 2022</v>
      </c>
      <c r="G8" s="979"/>
      <c r="H8" s="979"/>
      <c r="J8" s="667"/>
      <c r="Q8" s="712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</row>
    <row r="9" spans="1:35" ht="14.25" x14ac:dyDescent="0.2">
      <c r="A9" s="667" t="str">
        <f>ID!A9</f>
        <v>Tempat Kalibrasi</v>
      </c>
      <c r="B9" s="667"/>
      <c r="C9" s="667"/>
      <c r="E9" s="713" t="s">
        <v>5</v>
      </c>
      <c r="F9" s="667" t="str">
        <f>ID!F9</f>
        <v>Ruang Lily</v>
      </c>
      <c r="G9" s="667"/>
      <c r="H9" s="667"/>
      <c r="J9" s="667"/>
      <c r="Q9" s="712"/>
      <c r="R9" s="427"/>
      <c r="S9" s="427"/>
      <c r="T9" s="427"/>
      <c r="U9" s="427"/>
      <c r="V9" s="427"/>
      <c r="W9" s="427"/>
      <c r="X9" s="427"/>
      <c r="Y9" s="427"/>
      <c r="Z9" s="427"/>
      <c r="AA9" s="427"/>
      <c r="AB9" s="427"/>
      <c r="AC9" s="427"/>
      <c r="AD9" s="427"/>
      <c r="AE9" s="427"/>
      <c r="AF9" s="427"/>
      <c r="AG9" s="427"/>
      <c r="AH9" s="427"/>
      <c r="AI9" s="427"/>
    </row>
    <row r="10" spans="1:35" ht="14.25" x14ac:dyDescent="0.2">
      <c r="A10" s="667" t="str">
        <f>ID!A10</f>
        <v>Nama Ruang</v>
      </c>
      <c r="B10" s="667"/>
      <c r="C10" s="667"/>
      <c r="E10" s="713" t="s">
        <v>5</v>
      </c>
      <c r="F10" s="667" t="str">
        <f>ID!F10</f>
        <v>Ruang Anggrek</v>
      </c>
      <c r="G10" s="667"/>
      <c r="H10" s="667"/>
      <c r="J10" s="667"/>
      <c r="Q10" s="712"/>
      <c r="R10" s="427"/>
      <c r="S10" s="427"/>
      <c r="T10" s="427"/>
      <c r="U10" s="427"/>
      <c r="V10" s="427"/>
      <c r="W10" s="427"/>
      <c r="X10" s="427"/>
      <c r="Y10" s="427"/>
      <c r="Z10" s="427"/>
      <c r="AA10" s="427"/>
      <c r="AB10" s="427"/>
      <c r="AC10" s="427"/>
      <c r="AD10" s="427"/>
      <c r="AE10" s="427"/>
      <c r="AF10" s="427"/>
      <c r="AG10" s="427"/>
      <c r="AH10" s="427"/>
      <c r="AI10" s="427"/>
    </row>
    <row r="11" spans="1:35" ht="14.25" x14ac:dyDescent="0.2">
      <c r="A11" s="667" t="s">
        <v>151</v>
      </c>
      <c r="B11" s="667"/>
      <c r="C11" s="667"/>
      <c r="E11" s="713" t="s">
        <v>5</v>
      </c>
      <c r="F11" s="667" t="s">
        <v>431</v>
      </c>
      <c r="G11" s="667"/>
      <c r="H11" s="667"/>
      <c r="J11" s="667"/>
      <c r="Q11" s="712"/>
      <c r="R11" s="427"/>
      <c r="S11" s="427"/>
      <c r="T11" s="427"/>
      <c r="U11" s="427"/>
      <c r="V11" s="427"/>
      <c r="W11" s="427"/>
      <c r="X11" s="427"/>
      <c r="Y11" s="427"/>
      <c r="Z11" s="427"/>
      <c r="AA11" s="427"/>
      <c r="AB11" s="427"/>
      <c r="AC11" s="427"/>
      <c r="AD11" s="427"/>
      <c r="AE11" s="427"/>
      <c r="AF11" s="427"/>
      <c r="AG11" s="427"/>
      <c r="AH11" s="427"/>
      <c r="AI11" s="427"/>
    </row>
    <row r="12" spans="1:35" ht="14.25" x14ac:dyDescent="0.2">
      <c r="B12" s="667"/>
      <c r="C12" s="667"/>
      <c r="D12" s="667"/>
      <c r="E12" s="667"/>
      <c r="F12" s="667"/>
      <c r="G12" s="667"/>
      <c r="H12" s="667"/>
      <c r="I12" s="667"/>
      <c r="J12" s="667"/>
      <c r="Q12" s="712"/>
      <c r="R12" s="427"/>
      <c r="S12" s="427"/>
      <c r="T12" s="427"/>
      <c r="U12" s="427"/>
      <c r="V12" s="427"/>
      <c r="W12" s="427"/>
      <c r="X12" s="427"/>
      <c r="Y12" s="427"/>
      <c r="Z12" s="427"/>
      <c r="AA12" s="427"/>
      <c r="AB12" s="427"/>
      <c r="AC12" s="427"/>
      <c r="AD12" s="427"/>
      <c r="AE12" s="427"/>
      <c r="AF12" s="427"/>
      <c r="AG12" s="427"/>
      <c r="AH12" s="427"/>
      <c r="AI12" s="427"/>
    </row>
    <row r="13" spans="1:35" ht="15" x14ac:dyDescent="0.2">
      <c r="A13" s="665" t="s">
        <v>152</v>
      </c>
      <c r="B13" s="665" t="s">
        <v>10</v>
      </c>
      <c r="C13" s="665"/>
      <c r="D13" s="665"/>
      <c r="E13" s="665"/>
      <c r="F13" s="665"/>
      <c r="G13" s="665"/>
      <c r="H13" s="665"/>
      <c r="I13" s="665"/>
      <c r="J13" s="665"/>
      <c r="K13" s="666"/>
      <c r="L13" s="666"/>
      <c r="M13" s="666"/>
      <c r="N13" s="666"/>
      <c r="O13" s="666"/>
      <c r="P13" s="666"/>
      <c r="Q13" s="714"/>
      <c r="R13" s="427"/>
      <c r="S13" s="427"/>
      <c r="T13" s="427"/>
      <c r="U13" s="427"/>
      <c r="V13" s="427"/>
      <c r="W13" s="427"/>
      <c r="X13" s="427"/>
      <c r="Y13" s="427"/>
      <c r="Z13" s="427"/>
      <c r="AA13" s="427"/>
      <c r="AB13" s="427"/>
      <c r="AC13" s="427"/>
      <c r="AD13" s="427"/>
      <c r="AE13" s="427"/>
      <c r="AF13" s="427"/>
      <c r="AG13" s="427"/>
      <c r="AH13" s="427"/>
      <c r="AI13" s="427"/>
    </row>
    <row r="14" spans="1:35" ht="14.25" x14ac:dyDescent="0.2">
      <c r="B14" s="667" t="s">
        <v>13</v>
      </c>
      <c r="C14" s="667"/>
      <c r="E14" s="713" t="s">
        <v>5</v>
      </c>
      <c r="F14" s="977" t="str">
        <f>'DB Thermohygro'!T381</f>
        <v>( 24.5 ± 0.3 ) °C</v>
      </c>
      <c r="G14" s="977"/>
      <c r="H14" s="977"/>
      <c r="I14" s="977"/>
      <c r="J14" s="427"/>
      <c r="R14" s="427"/>
      <c r="S14" s="427"/>
      <c r="T14" s="427"/>
      <c r="U14" s="427"/>
      <c r="V14" s="427"/>
      <c r="W14" s="427"/>
      <c r="X14" s="427"/>
      <c r="Y14" s="427"/>
      <c r="Z14" s="427"/>
      <c r="AA14" s="427"/>
      <c r="AB14" s="427"/>
      <c r="AC14" s="427"/>
      <c r="AD14" s="427"/>
      <c r="AE14" s="427"/>
      <c r="AF14" s="427"/>
      <c r="AG14" s="427"/>
      <c r="AH14" s="427"/>
      <c r="AI14" s="427"/>
    </row>
    <row r="15" spans="1:35" ht="14.25" x14ac:dyDescent="0.2">
      <c r="B15" s="667" t="s">
        <v>15</v>
      </c>
      <c r="C15" s="667"/>
      <c r="E15" s="713" t="s">
        <v>5</v>
      </c>
      <c r="F15" s="977" t="str">
        <f>'DB Thermohygro'!T382</f>
        <v>( 71.9 ± 1.6 ) %RH</v>
      </c>
      <c r="G15" s="977"/>
      <c r="H15" s="977"/>
      <c r="I15" s="977"/>
      <c r="J15" s="667"/>
      <c r="R15" s="427"/>
      <c r="S15" s="427"/>
      <c r="T15" s="427"/>
      <c r="U15" s="427"/>
      <c r="V15" s="427"/>
      <c r="W15" s="427"/>
      <c r="X15" s="427"/>
      <c r="Y15" s="427"/>
      <c r="Z15" s="427"/>
      <c r="AA15" s="427"/>
      <c r="AB15" s="427"/>
      <c r="AC15" s="427"/>
      <c r="AD15" s="427"/>
      <c r="AE15" s="427"/>
      <c r="AF15" s="427"/>
      <c r="AG15" s="427"/>
      <c r="AH15" s="427"/>
      <c r="AI15" s="427"/>
    </row>
    <row r="16" spans="1:35" ht="14.25" x14ac:dyDescent="0.2">
      <c r="B16" s="667" t="str">
        <f>ID!B16</f>
        <v>3. Tegangan Jala - jala</v>
      </c>
      <c r="C16" s="667"/>
      <c r="E16" s="713" t="s">
        <v>5</v>
      </c>
      <c r="F16" s="978" t="str">
        <f>'DB Kelistrikan'!H274</f>
        <v>( 231.4 ± 2.8 ) Volt</v>
      </c>
      <c r="G16" s="978"/>
      <c r="H16" s="978"/>
      <c r="I16" s="978"/>
      <c r="J16" s="667"/>
      <c r="R16" s="427"/>
      <c r="S16" s="427"/>
      <c r="T16" s="427"/>
      <c r="U16" s="427"/>
      <c r="V16" s="427"/>
      <c r="W16" s="427"/>
      <c r="X16" s="427"/>
      <c r="Y16" s="427"/>
      <c r="Z16" s="427"/>
      <c r="AA16" s="427"/>
      <c r="AB16" s="427"/>
      <c r="AC16" s="427"/>
      <c r="AD16" s="427"/>
      <c r="AE16" s="427"/>
      <c r="AF16" s="427"/>
      <c r="AG16" s="427"/>
      <c r="AH16" s="427"/>
      <c r="AI16" s="427"/>
    </row>
    <row r="17" spans="1:35" ht="14.25" x14ac:dyDescent="0.2">
      <c r="B17" s="667"/>
      <c r="C17" s="667"/>
      <c r="D17" s="667"/>
      <c r="E17" s="667"/>
      <c r="F17" s="667"/>
      <c r="G17" s="667"/>
      <c r="H17" s="667"/>
      <c r="I17" s="667"/>
      <c r="J17" s="667"/>
      <c r="O17" s="715"/>
      <c r="P17" s="715"/>
      <c r="Q17" s="716"/>
      <c r="R17" s="427"/>
      <c r="S17" s="427"/>
      <c r="T17" s="427"/>
      <c r="U17" s="427"/>
      <c r="V17" s="427"/>
      <c r="W17" s="427"/>
      <c r="X17" s="427"/>
      <c r="Y17" s="427"/>
      <c r="Z17" s="427"/>
      <c r="AA17" s="427"/>
      <c r="AB17" s="427"/>
      <c r="AC17" s="427"/>
      <c r="AD17" s="427"/>
      <c r="AE17" s="427"/>
      <c r="AF17" s="427"/>
      <c r="AG17" s="427"/>
      <c r="AH17" s="427"/>
      <c r="AI17" s="427"/>
    </row>
    <row r="18" spans="1:35" ht="14.45" customHeight="1" x14ac:dyDescent="0.2">
      <c r="A18" s="665" t="s">
        <v>19</v>
      </c>
      <c r="B18" s="665" t="s">
        <v>437</v>
      </c>
      <c r="C18" s="665"/>
      <c r="D18" s="665"/>
      <c r="E18" s="665"/>
      <c r="F18" s="665"/>
      <c r="G18" s="665"/>
      <c r="H18" s="665"/>
      <c r="I18" s="665"/>
      <c r="J18" s="665"/>
      <c r="K18" s="666"/>
      <c r="L18" s="666"/>
      <c r="M18" s="666"/>
      <c r="N18" s="666"/>
      <c r="O18" s="666"/>
      <c r="P18" s="717" t="s">
        <v>400</v>
      </c>
      <c r="Q18" s="712"/>
      <c r="R18" s="427"/>
      <c r="S18" s="427"/>
      <c r="T18" s="427"/>
      <c r="U18" s="427"/>
      <c r="V18" s="427"/>
      <c r="W18" s="427"/>
      <c r="X18" s="427"/>
      <c r="Y18" s="427"/>
      <c r="Z18" s="427"/>
      <c r="AA18" s="427"/>
      <c r="AB18" s="427"/>
      <c r="AC18" s="427"/>
      <c r="AD18" s="427"/>
      <c r="AE18" s="427"/>
      <c r="AF18" s="427"/>
      <c r="AG18" s="427"/>
      <c r="AH18" s="427"/>
      <c r="AI18" s="427"/>
    </row>
    <row r="19" spans="1:35" ht="15" customHeight="1" x14ac:dyDescent="0.2">
      <c r="B19" s="579" t="str">
        <f>ID!B19</f>
        <v>1. Fisik</v>
      </c>
      <c r="C19" s="579"/>
      <c r="E19" s="713" t="s">
        <v>5</v>
      </c>
      <c r="F19" s="579" t="str">
        <f>ID!F19</f>
        <v>Baik</v>
      </c>
      <c r="G19" s="427"/>
      <c r="H19" s="427"/>
      <c r="I19" s="427"/>
      <c r="J19" s="427"/>
      <c r="M19" s="427"/>
      <c r="N19" s="718"/>
      <c r="O19" s="666"/>
      <c r="P19" s="719">
        <f>IF(F19="baik",5,IF(F19="Tidak Baik",0))</f>
        <v>5</v>
      </c>
      <c r="Q19" s="712"/>
      <c r="R19" s="427"/>
      <c r="S19" s="427"/>
      <c r="T19" s="427"/>
      <c r="U19" s="427"/>
      <c r="V19" s="427"/>
      <c r="W19" s="427"/>
      <c r="X19" s="427"/>
      <c r="Y19" s="427"/>
      <c r="Z19" s="427"/>
      <c r="AA19" s="427"/>
      <c r="AB19" s="427"/>
      <c r="AC19" s="427"/>
      <c r="AD19" s="427"/>
      <c r="AE19" s="427"/>
      <c r="AF19" s="427"/>
      <c r="AG19" s="427"/>
      <c r="AH19" s="427"/>
      <c r="AI19" s="427"/>
    </row>
    <row r="20" spans="1:35" ht="15" customHeight="1" x14ac:dyDescent="0.2">
      <c r="B20" s="579" t="str">
        <f>ID!B20</f>
        <v>2. Fungsi</v>
      </c>
      <c r="C20" s="579"/>
      <c r="E20" s="713" t="s">
        <v>5</v>
      </c>
      <c r="F20" s="579" t="str">
        <f>ID!F20</f>
        <v>Baik</v>
      </c>
      <c r="G20" s="427"/>
      <c r="H20" s="427"/>
      <c r="I20" s="427"/>
      <c r="J20" s="427"/>
      <c r="M20" s="427"/>
      <c r="N20" s="718"/>
      <c r="O20" s="666"/>
      <c r="P20" s="719">
        <f>IF(F20="baik",5,IF(F20="Tidak Baik",0))</f>
        <v>5</v>
      </c>
      <c r="AF20" s="427"/>
      <c r="AG20" s="427"/>
      <c r="AH20" s="427"/>
      <c r="AI20" s="427"/>
    </row>
    <row r="21" spans="1:35" ht="14.45" customHeight="1" x14ac:dyDescent="0.2">
      <c r="B21" s="427"/>
      <c r="C21" s="427"/>
      <c r="D21" s="427"/>
      <c r="E21" s="427"/>
      <c r="F21" s="427"/>
      <c r="G21" s="427"/>
      <c r="H21" s="427"/>
      <c r="I21" s="427"/>
      <c r="J21" s="427"/>
      <c r="K21" s="427"/>
      <c r="L21" s="427"/>
      <c r="M21" s="427"/>
      <c r="N21" s="718"/>
      <c r="O21" s="666"/>
      <c r="P21" s="666"/>
      <c r="S21" s="972" t="str">
        <f>IF(I26="-",V29,ID!P23)</f>
        <v>Kelas I</v>
      </c>
      <c r="T21" s="972"/>
      <c r="U21" s="969" t="s">
        <v>36</v>
      </c>
      <c r="V21" s="969" t="s">
        <v>153</v>
      </c>
      <c r="W21" s="969" t="s">
        <v>100</v>
      </c>
      <c r="X21" s="283"/>
      <c r="Y21" s="973" t="str">
        <f>IF(OR(I26="-",S21=V29),Y22,IF(OR(V23&gt;W23,C26=Y30),"",IF(I26&gt;K26,Y23,"")))</f>
        <v/>
      </c>
      <c r="Z21" s="973"/>
      <c r="AA21" s="973"/>
      <c r="AB21" s="973"/>
      <c r="AC21" s="973"/>
      <c r="AD21" s="973"/>
      <c r="AE21" s="973"/>
      <c r="AF21" s="973"/>
      <c r="AG21" s="973"/>
      <c r="AH21" s="283"/>
      <c r="AI21" s="427"/>
    </row>
    <row r="22" spans="1:35" ht="15" x14ac:dyDescent="0.2">
      <c r="A22" s="665" t="s">
        <v>24</v>
      </c>
      <c r="B22" s="665" t="s">
        <v>25</v>
      </c>
      <c r="C22" s="665"/>
      <c r="D22" s="665"/>
      <c r="E22" s="667"/>
      <c r="F22" s="667"/>
      <c r="G22" s="667"/>
      <c r="H22" s="667"/>
      <c r="I22" s="667"/>
      <c r="J22" s="667"/>
      <c r="K22" s="720"/>
      <c r="L22" s="720"/>
      <c r="S22" s="972"/>
      <c r="T22" s="972"/>
      <c r="U22" s="969"/>
      <c r="V22" s="969"/>
      <c r="W22" s="969"/>
      <c r="X22" s="283"/>
      <c r="Y22" s="965" t="s">
        <v>154</v>
      </c>
      <c r="Z22" s="965"/>
      <c r="AA22" s="965"/>
      <c r="AB22" s="965"/>
      <c r="AC22" s="965"/>
      <c r="AD22" s="965"/>
      <c r="AE22" s="965"/>
      <c r="AF22" s="965"/>
      <c r="AG22" s="965"/>
      <c r="AH22" s="283"/>
      <c r="AI22" s="427"/>
    </row>
    <row r="23" spans="1:35" ht="30" customHeight="1" x14ac:dyDescent="0.2">
      <c r="B23" s="670" t="s">
        <v>26</v>
      </c>
      <c r="C23" s="974" t="s">
        <v>27</v>
      </c>
      <c r="D23" s="975"/>
      <c r="E23" s="975"/>
      <c r="F23" s="975"/>
      <c r="G23" s="975"/>
      <c r="H23" s="976"/>
      <c r="I23" s="974" t="s">
        <v>28</v>
      </c>
      <c r="J23" s="975"/>
      <c r="K23" s="933" t="s">
        <v>29</v>
      </c>
      <c r="L23" s="933"/>
      <c r="M23" s="671"/>
      <c r="N23" s="671"/>
      <c r="O23" s="631"/>
      <c r="P23" s="623" t="s">
        <v>400</v>
      </c>
      <c r="Q23" s="624"/>
      <c r="R23" s="630"/>
      <c r="S23" s="295" t="s">
        <v>101</v>
      </c>
      <c r="T23" s="284" t="s">
        <v>102</v>
      </c>
      <c r="U23" s="632">
        <f>ID!R23</f>
        <v>11</v>
      </c>
      <c r="V23" s="285">
        <f>'DB Kelistrikan'!O272</f>
        <v>12.957373120743735</v>
      </c>
      <c r="W23" s="286">
        <v>100</v>
      </c>
      <c r="X23" s="283"/>
      <c r="Y23" s="965" t="s">
        <v>155</v>
      </c>
      <c r="Z23" s="965"/>
      <c r="AA23" s="965"/>
      <c r="AB23" s="965"/>
      <c r="AC23" s="965"/>
      <c r="AD23" s="965"/>
      <c r="AE23" s="965"/>
      <c r="AF23" s="965"/>
      <c r="AG23" s="965"/>
      <c r="AH23" s="283"/>
      <c r="AI23" s="427"/>
    </row>
    <row r="24" spans="1:35" ht="15" customHeight="1" x14ac:dyDescent="0.2">
      <c r="B24" s="721">
        <v>1</v>
      </c>
      <c r="C24" s="722" t="str">
        <f>ID!C24</f>
        <v>Resistansi Isolasi</v>
      </c>
      <c r="D24" s="723"/>
      <c r="E24" s="723"/>
      <c r="F24" s="723"/>
      <c r="G24" s="723"/>
      <c r="H24" s="723"/>
      <c r="I24" s="724" t="str">
        <f>'DB Kelistrikan'!O269</f>
        <v>OL</v>
      </c>
      <c r="J24" s="725" t="str">
        <f>IF(I24="-","","MΩ")</f>
        <v>MΩ</v>
      </c>
      <c r="K24" s="1255">
        <f>ID!K24</f>
        <v>2</v>
      </c>
      <c r="L24" s="1256"/>
      <c r="M24" s="726"/>
      <c r="N24" s="726"/>
      <c r="O24" s="627"/>
      <c r="P24" s="983">
        <f>IF(OR(I26="-",Q26=20),SUM(Q24:Q26),0)</f>
        <v>40</v>
      </c>
      <c r="Q24" s="625">
        <f>IF(OR(I24="-",I24="OL",I24&gt;K24),10,0)</f>
        <v>10</v>
      </c>
      <c r="R24" s="630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427"/>
    </row>
    <row r="25" spans="1:35" ht="15" customHeight="1" x14ac:dyDescent="0.2">
      <c r="B25" s="727">
        <v>2</v>
      </c>
      <c r="C25" s="722" t="str">
        <f>ID!C25</f>
        <v>Resistansi Pembumian Protektif (kabel dapat dilepas)</v>
      </c>
      <c r="D25" s="723"/>
      <c r="E25" s="723"/>
      <c r="F25" s="723"/>
      <c r="G25" s="723"/>
      <c r="H25" s="723"/>
      <c r="I25" s="728">
        <f>'DB Kelistrikan'!O270</f>
        <v>9.880651566882187E-2</v>
      </c>
      <c r="J25" s="729" t="str">
        <f>IF(I25="-","","Ω")</f>
        <v>Ω</v>
      </c>
      <c r="K25" s="1257">
        <f>ID!K25</f>
        <v>0.2</v>
      </c>
      <c r="L25" s="1258"/>
      <c r="M25" s="730"/>
      <c r="N25" s="730"/>
      <c r="O25" s="627"/>
      <c r="P25" s="984"/>
      <c r="Q25" s="625">
        <f>IF(OR(I25="-",I25="OL",I25&lt;=K25),10,0)</f>
        <v>10</v>
      </c>
      <c r="R25" s="626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427"/>
    </row>
    <row r="26" spans="1:35" ht="15" customHeight="1" x14ac:dyDescent="0.2">
      <c r="B26" s="731">
        <v>3</v>
      </c>
      <c r="C26" s="732" t="str">
        <f>ID!C26</f>
        <v>Arus bocor peralatan untuk peralatan elektromedik kelas II</v>
      </c>
      <c r="D26" s="733"/>
      <c r="E26" s="733"/>
      <c r="F26" s="733"/>
      <c r="G26" s="733"/>
      <c r="H26" s="733"/>
      <c r="I26" s="734">
        <f>'DB Kelistrikan'!O271</f>
        <v>41.782775490358908</v>
      </c>
      <c r="J26" s="735" t="str">
        <f>IF(I26="-","","µA")</f>
        <v>µA</v>
      </c>
      <c r="K26" s="1259">
        <f>ID!K26</f>
        <v>100</v>
      </c>
      <c r="L26" s="1260"/>
      <c r="M26" s="736"/>
      <c r="N26" s="736"/>
      <c r="O26" s="627"/>
      <c r="P26" s="985"/>
      <c r="Q26" s="625">
        <f>IF(S29&lt;=T29,20,0)</f>
        <v>20</v>
      </c>
      <c r="R26" s="283"/>
      <c r="S26" s="283"/>
      <c r="T26" s="283"/>
      <c r="U26" s="283"/>
      <c r="V26" s="283"/>
      <c r="W26" s="283"/>
      <c r="X26" s="283"/>
      <c r="Y26" s="966" t="s">
        <v>32</v>
      </c>
      <c r="Z26" s="967"/>
      <c r="AA26" s="967"/>
      <c r="AB26" s="967"/>
      <c r="AC26" s="967"/>
      <c r="AD26" s="967"/>
      <c r="AE26" s="968"/>
      <c r="AF26" s="283"/>
      <c r="AG26" s="283"/>
      <c r="AH26" s="283"/>
      <c r="AI26" s="427"/>
    </row>
    <row r="27" spans="1:35" ht="14.45" customHeight="1" x14ac:dyDescent="0.2">
      <c r="B27" s="718"/>
      <c r="J27" s="737"/>
      <c r="K27" s="738"/>
      <c r="L27" s="739"/>
      <c r="M27" s="739"/>
      <c r="N27" s="739"/>
      <c r="O27" s="427"/>
      <c r="P27" s="427"/>
      <c r="Q27" s="283"/>
      <c r="R27" s="283"/>
      <c r="S27" s="969" t="s">
        <v>156</v>
      </c>
      <c r="T27" s="970" t="s">
        <v>100</v>
      </c>
      <c r="U27" s="283"/>
      <c r="V27" s="295" t="s">
        <v>157</v>
      </c>
      <c r="W27" s="283"/>
      <c r="X27" s="283"/>
      <c r="Y27" s="740" t="s">
        <v>105</v>
      </c>
      <c r="Z27" s="741"/>
      <c r="AA27" s="741"/>
      <c r="AB27" s="741"/>
      <c r="AC27" s="741"/>
      <c r="AD27" s="742"/>
      <c r="AE27" s="743">
        <v>0.2</v>
      </c>
      <c r="AF27" s="283" t="s">
        <v>158</v>
      </c>
      <c r="AG27" s="287"/>
      <c r="AH27" s="283"/>
      <c r="AI27" s="427"/>
    </row>
    <row r="28" spans="1:35" ht="18" customHeight="1" x14ac:dyDescent="0.2">
      <c r="A28" s="665" t="s">
        <v>38</v>
      </c>
      <c r="B28" s="665" t="s">
        <v>39</v>
      </c>
      <c r="C28" s="665"/>
      <c r="D28" s="665"/>
      <c r="E28" s="665"/>
      <c r="F28" s="665"/>
      <c r="G28" s="666"/>
      <c r="H28" s="666"/>
      <c r="I28" s="666"/>
      <c r="J28" s="666"/>
      <c r="K28" s="718"/>
      <c r="L28" s="718"/>
      <c r="Q28" s="628"/>
      <c r="R28" s="283"/>
      <c r="S28" s="969"/>
      <c r="T28" s="971"/>
      <c r="U28" s="283"/>
      <c r="V28" s="295" t="s">
        <v>99</v>
      </c>
      <c r="W28" s="283"/>
      <c r="X28" s="283"/>
      <c r="Y28" s="744" t="s">
        <v>161</v>
      </c>
      <c r="Z28" s="745"/>
      <c r="AA28" s="745"/>
      <c r="AB28" s="745"/>
      <c r="AC28" s="745"/>
      <c r="AD28" s="746"/>
      <c r="AE28" s="743">
        <v>0.3</v>
      </c>
      <c r="AF28" s="283" t="s">
        <v>162</v>
      </c>
      <c r="AG28" s="287"/>
      <c r="AH28" s="287"/>
      <c r="AI28" s="427"/>
    </row>
    <row r="29" spans="1:35" s="747" customFormat="1" ht="20.100000000000001" customHeight="1" x14ac:dyDescent="0.2">
      <c r="B29" s="933" t="s">
        <v>40</v>
      </c>
      <c r="C29" s="933" t="s">
        <v>27</v>
      </c>
      <c r="D29" s="933"/>
      <c r="E29" s="933" t="s">
        <v>433</v>
      </c>
      <c r="F29" s="933"/>
      <c r="G29" s="933" t="s">
        <v>159</v>
      </c>
      <c r="H29" s="933" t="s">
        <v>160</v>
      </c>
      <c r="I29" s="933" t="s">
        <v>361</v>
      </c>
      <c r="J29" s="933" t="s">
        <v>100</v>
      </c>
      <c r="K29" s="986" t="s">
        <v>405</v>
      </c>
      <c r="L29" s="986"/>
      <c r="M29" s="748"/>
      <c r="N29" s="748"/>
      <c r="O29" s="986" t="s">
        <v>415</v>
      </c>
      <c r="P29" s="964" t="s">
        <v>400</v>
      </c>
      <c r="Q29" s="960">
        <f>IF(SUM(P31:P33)&lt;=16.668,0,50)</f>
        <v>50</v>
      </c>
      <c r="R29" s="961" t="s">
        <v>414</v>
      </c>
      <c r="S29" s="285">
        <f>IF(OR(U23="",C26=Y30,S21=V29),I26,IF(I26&gt;K26,V23,I26))</f>
        <v>41.782775490358908</v>
      </c>
      <c r="T29" s="295">
        <f>IF(OR(U23="",C26=Y30,S21=V29),K26,IF(I26&gt;K26,W23,K26))</f>
        <v>100</v>
      </c>
      <c r="U29" s="283"/>
      <c r="V29" s="295" t="s">
        <v>163</v>
      </c>
      <c r="W29" s="283"/>
      <c r="X29" s="283"/>
      <c r="Y29" s="288" t="s">
        <v>106</v>
      </c>
      <c r="Z29" s="749"/>
      <c r="AA29" s="749"/>
      <c r="AB29" s="749"/>
      <c r="AC29" s="749"/>
      <c r="AD29" s="746"/>
      <c r="AE29" s="743">
        <v>500</v>
      </c>
      <c r="AF29" s="287"/>
      <c r="AG29" s="287"/>
      <c r="AH29" s="287"/>
      <c r="AI29" s="427"/>
    </row>
    <row r="30" spans="1:35" s="747" customFormat="1" ht="20.100000000000001" customHeight="1" x14ac:dyDescent="0.2">
      <c r="B30" s="933"/>
      <c r="C30" s="933"/>
      <c r="D30" s="933"/>
      <c r="E30" s="933"/>
      <c r="F30" s="933"/>
      <c r="G30" s="933"/>
      <c r="H30" s="933"/>
      <c r="I30" s="933"/>
      <c r="J30" s="933"/>
      <c r="K30" s="986"/>
      <c r="L30" s="986"/>
      <c r="M30" s="748"/>
      <c r="N30" s="748"/>
      <c r="O30" s="986"/>
      <c r="P30" s="964"/>
      <c r="Q30" s="960"/>
      <c r="R30" s="961"/>
      <c r="S30" s="283"/>
      <c r="T30" s="283"/>
      <c r="U30" s="283"/>
      <c r="V30" s="283"/>
      <c r="W30" s="283"/>
      <c r="X30" s="283"/>
      <c r="Y30" s="288" t="s">
        <v>164</v>
      </c>
      <c r="Z30" s="749"/>
      <c r="AA30" s="749"/>
      <c r="AB30" s="749"/>
      <c r="AC30" s="749"/>
      <c r="AD30" s="746"/>
      <c r="AE30" s="743">
        <v>100</v>
      </c>
      <c r="AF30" s="287"/>
      <c r="AG30" s="287"/>
      <c r="AH30" s="287"/>
      <c r="AI30" s="427"/>
    </row>
    <row r="31" spans="1:35" s="747" customFormat="1" ht="42.95" customHeight="1" x14ac:dyDescent="0.2">
      <c r="B31" s="670">
        <v>1</v>
      </c>
      <c r="C31" s="933" t="str">
        <f>ID!C31</f>
        <v>Peak Inspirasi Pressure (PIP) / (IPAP) (mbar)</v>
      </c>
      <c r="D31" s="933"/>
      <c r="E31" s="962">
        <f>ID!E31</f>
        <v>15</v>
      </c>
      <c r="F31" s="962"/>
      <c r="G31" s="683">
        <f>IFERROR('DB Gas Flow'!D104,"-")</f>
        <v>13.6</v>
      </c>
      <c r="H31" s="684">
        <f>IFERROR('DB Gas Flow'!F104,"-")</f>
        <v>-1.4007101996398106</v>
      </c>
      <c r="I31" s="684">
        <f>IFERROR('DB Gas Flow'!G104,"-")</f>
        <v>-9.3380679975987366</v>
      </c>
      <c r="J31" s="963">
        <v>10</v>
      </c>
      <c r="K31" s="685" t="s">
        <v>406</v>
      </c>
      <c r="L31" s="686" t="str">
        <f>'DB Gas Flow'!P104</f>
        <v>0.12</v>
      </c>
      <c r="M31" s="750"/>
      <c r="N31" s="751"/>
      <c r="O31" s="615">
        <f>IFERROR(ABS(I31),"-")</f>
        <v>9.3380679975987366</v>
      </c>
      <c r="P31" s="629">
        <f>IF(O31&lt;=10,16.666,0)</f>
        <v>16.666</v>
      </c>
      <c r="Q31" s="960"/>
      <c r="R31" s="961"/>
      <c r="S31" s="621"/>
      <c r="T31" s="283"/>
      <c r="U31" s="283"/>
      <c r="V31" s="283"/>
      <c r="W31" s="99"/>
      <c r="X31" s="427"/>
      <c r="Y31" s="427"/>
      <c r="Z31" s="427"/>
      <c r="AA31" s="427"/>
      <c r="AB31" s="427"/>
      <c r="AC31" s="560"/>
      <c r="AD31" s="287"/>
      <c r="AE31" s="287"/>
      <c r="AF31" s="427"/>
      <c r="AH31" s="427"/>
      <c r="AI31" s="427"/>
    </row>
    <row r="32" spans="1:35" s="747" customFormat="1" ht="42.95" customHeight="1" x14ac:dyDescent="0.2">
      <c r="B32" s="670">
        <v>2</v>
      </c>
      <c r="C32" s="933" t="str">
        <f>ID!C32</f>
        <v>Positive End Expiratory Pressure (PEEP) / (EPAP) (mbar)</v>
      </c>
      <c r="D32" s="933"/>
      <c r="E32" s="962">
        <f>ID!E32</f>
        <v>5</v>
      </c>
      <c r="F32" s="962"/>
      <c r="G32" s="683">
        <f>IFERROR('DB Gas Flow'!D105,"-")</f>
        <v>4.8</v>
      </c>
      <c r="H32" s="684">
        <f>IFERROR('DB Gas Flow'!F105,"-")</f>
        <v>-0.20050204067896793</v>
      </c>
      <c r="I32" s="684">
        <f>IFERROR('DB Gas Flow'!G105,"-")</f>
        <v>-4.0100408135793586</v>
      </c>
      <c r="J32" s="963"/>
      <c r="K32" s="685" t="s">
        <v>406</v>
      </c>
      <c r="L32" s="686" t="str">
        <f>'DB Gas Flow'!P105</f>
        <v>0.12</v>
      </c>
      <c r="M32" s="750"/>
      <c r="N32" s="751"/>
      <c r="O32" s="615">
        <f t="shared" ref="O32:O33" si="0">IFERROR(ABS(I32),"-")</f>
        <v>4.0100408135793586</v>
      </c>
      <c r="P32" s="629">
        <f>IF(O32&lt;=10,16.666,0)</f>
        <v>16.666</v>
      </c>
      <c r="Q32" s="960"/>
      <c r="R32" s="957">
        <f>IF(SUM(Q29)&lt;=35,0,50)</f>
        <v>50</v>
      </c>
      <c r="S32" s="621"/>
      <c r="T32" s="283"/>
      <c r="U32" s="283"/>
      <c r="V32" s="283"/>
      <c r="W32" s="99"/>
      <c r="X32" s="427"/>
      <c r="Y32" s="427"/>
      <c r="Z32" s="427"/>
      <c r="AA32" s="427"/>
      <c r="AB32" s="427"/>
      <c r="AC32" s="560"/>
      <c r="AD32" s="287"/>
      <c r="AE32" s="287"/>
      <c r="AF32" s="427"/>
      <c r="AH32" s="427"/>
      <c r="AI32" s="427"/>
    </row>
    <row r="33" spans="1:35" s="747" customFormat="1" ht="42.95" customHeight="1" x14ac:dyDescent="0.2">
      <c r="B33" s="670">
        <v>3</v>
      </c>
      <c r="C33" s="933" t="str">
        <f>ID!C33</f>
        <v>Breath Rate (BPM)</v>
      </c>
      <c r="D33" s="933"/>
      <c r="E33" s="962">
        <f>ID!E33</f>
        <v>12</v>
      </c>
      <c r="F33" s="962"/>
      <c r="G33" s="683">
        <f>IFERROR('DB Gas Flow'!D106,"-")</f>
        <v>12</v>
      </c>
      <c r="H33" s="684">
        <f>IFERROR('DB Gas Flow'!F106,"-")</f>
        <v>0</v>
      </c>
      <c r="I33" s="684">
        <f>IFERROR('DB Gas Flow'!G106,"-")</f>
        <v>0</v>
      </c>
      <c r="J33" s="963"/>
      <c r="K33" s="685" t="s">
        <v>406</v>
      </c>
      <c r="L33" s="686" t="str">
        <f>'DB Gas Flow'!P106</f>
        <v>0.06</v>
      </c>
      <c r="M33" s="750"/>
      <c r="N33" s="751"/>
      <c r="O33" s="615">
        <f t="shared" si="0"/>
        <v>0</v>
      </c>
      <c r="P33" s="629">
        <f>IF(O33&lt;=10,16.666,0)</f>
        <v>16.666</v>
      </c>
      <c r="Q33" s="960"/>
      <c r="R33" s="958"/>
      <c r="S33" s="621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H33" s="427"/>
      <c r="AI33" s="427"/>
    </row>
    <row r="34" spans="1:35" s="747" customFormat="1" ht="15" customHeight="1" x14ac:dyDescent="0.2">
      <c r="B34" s="687"/>
      <c r="C34" s="688"/>
      <c r="D34" s="688"/>
      <c r="E34" s="689"/>
      <c r="F34" s="689"/>
      <c r="G34" s="690"/>
      <c r="H34" s="690"/>
      <c r="I34" s="690"/>
      <c r="J34" s="604"/>
      <c r="K34" s="691"/>
      <c r="L34" s="692"/>
      <c r="M34" s="750"/>
      <c r="N34" s="751"/>
      <c r="O34" s="751"/>
      <c r="P34" s="752"/>
      <c r="Q34" s="646"/>
      <c r="R34" s="647"/>
      <c r="S34" s="621"/>
      <c r="AH34" s="427"/>
      <c r="AI34" s="427"/>
    </row>
    <row r="35" spans="1:35" ht="15" x14ac:dyDescent="0.2">
      <c r="A35" s="665" t="s">
        <v>48</v>
      </c>
      <c r="B35" s="665" t="s">
        <v>49</v>
      </c>
      <c r="C35" s="665"/>
      <c r="D35" s="665"/>
      <c r="E35" s="753"/>
      <c r="F35" s="753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AH35" s="427"/>
      <c r="AI35" s="427"/>
    </row>
    <row r="36" spans="1:35" ht="14.25" x14ac:dyDescent="0.2">
      <c r="B36" s="667" t="s">
        <v>50</v>
      </c>
      <c r="C36" s="92"/>
      <c r="D36" s="92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AG36" s="427"/>
      <c r="AH36" s="427"/>
      <c r="AI36" s="427"/>
    </row>
    <row r="37" spans="1:35" ht="14.25" x14ac:dyDescent="0.2">
      <c r="B37" s="667" t="str">
        <f>ID!B37</f>
        <v>Hasil pengukuran keselamatan listrik tertelusur ke Satuan Internasional ( SI ) melalui PT. Kaliman (LK-032-IDN)</v>
      </c>
      <c r="C37" s="92"/>
      <c r="D37" s="92"/>
      <c r="E37" s="667"/>
      <c r="F37" s="667"/>
      <c r="G37" s="667"/>
      <c r="H37" s="667"/>
      <c r="I37" s="667"/>
      <c r="J37" s="667"/>
      <c r="K37" s="667"/>
      <c r="L37" s="667"/>
      <c r="M37" s="667"/>
      <c r="N37" s="667"/>
      <c r="O37" s="667"/>
      <c r="P37" s="667"/>
      <c r="AG37" s="427"/>
      <c r="AH37" s="427"/>
      <c r="AI37" s="427"/>
    </row>
    <row r="38" spans="1:35" ht="14.25" x14ac:dyDescent="0.2">
      <c r="B38" s="755" t="str">
        <f>ID!B38</f>
        <v>Mode yang digunakan : ST</v>
      </c>
      <c r="C38" s="92"/>
      <c r="D38" s="92"/>
      <c r="E38" s="667"/>
      <c r="F38" s="667"/>
      <c r="G38" s="667"/>
      <c r="H38" s="667"/>
      <c r="I38" s="667"/>
      <c r="J38" s="667"/>
      <c r="K38" s="667"/>
      <c r="L38" s="667"/>
      <c r="M38" s="667"/>
      <c r="N38" s="667"/>
      <c r="O38" s="667"/>
      <c r="P38" s="667"/>
      <c r="Q38" s="712"/>
      <c r="R38" s="427"/>
      <c r="S38" s="427"/>
      <c r="T38" s="427"/>
      <c r="U38" s="427"/>
      <c r="V38" s="427"/>
      <c r="W38" s="427"/>
      <c r="X38" s="427"/>
      <c r="Y38" s="427"/>
      <c r="Z38" s="427"/>
      <c r="AA38" s="427"/>
      <c r="AB38" s="427"/>
      <c r="AC38" s="427"/>
      <c r="AD38" s="427"/>
      <c r="AE38" s="427"/>
      <c r="AF38" s="427"/>
      <c r="AG38" s="427"/>
    </row>
    <row r="39" spans="1:35" ht="14.25" x14ac:dyDescent="0.2">
      <c r="A39" s="756"/>
      <c r="B39" s="755" t="str">
        <f>ID!B39</f>
        <v/>
      </c>
      <c r="C39" s="755"/>
      <c r="D39" s="757"/>
      <c r="E39" s="755"/>
      <c r="F39" s="755"/>
      <c r="G39" s="755"/>
      <c r="H39" s="755"/>
      <c r="I39" s="755"/>
      <c r="J39" s="755"/>
      <c r="K39" s="755"/>
      <c r="L39" s="755"/>
      <c r="M39" s="755"/>
      <c r="N39" s="755"/>
      <c r="O39" s="755"/>
      <c r="P39" s="755"/>
      <c r="Q39" s="712"/>
      <c r="R39" s="427"/>
      <c r="S39" s="427"/>
      <c r="T39" s="427"/>
      <c r="U39" s="427"/>
      <c r="V39" s="427"/>
      <c r="W39" s="427"/>
      <c r="X39" s="427"/>
      <c r="Y39" s="427"/>
      <c r="Z39" s="427"/>
      <c r="AA39" s="427"/>
      <c r="AB39" s="427"/>
      <c r="AC39" s="427"/>
      <c r="AD39" s="427"/>
      <c r="AE39" s="427"/>
      <c r="AF39" s="427"/>
      <c r="AG39" s="427"/>
    </row>
    <row r="40" spans="1:35" ht="14.25" x14ac:dyDescent="0.2">
      <c r="A40" s="756"/>
      <c r="C40" s="755"/>
      <c r="D40" s="757"/>
      <c r="E40" s="755"/>
      <c r="F40" s="755"/>
      <c r="G40" s="755"/>
      <c r="H40" s="755"/>
      <c r="I40" s="755"/>
      <c r="J40" s="755"/>
      <c r="K40" s="755"/>
      <c r="L40" s="755"/>
      <c r="M40" s="755"/>
      <c r="N40" s="755"/>
      <c r="O40" s="755"/>
      <c r="P40" s="755"/>
      <c r="Q40" s="747"/>
      <c r="R40" s="427"/>
      <c r="S40" s="427"/>
      <c r="T40" s="427"/>
      <c r="U40" s="427"/>
      <c r="V40" s="427"/>
      <c r="W40" s="427"/>
      <c r="X40" s="427"/>
      <c r="Y40" s="427"/>
      <c r="Z40" s="427"/>
      <c r="AA40" s="427"/>
      <c r="AB40" s="427"/>
      <c r="AC40" s="427"/>
      <c r="AD40" s="427"/>
      <c r="AE40" s="427"/>
      <c r="AF40" s="427"/>
      <c r="AG40" s="427"/>
    </row>
    <row r="41" spans="1:35" ht="15" x14ac:dyDescent="0.2">
      <c r="A41" s="758" t="s">
        <v>51</v>
      </c>
      <c r="B41" s="759" t="s">
        <v>107</v>
      </c>
      <c r="C41" s="759"/>
      <c r="D41" s="759"/>
      <c r="E41" s="755"/>
      <c r="F41" s="755"/>
      <c r="G41" s="755"/>
      <c r="H41" s="755"/>
      <c r="I41" s="755"/>
      <c r="J41" s="755"/>
      <c r="K41" s="755"/>
      <c r="L41" s="755"/>
      <c r="M41" s="755"/>
      <c r="N41" s="755"/>
      <c r="O41" s="755"/>
      <c r="P41" s="755"/>
      <c r="Q41" s="760"/>
      <c r="R41" s="761"/>
      <c r="S41" s="667"/>
      <c r="T41" s="667"/>
      <c r="U41" s="667"/>
      <c r="V41" s="667"/>
    </row>
    <row r="42" spans="1:35" ht="14.25" x14ac:dyDescent="0.2">
      <c r="B42" s="667" t="str">
        <f>ID!B42</f>
        <v>Flow Analyzer, Merek : Fluke, Model : VT305, SN : BF100519</v>
      </c>
      <c r="C42" s="667"/>
      <c r="D42" s="667"/>
      <c r="E42" s="667"/>
      <c r="F42" s="667"/>
      <c r="G42" s="667"/>
      <c r="H42" s="667"/>
      <c r="I42" s="667"/>
      <c r="J42" s="667"/>
      <c r="K42" s="667"/>
      <c r="L42" s="667"/>
      <c r="M42" s="667"/>
      <c r="N42" s="667"/>
      <c r="O42" s="667"/>
      <c r="P42" s="667"/>
      <c r="Q42" s="761"/>
      <c r="R42" s="761"/>
      <c r="S42" s="667"/>
      <c r="T42" s="667"/>
      <c r="U42" s="667"/>
      <c r="V42" s="667"/>
    </row>
    <row r="43" spans="1:35" ht="14.25" x14ac:dyDescent="0.2">
      <c r="B43" s="667" t="str">
        <f>ID!B43</f>
        <v>Electrical Safety Analyzer, Merek : Fluke, Model : ESA 615, SN : 4670010</v>
      </c>
      <c r="C43" s="667"/>
      <c r="D43" s="667"/>
      <c r="E43" s="667"/>
      <c r="F43" s="667"/>
      <c r="G43" s="667"/>
      <c r="H43" s="667"/>
      <c r="I43" s="667"/>
      <c r="J43" s="667"/>
      <c r="K43" s="667"/>
      <c r="L43" s="667"/>
      <c r="M43" s="667"/>
      <c r="N43" s="667"/>
      <c r="O43" s="667"/>
      <c r="P43" s="667"/>
      <c r="Q43" s="761"/>
      <c r="R43" s="761"/>
      <c r="S43" s="667"/>
      <c r="T43" s="667"/>
      <c r="U43" s="667"/>
      <c r="V43" s="667"/>
    </row>
    <row r="44" spans="1:35" ht="14.25" x14ac:dyDescent="0.2">
      <c r="B44" s="667"/>
      <c r="C44" s="667"/>
      <c r="D44" s="667"/>
      <c r="E44" s="667"/>
      <c r="F44" s="667"/>
      <c r="G44" s="667"/>
      <c r="H44" s="667"/>
      <c r="I44" s="667"/>
      <c r="J44" s="667"/>
      <c r="K44" s="667"/>
      <c r="L44" s="667"/>
      <c r="M44" s="667"/>
      <c r="N44" s="667"/>
      <c r="O44" s="667"/>
      <c r="P44" s="667"/>
      <c r="Q44" s="761"/>
      <c r="R44" s="761"/>
      <c r="S44" s="667"/>
      <c r="T44" s="667"/>
      <c r="U44" s="667"/>
      <c r="V44" s="667"/>
    </row>
    <row r="45" spans="1:35" ht="15" x14ac:dyDescent="0.2">
      <c r="A45" s="665" t="s">
        <v>67</v>
      </c>
      <c r="B45" s="665" t="s">
        <v>111</v>
      </c>
      <c r="C45" s="665"/>
      <c r="D45" s="665"/>
      <c r="E45" s="665"/>
      <c r="F45" s="665"/>
      <c r="G45" s="667"/>
      <c r="H45" s="667"/>
      <c r="I45" s="667"/>
      <c r="J45" s="667"/>
      <c r="K45" s="667"/>
      <c r="L45" s="667"/>
      <c r="M45" s="667"/>
      <c r="N45" s="667"/>
      <c r="O45" s="667"/>
      <c r="P45" s="667"/>
      <c r="Q45" s="761"/>
      <c r="R45" s="761"/>
      <c r="S45" s="667"/>
      <c r="T45" s="667"/>
      <c r="U45" s="667"/>
      <c r="V45" s="667"/>
    </row>
    <row r="46" spans="1:35" ht="34.5" customHeight="1" x14ac:dyDescent="0.2">
      <c r="B46" s="959" t="str">
        <f>ID!B47:K47</f>
        <v>Alat yang dikalibrasi dalam batas toleransi dan dinyatakan LAIK PAKAI, dimana hasil atau skor akhir sama dengan atau melampaui 70% berdasarkan Keputusan Direktur Jenderal Pelayanan Kesehatan No : HK.02.02/V/0412/2020.</v>
      </c>
      <c r="C46" s="959"/>
      <c r="D46" s="959"/>
      <c r="E46" s="959"/>
      <c r="F46" s="959"/>
      <c r="G46" s="959"/>
      <c r="H46" s="959"/>
      <c r="I46" s="959"/>
      <c r="J46" s="959"/>
      <c r="K46" s="959"/>
      <c r="L46" s="959"/>
      <c r="M46" s="959"/>
      <c r="N46" s="959"/>
      <c r="O46" s="959"/>
      <c r="P46" s="762"/>
      <c r="Q46" s="761"/>
      <c r="R46" s="761"/>
      <c r="S46" s="667"/>
      <c r="T46" s="667"/>
      <c r="U46" s="667"/>
      <c r="V46" s="667"/>
    </row>
    <row r="47" spans="1:35" ht="15" x14ac:dyDescent="0.2">
      <c r="B47" s="665"/>
      <c r="C47" s="667"/>
      <c r="D47" s="667"/>
      <c r="E47" s="667"/>
      <c r="F47" s="667"/>
      <c r="G47" s="667"/>
      <c r="H47" s="667"/>
      <c r="I47" s="667"/>
      <c r="J47" s="667"/>
      <c r="K47" s="667"/>
      <c r="L47" s="667"/>
      <c r="M47" s="667"/>
      <c r="N47" s="667"/>
      <c r="O47" s="667"/>
      <c r="P47" s="667"/>
      <c r="Q47" s="761"/>
      <c r="R47" s="761"/>
      <c r="S47" s="667"/>
      <c r="T47" s="667"/>
      <c r="U47" s="667"/>
      <c r="V47" s="667"/>
    </row>
    <row r="48" spans="1:35" ht="15" x14ac:dyDescent="0.2">
      <c r="A48" s="665" t="s">
        <v>112</v>
      </c>
      <c r="B48" s="665" t="s">
        <v>68</v>
      </c>
      <c r="C48" s="665"/>
      <c r="D48" s="665"/>
      <c r="E48" s="667"/>
      <c r="F48" s="667"/>
      <c r="G48" s="667"/>
      <c r="H48" s="667"/>
      <c r="I48" s="667"/>
      <c r="J48" s="667"/>
      <c r="K48" s="667"/>
      <c r="L48" s="667"/>
      <c r="M48" s="667"/>
      <c r="N48" s="667"/>
      <c r="O48" s="667"/>
      <c r="P48" s="667"/>
      <c r="Q48" s="761"/>
      <c r="R48" s="761"/>
      <c r="S48" s="667"/>
      <c r="T48" s="667"/>
      <c r="U48" s="667"/>
      <c r="V48" s="667"/>
    </row>
    <row r="49" spans="1:22" ht="14.25" x14ac:dyDescent="0.2">
      <c r="B49" s="667" t="str">
        <f>ID!B50:C50</f>
        <v>Donny Martha</v>
      </c>
      <c r="C49" s="667"/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  <c r="O49" s="667"/>
      <c r="P49" s="667"/>
      <c r="Q49" s="761"/>
      <c r="R49" s="761"/>
      <c r="S49" s="667"/>
      <c r="T49" s="667"/>
      <c r="U49" s="667"/>
      <c r="V49" s="667"/>
    </row>
    <row r="50" spans="1:22" ht="15" x14ac:dyDescent="0.2">
      <c r="B50" s="667"/>
      <c r="C50" s="667"/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  <c r="O50" s="667"/>
      <c r="P50" s="667"/>
      <c r="Q50" s="761"/>
      <c r="R50" s="754"/>
      <c r="S50" s="665"/>
      <c r="T50" s="667"/>
      <c r="U50" s="667"/>
      <c r="V50" s="667"/>
    </row>
    <row r="51" spans="1:22" ht="15" x14ac:dyDescent="0.2">
      <c r="A51" s="756"/>
      <c r="B51" s="755"/>
      <c r="C51" s="991" t="s">
        <v>165</v>
      </c>
      <c r="D51" s="992"/>
      <c r="E51" s="992"/>
      <c r="F51" s="992"/>
      <c r="G51" s="992"/>
      <c r="H51" s="993"/>
      <c r="I51" s="994" t="s">
        <v>166</v>
      </c>
      <c r="J51" s="994"/>
      <c r="K51" s="994"/>
      <c r="L51" s="989" t="s">
        <v>167</v>
      </c>
      <c r="M51" s="990"/>
      <c r="N51" s="987" t="s">
        <v>400</v>
      </c>
      <c r="O51" s="987"/>
      <c r="P51" s="755"/>
      <c r="Q51" s="760"/>
      <c r="R51" s="761"/>
      <c r="S51" s="665"/>
      <c r="T51" s="667"/>
      <c r="U51" s="667"/>
      <c r="V51" s="667"/>
    </row>
    <row r="52" spans="1:22" x14ac:dyDescent="0.2">
      <c r="A52" s="756"/>
      <c r="B52" s="756"/>
      <c r="C52" s="763" t="str">
        <f>'DB Gas Flow'!F136&amp;'DB Gas Flow'!G136&amp;ID!B50</f>
        <v>Dibuat : Donny Martha</v>
      </c>
      <c r="D52" s="764"/>
      <c r="E52" s="764"/>
      <c r="F52" s="764"/>
      <c r="G52" s="764"/>
      <c r="H52" s="765"/>
      <c r="I52" s="995" t="str">
        <f>ID!B53</f>
        <v>25 September 2022</v>
      </c>
      <c r="J52" s="995"/>
      <c r="K52" s="995"/>
      <c r="L52" s="766"/>
      <c r="M52" s="767"/>
      <c r="N52" s="988">
        <f>SUM(P19,P20,P24,R32)</f>
        <v>100</v>
      </c>
      <c r="O52" s="988"/>
      <c r="P52" s="756"/>
      <c r="Q52" s="768"/>
      <c r="R52" s="712"/>
    </row>
    <row r="53" spans="1:22" x14ac:dyDescent="0.2">
      <c r="A53" s="756"/>
      <c r="B53" s="756"/>
      <c r="C53" s="769" t="s">
        <v>168</v>
      </c>
      <c r="D53" s="873"/>
      <c r="E53" s="873"/>
      <c r="F53" s="873"/>
      <c r="G53" s="873"/>
      <c r="H53" s="765"/>
      <c r="I53" s="996"/>
      <c r="J53" s="996"/>
      <c r="K53" s="996"/>
      <c r="L53" s="766"/>
      <c r="M53" s="767"/>
      <c r="N53" s="988"/>
      <c r="O53" s="988"/>
      <c r="P53" s="756"/>
      <c r="Q53" s="768"/>
      <c r="R53" s="712"/>
      <c r="S53" s="747"/>
    </row>
    <row r="54" spans="1:22" ht="14.25" x14ac:dyDescent="0.2">
      <c r="A54" s="756"/>
      <c r="B54" s="770"/>
      <c r="C54" s="770"/>
      <c r="D54" s="770"/>
      <c r="E54" s="770"/>
      <c r="F54" s="770"/>
      <c r="G54" s="770"/>
      <c r="H54" s="770"/>
      <c r="I54" s="770"/>
      <c r="J54" s="770"/>
      <c r="K54" s="770"/>
      <c r="L54" s="770"/>
      <c r="M54" s="770"/>
      <c r="N54" s="770"/>
      <c r="O54" s="770"/>
      <c r="P54" s="755"/>
      <c r="Q54" s="755"/>
      <c r="R54" s="770"/>
      <c r="S54" s="95"/>
      <c r="T54" s="95"/>
    </row>
    <row r="55" spans="1:22" ht="14.25" x14ac:dyDescent="0.2">
      <c r="A55" s="756"/>
      <c r="B55" s="770"/>
      <c r="C55" s="770"/>
      <c r="D55" s="770"/>
      <c r="E55" s="770"/>
      <c r="F55" s="770"/>
      <c r="G55" s="770"/>
      <c r="H55" s="770"/>
      <c r="I55" s="770"/>
      <c r="J55" s="770"/>
      <c r="K55" s="770"/>
      <c r="L55" s="770"/>
      <c r="M55" s="770"/>
      <c r="N55" s="770"/>
      <c r="O55" s="770"/>
      <c r="P55" s="755"/>
      <c r="Q55" s="755"/>
      <c r="R55" s="770"/>
      <c r="S55" s="95"/>
      <c r="T55" s="95"/>
    </row>
    <row r="56" spans="1:22" ht="14.25" x14ac:dyDescent="0.2">
      <c r="A56" s="756"/>
      <c r="B56" s="770"/>
      <c r="C56" s="770"/>
      <c r="D56" s="770"/>
      <c r="E56" s="770"/>
      <c r="F56" s="770"/>
      <c r="G56" s="770"/>
      <c r="H56" s="770"/>
      <c r="I56" s="770"/>
      <c r="J56" s="770"/>
      <c r="K56" s="770"/>
      <c r="L56" s="770"/>
      <c r="M56" s="770"/>
      <c r="N56" s="770"/>
      <c r="O56" s="770"/>
      <c r="P56" s="755"/>
      <c r="Q56" s="755"/>
      <c r="R56" s="770"/>
      <c r="S56" s="95"/>
      <c r="T56" s="95"/>
    </row>
    <row r="57" spans="1:22" ht="14.25" x14ac:dyDescent="0.2">
      <c r="A57" s="756"/>
      <c r="B57" s="770"/>
      <c r="C57" s="770"/>
      <c r="D57" s="770"/>
      <c r="E57" s="770"/>
      <c r="F57" s="770"/>
      <c r="G57" s="770"/>
      <c r="H57" s="770"/>
      <c r="I57" s="770"/>
      <c r="J57" s="770"/>
      <c r="K57" s="770"/>
      <c r="L57" s="770"/>
      <c r="M57" s="770"/>
      <c r="N57" s="770"/>
      <c r="O57" s="770"/>
      <c r="P57" s="755"/>
      <c r="Q57" s="755"/>
      <c r="R57" s="770"/>
      <c r="S57" s="95"/>
      <c r="T57" s="95"/>
    </row>
    <row r="58" spans="1:22" ht="14.25" x14ac:dyDescent="0.2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667"/>
      <c r="Q58" s="667"/>
      <c r="R58" s="95"/>
      <c r="S58" s="95"/>
      <c r="T58" s="95"/>
    </row>
    <row r="59" spans="1:22" ht="14.25" x14ac:dyDescent="0.2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667"/>
      <c r="Q59" s="667"/>
      <c r="R59" s="95"/>
      <c r="S59" s="95"/>
      <c r="T59" s="95"/>
    </row>
    <row r="60" spans="1:22" ht="15" x14ac:dyDescent="0.2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771"/>
      <c r="Q60" s="667"/>
      <c r="R60" s="95"/>
      <c r="S60" s="95"/>
      <c r="T60" s="95"/>
    </row>
    <row r="61" spans="1:22" ht="15" x14ac:dyDescent="0.2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665"/>
      <c r="Q61" s="667"/>
      <c r="R61" s="95"/>
      <c r="S61" s="95"/>
      <c r="T61" s="95"/>
    </row>
    <row r="62" spans="1:22" x14ac:dyDescent="0.2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</row>
    <row r="63" spans="1:22" x14ac:dyDescent="0.2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</row>
    <row r="64" spans="1:22" x14ac:dyDescent="0.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</row>
    <row r="65" spans="2:20" x14ac:dyDescent="0.2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</row>
    <row r="66" spans="2:20" x14ac:dyDescent="0.2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</row>
    <row r="67" spans="2:20" x14ac:dyDescent="0.2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</row>
    <row r="68" spans="2:20" x14ac:dyDescent="0.2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</row>
    <row r="69" spans="2:20" x14ac:dyDescent="0.2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</row>
    <row r="70" spans="2:20" x14ac:dyDescent="0.2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</row>
    <row r="71" spans="2:20" x14ac:dyDescent="0.2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2:20" x14ac:dyDescent="0.2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</row>
    <row r="73" spans="2:20" x14ac:dyDescent="0.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2:20" x14ac:dyDescent="0.2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2:20" x14ac:dyDescent="0.2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</row>
    <row r="76" spans="2:20" x14ac:dyDescent="0.2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2:20" x14ac:dyDescent="0.2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2:20" x14ac:dyDescent="0.2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2:20" x14ac:dyDescent="0.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2:20" x14ac:dyDescent="0.2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</row>
    <row r="81" spans="2:20" x14ac:dyDescent="0.2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</row>
    <row r="82" spans="2:20" x14ac:dyDescent="0.2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</row>
    <row r="83" spans="2:20" x14ac:dyDescent="0.2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</row>
    <row r="84" spans="2:20" x14ac:dyDescent="0.2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</row>
    <row r="85" spans="2:20" x14ac:dyDescent="0.2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</row>
    <row r="86" spans="2:20" x14ac:dyDescent="0.2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</row>
    <row r="87" spans="2:20" x14ac:dyDescent="0.2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</row>
    <row r="88" spans="2:20" x14ac:dyDescent="0.2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2:20" x14ac:dyDescent="0.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</row>
    <row r="90" spans="2:20" x14ac:dyDescent="0.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</row>
    <row r="91" spans="2:20" x14ac:dyDescent="0.2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</row>
    <row r="92" spans="2:20" x14ac:dyDescent="0.2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</row>
    <row r="93" spans="2:20" x14ac:dyDescent="0.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</row>
    <row r="94" spans="2:20" x14ac:dyDescent="0.2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</row>
    <row r="95" spans="2:20" x14ac:dyDescent="0.2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</row>
    <row r="96" spans="2:20" x14ac:dyDescent="0.2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</row>
    <row r="97" spans="2:20" x14ac:dyDescent="0.2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</row>
    <row r="98" spans="2:20" x14ac:dyDescent="0.2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</row>
    <row r="99" spans="2:20" x14ac:dyDescent="0.2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</row>
    <row r="100" spans="2:20" x14ac:dyDescent="0.2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</row>
    <row r="101" spans="2:20" x14ac:dyDescent="0.2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</row>
    <row r="102" spans="2:20" x14ac:dyDescent="0.2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</row>
    <row r="103" spans="2:20" x14ac:dyDescent="0.2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</row>
    <row r="104" spans="2:20" x14ac:dyDescent="0.2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</row>
    <row r="105" spans="2:20" x14ac:dyDescent="0.2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</row>
    <row r="106" spans="2:20" x14ac:dyDescent="0.2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</row>
    <row r="107" spans="2:20" x14ac:dyDescent="0.2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</row>
    <row r="108" spans="2:20" x14ac:dyDescent="0.2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</row>
    <row r="109" spans="2:20" x14ac:dyDescent="0.2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</row>
    <row r="110" spans="2:20" x14ac:dyDescent="0.2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</row>
    <row r="111" spans="2:20" x14ac:dyDescent="0.2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</row>
    <row r="112" spans="2:20" x14ac:dyDescent="0.2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</row>
    <row r="113" spans="2:20" x14ac:dyDescent="0.2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</row>
    <row r="114" spans="2:20" x14ac:dyDescent="0.2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</row>
    <row r="115" spans="2:20" x14ac:dyDescent="0.2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</row>
    <row r="116" spans="2:20" x14ac:dyDescent="0.2"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</row>
    <row r="117" spans="2:20" x14ac:dyDescent="0.2"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</row>
    <row r="118" spans="2:20" x14ac:dyDescent="0.2"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</row>
    <row r="119" spans="2:20" x14ac:dyDescent="0.2"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</row>
    <row r="120" spans="2:20" x14ac:dyDescent="0.2"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</row>
    <row r="121" spans="2:20" x14ac:dyDescent="0.2"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</row>
    <row r="122" spans="2:20" x14ac:dyDescent="0.2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</row>
    <row r="123" spans="2:20" x14ac:dyDescent="0.2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</row>
    <row r="124" spans="2:20" x14ac:dyDescent="0.2"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</row>
    <row r="125" spans="2:20" x14ac:dyDescent="0.2"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</row>
    <row r="126" spans="2:20" x14ac:dyDescent="0.2"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</row>
    <row r="127" spans="2:20" x14ac:dyDescent="0.2"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</row>
    <row r="128" spans="2:20" x14ac:dyDescent="0.2"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</row>
    <row r="129" spans="2:20" x14ac:dyDescent="0.2"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</row>
    <row r="130" spans="2:20" x14ac:dyDescent="0.2"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</row>
    <row r="131" spans="2:20" x14ac:dyDescent="0.2"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</row>
    <row r="132" spans="2:20" x14ac:dyDescent="0.2"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</row>
    <row r="133" spans="2:20" x14ac:dyDescent="0.2"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</row>
    <row r="134" spans="2:20" x14ac:dyDescent="0.2"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</row>
    <row r="135" spans="2:20" x14ac:dyDescent="0.2"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</row>
    <row r="136" spans="2:20" x14ac:dyDescent="0.2"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</row>
    <row r="137" spans="2:20" x14ac:dyDescent="0.2"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</row>
    <row r="138" spans="2:20" x14ac:dyDescent="0.2"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</row>
    <row r="139" spans="2:20" x14ac:dyDescent="0.2"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</row>
    <row r="140" spans="2:20" x14ac:dyDescent="0.2"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</row>
    <row r="141" spans="2:20" x14ac:dyDescent="0.2"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</row>
    <row r="142" spans="2:20" x14ac:dyDescent="0.2"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</row>
    <row r="143" spans="2:20" x14ac:dyDescent="0.2"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2:20" x14ac:dyDescent="0.2"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</row>
    <row r="145" spans="2:20" x14ac:dyDescent="0.2"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</row>
    <row r="146" spans="2:20" x14ac:dyDescent="0.2"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</row>
    <row r="147" spans="2:20" x14ac:dyDescent="0.2"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</row>
    <row r="148" spans="2:20" x14ac:dyDescent="0.2"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</row>
    <row r="149" spans="2:20" x14ac:dyDescent="0.2">
      <c r="B149" s="95"/>
      <c r="C149" s="95" t="s">
        <v>169</v>
      </c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</row>
    <row r="150" spans="2:20" x14ac:dyDescent="0.2">
      <c r="B150" s="95"/>
      <c r="C150" s="95" t="s">
        <v>170</v>
      </c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</row>
    <row r="151" spans="2:20" x14ac:dyDescent="0.2"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</row>
    <row r="152" spans="2:20" x14ac:dyDescent="0.2">
      <c r="B152" s="95"/>
      <c r="C152" s="95" t="s">
        <v>171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</row>
    <row r="153" spans="2:20" x14ac:dyDescent="0.2">
      <c r="B153" s="95"/>
      <c r="C153" s="95" t="s">
        <v>172</v>
      </c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</row>
    <row r="154" spans="2:20" x14ac:dyDescent="0.2"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</row>
    <row r="155" spans="2:20" x14ac:dyDescent="0.2">
      <c r="B155" s="95"/>
      <c r="C155" s="95" t="s">
        <v>71</v>
      </c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</row>
    <row r="156" spans="2:20" x14ac:dyDescent="0.2">
      <c r="B156" s="95"/>
      <c r="C156" s="95" t="s">
        <v>73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</row>
    <row r="157" spans="2:20" x14ac:dyDescent="0.2">
      <c r="B157" s="95"/>
      <c r="C157" s="95" t="s">
        <v>75</v>
      </c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</row>
    <row r="158" spans="2:20" x14ac:dyDescent="0.2">
      <c r="B158" s="95"/>
      <c r="C158" s="95" t="s">
        <v>77</v>
      </c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</row>
    <row r="159" spans="2:20" x14ac:dyDescent="0.2">
      <c r="B159" s="95"/>
      <c r="C159" s="95" t="s">
        <v>79</v>
      </c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</row>
    <row r="160" spans="2:20" x14ac:dyDescent="0.2"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</row>
    <row r="161" spans="2:20" x14ac:dyDescent="0.2"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</row>
    <row r="162" spans="2:20" x14ac:dyDescent="0.2"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</row>
    <row r="163" spans="2:20" x14ac:dyDescent="0.2"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</row>
    <row r="164" spans="2:20" x14ac:dyDescent="0.2"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</row>
    <row r="165" spans="2:20" x14ac:dyDescent="0.2"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</row>
    <row r="166" spans="2:20" x14ac:dyDescent="0.2"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</row>
    <row r="167" spans="2:20" x14ac:dyDescent="0.2"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</row>
    <row r="168" spans="2:20" x14ac:dyDescent="0.2">
      <c r="B168" s="95"/>
      <c r="C168" s="95" t="s">
        <v>173</v>
      </c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</row>
    <row r="169" spans="2:20" x14ac:dyDescent="0.2">
      <c r="B169" s="95"/>
      <c r="C169" s="95" t="s">
        <v>174</v>
      </c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</row>
    <row r="170" spans="2:20" x14ac:dyDescent="0.2">
      <c r="B170" s="95"/>
      <c r="C170" s="95" t="s">
        <v>175</v>
      </c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</row>
    <row r="171" spans="2:20" x14ac:dyDescent="0.2">
      <c r="B171" s="95"/>
      <c r="C171" s="95" t="s">
        <v>176</v>
      </c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</row>
    <row r="172" spans="2:20" x14ac:dyDescent="0.2">
      <c r="B172" s="95"/>
      <c r="C172" s="95" t="s">
        <v>177</v>
      </c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</row>
    <row r="173" spans="2:20" x14ac:dyDescent="0.2"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</row>
    <row r="174" spans="2:20" x14ac:dyDescent="0.2">
      <c r="B174" s="95"/>
      <c r="C174" s="95" t="s">
        <v>173</v>
      </c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</row>
    <row r="175" spans="2:20" x14ac:dyDescent="0.2">
      <c r="B175" s="95"/>
      <c r="C175" s="95" t="s">
        <v>175</v>
      </c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</row>
    <row r="176" spans="2:20" x14ac:dyDescent="0.2"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</row>
    <row r="177" spans="2:20" x14ac:dyDescent="0.2">
      <c r="B177" s="95"/>
      <c r="C177" s="95" t="s">
        <v>81</v>
      </c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</row>
    <row r="178" spans="2:20" x14ac:dyDescent="0.2">
      <c r="B178" s="95"/>
      <c r="C178" s="95" t="s">
        <v>82</v>
      </c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</row>
    <row r="179" spans="2:20" x14ac:dyDescent="0.2"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</row>
    <row r="180" spans="2:20" x14ac:dyDescent="0.2">
      <c r="B180" s="95"/>
      <c r="C180" s="94" t="s">
        <v>178</v>
      </c>
      <c r="D180" s="9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</row>
    <row r="181" spans="2:20" x14ac:dyDescent="0.2">
      <c r="B181" s="95"/>
      <c r="C181" s="94" t="s">
        <v>179</v>
      </c>
      <c r="D181" s="9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</row>
    <row r="182" spans="2:20" x14ac:dyDescent="0.2"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</row>
    <row r="183" spans="2:20" x14ac:dyDescent="0.2">
      <c r="B183" s="95"/>
      <c r="C183" s="94" t="s">
        <v>69</v>
      </c>
      <c r="D183" s="9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</row>
    <row r="184" spans="2:20" x14ac:dyDescent="0.2">
      <c r="B184" s="95"/>
      <c r="C184" s="94" t="s">
        <v>70</v>
      </c>
      <c r="D184" s="9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</row>
    <row r="185" spans="2:20" x14ac:dyDescent="0.2">
      <c r="B185" s="772"/>
      <c r="C185" s="772"/>
      <c r="D185" s="772"/>
      <c r="E185" s="772"/>
      <c r="F185" s="772"/>
      <c r="G185" s="772"/>
      <c r="H185" s="772"/>
      <c r="I185" s="772"/>
      <c r="J185" s="772"/>
      <c r="K185" s="772"/>
      <c r="L185" s="772"/>
      <c r="M185" s="772"/>
      <c r="N185" s="772"/>
      <c r="O185" s="772"/>
      <c r="P185" s="772"/>
      <c r="Q185" s="772"/>
      <c r="R185" s="772"/>
      <c r="S185" s="772"/>
      <c r="T185" s="772"/>
    </row>
  </sheetData>
  <sheetProtection formatCells="0" formatColumns="0" formatRows="0" insertColumns="0" insertRows="0" deleteColumns="0" deleteRows="0"/>
  <mergeCells count="54">
    <mergeCell ref="N52:O53"/>
    <mergeCell ref="B29:B30"/>
    <mergeCell ref="L51:M51"/>
    <mergeCell ref="C51:H51"/>
    <mergeCell ref="I51:K51"/>
    <mergeCell ref="I52:K52"/>
    <mergeCell ref="I53:K53"/>
    <mergeCell ref="K29:L30"/>
    <mergeCell ref="P24:P26"/>
    <mergeCell ref="O29:O30"/>
    <mergeCell ref="N51:O51"/>
    <mergeCell ref="C29:D30"/>
    <mergeCell ref="K25:L25"/>
    <mergeCell ref="K26:L26"/>
    <mergeCell ref="C31:D31"/>
    <mergeCell ref="C32:D32"/>
    <mergeCell ref="C33:D33"/>
    <mergeCell ref="F7:H7"/>
    <mergeCell ref="F8:H8"/>
    <mergeCell ref="A2:P2"/>
    <mergeCell ref="A1:P1"/>
    <mergeCell ref="A4:B4"/>
    <mergeCell ref="A6:B6"/>
    <mergeCell ref="I23:J23"/>
    <mergeCell ref="C23:H23"/>
    <mergeCell ref="K23:L23"/>
    <mergeCell ref="K24:L24"/>
    <mergeCell ref="F14:I14"/>
    <mergeCell ref="F15:I15"/>
    <mergeCell ref="F16:I16"/>
    <mergeCell ref="Y23:AG23"/>
    <mergeCell ref="Y26:AE26"/>
    <mergeCell ref="S27:S28"/>
    <mergeCell ref="T27:T28"/>
    <mergeCell ref="S21:T22"/>
    <mergeCell ref="U21:U22"/>
    <mergeCell ref="V21:V22"/>
    <mergeCell ref="W21:W22"/>
    <mergeCell ref="Y21:AG21"/>
    <mergeCell ref="Y22:AG22"/>
    <mergeCell ref="R32:R33"/>
    <mergeCell ref="B46:O46"/>
    <mergeCell ref="Q29:Q33"/>
    <mergeCell ref="R29:R31"/>
    <mergeCell ref="E29:F30"/>
    <mergeCell ref="J29:J30"/>
    <mergeCell ref="E31:F31"/>
    <mergeCell ref="J31:J33"/>
    <mergeCell ref="E32:F32"/>
    <mergeCell ref="E33:F33"/>
    <mergeCell ref="G29:G30"/>
    <mergeCell ref="H29:H30"/>
    <mergeCell ref="I29:I30"/>
    <mergeCell ref="P29:P30"/>
  </mergeCells>
  <phoneticPr fontId="4" type="noConversion"/>
  <printOptions horizontalCentered="1"/>
  <pageMargins left="0.5" right="0.25" top="0.5" bottom="0.25" header="0.25" footer="0.25"/>
  <pageSetup paperSize="9" scale="78" orientation="portrait" horizontalDpi="4294967294" verticalDpi="4294967292" r:id="rId1"/>
  <headerFooter>
    <oddHeader>&amp;R&amp;"-,Regular"&amp;8FV.LP 005-18 / REV : 0</oddHeader>
    <oddFooter>&amp;R&amp;K00-048Bpap 25.9.2022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16</xdr:col>
                <xdr:colOff>457200</xdr:colOff>
                <xdr:row>55</xdr:row>
                <xdr:rowOff>28575</xdr:rowOff>
              </from>
              <to>
                <xdr:col>17</xdr:col>
                <xdr:colOff>314325</xdr:colOff>
                <xdr:row>55</xdr:row>
                <xdr:rowOff>28575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16</xdr:col>
                <xdr:colOff>485775</xdr:colOff>
                <xdr:row>55</xdr:row>
                <xdr:rowOff>28575</xdr:rowOff>
              </from>
              <to>
                <xdr:col>17</xdr:col>
                <xdr:colOff>323850</xdr:colOff>
                <xdr:row>55</xdr:row>
                <xdr:rowOff>28575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U161"/>
  <sheetViews>
    <sheetView showGridLines="0" view="pageBreakPreview" topLeftCell="A19" zoomScaleNormal="80" zoomScaleSheetLayoutView="100" zoomScalePageLayoutView="80" workbookViewId="0">
      <selection activeCell="J21" sqref="J21"/>
    </sheetView>
  </sheetViews>
  <sheetFormatPr defaultColWidth="9.140625" defaultRowHeight="12.75" x14ac:dyDescent="0.2"/>
  <cols>
    <col min="1" max="2" width="3.85546875" style="99" customWidth="1"/>
    <col min="3" max="3" width="6.5703125" style="99" customWidth="1"/>
    <col min="4" max="4" width="15.28515625" style="99" customWidth="1"/>
    <col min="5" max="5" width="2.5703125" style="99" customWidth="1"/>
    <col min="6" max="11" width="8.5703125" style="99" customWidth="1"/>
    <col min="12" max="12" width="9.140625" style="99" customWidth="1"/>
    <col min="13" max="15" width="5.7109375" style="99" customWidth="1"/>
    <col min="16" max="16" width="8" style="99" customWidth="1"/>
    <col min="17" max="16384" width="9.140625" style="99"/>
  </cols>
  <sheetData>
    <row r="1" spans="1:21" ht="18.75" x14ac:dyDescent="0.2">
      <c r="A1" s="1008" t="s">
        <v>421</v>
      </c>
      <c r="B1" s="1008"/>
      <c r="C1" s="1008"/>
      <c r="D1" s="1008"/>
      <c r="E1" s="1008"/>
      <c r="F1" s="1008"/>
      <c r="G1" s="1008"/>
      <c r="H1" s="1008"/>
      <c r="I1" s="1008"/>
      <c r="J1" s="1008"/>
      <c r="K1" s="1008"/>
      <c r="L1" s="1008"/>
      <c r="M1" s="1008"/>
      <c r="N1" s="1008"/>
      <c r="O1" s="1008"/>
      <c r="P1" s="73"/>
      <c r="Q1" s="75"/>
      <c r="R1" s="76"/>
      <c r="S1" s="76"/>
      <c r="T1" s="76"/>
      <c r="U1" s="76"/>
    </row>
    <row r="2" spans="1:21" ht="17.25" x14ac:dyDescent="0.2">
      <c r="B2" s="72"/>
      <c r="C2" s="72"/>
      <c r="D2" s="427"/>
      <c r="E2" s="1018" t="str">
        <f>'DB Gas Flow'!A128</f>
        <v>Nomor Sertifikat : 82 /</v>
      </c>
      <c r="F2" s="1018"/>
      <c r="G2" s="1018"/>
      <c r="H2" s="1018"/>
      <c r="I2" s="289" t="s">
        <v>439</v>
      </c>
      <c r="J2" s="72"/>
      <c r="K2" s="72"/>
      <c r="L2" s="72"/>
      <c r="M2" s="72"/>
      <c r="N2" s="72"/>
      <c r="O2" s="72"/>
      <c r="P2" s="72"/>
      <c r="Q2" s="77"/>
      <c r="R2" s="78"/>
      <c r="S2" s="78"/>
      <c r="T2" s="78"/>
      <c r="U2" s="78"/>
    </row>
    <row r="3" spans="1:21" ht="9.75" customHeight="1" x14ac:dyDescent="0.2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79"/>
      <c r="S3" s="38"/>
      <c r="T3" s="38"/>
      <c r="U3" s="38"/>
    </row>
    <row r="4" spans="1:21" ht="15.75" x14ac:dyDescent="0.2">
      <c r="A4" s="1016" t="s">
        <v>0</v>
      </c>
      <c r="B4" s="1016"/>
      <c r="C4" s="40"/>
      <c r="E4" s="35" t="s">
        <v>5</v>
      </c>
      <c r="F4" s="48" t="s">
        <v>424</v>
      </c>
      <c r="G4" s="40"/>
      <c r="H4" s="40"/>
      <c r="I4" s="40"/>
      <c r="L4" s="40"/>
      <c r="M4" s="40"/>
      <c r="N4" s="40"/>
      <c r="O4" s="40"/>
      <c r="P4" s="41"/>
      <c r="Q4" s="41"/>
      <c r="R4" s="79"/>
      <c r="S4" s="40"/>
      <c r="T4" s="40"/>
      <c r="U4" s="40"/>
    </row>
    <row r="5" spans="1:21" ht="15.75" x14ac:dyDescent="0.2">
      <c r="A5" s="40" t="s">
        <v>2</v>
      </c>
      <c r="B5" s="40"/>
      <c r="C5" s="40"/>
      <c r="E5" s="35" t="s">
        <v>5</v>
      </c>
      <c r="F5" s="48" t="s">
        <v>425</v>
      </c>
      <c r="G5" s="40"/>
      <c r="H5" s="40"/>
      <c r="I5" s="40"/>
      <c r="L5" s="40"/>
      <c r="M5" s="40"/>
      <c r="N5" s="40"/>
      <c r="O5" s="40"/>
      <c r="P5" s="41"/>
      <c r="Q5" s="41"/>
      <c r="R5" s="79"/>
      <c r="S5" s="40"/>
      <c r="T5" s="40"/>
      <c r="U5" s="40"/>
    </row>
    <row r="6" spans="1:21" ht="15.75" x14ac:dyDescent="0.2">
      <c r="A6" s="1016" t="s">
        <v>3</v>
      </c>
      <c r="B6" s="1016"/>
      <c r="C6" s="40"/>
      <c r="E6" s="35" t="s">
        <v>5</v>
      </c>
      <c r="F6" s="48" t="s">
        <v>426</v>
      </c>
      <c r="G6" s="40"/>
      <c r="H6" s="40"/>
      <c r="I6" s="40"/>
      <c r="L6" s="40"/>
      <c r="M6" s="40"/>
      <c r="N6" s="40"/>
      <c r="O6" s="40"/>
      <c r="P6" s="41"/>
      <c r="Q6" s="41"/>
      <c r="R6" s="79"/>
      <c r="S6" s="40"/>
      <c r="T6" s="40"/>
      <c r="U6" s="40"/>
    </row>
    <row r="7" spans="1:21" ht="15.75" x14ac:dyDescent="0.2">
      <c r="A7" s="48" t="s">
        <v>4</v>
      </c>
      <c r="B7" s="48"/>
      <c r="C7" s="40"/>
      <c r="E7" s="35" t="s">
        <v>5</v>
      </c>
      <c r="F7" s="1028" t="s">
        <v>440</v>
      </c>
      <c r="G7" s="1028"/>
      <c r="H7" s="40"/>
      <c r="I7" s="40"/>
      <c r="L7" s="40"/>
      <c r="M7" s="40"/>
      <c r="N7" s="40"/>
      <c r="O7" s="40"/>
      <c r="P7" s="41"/>
      <c r="Q7" s="41"/>
      <c r="R7" s="79"/>
      <c r="S7" s="40"/>
      <c r="T7" s="40"/>
      <c r="U7" s="40"/>
    </row>
    <row r="8" spans="1:21" ht="15.75" x14ac:dyDescent="0.2">
      <c r="A8" s="48" t="s">
        <v>6</v>
      </c>
      <c r="B8" s="48"/>
      <c r="C8" s="48"/>
      <c r="E8" s="35" t="s">
        <v>5</v>
      </c>
      <c r="F8" s="1028" t="s">
        <v>440</v>
      </c>
      <c r="G8" s="1028"/>
      <c r="H8" s="40"/>
      <c r="I8" s="40"/>
      <c r="L8" s="40"/>
      <c r="M8" s="40"/>
      <c r="N8" s="40"/>
      <c r="O8" s="40"/>
      <c r="P8" s="41"/>
      <c r="Q8" s="41"/>
      <c r="R8" s="79"/>
      <c r="S8" s="40"/>
      <c r="T8" s="40"/>
      <c r="U8" s="40"/>
    </row>
    <row r="9" spans="1:21" ht="15.75" x14ac:dyDescent="0.2">
      <c r="A9" s="48" t="s">
        <v>7</v>
      </c>
      <c r="B9" s="48"/>
      <c r="C9" s="48"/>
      <c r="E9" s="35" t="s">
        <v>5</v>
      </c>
      <c r="F9" s="48" t="s">
        <v>441</v>
      </c>
      <c r="G9" s="40"/>
      <c r="H9" s="40"/>
      <c r="I9" s="40"/>
      <c r="L9" s="40"/>
      <c r="M9" s="40"/>
      <c r="N9" s="40"/>
      <c r="O9" s="40"/>
      <c r="P9" s="41"/>
      <c r="Q9" s="41"/>
      <c r="R9" s="79"/>
      <c r="S9" s="40"/>
      <c r="T9" s="40"/>
      <c r="U9" s="40"/>
    </row>
    <row r="10" spans="1:21" ht="15" x14ac:dyDescent="0.2">
      <c r="A10" s="48" t="s">
        <v>8</v>
      </c>
      <c r="B10" s="40"/>
      <c r="C10" s="40"/>
      <c r="E10" s="35" t="s">
        <v>5</v>
      </c>
      <c r="F10" s="48" t="s">
        <v>427</v>
      </c>
      <c r="G10" s="40"/>
      <c r="H10" s="40"/>
      <c r="I10" s="40"/>
      <c r="L10" s="40"/>
      <c r="M10" s="40"/>
      <c r="N10" s="40"/>
      <c r="O10" s="40"/>
      <c r="P10" s="41"/>
      <c r="Q10" s="41"/>
      <c r="R10" s="40"/>
      <c r="S10" s="40"/>
      <c r="T10" s="40"/>
      <c r="U10" s="40"/>
    </row>
    <row r="11" spans="1:21" ht="4.5" customHeight="1" x14ac:dyDescent="0.2">
      <c r="B11" s="40"/>
      <c r="C11" s="40"/>
      <c r="D11" s="35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1"/>
      <c r="Q11" s="41"/>
      <c r="R11" s="40"/>
      <c r="S11" s="40"/>
      <c r="T11" s="40"/>
      <c r="U11" s="40"/>
    </row>
    <row r="12" spans="1:21" ht="15" x14ac:dyDescent="0.2">
      <c r="A12" s="42" t="s">
        <v>9</v>
      </c>
      <c r="B12" s="42" t="s">
        <v>10</v>
      </c>
      <c r="C12" s="42"/>
      <c r="D12" s="3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ht="15" x14ac:dyDescent="0.2">
      <c r="A13" s="42"/>
      <c r="B13" s="42"/>
      <c r="C13" s="42"/>
      <c r="E13" s="35"/>
      <c r="F13" s="575" t="s">
        <v>11</v>
      </c>
      <c r="G13" s="575" t="s">
        <v>12</v>
      </c>
      <c r="H13" s="2"/>
      <c r="I13" s="40"/>
      <c r="J13" s="40"/>
      <c r="K13" s="40"/>
      <c r="L13" s="40"/>
      <c r="M13" s="40"/>
      <c r="N13" s="40"/>
      <c r="O13" s="40"/>
      <c r="P13" s="40"/>
      <c r="Q13" s="40"/>
    </row>
    <row r="14" spans="1:21" ht="15" x14ac:dyDescent="0.2">
      <c r="B14" s="1016" t="s">
        <v>13</v>
      </c>
      <c r="C14" s="1016"/>
      <c r="E14" s="35" t="s">
        <v>5</v>
      </c>
      <c r="F14" s="576">
        <v>24.7</v>
      </c>
      <c r="G14" s="576">
        <v>24.7</v>
      </c>
      <c r="H14" s="81" t="s">
        <v>14</v>
      </c>
      <c r="J14" s="40"/>
      <c r="K14" s="40"/>
      <c r="L14" s="40"/>
      <c r="M14" s="40"/>
      <c r="N14" s="40"/>
      <c r="O14" s="40"/>
      <c r="P14" s="40"/>
      <c r="Q14" s="40"/>
    </row>
    <row r="15" spans="1:21" ht="15" x14ac:dyDescent="0.2">
      <c r="B15" s="1016" t="s">
        <v>15</v>
      </c>
      <c r="C15" s="1016"/>
      <c r="E15" s="35" t="s">
        <v>5</v>
      </c>
      <c r="F15" s="576">
        <v>72.400000000000006</v>
      </c>
      <c r="G15" s="576">
        <v>72.400000000000006</v>
      </c>
      <c r="H15" s="40" t="s">
        <v>98</v>
      </c>
      <c r="J15" s="40"/>
      <c r="K15" s="40"/>
      <c r="L15" s="40"/>
      <c r="M15" s="40"/>
      <c r="N15" s="40"/>
      <c r="O15" s="83"/>
      <c r="P15" s="40"/>
      <c r="Q15" s="40"/>
    </row>
    <row r="16" spans="1:21" ht="15" x14ac:dyDescent="0.2">
      <c r="B16" s="48" t="s">
        <v>17</v>
      </c>
      <c r="C16" s="48"/>
      <c r="E16" s="35" t="s">
        <v>5</v>
      </c>
      <c r="F16" s="577">
        <v>231.8</v>
      </c>
      <c r="G16" s="578" t="s">
        <v>18</v>
      </c>
      <c r="H16" s="82"/>
      <c r="I16" s="40"/>
      <c r="J16" s="40"/>
      <c r="M16" s="40"/>
      <c r="N16" s="40"/>
      <c r="O16" s="83"/>
      <c r="P16" s="40"/>
      <c r="Q16" s="40"/>
    </row>
    <row r="17" spans="1:21" ht="15" x14ac:dyDescent="0.2">
      <c r="B17" s="40"/>
      <c r="C17" s="40"/>
      <c r="D17" s="35"/>
      <c r="E17" s="40"/>
      <c r="F17" s="40"/>
      <c r="G17" s="40"/>
      <c r="H17" s="40"/>
      <c r="I17" s="40"/>
      <c r="J17" s="40"/>
      <c r="M17" s="40"/>
      <c r="N17" s="40"/>
      <c r="O17" s="83"/>
      <c r="P17" s="40"/>
      <c r="Q17" s="40"/>
      <c r="R17" s="40"/>
      <c r="S17" s="40"/>
      <c r="T17" s="40"/>
      <c r="U17" s="40"/>
    </row>
    <row r="18" spans="1:21" ht="17.25" x14ac:dyDescent="0.2">
      <c r="A18" s="42" t="s">
        <v>19</v>
      </c>
      <c r="B18" s="42" t="s">
        <v>20</v>
      </c>
      <c r="C18" s="42"/>
      <c r="D18" s="42"/>
      <c r="E18" s="40"/>
      <c r="F18" s="40"/>
      <c r="G18" s="40"/>
      <c r="H18" s="40"/>
      <c r="I18" s="40"/>
      <c r="J18" s="40"/>
      <c r="K18" s="84"/>
      <c r="L18" s="84"/>
      <c r="M18" s="40"/>
      <c r="N18" s="40"/>
      <c r="O18" s="83"/>
      <c r="P18" s="40"/>
      <c r="Q18" s="40"/>
      <c r="R18" s="40"/>
      <c r="S18" s="40"/>
      <c r="T18" s="40"/>
      <c r="U18" s="40"/>
    </row>
    <row r="19" spans="1:21" ht="15" customHeight="1" x14ac:dyDescent="0.2">
      <c r="A19" s="42"/>
      <c r="B19" s="579" t="str">
        <f>LK!B19</f>
        <v>1. Fisik</v>
      </c>
      <c r="C19" s="427"/>
      <c r="E19" s="35" t="s">
        <v>5</v>
      </c>
      <c r="F19" s="1017" t="s">
        <v>89</v>
      </c>
      <c r="G19" s="1017"/>
      <c r="H19" s="49"/>
      <c r="I19" s="40"/>
      <c r="J19" s="40"/>
      <c r="K19" s="84"/>
      <c r="L19" s="84"/>
      <c r="M19" s="40"/>
      <c r="P19" s="40"/>
      <c r="Q19" s="40"/>
      <c r="R19" s="40"/>
      <c r="S19" s="40"/>
      <c r="T19" s="40"/>
      <c r="U19" s="40"/>
    </row>
    <row r="20" spans="1:21" ht="15" customHeight="1" x14ac:dyDescent="0.2">
      <c r="A20" s="42"/>
      <c r="B20" s="579" t="str">
        <f>LK!B20</f>
        <v>2. Fungsi</v>
      </c>
      <c r="C20" s="427"/>
      <c r="E20" s="35" t="s">
        <v>5</v>
      </c>
      <c r="F20" s="1015" t="s">
        <v>89</v>
      </c>
      <c r="G20" s="1015"/>
      <c r="H20" s="2"/>
      <c r="I20" s="40"/>
      <c r="J20" s="40"/>
      <c r="K20" s="84"/>
      <c r="L20" s="84"/>
      <c r="M20" s="40"/>
      <c r="P20" s="40"/>
      <c r="Q20" s="40"/>
      <c r="R20" s="40"/>
      <c r="S20" s="40"/>
      <c r="T20" s="40"/>
      <c r="U20" s="40"/>
    </row>
    <row r="21" spans="1:21" ht="12" customHeight="1" x14ac:dyDescent="0.2">
      <c r="A21" s="42"/>
      <c r="B21" s="427"/>
      <c r="C21" s="427"/>
      <c r="D21" s="427"/>
      <c r="E21" s="427"/>
      <c r="F21" s="427"/>
      <c r="G21" s="427"/>
      <c r="H21" s="2"/>
      <c r="I21" s="40"/>
      <c r="J21" s="40"/>
      <c r="K21" s="84"/>
      <c r="L21" s="84"/>
      <c r="M21" s="40"/>
      <c r="N21" s="40"/>
      <c r="O21" s="83"/>
      <c r="P21" s="1000" t="s">
        <v>99</v>
      </c>
      <c r="Q21" s="1000"/>
      <c r="R21" s="998" t="s">
        <v>36</v>
      </c>
      <c r="S21" s="999" t="s">
        <v>100</v>
      </c>
      <c r="T21" s="40"/>
      <c r="U21" s="40"/>
    </row>
    <row r="22" spans="1:21" ht="16.5" customHeight="1" x14ac:dyDescent="0.2">
      <c r="A22" s="42" t="s">
        <v>24</v>
      </c>
      <c r="B22" s="85" t="s">
        <v>25</v>
      </c>
      <c r="C22" s="42"/>
      <c r="D22" s="42"/>
      <c r="E22" s="40"/>
      <c r="F22" s="40"/>
      <c r="G22" s="40"/>
      <c r="H22" s="40"/>
      <c r="I22" s="40"/>
      <c r="J22" s="40"/>
      <c r="K22" s="84"/>
      <c r="L22" s="84"/>
      <c r="M22" s="40"/>
      <c r="N22" s="40"/>
      <c r="O22" s="83"/>
      <c r="P22" s="1000"/>
      <c r="Q22" s="1000"/>
      <c r="R22" s="998"/>
      <c r="S22" s="999"/>
      <c r="T22" s="40"/>
      <c r="U22" s="40"/>
    </row>
    <row r="23" spans="1:21" ht="38.1" customHeight="1" x14ac:dyDescent="0.2">
      <c r="B23" s="583" t="s">
        <v>40</v>
      </c>
      <c r="C23" s="1009" t="s">
        <v>27</v>
      </c>
      <c r="D23" s="1029"/>
      <c r="E23" s="1029"/>
      <c r="F23" s="1029"/>
      <c r="G23" s="1029"/>
      <c r="H23" s="1010"/>
      <c r="I23" s="1009" t="s">
        <v>28</v>
      </c>
      <c r="J23" s="1010"/>
      <c r="K23" s="1009" t="s">
        <v>29</v>
      </c>
      <c r="L23" s="1010"/>
      <c r="P23" s="281" t="s">
        <v>101</v>
      </c>
      <c r="Q23" s="282" t="s">
        <v>102</v>
      </c>
      <c r="R23" s="886">
        <v>11</v>
      </c>
      <c r="S23" s="281">
        <v>100</v>
      </c>
      <c r="T23" s="40"/>
      <c r="U23" s="40"/>
    </row>
    <row r="24" spans="1:21" ht="15" customHeight="1" x14ac:dyDescent="0.2">
      <c r="B24" s="28">
        <v>1</v>
      </c>
      <c r="C24" s="593" t="s">
        <v>30</v>
      </c>
      <c r="D24" s="594"/>
      <c r="E24" s="594"/>
      <c r="F24" s="594"/>
      <c r="G24" s="30"/>
      <c r="H24" s="30"/>
      <c r="I24" s="595" t="s">
        <v>104</v>
      </c>
      <c r="J24" s="596" t="s">
        <v>31</v>
      </c>
      <c r="K24" s="1013">
        <f>LK!J24</f>
        <v>2</v>
      </c>
      <c r="L24" s="1014"/>
      <c r="Q24" s="3"/>
      <c r="R24" s="4"/>
      <c r="S24" s="3"/>
      <c r="T24" s="40"/>
      <c r="U24" s="40"/>
    </row>
    <row r="25" spans="1:21" ht="15" customHeight="1" x14ac:dyDescent="0.2">
      <c r="B25" s="50">
        <v>2</v>
      </c>
      <c r="C25" s="1030" t="s">
        <v>105</v>
      </c>
      <c r="D25" s="1031"/>
      <c r="E25" s="1031"/>
      <c r="F25" s="1031"/>
      <c r="G25" s="1031"/>
      <c r="H25" s="1032"/>
      <c r="I25" s="597">
        <v>0.1</v>
      </c>
      <c r="J25" s="598" t="s">
        <v>33</v>
      </c>
      <c r="K25" s="1011">
        <f>IF(C25=PENYELIA!Y27,PENYELIA!AE27,PENYELIA!AE28)</f>
        <v>0.2</v>
      </c>
      <c r="L25" s="1012"/>
      <c r="Q25" s="3"/>
      <c r="R25" s="4"/>
      <c r="S25" s="3"/>
      <c r="T25" s="40"/>
      <c r="U25" s="40"/>
    </row>
    <row r="26" spans="1:21" ht="15" customHeight="1" x14ac:dyDescent="0.2">
      <c r="B26" s="29">
        <v>3</v>
      </c>
      <c r="C26" s="1033" t="s">
        <v>164</v>
      </c>
      <c r="D26" s="1034"/>
      <c r="E26" s="1034"/>
      <c r="F26" s="1034"/>
      <c r="G26" s="1034"/>
      <c r="H26" s="1035"/>
      <c r="I26" s="599">
        <v>39.799999999999997</v>
      </c>
      <c r="J26" s="600" t="s">
        <v>401</v>
      </c>
      <c r="K26" s="1001">
        <f>IF(C26=PENYELIA!Y29,PENYELIA!AE29,PENYELIA!AE30)</f>
        <v>100</v>
      </c>
      <c r="L26" s="1002"/>
      <c r="Q26" s="40"/>
      <c r="R26" s="4"/>
      <c r="S26" s="40"/>
      <c r="T26" s="40"/>
      <c r="U26" s="40"/>
    </row>
    <row r="27" spans="1:21" ht="15" x14ac:dyDescent="0.2"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40"/>
      <c r="N27" s="40"/>
      <c r="O27" s="40"/>
      <c r="P27" s="41"/>
      <c r="Q27" s="41"/>
      <c r="R27" s="40"/>
      <c r="S27" s="40"/>
      <c r="T27" s="40"/>
      <c r="U27" s="40"/>
    </row>
    <row r="28" spans="1:21" ht="15" x14ac:dyDescent="0.2">
      <c r="A28" s="42" t="s">
        <v>38</v>
      </c>
      <c r="B28" s="42" t="s">
        <v>39</v>
      </c>
      <c r="C28" s="42"/>
      <c r="D28" s="42"/>
      <c r="E28" s="42"/>
      <c r="F28" s="42"/>
      <c r="G28" s="42"/>
      <c r="H28" s="42"/>
      <c r="I28" s="42"/>
      <c r="J28" s="42"/>
      <c r="K28" s="34"/>
      <c r="L28" s="34"/>
      <c r="M28" s="40"/>
      <c r="N28" s="40"/>
      <c r="O28" s="40"/>
      <c r="P28" s="41"/>
      <c r="Q28" s="41"/>
      <c r="R28" s="40"/>
      <c r="S28" s="40"/>
      <c r="T28" s="40"/>
      <c r="U28" s="40"/>
    </row>
    <row r="29" spans="1:21" ht="20.100000000000001" customHeight="1" x14ac:dyDescent="0.2">
      <c r="B29" s="1003" t="s">
        <v>40</v>
      </c>
      <c r="C29" s="1003" t="s">
        <v>27</v>
      </c>
      <c r="D29" s="1003"/>
      <c r="E29" s="1003" t="s">
        <v>433</v>
      </c>
      <c r="F29" s="1003"/>
      <c r="G29" s="1003" t="s">
        <v>41</v>
      </c>
      <c r="H29" s="1003"/>
      <c r="I29" s="1003"/>
      <c r="J29" s="1003"/>
      <c r="K29" s="1003"/>
      <c r="L29" s="1003" t="s">
        <v>100</v>
      </c>
      <c r="M29" s="584"/>
      <c r="N29" s="584"/>
      <c r="O29" s="584"/>
      <c r="P29" s="1022"/>
      <c r="Q29" s="1021"/>
      <c r="R29" s="1019"/>
      <c r="S29" s="1019"/>
      <c r="T29" s="1019"/>
      <c r="U29" s="1019"/>
    </row>
    <row r="30" spans="1:21" ht="20.100000000000001" customHeight="1" x14ac:dyDescent="0.2">
      <c r="B30" s="1003"/>
      <c r="C30" s="1003"/>
      <c r="D30" s="1003"/>
      <c r="E30" s="1003"/>
      <c r="F30" s="1003"/>
      <c r="G30" s="592" t="s">
        <v>42</v>
      </c>
      <c r="H30" s="592" t="s">
        <v>43</v>
      </c>
      <c r="I30" s="592" t="s">
        <v>44</v>
      </c>
      <c r="J30" s="592" t="s">
        <v>45</v>
      </c>
      <c r="K30" s="592" t="s">
        <v>46</v>
      </c>
      <c r="L30" s="1003"/>
      <c r="M30" s="584"/>
      <c r="N30" s="584"/>
      <c r="O30" s="584"/>
      <c r="P30" s="1022"/>
      <c r="Q30" s="1021"/>
      <c r="R30" s="1019"/>
      <c r="S30" s="1019"/>
      <c r="T30" s="1019"/>
      <c r="U30" s="1019"/>
    </row>
    <row r="31" spans="1:21" ht="42.95" customHeight="1" x14ac:dyDescent="0.2">
      <c r="B31" s="31">
        <v>1</v>
      </c>
      <c r="C31" s="1025" t="s">
        <v>419</v>
      </c>
      <c r="D31" s="1025"/>
      <c r="E31" s="1007">
        <v>15</v>
      </c>
      <c r="F31" s="1007"/>
      <c r="G31" s="591">
        <v>13.6</v>
      </c>
      <c r="H31" s="591">
        <v>13.6</v>
      </c>
      <c r="I31" s="591">
        <v>13.6</v>
      </c>
      <c r="J31" s="591">
        <v>13.6</v>
      </c>
      <c r="K31" s="591">
        <v>13.6</v>
      </c>
      <c r="L31" s="934">
        <v>0.1</v>
      </c>
      <c r="M31" s="887"/>
      <c r="N31" s="887"/>
      <c r="O31" s="887"/>
      <c r="P31" s="1020"/>
      <c r="Q31" s="86"/>
      <c r="R31" s="87"/>
      <c r="S31" s="1020"/>
      <c r="T31" s="88"/>
      <c r="U31" s="89"/>
    </row>
    <row r="32" spans="1:21" ht="42.95" customHeight="1" x14ac:dyDescent="0.2">
      <c r="B32" s="32">
        <v>2</v>
      </c>
      <c r="C32" s="1026" t="s">
        <v>420</v>
      </c>
      <c r="D32" s="1026"/>
      <c r="E32" s="1023">
        <v>5</v>
      </c>
      <c r="F32" s="1023"/>
      <c r="G32" s="622">
        <v>4.8</v>
      </c>
      <c r="H32" s="622">
        <v>4.8</v>
      </c>
      <c r="I32" s="622">
        <v>4.8</v>
      </c>
      <c r="J32" s="622">
        <v>4.8</v>
      </c>
      <c r="K32" s="622">
        <v>4.8</v>
      </c>
      <c r="L32" s="934"/>
      <c r="M32" s="887"/>
      <c r="N32" s="887"/>
      <c r="O32" s="887"/>
      <c r="P32" s="1020"/>
      <c r="Q32" s="86"/>
      <c r="R32" s="87"/>
      <c r="S32" s="1020"/>
      <c r="T32" s="88"/>
      <c r="U32" s="89"/>
    </row>
    <row r="33" spans="1:21" ht="42.95" customHeight="1" x14ac:dyDescent="0.2">
      <c r="B33" s="33">
        <v>3</v>
      </c>
      <c r="C33" s="1027" t="s">
        <v>47</v>
      </c>
      <c r="D33" s="1027"/>
      <c r="E33" s="1024">
        <v>12</v>
      </c>
      <c r="F33" s="1024"/>
      <c r="G33" s="633">
        <v>12</v>
      </c>
      <c r="H33" s="633">
        <v>12</v>
      </c>
      <c r="I33" s="633">
        <v>12</v>
      </c>
      <c r="J33" s="633">
        <v>12</v>
      </c>
      <c r="K33" s="633">
        <v>12</v>
      </c>
      <c r="L33" s="934"/>
      <c r="M33" s="887"/>
      <c r="N33" s="887"/>
      <c r="O33" s="887"/>
      <c r="P33" s="1020"/>
      <c r="Q33" s="86"/>
      <c r="R33" s="87"/>
      <c r="S33" s="1020"/>
      <c r="T33" s="88"/>
      <c r="U33" s="89"/>
    </row>
    <row r="34" spans="1:21" ht="15" customHeight="1" x14ac:dyDescent="0.2">
      <c r="B34" s="590"/>
      <c r="C34" s="587"/>
      <c r="D34" s="587"/>
      <c r="E34" s="588"/>
      <c r="F34" s="588"/>
      <c r="G34" s="589"/>
      <c r="H34" s="586"/>
      <c r="I34" s="585"/>
      <c r="J34" s="604"/>
      <c r="K34" s="887"/>
      <c r="L34" s="888"/>
      <c r="M34" s="887"/>
      <c r="N34" s="888"/>
      <c r="O34" s="887"/>
      <c r="P34" s="1020"/>
      <c r="Q34" s="86"/>
      <c r="R34" s="87"/>
      <c r="S34" s="1020"/>
      <c r="T34" s="88"/>
      <c r="U34" s="89"/>
    </row>
    <row r="35" spans="1:21" ht="15" x14ac:dyDescent="0.2">
      <c r="A35" s="90" t="s">
        <v>48</v>
      </c>
      <c r="B35" s="85" t="s">
        <v>49</v>
      </c>
      <c r="C35" s="85"/>
      <c r="D35" s="85"/>
      <c r="E35" s="889"/>
      <c r="F35" s="889"/>
      <c r="G35" s="890"/>
      <c r="H35" s="890"/>
      <c r="I35" s="890"/>
      <c r="J35" s="890"/>
      <c r="K35" s="890"/>
      <c r="L35" s="890"/>
      <c r="M35" s="890"/>
      <c r="N35" s="890"/>
      <c r="O35" s="890"/>
      <c r="P35" s="890"/>
      <c r="Q35" s="890"/>
      <c r="R35" s="2"/>
      <c r="S35" s="2"/>
      <c r="T35" s="44"/>
      <c r="U35" s="43"/>
    </row>
    <row r="36" spans="1:21" ht="15" customHeight="1" x14ac:dyDescent="0.2">
      <c r="B36" s="40" t="s">
        <v>50</v>
      </c>
      <c r="C36" s="40"/>
      <c r="D36" s="40"/>
      <c r="E36" s="889"/>
      <c r="F36" s="889"/>
      <c r="G36" s="890"/>
      <c r="H36" s="890"/>
      <c r="I36" s="890"/>
      <c r="J36" s="890"/>
      <c r="K36" s="890"/>
      <c r="L36" s="890"/>
      <c r="M36" s="890"/>
      <c r="N36" s="890"/>
      <c r="O36" s="890"/>
      <c r="P36" s="1"/>
      <c r="Q36" s="1"/>
      <c r="R36" s="1"/>
      <c r="S36" s="1"/>
      <c r="T36" s="40"/>
      <c r="U36" s="40"/>
    </row>
    <row r="37" spans="1:21" ht="15" customHeight="1" x14ac:dyDescent="0.2">
      <c r="B37" s="280" t="str">
        <f>'DB Kelistrikan'!N311</f>
        <v>Hasil pengukuran keselamatan listrik tertelusur ke Satuan Internasional ( SI ) melalui PT. Kaliman (LK-032-IDN)</v>
      </c>
      <c r="C37" s="40"/>
      <c r="D37" s="40"/>
      <c r="E37" s="889"/>
      <c r="F37" s="889"/>
      <c r="G37" s="890"/>
      <c r="H37" s="890"/>
      <c r="I37" s="890"/>
      <c r="J37" s="890"/>
      <c r="K37" s="890"/>
      <c r="L37" s="890"/>
      <c r="M37" s="890"/>
      <c r="N37" s="890"/>
      <c r="O37" s="890"/>
      <c r="P37" s="1"/>
      <c r="Q37" s="1"/>
      <c r="R37" s="1"/>
      <c r="S37" s="1"/>
      <c r="T37" s="40"/>
      <c r="U37" s="40"/>
    </row>
    <row r="38" spans="1:21" ht="15" customHeight="1" x14ac:dyDescent="0.2">
      <c r="B38" s="348" t="s">
        <v>428</v>
      </c>
      <c r="C38" s="40"/>
      <c r="D38" s="40"/>
      <c r="E38" s="889"/>
      <c r="F38" s="889"/>
      <c r="G38" s="890"/>
      <c r="H38" s="890"/>
      <c r="I38" s="890"/>
      <c r="J38" s="890"/>
      <c r="K38" s="890"/>
      <c r="L38" s="890"/>
      <c r="M38" s="890"/>
      <c r="N38" s="890"/>
      <c r="O38" s="890"/>
      <c r="P38" s="1"/>
      <c r="Q38" s="1"/>
      <c r="R38" s="1"/>
      <c r="S38" s="1"/>
      <c r="T38" s="40"/>
      <c r="U38" s="40"/>
    </row>
    <row r="39" spans="1:21" ht="15" x14ac:dyDescent="0.25">
      <c r="B39" s="347" t="str">
        <f>PENYELIA!Y21</f>
        <v/>
      </c>
      <c r="C39" s="80"/>
      <c r="D39" s="80"/>
      <c r="E39" s="891"/>
      <c r="F39" s="891"/>
      <c r="G39" s="890"/>
      <c r="H39" s="890"/>
      <c r="I39" s="890"/>
      <c r="J39" s="890"/>
      <c r="K39" s="890"/>
      <c r="L39" s="890"/>
      <c r="M39" s="890"/>
      <c r="N39" s="890"/>
      <c r="O39" s="890"/>
      <c r="P39" s="1"/>
      <c r="Q39" s="1"/>
      <c r="R39" s="1"/>
      <c r="S39" s="1"/>
      <c r="T39" s="40"/>
      <c r="U39" s="40"/>
    </row>
    <row r="40" spans="1:21" ht="15" x14ac:dyDescent="0.2">
      <c r="C40" s="427"/>
      <c r="D40" s="427"/>
      <c r="E40" s="80"/>
      <c r="F40" s="427"/>
      <c r="G40" s="427"/>
      <c r="H40" s="427"/>
      <c r="I40" s="890"/>
      <c r="J40" s="890"/>
      <c r="K40" s="890"/>
      <c r="L40" s="890"/>
      <c r="M40" s="890"/>
      <c r="N40" s="890"/>
      <c r="O40" s="890"/>
      <c r="P40" s="1"/>
      <c r="Q40" s="1"/>
      <c r="R40" s="1"/>
      <c r="S40" s="1"/>
      <c r="T40" s="40"/>
      <c r="U40" s="40"/>
    </row>
    <row r="41" spans="1:21" ht="15" x14ac:dyDescent="0.2">
      <c r="A41" s="85" t="s">
        <v>51</v>
      </c>
      <c r="B41" s="85" t="s">
        <v>107</v>
      </c>
      <c r="C41" s="85"/>
      <c r="D41" s="85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"/>
      <c r="S41" s="2"/>
      <c r="T41" s="40"/>
      <c r="U41" s="40"/>
    </row>
    <row r="42" spans="1:21" ht="15" x14ac:dyDescent="0.2">
      <c r="B42" s="1004" t="s">
        <v>448</v>
      </c>
      <c r="C42" s="1004"/>
      <c r="D42" s="1004"/>
      <c r="E42" s="1004"/>
      <c r="F42" s="1004"/>
      <c r="G42" s="1004"/>
      <c r="H42" s="1004"/>
      <c r="I42" s="1004"/>
      <c r="J42" s="1004"/>
      <c r="K42" s="1004"/>
      <c r="L42" s="34"/>
      <c r="M42" s="34"/>
      <c r="N42" s="34"/>
      <c r="O42" s="34"/>
      <c r="P42" s="34"/>
      <c r="Q42" s="34"/>
      <c r="R42" s="2"/>
      <c r="S42" s="2"/>
      <c r="T42" s="40"/>
      <c r="U42" s="40"/>
    </row>
    <row r="43" spans="1:21" ht="15" x14ac:dyDescent="0.2">
      <c r="B43" s="1005" t="s">
        <v>337</v>
      </c>
      <c r="C43" s="1005"/>
      <c r="D43" s="1005"/>
      <c r="E43" s="1005"/>
      <c r="F43" s="1005"/>
      <c r="G43" s="1005"/>
      <c r="H43" s="1005"/>
      <c r="I43" s="1005"/>
      <c r="J43" s="1005"/>
      <c r="K43" s="1005"/>
      <c r="L43" s="40"/>
      <c r="M43" s="40"/>
      <c r="N43" s="40"/>
      <c r="O43" s="40"/>
      <c r="P43" s="34"/>
      <c r="Q43" s="34"/>
      <c r="R43" s="2"/>
      <c r="S43" s="2"/>
      <c r="T43" s="40"/>
      <c r="U43" s="40"/>
    </row>
    <row r="44" spans="1:21" ht="15" x14ac:dyDescent="0.2">
      <c r="B44" s="1005" t="s">
        <v>283</v>
      </c>
      <c r="C44" s="1005"/>
      <c r="D44" s="1005"/>
      <c r="E44" s="1005"/>
      <c r="F44" s="1005"/>
      <c r="G44" s="1005"/>
      <c r="H44" s="1005"/>
      <c r="I44" s="1005"/>
      <c r="J44" s="1005"/>
      <c r="K44" s="1005"/>
      <c r="L44" s="48"/>
      <c r="M44" s="48"/>
      <c r="N44" s="48"/>
      <c r="O44" s="48"/>
      <c r="P44" s="34"/>
      <c r="Q44" s="34"/>
      <c r="R44" s="2"/>
      <c r="S44" s="2"/>
      <c r="T44" s="40"/>
      <c r="U44" s="40"/>
    </row>
    <row r="45" spans="1:21" ht="15" x14ac:dyDescent="0.2">
      <c r="B45" s="85"/>
      <c r="C45" s="40"/>
      <c r="D45" s="40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2"/>
      <c r="S45" s="2"/>
      <c r="T45" s="40"/>
      <c r="U45" s="40"/>
    </row>
    <row r="46" spans="1:21" ht="15" x14ac:dyDescent="0.2">
      <c r="A46" s="85" t="s">
        <v>67</v>
      </c>
      <c r="B46" s="90" t="s">
        <v>111</v>
      </c>
      <c r="C46" s="90"/>
      <c r="D46" s="9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38"/>
      <c r="S46" s="38"/>
      <c r="T46" s="40"/>
      <c r="U46" s="40"/>
    </row>
    <row r="47" spans="1:21" ht="32.1" customHeight="1" x14ac:dyDescent="0.2">
      <c r="B47" s="1006" t="str">
        <f>'DB Gas Flow'!A134</f>
        <v>Alat yang dikalibrasi dalam batas toleransi dan dinyatakan LAIK PAKAI, dimana hasil atau skor akhir sama dengan atau melampaui 70% berdasarkan Keputusan Direktur Jenderal Pelayanan Kesehatan No : HK.02.02/V/0412/2020.</v>
      </c>
      <c r="C47" s="1006"/>
      <c r="D47" s="1006"/>
      <c r="E47" s="1006"/>
      <c r="F47" s="1006"/>
      <c r="G47" s="1006"/>
      <c r="H47" s="1006"/>
      <c r="I47" s="1006"/>
      <c r="J47" s="1006"/>
      <c r="K47" s="1006"/>
      <c r="L47" s="1006"/>
      <c r="M47" s="1006"/>
      <c r="N47" s="1006"/>
      <c r="O47" s="1006"/>
      <c r="P47" s="40"/>
      <c r="Q47" s="40"/>
      <c r="R47" s="38"/>
      <c r="S47" s="38"/>
      <c r="T47" s="40"/>
      <c r="U47" s="40"/>
    </row>
    <row r="48" spans="1:21" ht="15" x14ac:dyDescent="0.2">
      <c r="B48" s="40"/>
      <c r="C48" s="48"/>
      <c r="D48" s="48"/>
      <c r="E48" s="40"/>
      <c r="F48" s="40"/>
      <c r="G48" s="1"/>
      <c r="H48" s="1"/>
      <c r="I48" s="1"/>
      <c r="J48" s="1"/>
      <c r="K48" s="1"/>
      <c r="L48" s="1"/>
      <c r="M48" s="1"/>
      <c r="N48" s="1"/>
      <c r="O48" s="1"/>
      <c r="P48" s="40"/>
      <c r="Q48" s="40"/>
      <c r="R48" s="38"/>
      <c r="S48" s="38"/>
      <c r="T48" s="40"/>
      <c r="U48" s="40"/>
    </row>
    <row r="49" spans="1:21" ht="15" x14ac:dyDescent="0.2">
      <c r="A49" s="85" t="s">
        <v>112</v>
      </c>
      <c r="B49" s="90" t="s">
        <v>68</v>
      </c>
      <c r="C49" s="90"/>
      <c r="D49" s="9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91"/>
      <c r="S49" s="38"/>
      <c r="T49" s="38"/>
      <c r="U49" s="38"/>
    </row>
    <row r="50" spans="1:21" ht="15" x14ac:dyDescent="0.2">
      <c r="B50" s="1005" t="s">
        <v>75</v>
      </c>
      <c r="C50" s="1005"/>
      <c r="D50" s="1005"/>
      <c r="E50" s="1005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38"/>
      <c r="S50" s="38"/>
      <c r="T50" s="38"/>
      <c r="U50" s="38"/>
    </row>
    <row r="51" spans="1:21" ht="15.75" x14ac:dyDescent="0.2">
      <c r="B51" s="40"/>
      <c r="C51" s="48"/>
      <c r="D51" s="4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2"/>
      <c r="R51" s="79"/>
      <c r="S51" s="79"/>
      <c r="T51" s="38"/>
      <c r="U51" s="38"/>
    </row>
    <row r="52" spans="1:21" ht="15" x14ac:dyDescent="0.2">
      <c r="A52" s="42" t="s">
        <v>114</v>
      </c>
      <c r="B52" s="42" t="s">
        <v>115</v>
      </c>
      <c r="C52" s="42"/>
      <c r="D52" s="42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8"/>
      <c r="S52" s="38"/>
    </row>
    <row r="53" spans="1:21" ht="15" x14ac:dyDescent="0.2">
      <c r="B53" s="997" t="s">
        <v>447</v>
      </c>
      <c r="C53" s="997"/>
      <c r="D53" s="997"/>
    </row>
    <row r="104" spans="16:16" x14ac:dyDescent="0.2">
      <c r="P104" s="93"/>
    </row>
    <row r="126" spans="3:16" x14ac:dyDescent="0.2">
      <c r="C126" s="892" t="s">
        <v>69</v>
      </c>
      <c r="D126" s="892"/>
      <c r="P126" s="893" t="s">
        <v>71</v>
      </c>
    </row>
    <row r="127" spans="3:16" x14ac:dyDescent="0.2">
      <c r="C127" s="892" t="s">
        <v>70</v>
      </c>
      <c r="D127" s="892"/>
      <c r="P127" s="893" t="s">
        <v>73</v>
      </c>
    </row>
    <row r="128" spans="3:16" x14ac:dyDescent="0.2">
      <c r="P128" s="893" t="s">
        <v>75</v>
      </c>
    </row>
    <row r="129" spans="3:16" x14ac:dyDescent="0.2">
      <c r="C129" s="99" t="s">
        <v>71</v>
      </c>
      <c r="I129" s="99">
        <v>250</v>
      </c>
      <c r="K129" s="99" t="s">
        <v>72</v>
      </c>
      <c r="P129" s="893" t="s">
        <v>77</v>
      </c>
    </row>
    <row r="130" spans="3:16" x14ac:dyDescent="0.2">
      <c r="C130" s="99" t="s">
        <v>73</v>
      </c>
      <c r="I130" s="99">
        <v>300</v>
      </c>
      <c r="K130" s="99" t="s">
        <v>74</v>
      </c>
      <c r="P130" s="893" t="s">
        <v>79</v>
      </c>
    </row>
    <row r="131" spans="3:16" x14ac:dyDescent="0.2">
      <c r="C131" s="99" t="s">
        <v>75</v>
      </c>
      <c r="I131" s="99">
        <v>350</v>
      </c>
      <c r="K131" s="99" t="s">
        <v>76</v>
      </c>
      <c r="P131" s="893" t="s">
        <v>116</v>
      </c>
    </row>
    <row r="132" spans="3:16" x14ac:dyDescent="0.2">
      <c r="C132" s="99" t="s">
        <v>77</v>
      </c>
      <c r="I132" s="99">
        <v>400</v>
      </c>
      <c r="K132" s="99" t="s">
        <v>78</v>
      </c>
      <c r="P132" s="893" t="s">
        <v>117</v>
      </c>
    </row>
    <row r="133" spans="3:16" x14ac:dyDescent="0.2">
      <c r="C133" s="99" t="s">
        <v>118</v>
      </c>
      <c r="I133" s="99">
        <v>450</v>
      </c>
      <c r="K133" s="99" t="s">
        <v>80</v>
      </c>
      <c r="P133" s="893" t="s">
        <v>119</v>
      </c>
    </row>
    <row r="134" spans="3:16" x14ac:dyDescent="0.2">
      <c r="C134" s="99" t="s">
        <v>120</v>
      </c>
      <c r="I134" s="99">
        <v>500</v>
      </c>
    </row>
    <row r="135" spans="3:16" x14ac:dyDescent="0.2">
      <c r="C135" s="99" t="s">
        <v>121</v>
      </c>
      <c r="I135" s="99">
        <v>600</v>
      </c>
    </row>
    <row r="136" spans="3:16" x14ac:dyDescent="0.2">
      <c r="C136" s="99" t="s">
        <v>122</v>
      </c>
      <c r="I136" s="99">
        <v>700</v>
      </c>
    </row>
    <row r="137" spans="3:16" x14ac:dyDescent="0.2">
      <c r="C137" s="99" t="s">
        <v>123</v>
      </c>
    </row>
    <row r="138" spans="3:16" x14ac:dyDescent="0.2">
      <c r="C138" s="99" t="s">
        <v>81</v>
      </c>
      <c r="D138" s="99" t="s">
        <v>81</v>
      </c>
    </row>
    <row r="139" spans="3:16" ht="15" x14ac:dyDescent="0.2">
      <c r="C139" s="99" t="s">
        <v>82</v>
      </c>
      <c r="D139" s="99" t="s">
        <v>82</v>
      </c>
      <c r="I139" s="894"/>
      <c r="J139" s="40"/>
    </row>
    <row r="140" spans="3:16" ht="15" x14ac:dyDescent="0.2">
      <c r="I140" s="895"/>
      <c r="J140" s="40"/>
    </row>
    <row r="141" spans="3:16" ht="15" x14ac:dyDescent="0.2">
      <c r="C141" s="99" t="s">
        <v>71</v>
      </c>
      <c r="I141" s="895"/>
      <c r="J141" s="40"/>
    </row>
    <row r="142" spans="3:16" ht="15" x14ac:dyDescent="0.2">
      <c r="C142" s="99" t="s">
        <v>75</v>
      </c>
      <c r="I142" s="895"/>
      <c r="J142" s="40"/>
    </row>
    <row r="143" spans="3:16" ht="15" x14ac:dyDescent="0.2">
      <c r="I143" s="894"/>
    </row>
    <row r="144" spans="3:16" ht="15" x14ac:dyDescent="0.2">
      <c r="C144" s="99" t="s">
        <v>87</v>
      </c>
      <c r="I144" s="895"/>
    </row>
    <row r="145" spans="3:15" x14ac:dyDescent="0.2">
      <c r="C145" s="99" t="s">
        <v>88</v>
      </c>
      <c r="I145" s="99" t="s">
        <v>89</v>
      </c>
      <c r="K145" s="99" t="s">
        <v>89</v>
      </c>
    </row>
    <row r="146" spans="3:15" x14ac:dyDescent="0.2">
      <c r="C146" s="99" t="s">
        <v>90</v>
      </c>
      <c r="I146" s="99" t="s">
        <v>91</v>
      </c>
      <c r="K146" s="99" t="s">
        <v>91</v>
      </c>
    </row>
    <row r="147" spans="3:15" x14ac:dyDescent="0.2">
      <c r="C147" s="99" t="s">
        <v>92</v>
      </c>
    </row>
    <row r="148" spans="3:15" x14ac:dyDescent="0.2">
      <c r="C148" s="99" t="s">
        <v>93</v>
      </c>
      <c r="I148" s="99" t="s">
        <v>89</v>
      </c>
      <c r="K148" s="99" t="s">
        <v>89</v>
      </c>
      <c r="O148" s="896"/>
    </row>
    <row r="149" spans="3:15" x14ac:dyDescent="0.2">
      <c r="I149" s="99" t="s">
        <v>91</v>
      </c>
      <c r="K149" s="99" t="s">
        <v>91</v>
      </c>
      <c r="O149" s="896"/>
    </row>
    <row r="150" spans="3:15" x14ac:dyDescent="0.2">
      <c r="C150" s="99" t="s">
        <v>94</v>
      </c>
    </row>
    <row r="151" spans="3:15" x14ac:dyDescent="0.2">
      <c r="C151" s="99" t="s">
        <v>95</v>
      </c>
      <c r="I151" s="99" t="s">
        <v>89</v>
      </c>
      <c r="K151" s="99" t="s">
        <v>89</v>
      </c>
    </row>
    <row r="152" spans="3:15" x14ac:dyDescent="0.2">
      <c r="C152" s="99" t="s">
        <v>96</v>
      </c>
      <c r="I152" s="99" t="s">
        <v>91</v>
      </c>
      <c r="K152" s="99" t="s">
        <v>91</v>
      </c>
    </row>
    <row r="153" spans="3:15" x14ac:dyDescent="0.2">
      <c r="C153" s="99" t="s">
        <v>97</v>
      </c>
    </row>
    <row r="154" spans="3:15" x14ac:dyDescent="0.2">
      <c r="I154" s="99" t="s">
        <v>89</v>
      </c>
      <c r="K154" s="99" t="s">
        <v>89</v>
      </c>
    </row>
    <row r="155" spans="3:15" x14ac:dyDescent="0.2">
      <c r="I155" s="99" t="s">
        <v>91</v>
      </c>
      <c r="K155" s="99" t="s">
        <v>91</v>
      </c>
    </row>
    <row r="156" spans="3:15" x14ac:dyDescent="0.2">
      <c r="C156" s="96"/>
    </row>
    <row r="157" spans="3:15" x14ac:dyDescent="0.2">
      <c r="C157" s="96" t="s">
        <v>124</v>
      </c>
      <c r="I157" s="99" t="s">
        <v>89</v>
      </c>
      <c r="K157" s="99" t="s">
        <v>89</v>
      </c>
    </row>
    <row r="158" spans="3:15" x14ac:dyDescent="0.2">
      <c r="C158" s="96" t="s">
        <v>125</v>
      </c>
      <c r="I158" s="99" t="s">
        <v>91</v>
      </c>
      <c r="K158" s="99" t="s">
        <v>91</v>
      </c>
    </row>
    <row r="159" spans="3:15" x14ac:dyDescent="0.2">
      <c r="C159" s="96"/>
    </row>
    <row r="160" spans="3:15" x14ac:dyDescent="0.2">
      <c r="C160" s="96"/>
      <c r="I160" s="99" t="s">
        <v>89</v>
      </c>
      <c r="K160" s="99" t="s">
        <v>89</v>
      </c>
    </row>
    <row r="161" spans="3:11" x14ac:dyDescent="0.2">
      <c r="C161" s="96"/>
      <c r="I161" s="99" t="s">
        <v>91</v>
      </c>
      <c r="K161" s="99" t="s">
        <v>91</v>
      </c>
    </row>
  </sheetData>
  <mergeCells count="46">
    <mergeCell ref="C29:D30"/>
    <mergeCell ref="F7:G7"/>
    <mergeCell ref="F8:G8"/>
    <mergeCell ref="C23:H23"/>
    <mergeCell ref="C25:H25"/>
    <mergeCell ref="C26:H26"/>
    <mergeCell ref="E32:F32"/>
    <mergeCell ref="E33:F33"/>
    <mergeCell ref="C31:D31"/>
    <mergeCell ref="C32:D32"/>
    <mergeCell ref="C33:D33"/>
    <mergeCell ref="T29:U30"/>
    <mergeCell ref="S31:S34"/>
    <mergeCell ref="Q29:Q30"/>
    <mergeCell ref="P31:P34"/>
    <mergeCell ref="R29:R30"/>
    <mergeCell ref="S29:S30"/>
    <mergeCell ref="P29:P30"/>
    <mergeCell ref="A1:O1"/>
    <mergeCell ref="K23:L23"/>
    <mergeCell ref="K25:L25"/>
    <mergeCell ref="K24:L24"/>
    <mergeCell ref="I23:J23"/>
    <mergeCell ref="F20:G20"/>
    <mergeCell ref="A6:B6"/>
    <mergeCell ref="A4:B4"/>
    <mergeCell ref="B14:C14"/>
    <mergeCell ref="B15:C15"/>
    <mergeCell ref="F19:G19"/>
    <mergeCell ref="E2:H2"/>
    <mergeCell ref="B53:D53"/>
    <mergeCell ref="R21:R22"/>
    <mergeCell ref="S21:S22"/>
    <mergeCell ref="P21:Q22"/>
    <mergeCell ref="K26:L26"/>
    <mergeCell ref="L31:L33"/>
    <mergeCell ref="G29:K29"/>
    <mergeCell ref="E29:F30"/>
    <mergeCell ref="B42:K42"/>
    <mergeCell ref="B43:K43"/>
    <mergeCell ref="B44:K44"/>
    <mergeCell ref="B50:E50"/>
    <mergeCell ref="B47:O47"/>
    <mergeCell ref="L29:L30"/>
    <mergeCell ref="E31:F31"/>
    <mergeCell ref="B29:B30"/>
  </mergeCells>
  <dataValidations count="6">
    <dataValidation type="list" allowBlank="1" showInputMessage="1" showErrorMessage="1" sqref="F19" xr:uid="{00000000-0002-0000-0100-000000000000}">
      <formula1>$I$145:$I$146</formula1>
    </dataValidation>
    <dataValidation type="list" allowBlank="1" showInputMessage="1" showErrorMessage="1" sqref="F20" xr:uid="{00000000-0002-0000-0100-000001000000}">
      <formula1>$K$145:$K$146</formula1>
    </dataValidation>
    <dataValidation type="list" allowBlank="1" showInputMessage="1" showErrorMessage="1" sqref="H21" xr:uid="{00000000-0002-0000-0100-000002000000}">
      <formula1>$K$148:$K$149</formula1>
    </dataValidation>
    <dataValidation type="list" allowBlank="1" showInputMessage="1" showErrorMessage="1" sqref="O44" xr:uid="{00000000-0002-0000-0100-000003000000}">
      <formula1>$I$139:$I$144</formula1>
    </dataValidation>
    <dataValidation type="list" allowBlank="1" showInputMessage="1" showErrorMessage="1" sqref="E40" xr:uid="{00000000-0002-0000-0100-000004000000}">
      <formula1>$C$156:$C$162</formula1>
    </dataValidation>
    <dataValidation type="list" allowBlank="1" showInputMessage="1" showErrorMessage="1" sqref="O43" xr:uid="{00000000-0002-0000-0100-000005000000}">
      <formula1>#REF!</formula1>
    </dataValidation>
  </dataValidations>
  <printOptions horizontalCentered="1"/>
  <pageMargins left="0.5" right="0.25" top="0.5" bottom="0.25" header="0.25" footer="0.25"/>
  <pageSetup paperSize="9" scale="86" orientation="portrait" horizontalDpi="4294967294" verticalDpi="4294967293" r:id="rId1"/>
  <headerFooter>
    <oddHeader>&amp;R&amp;"-,Regular"&amp;8FV. 069-18 / REV : 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7000000}">
          <x14:formula1>
            <xm:f>'DB Thermohygro'!$A$390:$A$408</xm:f>
          </x14:formula1>
          <xm:sqref>B44</xm:sqref>
        </x14:dataValidation>
        <x14:dataValidation type="list" allowBlank="1" showInputMessage="1" showErrorMessage="1" xr:uid="{00000000-0002-0000-0100-000008000000}">
          <x14:formula1>
            <xm:f>'DB Kelistrikan'!$A$299:$A$310</xm:f>
          </x14:formula1>
          <xm:sqref>B43</xm:sqref>
        </x14:dataValidation>
        <x14:dataValidation type="list" allowBlank="1" showInputMessage="1" showErrorMessage="1" xr:uid="{00000000-0002-0000-0100-000009000000}">
          <x14:formula1>
            <xm:f>'DB Gas Flow'!$A$110:$A$120</xm:f>
          </x14:formula1>
          <xm:sqref>B42</xm:sqref>
        </x14:dataValidation>
        <x14:dataValidation type="list" allowBlank="1" showInputMessage="1" showErrorMessage="1" xr:uid="{00000000-0002-0000-0100-00000A000000}">
          <x14:formula1>
            <xm:f>PENYELIA!$W$28:$W$29</xm:f>
          </x14:formula1>
          <xm:sqref>C25 J25</xm:sqref>
        </x14:dataValidation>
        <x14:dataValidation type="list" allowBlank="1" showInputMessage="1" showErrorMessage="1" xr:uid="{00000000-0002-0000-0100-00000B000000}">
          <x14:formula1>
            <xm:f>PENYELIA!$W$30:$W$31</xm:f>
          </x14:formula1>
          <xm:sqref>J26</xm:sqref>
        </x14:dataValidation>
        <x14:dataValidation type="list" allowBlank="1" showInputMessage="1" showErrorMessage="1" xr:uid="{00000000-0002-0000-0100-00000C000000}">
          <x14:formula1>
            <xm:f>'DB Gas Flow'!$A$136:$A$160</xm:f>
          </x14:formula1>
          <xm:sqref>B50</xm:sqref>
        </x14:dataValidation>
        <x14:dataValidation type="list" allowBlank="1" showInputMessage="1" showErrorMessage="1" xr:uid="{078E1D8F-78C2-4FB2-8888-DEA0C9876610}">
          <x14:formula1>
            <xm:f>PENYELIA!$Y$29:$Y$30</xm:f>
          </x14:formula1>
          <xm:sqref>C26:H26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AA155"/>
  <sheetViews>
    <sheetView showGridLines="0" view="pageBreakPreview" topLeftCell="E18" zoomScale="85" zoomScaleNormal="100" zoomScaleSheetLayoutView="85" workbookViewId="0">
      <selection activeCell="K24" sqref="K24:L24"/>
    </sheetView>
  </sheetViews>
  <sheetFormatPr defaultColWidth="9.140625" defaultRowHeight="12.75" x14ac:dyDescent="0.2"/>
  <cols>
    <col min="1" max="1" width="5" style="96" customWidth="1"/>
    <col min="2" max="2" width="3.7109375" style="96" customWidth="1"/>
    <col min="3" max="3" width="4.5703125" style="96" customWidth="1"/>
    <col min="4" max="4" width="17" style="96" customWidth="1"/>
    <col min="5" max="5" width="6.42578125" style="96" customWidth="1"/>
    <col min="6" max="6" width="8.28515625" style="96" customWidth="1"/>
    <col min="7" max="7" width="13.28515625" style="96" customWidth="1"/>
    <col min="8" max="9" width="10.7109375" style="96" customWidth="1"/>
    <col min="10" max="10" width="10.28515625" style="96" customWidth="1"/>
    <col min="11" max="11" width="6.7109375" style="96" customWidth="1"/>
    <col min="12" max="12" width="9.7109375" style="96" customWidth="1"/>
    <col min="13" max="14" width="7.5703125" style="96" customWidth="1"/>
    <col min="15" max="16384" width="9.140625" style="96"/>
  </cols>
  <sheetData>
    <row r="1" spans="1:15" ht="18" x14ac:dyDescent="0.2">
      <c r="A1" s="1044" t="str">
        <f>PENYELIA!A1:V1</f>
        <v>HASIL KALIBRASI BPAP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  <c r="O1" s="655"/>
    </row>
    <row r="2" spans="1:15" ht="16.5" x14ac:dyDescent="0.2">
      <c r="A2" s="1045" t="str">
        <f>PENYELIA!A2:V2</f>
        <v>Nomor Sertifikat : 82 / 1 / IX - 22 / E - 095.139 DL</v>
      </c>
      <c r="B2" s="1045"/>
      <c r="C2" s="1045"/>
      <c r="D2" s="1045"/>
      <c r="E2" s="1045"/>
      <c r="F2" s="1045"/>
      <c r="G2" s="1045"/>
      <c r="H2" s="1045"/>
      <c r="I2" s="1045"/>
      <c r="J2" s="1045"/>
      <c r="K2" s="1045"/>
      <c r="L2" s="1045"/>
      <c r="M2" s="1045"/>
      <c r="N2" s="1045"/>
    </row>
    <row r="3" spans="1:15" ht="9.9499999999999993" customHeight="1" x14ac:dyDescent="0.2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7"/>
      <c r="N3" s="656"/>
    </row>
    <row r="4" spans="1:15" ht="15" customHeight="1" x14ac:dyDescent="0.2">
      <c r="A4" s="656" t="str">
        <f>PENYELIA!A4:B4</f>
        <v>Merek</v>
      </c>
      <c r="B4" s="656"/>
      <c r="C4" s="656"/>
      <c r="E4" s="658" t="str">
        <f>PENYELIA!E4</f>
        <v>:</v>
      </c>
      <c r="F4" s="656" t="str">
        <f>PENYELIA!F4</f>
        <v>yuwell</v>
      </c>
      <c r="G4" s="656"/>
      <c r="H4" s="656"/>
      <c r="I4" s="656"/>
      <c r="N4" s="656"/>
      <c r="O4" s="659"/>
    </row>
    <row r="5" spans="1:15" ht="15" customHeight="1" x14ac:dyDescent="0.2">
      <c r="A5" s="656" t="str">
        <f>PENYELIA!A5:B5</f>
        <v>Model/Tipe</v>
      </c>
      <c r="B5" s="656"/>
      <c r="C5" s="656"/>
      <c r="E5" s="658" t="str">
        <f>PENYELIA!E5</f>
        <v>:</v>
      </c>
      <c r="F5" s="656" t="str">
        <f>PENYELIA!F5</f>
        <v>YH-730</v>
      </c>
      <c r="G5" s="656"/>
      <c r="H5" s="656"/>
      <c r="I5" s="656"/>
      <c r="N5" s="656"/>
      <c r="O5" s="659"/>
    </row>
    <row r="6" spans="1:15" ht="15" customHeight="1" x14ac:dyDescent="0.2">
      <c r="A6" s="656" t="str">
        <f>PENYELIA!A6:B6</f>
        <v>No. Seri</v>
      </c>
      <c r="B6" s="656"/>
      <c r="C6" s="656"/>
      <c r="E6" s="658" t="str">
        <f>PENYELIA!E6</f>
        <v>:</v>
      </c>
      <c r="F6" s="656" t="str">
        <f>PENYELIA!F6</f>
        <v>YH730A-V20408384</v>
      </c>
      <c r="G6" s="656"/>
      <c r="H6" s="656"/>
      <c r="I6" s="656"/>
      <c r="N6" s="656"/>
      <c r="O6" s="659"/>
    </row>
    <row r="7" spans="1:15" ht="15" customHeight="1" x14ac:dyDescent="0.2">
      <c r="A7" s="656" t="str">
        <f>PENYELIA!A7</f>
        <v>Tanggal Penerimaan Alat</v>
      </c>
      <c r="B7" s="656"/>
      <c r="C7" s="656"/>
      <c r="E7" s="658" t="str">
        <f>PENYELIA!E7</f>
        <v>:</v>
      </c>
      <c r="F7" s="1046" t="str">
        <f>PENYELIA!F7</f>
        <v>19 September 2022</v>
      </c>
      <c r="G7" s="1046"/>
      <c r="H7" s="1046"/>
      <c r="I7" s="656"/>
      <c r="N7" s="656"/>
      <c r="O7" s="659"/>
    </row>
    <row r="8" spans="1:15" ht="15" customHeight="1" x14ac:dyDescent="0.2">
      <c r="A8" s="656" t="str">
        <f>PENYELIA!A8:B8</f>
        <v>Tanggal Kalibrasi</v>
      </c>
      <c r="B8" s="656"/>
      <c r="C8" s="656"/>
      <c r="E8" s="658" t="str">
        <f>PENYELIA!E8</f>
        <v>:</v>
      </c>
      <c r="F8" s="1046" t="str">
        <f>PENYELIA!F8</f>
        <v>19 September 2022</v>
      </c>
      <c r="G8" s="1046"/>
      <c r="H8" s="1046"/>
      <c r="I8" s="656"/>
      <c r="N8" s="656"/>
      <c r="O8" s="659"/>
    </row>
    <row r="9" spans="1:15" ht="15" customHeight="1" x14ac:dyDescent="0.2">
      <c r="A9" s="656" t="str">
        <f>PENYELIA!A9:B9</f>
        <v>Tempat Kalibrasi</v>
      </c>
      <c r="B9" s="656"/>
      <c r="C9" s="656"/>
      <c r="E9" s="658" t="str">
        <f>PENYELIA!E9</f>
        <v>:</v>
      </c>
      <c r="F9" s="656" t="str">
        <f>PENYELIA!F9</f>
        <v>Ruang Lily</v>
      </c>
      <c r="G9" s="656"/>
      <c r="H9" s="656"/>
      <c r="I9" s="656"/>
      <c r="N9" s="656"/>
      <c r="O9" s="659"/>
    </row>
    <row r="10" spans="1:15" ht="15" customHeight="1" x14ac:dyDescent="0.2">
      <c r="A10" s="656" t="str">
        <f>PENYELIA!A10:B10</f>
        <v>Nama Ruang</v>
      </c>
      <c r="B10" s="656"/>
      <c r="C10" s="656"/>
      <c r="E10" s="658" t="str">
        <f>PENYELIA!E10</f>
        <v>:</v>
      </c>
      <c r="F10" s="656" t="str">
        <f>PENYELIA!F10</f>
        <v>Ruang Anggrek</v>
      </c>
      <c r="G10" s="656"/>
      <c r="H10" s="656"/>
      <c r="I10" s="656"/>
      <c r="N10" s="656"/>
      <c r="O10" s="659"/>
    </row>
    <row r="11" spans="1:15" ht="15" customHeight="1" x14ac:dyDescent="0.2">
      <c r="A11" s="656" t="str">
        <f>PENYELIA!A11:B11</f>
        <v>Metode Kerja</v>
      </c>
      <c r="B11" s="656"/>
      <c r="C11" s="656"/>
      <c r="E11" s="658" t="str">
        <f>PENYELIA!E11</f>
        <v>:</v>
      </c>
      <c r="F11" s="656" t="str">
        <f>PENYELIA!F11</f>
        <v>MK 069-18</v>
      </c>
      <c r="G11" s="656"/>
      <c r="H11" s="656"/>
      <c r="I11" s="656"/>
      <c r="N11" s="656"/>
      <c r="O11" s="659"/>
    </row>
    <row r="12" spans="1:15" ht="9.9499999999999993" customHeight="1" x14ac:dyDescent="0.2">
      <c r="A12" s="656"/>
      <c r="B12" s="656"/>
      <c r="C12" s="656"/>
      <c r="D12" s="658"/>
      <c r="E12" s="656"/>
      <c r="F12" s="656"/>
      <c r="G12" s="656"/>
      <c r="H12" s="656"/>
      <c r="I12" s="656"/>
      <c r="J12" s="656"/>
      <c r="K12" s="656"/>
      <c r="L12" s="656"/>
      <c r="M12" s="657"/>
      <c r="N12" s="656"/>
      <c r="O12" s="659"/>
    </row>
    <row r="13" spans="1:15" ht="15" customHeight="1" x14ac:dyDescent="0.2">
      <c r="A13" s="660" t="s">
        <v>152</v>
      </c>
      <c r="B13" s="660" t="s">
        <v>10</v>
      </c>
      <c r="C13" s="660"/>
      <c r="D13" s="661"/>
      <c r="E13" s="660"/>
      <c r="F13" s="660"/>
      <c r="G13" s="660"/>
      <c r="H13" s="660"/>
      <c r="I13" s="660"/>
      <c r="J13" s="660"/>
      <c r="K13" s="660"/>
      <c r="L13" s="660"/>
      <c r="M13" s="662"/>
      <c r="N13" s="660"/>
      <c r="O13" s="659"/>
    </row>
    <row r="14" spans="1:15" ht="15" customHeight="1" x14ac:dyDescent="0.2">
      <c r="A14" s="656"/>
      <c r="B14" s="656" t="str">
        <f>PENYELIA!B14</f>
        <v xml:space="preserve">1. Suhu </v>
      </c>
      <c r="C14" s="656"/>
      <c r="E14" s="658" t="str">
        <f>PENYELIA!E14</f>
        <v>:</v>
      </c>
      <c r="F14" s="901">
        <f>'DB Thermohygro'!U377</f>
        <v>24.544772729772475</v>
      </c>
      <c r="G14" s="900" t="s">
        <v>406</v>
      </c>
      <c r="H14" s="902">
        <f>'DB Thermohygro'!W377</f>
        <v>0.3</v>
      </c>
      <c r="I14" s="92" t="s">
        <v>14</v>
      </c>
      <c r="O14" s="659"/>
    </row>
    <row r="15" spans="1:15" ht="15" customHeight="1" x14ac:dyDescent="0.2">
      <c r="A15" s="656"/>
      <c r="B15" s="656" t="str">
        <f>PENYELIA!B15</f>
        <v xml:space="preserve">2. Kelembaban </v>
      </c>
      <c r="C15" s="656"/>
      <c r="E15" s="658" t="str">
        <f>PENYELIA!E15</f>
        <v>:</v>
      </c>
      <c r="F15" s="901">
        <f>'DB Thermohygro'!U378</f>
        <v>71.944428571428574</v>
      </c>
      <c r="G15" s="900" t="s">
        <v>406</v>
      </c>
      <c r="H15" s="902">
        <f>'DB Thermohygro'!W378</f>
        <v>1.6</v>
      </c>
      <c r="I15" s="92" t="s">
        <v>16</v>
      </c>
      <c r="O15" s="659"/>
    </row>
    <row r="16" spans="1:15" ht="15" customHeight="1" x14ac:dyDescent="0.2">
      <c r="A16" s="656"/>
      <c r="B16" s="656" t="str">
        <f>PENYELIA!B16</f>
        <v>3. Tegangan Jala - jala</v>
      </c>
      <c r="C16" s="656"/>
      <c r="E16" s="658" t="s">
        <v>5</v>
      </c>
      <c r="F16" s="901">
        <f>'DB Kelistrikan'!N268</f>
        <v>231.40497456744663</v>
      </c>
      <c r="G16" s="900" t="s">
        <v>406</v>
      </c>
      <c r="H16" s="902">
        <f>'DB Kelistrikan'!I269</f>
        <v>2.7768596948093593</v>
      </c>
      <c r="I16" s="92" t="s">
        <v>18</v>
      </c>
      <c r="O16" s="659"/>
    </row>
    <row r="17" spans="1:15" ht="9.9499999999999993" customHeight="1" x14ac:dyDescent="0.2">
      <c r="A17" s="656"/>
      <c r="B17" s="656"/>
      <c r="C17" s="656"/>
      <c r="D17" s="656"/>
      <c r="E17" s="656"/>
      <c r="F17" s="656"/>
      <c r="G17" s="656"/>
      <c r="H17" s="656"/>
      <c r="I17" s="656"/>
      <c r="J17" s="656"/>
      <c r="K17" s="656"/>
      <c r="L17" s="656"/>
      <c r="M17" s="657"/>
      <c r="N17" s="656"/>
      <c r="O17" s="659"/>
    </row>
    <row r="18" spans="1:15" ht="15" customHeight="1" x14ac:dyDescent="0.2">
      <c r="A18" s="660" t="s">
        <v>19</v>
      </c>
      <c r="B18" s="660" t="s">
        <v>180</v>
      </c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57"/>
      <c r="N18" s="656"/>
      <c r="O18" s="659"/>
    </row>
    <row r="19" spans="1:15" ht="15" customHeight="1" x14ac:dyDescent="0.2">
      <c r="A19" s="663"/>
      <c r="B19" s="579" t="str">
        <f>PENYELIA!B19</f>
        <v>1. Fisik</v>
      </c>
      <c r="C19" s="427"/>
      <c r="E19" s="664" t="s">
        <v>5</v>
      </c>
      <c r="F19" s="903" t="str">
        <f>PENYELIA!F19</f>
        <v>Baik</v>
      </c>
      <c r="G19" s="427"/>
      <c r="H19" s="427"/>
      <c r="I19" s="427"/>
      <c r="J19" s="427"/>
      <c r="K19" s="665"/>
      <c r="N19" s="666"/>
      <c r="O19" s="666"/>
    </row>
    <row r="20" spans="1:15" ht="15" customHeight="1" x14ac:dyDescent="0.2">
      <c r="A20" s="663"/>
      <c r="B20" s="579" t="str">
        <f>PENYELIA!B20</f>
        <v>2. Fungsi</v>
      </c>
      <c r="C20" s="427"/>
      <c r="E20" s="664" t="s">
        <v>5</v>
      </c>
      <c r="F20" s="903" t="str">
        <f>PENYELIA!F20</f>
        <v>Baik</v>
      </c>
      <c r="G20" s="427"/>
      <c r="H20" s="427"/>
      <c r="I20" s="427"/>
      <c r="J20" s="427"/>
      <c r="K20" s="667"/>
      <c r="N20" s="99"/>
      <c r="O20" s="99"/>
    </row>
    <row r="21" spans="1:15" ht="9.9499999999999993" customHeight="1" x14ac:dyDescent="0.2">
      <c r="B21" s="283"/>
      <c r="C21" s="283"/>
      <c r="D21" s="283"/>
      <c r="E21" s="283"/>
      <c r="F21" s="283"/>
      <c r="G21" s="283"/>
      <c r="H21" s="283"/>
      <c r="M21" s="668"/>
      <c r="O21" s="659"/>
    </row>
    <row r="22" spans="1:15" ht="15" customHeight="1" x14ac:dyDescent="0.2">
      <c r="A22" s="660" t="s">
        <v>24</v>
      </c>
      <c r="B22" s="660" t="s">
        <v>25</v>
      </c>
      <c r="C22" s="660"/>
      <c r="D22" s="660"/>
      <c r="E22" s="656"/>
      <c r="F22" s="656"/>
      <c r="G22" s="283"/>
      <c r="H22" s="283"/>
      <c r="I22" s="669"/>
      <c r="M22" s="668"/>
      <c r="O22" s="659"/>
    </row>
    <row r="23" spans="1:15" ht="26.25" customHeight="1" x14ac:dyDescent="0.2">
      <c r="B23" s="670" t="s">
        <v>26</v>
      </c>
      <c r="C23" s="974" t="s">
        <v>27</v>
      </c>
      <c r="D23" s="975"/>
      <c r="E23" s="975"/>
      <c r="F23" s="975"/>
      <c r="G23" s="975"/>
      <c r="H23" s="976"/>
      <c r="I23" s="974" t="s">
        <v>28</v>
      </c>
      <c r="J23" s="976"/>
      <c r="K23" s="974" t="s">
        <v>29</v>
      </c>
      <c r="L23" s="976"/>
      <c r="N23" s="671"/>
    </row>
    <row r="24" spans="1:15" ht="15" customHeight="1" x14ac:dyDescent="0.2">
      <c r="B24" s="672">
        <v>1</v>
      </c>
      <c r="C24" s="673" t="str">
        <f>PENYELIA!C24</f>
        <v>Resistansi Isolasi</v>
      </c>
      <c r="D24" s="674"/>
      <c r="E24" s="674"/>
      <c r="F24" s="674"/>
      <c r="G24" s="674"/>
      <c r="H24" s="674"/>
      <c r="I24" s="904" t="str">
        <f>PENYELIA!I24</f>
        <v>OL</v>
      </c>
      <c r="J24" s="675" t="str">
        <f>PENYELIA!J24</f>
        <v>MΩ</v>
      </c>
      <c r="K24" s="1047">
        <f>PENYELIA!K24</f>
        <v>2</v>
      </c>
      <c r="L24" s="1048"/>
      <c r="N24" s="676"/>
    </row>
    <row r="25" spans="1:15" ht="15" customHeight="1" x14ac:dyDescent="0.2">
      <c r="B25" s="677">
        <v>2</v>
      </c>
      <c r="C25" s="912" t="str">
        <f>PENYELIA!C25</f>
        <v>Resistansi Pembumian Protektif (kabel dapat dilepas)</v>
      </c>
      <c r="D25" s="674"/>
      <c r="E25" s="674"/>
      <c r="F25" s="674"/>
      <c r="G25" s="674"/>
      <c r="H25" s="674"/>
      <c r="I25" s="905">
        <f>PENYELIA!I25</f>
        <v>9.880651566882187E-2</v>
      </c>
      <c r="J25" s="678" t="str">
        <f>PENYELIA!J25</f>
        <v>Ω</v>
      </c>
      <c r="K25" s="1038">
        <f>PENYELIA!K25</f>
        <v>0.2</v>
      </c>
      <c r="L25" s="1039"/>
      <c r="N25" s="676"/>
    </row>
    <row r="26" spans="1:15" ht="15" customHeight="1" x14ac:dyDescent="0.2">
      <c r="B26" s="679">
        <v>3</v>
      </c>
      <c r="C26" s="913" t="str">
        <f>PENYELIA!C26</f>
        <v>Arus bocor peralatan untuk peralatan elektromedik kelas II</v>
      </c>
      <c r="D26" s="680"/>
      <c r="E26" s="680"/>
      <c r="F26" s="680"/>
      <c r="G26" s="680"/>
      <c r="H26" s="680"/>
      <c r="I26" s="906">
        <f>PENYELIA!I26</f>
        <v>41.782775490358908</v>
      </c>
      <c r="J26" s="681" t="str">
        <f>PENYELIA!J26</f>
        <v>µA</v>
      </c>
      <c r="K26" s="1040">
        <f>PENYELIA!K26</f>
        <v>100</v>
      </c>
      <c r="L26" s="1041"/>
    </row>
    <row r="27" spans="1:15" ht="9.9499999999999993" customHeight="1" x14ac:dyDescent="0.2">
      <c r="M27" s="668"/>
      <c r="O27" s="659"/>
    </row>
    <row r="28" spans="1:15" ht="15.75" x14ac:dyDescent="0.2">
      <c r="A28" s="660" t="s">
        <v>38</v>
      </c>
      <c r="B28" s="660" t="s">
        <v>39</v>
      </c>
      <c r="C28" s="660"/>
      <c r="D28" s="663"/>
      <c r="E28" s="682"/>
      <c r="F28" s="682"/>
      <c r="G28" s="682"/>
      <c r="H28" s="682"/>
      <c r="I28" s="560"/>
      <c r="M28" s="668"/>
    </row>
    <row r="29" spans="1:15" ht="17.45" customHeight="1" x14ac:dyDescent="0.2">
      <c r="A29" s="660"/>
      <c r="B29" s="1042" t="s">
        <v>40</v>
      </c>
      <c r="C29" s="1042" t="s">
        <v>27</v>
      </c>
      <c r="D29" s="1042"/>
      <c r="E29" s="1042" t="s">
        <v>433</v>
      </c>
      <c r="F29" s="1042"/>
      <c r="G29" s="1042" t="s">
        <v>159</v>
      </c>
      <c r="H29" s="1042" t="s">
        <v>160</v>
      </c>
      <c r="I29" s="1042" t="s">
        <v>361</v>
      </c>
      <c r="J29" s="1042" t="s">
        <v>100</v>
      </c>
      <c r="K29" s="1043" t="s">
        <v>405</v>
      </c>
      <c r="L29" s="1043"/>
      <c r="M29" s="668"/>
    </row>
    <row r="30" spans="1:15" ht="30.75" customHeight="1" x14ac:dyDescent="0.2">
      <c r="A30" s="660"/>
      <c r="B30" s="1042"/>
      <c r="C30" s="1042"/>
      <c r="D30" s="1042"/>
      <c r="E30" s="1042"/>
      <c r="F30" s="1042"/>
      <c r="G30" s="1042"/>
      <c r="H30" s="1042"/>
      <c r="I30" s="1042"/>
      <c r="J30" s="1042"/>
      <c r="K30" s="1043"/>
      <c r="L30" s="1043"/>
      <c r="M30" s="668"/>
    </row>
    <row r="31" spans="1:15" ht="42.95" customHeight="1" x14ac:dyDescent="0.2">
      <c r="A31" s="660"/>
      <c r="B31" s="670">
        <v>1</v>
      </c>
      <c r="C31" s="933" t="str">
        <f>PENYELIA!C31</f>
        <v>Peak Inspirasi Pressure (PIP) / (IPAP) (mbar)</v>
      </c>
      <c r="D31" s="933"/>
      <c r="E31" s="1036">
        <f>PENYELIA!E31</f>
        <v>15</v>
      </c>
      <c r="F31" s="1036"/>
      <c r="G31" s="907">
        <f>PENYELIA!G31</f>
        <v>13.6</v>
      </c>
      <c r="H31" s="908">
        <f>PENYELIA!H31</f>
        <v>-1.4007101996398106</v>
      </c>
      <c r="I31" s="908">
        <f>PENYELIA!I31</f>
        <v>-9.3380679975987366</v>
      </c>
      <c r="J31" s="963">
        <v>10</v>
      </c>
      <c r="K31" s="685" t="s">
        <v>406</v>
      </c>
      <c r="L31" s="909" t="str">
        <f>PENYELIA!L31</f>
        <v>0.12</v>
      </c>
      <c r="M31" s="668"/>
    </row>
    <row r="32" spans="1:15" ht="42.95" customHeight="1" x14ac:dyDescent="0.2">
      <c r="A32" s="660"/>
      <c r="B32" s="670">
        <v>2</v>
      </c>
      <c r="C32" s="933" t="str">
        <f>PENYELIA!C32</f>
        <v>Positive End Expiratory Pressure (PEEP) / (EPAP) (mbar)</v>
      </c>
      <c r="D32" s="933"/>
      <c r="E32" s="1036">
        <f>PENYELIA!E32</f>
        <v>5</v>
      </c>
      <c r="F32" s="1036"/>
      <c r="G32" s="907">
        <f>PENYELIA!G32</f>
        <v>4.8</v>
      </c>
      <c r="H32" s="908">
        <f>PENYELIA!H32</f>
        <v>-0.20050204067896793</v>
      </c>
      <c r="I32" s="908">
        <f>PENYELIA!I32</f>
        <v>-4.0100408135793586</v>
      </c>
      <c r="J32" s="963"/>
      <c r="K32" s="685" t="s">
        <v>406</v>
      </c>
      <c r="L32" s="909" t="str">
        <f>PENYELIA!L32</f>
        <v>0.12</v>
      </c>
      <c r="M32" s="668"/>
    </row>
    <row r="33" spans="1:14" ht="42.95" customHeight="1" x14ac:dyDescent="0.2">
      <c r="A33" s="660"/>
      <c r="B33" s="670">
        <v>3</v>
      </c>
      <c r="C33" s="933" t="str">
        <f>PENYELIA!C33</f>
        <v>Breath Rate (BPM)</v>
      </c>
      <c r="D33" s="933"/>
      <c r="E33" s="1036">
        <f>PENYELIA!E33</f>
        <v>12</v>
      </c>
      <c r="F33" s="1036"/>
      <c r="G33" s="907">
        <f>PENYELIA!G33</f>
        <v>12</v>
      </c>
      <c r="H33" s="908">
        <f>PENYELIA!H33</f>
        <v>0</v>
      </c>
      <c r="I33" s="908">
        <f>PENYELIA!I33</f>
        <v>0</v>
      </c>
      <c r="J33" s="963"/>
      <c r="K33" s="685" t="s">
        <v>406</v>
      </c>
      <c r="L33" s="909" t="str">
        <f>PENYELIA!L33</f>
        <v>0.06</v>
      </c>
      <c r="M33" s="668"/>
    </row>
    <row r="34" spans="1:14" ht="9.9499999999999993" customHeight="1" x14ac:dyDescent="0.2">
      <c r="A34" s="660"/>
      <c r="B34" s="687"/>
      <c r="C34" s="688"/>
      <c r="D34" s="688"/>
      <c r="E34" s="689"/>
      <c r="F34" s="689"/>
      <c r="G34" s="897"/>
      <c r="H34" s="897"/>
      <c r="I34" s="897"/>
      <c r="J34" s="604"/>
      <c r="K34" s="691"/>
      <c r="L34" s="692"/>
      <c r="M34" s="668"/>
    </row>
    <row r="35" spans="1:14" ht="15" customHeight="1" x14ac:dyDescent="0.2">
      <c r="A35" s="693" t="s">
        <v>48</v>
      </c>
      <c r="B35" s="694" t="s">
        <v>49</v>
      </c>
      <c r="C35" s="694"/>
      <c r="D35" s="694"/>
      <c r="E35" s="695"/>
      <c r="F35" s="695"/>
      <c r="G35" s="695"/>
      <c r="H35" s="695"/>
      <c r="I35" s="695"/>
      <c r="J35" s="695"/>
      <c r="K35" s="695"/>
      <c r="L35" s="695"/>
      <c r="M35" s="696"/>
      <c r="N35" s="695"/>
    </row>
    <row r="36" spans="1:14" ht="15" customHeight="1" x14ac:dyDescent="0.2">
      <c r="A36" s="695"/>
      <c r="B36" s="695" t="str">
        <f>PENYELIA!B36</f>
        <v>Ketidakpastian pengukuran dilaporkan pada tingkat kepercayaan 95 % dengan faktor cakupan k = 2</v>
      </c>
      <c r="C36" s="697"/>
      <c r="D36" s="697"/>
      <c r="E36" s="695"/>
      <c r="F36" s="695"/>
      <c r="G36" s="695"/>
      <c r="H36" s="695"/>
      <c r="I36" s="695"/>
      <c r="J36" s="695"/>
      <c r="K36" s="695"/>
      <c r="L36" s="695"/>
      <c r="M36" s="696"/>
      <c r="N36" s="695"/>
    </row>
    <row r="37" spans="1:14" ht="15" customHeight="1" x14ac:dyDescent="0.2">
      <c r="A37" s="695"/>
      <c r="B37" s="695" t="str">
        <f>PENYELIA!B37</f>
        <v>Hasil pengukuran keselamatan listrik tertelusur ke Satuan Internasional ( SI ) melalui PT. Kaliman (LK-032-IDN)</v>
      </c>
      <c r="C37" s="697"/>
      <c r="D37" s="697"/>
      <c r="E37" s="695"/>
      <c r="F37" s="695"/>
      <c r="G37" s="695"/>
      <c r="H37" s="695"/>
      <c r="I37" s="695"/>
      <c r="J37" s="695"/>
      <c r="K37" s="695"/>
      <c r="L37" s="695"/>
      <c r="M37" s="696"/>
      <c r="N37" s="695"/>
    </row>
    <row r="38" spans="1:14" ht="15" customHeight="1" x14ac:dyDescent="0.2">
      <c r="A38" s="695"/>
      <c r="B38" s="910" t="str">
        <f>PENYELIA!B38</f>
        <v>Mode yang digunakan : ST</v>
      </c>
      <c r="C38" s="697"/>
      <c r="D38" s="697"/>
      <c r="E38" s="695"/>
      <c r="F38" s="695"/>
      <c r="G38" s="695"/>
      <c r="H38" s="695"/>
      <c r="I38" s="695"/>
      <c r="J38" s="695"/>
      <c r="K38" s="695"/>
      <c r="L38" s="695"/>
      <c r="M38" s="696"/>
      <c r="N38" s="695"/>
    </row>
    <row r="39" spans="1:14" ht="15" customHeight="1" x14ac:dyDescent="0.2">
      <c r="A39" s="695"/>
      <c r="B39" s="695" t="str">
        <f>PENYELIA!B39</f>
        <v/>
      </c>
      <c r="C39" s="697"/>
      <c r="D39" s="697"/>
      <c r="E39" s="695"/>
      <c r="F39" s="695"/>
      <c r="G39" s="695"/>
      <c r="H39" s="695"/>
      <c r="I39" s="695"/>
      <c r="J39" s="695"/>
      <c r="K39" s="695"/>
      <c r="L39" s="695"/>
      <c r="M39" s="696"/>
      <c r="N39" s="695"/>
    </row>
    <row r="40" spans="1:14" ht="9.9499999999999993" customHeight="1" x14ac:dyDescent="0.2">
      <c r="A40" s="695"/>
      <c r="B40" s="695"/>
      <c r="C40" s="697"/>
      <c r="D40" s="697"/>
      <c r="E40" s="695"/>
      <c r="F40" s="695"/>
      <c r="G40" s="695"/>
      <c r="H40" s="695"/>
      <c r="I40" s="695"/>
      <c r="J40" s="695"/>
      <c r="K40" s="695"/>
      <c r="L40" s="695"/>
      <c r="M40" s="696"/>
      <c r="N40" s="695"/>
    </row>
    <row r="41" spans="1:14" ht="15" customHeight="1" x14ac:dyDescent="0.2">
      <c r="A41" s="693" t="s">
        <v>181</v>
      </c>
      <c r="B41" s="694" t="s">
        <v>107</v>
      </c>
      <c r="C41" s="694"/>
      <c r="D41" s="694"/>
      <c r="E41" s="693"/>
      <c r="F41" s="693"/>
      <c r="G41" s="695"/>
      <c r="H41" s="695"/>
      <c r="I41" s="695"/>
      <c r="J41" s="695"/>
      <c r="K41" s="695"/>
      <c r="L41" s="695"/>
      <c r="M41" s="696"/>
      <c r="N41" s="695"/>
    </row>
    <row r="42" spans="1:14" ht="15" customHeight="1" x14ac:dyDescent="0.2">
      <c r="A42" s="695"/>
      <c r="B42" s="910" t="str">
        <f>PENYELIA!B42</f>
        <v>Flow Analyzer, Merek : Fluke, Model : VT305, SN : BF100519</v>
      </c>
      <c r="C42" s="695"/>
      <c r="D42" s="695"/>
      <c r="E42" s="695"/>
      <c r="F42" s="695"/>
      <c r="G42" s="695"/>
      <c r="H42" s="695"/>
      <c r="I42" s="695"/>
      <c r="J42" s="695"/>
      <c r="K42" s="695"/>
      <c r="L42" s="695"/>
      <c r="M42" s="696"/>
      <c r="N42" s="695"/>
    </row>
    <row r="43" spans="1:14" ht="15" customHeight="1" x14ac:dyDescent="0.2">
      <c r="A43" s="656"/>
      <c r="B43" s="911" t="str">
        <f>PENYELIA!B43</f>
        <v>Electrical Safety Analyzer, Merek : Fluke, Model : ESA 615, SN : 4670010</v>
      </c>
      <c r="C43" s="656"/>
      <c r="D43" s="656"/>
      <c r="E43" s="656"/>
      <c r="F43" s="656"/>
      <c r="G43" s="656"/>
      <c r="H43" s="656"/>
      <c r="I43" s="656"/>
      <c r="J43" s="656"/>
      <c r="K43" s="656"/>
      <c r="L43" s="656"/>
      <c r="M43" s="657"/>
      <c r="N43" s="656"/>
    </row>
    <row r="44" spans="1:14" ht="9.9499999999999993" customHeight="1" x14ac:dyDescent="0.2">
      <c r="A44" s="656"/>
      <c r="B44" s="660"/>
      <c r="C44" s="656"/>
      <c r="D44" s="656"/>
      <c r="E44" s="656"/>
      <c r="F44" s="656"/>
      <c r="G44" s="656"/>
      <c r="H44" s="656"/>
      <c r="I44" s="656"/>
      <c r="J44" s="656"/>
      <c r="K44" s="656"/>
      <c r="L44" s="656"/>
      <c r="M44" s="657"/>
      <c r="N44" s="656"/>
    </row>
    <row r="45" spans="1:14" ht="15" customHeight="1" x14ac:dyDescent="0.2">
      <c r="A45" s="660" t="s">
        <v>67</v>
      </c>
      <c r="B45" s="660" t="s">
        <v>111</v>
      </c>
      <c r="C45" s="660"/>
      <c r="D45" s="660"/>
      <c r="E45" s="656"/>
      <c r="F45" s="656"/>
      <c r="G45" s="656"/>
      <c r="H45" s="656"/>
      <c r="I45" s="656"/>
      <c r="J45" s="656"/>
      <c r="K45" s="656"/>
      <c r="L45" s="656"/>
      <c r="M45" s="657"/>
      <c r="N45" s="656"/>
    </row>
    <row r="46" spans="1:14" ht="46.5" customHeight="1" x14ac:dyDescent="0.2">
      <c r="A46" s="656"/>
      <c r="B46" s="1037" t="str">
        <f>PENYELIA!B46</f>
        <v>Alat yang dikalibrasi dalam batas toleransi dan dinyatakan LAIK PAKAI, dimana hasil atau skor akhir sama dengan atau melampaui 70% berdasarkan Keputusan Direktur Jenderal Pelayanan Kesehatan No : HK.02.02/V/0412/2020.</v>
      </c>
      <c r="C46" s="1037"/>
      <c r="D46" s="1037"/>
      <c r="E46" s="1037"/>
      <c r="F46" s="1037"/>
      <c r="G46" s="1037"/>
      <c r="H46" s="1037"/>
      <c r="I46" s="1037"/>
      <c r="J46" s="1037"/>
      <c r="K46" s="1037"/>
      <c r="L46" s="1037"/>
      <c r="M46" s="1037"/>
      <c r="N46" s="1037"/>
    </row>
    <row r="47" spans="1:14" ht="9.9499999999999993" customHeight="1" x14ac:dyDescent="0.2">
      <c r="A47" s="656"/>
      <c r="B47" s="656"/>
      <c r="C47" s="698"/>
      <c r="D47" s="698"/>
      <c r="E47" s="656"/>
      <c r="F47" s="656"/>
      <c r="G47" s="656"/>
      <c r="H47" s="656"/>
      <c r="I47" s="656"/>
      <c r="J47" s="657"/>
      <c r="K47" s="657"/>
      <c r="L47" s="656"/>
      <c r="M47" s="657"/>
      <c r="N47" s="656"/>
    </row>
    <row r="48" spans="1:14" ht="15" customHeight="1" x14ac:dyDescent="0.2">
      <c r="A48" s="660" t="s">
        <v>112</v>
      </c>
      <c r="B48" s="660" t="s">
        <v>68</v>
      </c>
      <c r="C48" s="660"/>
      <c r="D48" s="660"/>
      <c r="E48" s="656"/>
      <c r="F48" s="656"/>
      <c r="G48" s="656"/>
      <c r="H48" s="656"/>
      <c r="I48" s="656"/>
      <c r="J48" s="657"/>
      <c r="K48" s="657"/>
      <c r="L48" s="656"/>
      <c r="M48" s="657"/>
      <c r="N48" s="656"/>
    </row>
    <row r="49" spans="1:14" ht="15" customHeight="1" x14ac:dyDescent="0.2">
      <c r="A49" s="656"/>
      <c r="B49" s="911" t="str">
        <f>PENYELIA!B49</f>
        <v>Donny Martha</v>
      </c>
      <c r="C49" s="656"/>
      <c r="D49" s="656"/>
      <c r="E49" s="656"/>
      <c r="F49" s="656"/>
      <c r="G49" s="656"/>
      <c r="H49" s="656"/>
      <c r="I49" s="656"/>
      <c r="J49" s="657"/>
      <c r="K49" s="657"/>
      <c r="L49" s="656"/>
      <c r="M49" s="657"/>
      <c r="N49" s="656"/>
    </row>
    <row r="50" spans="1:14" ht="15" customHeight="1" x14ac:dyDescent="0.2">
      <c r="A50" s="656"/>
      <c r="B50" s="656"/>
      <c r="C50" s="656"/>
      <c r="D50" s="656"/>
      <c r="E50" s="656"/>
      <c r="F50" s="656"/>
      <c r="G50" s="656"/>
      <c r="H50" s="656"/>
      <c r="I50" s="656"/>
      <c r="J50" s="656"/>
      <c r="K50" s="656"/>
      <c r="L50" s="656"/>
      <c r="M50" s="657"/>
      <c r="N50" s="656"/>
    </row>
    <row r="51" spans="1:14" ht="15" customHeight="1" x14ac:dyDescent="0.2">
      <c r="A51" s="656"/>
      <c r="B51" s="656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7"/>
      <c r="N51" s="656"/>
    </row>
    <row r="52" spans="1:14" ht="15" customHeight="1" x14ac:dyDescent="0.2">
      <c r="A52" s="656"/>
      <c r="B52" s="656"/>
      <c r="C52" s="656"/>
      <c r="D52" s="656"/>
      <c r="E52" s="656"/>
      <c r="F52" s="656"/>
      <c r="G52" s="656"/>
      <c r="H52" s="656"/>
      <c r="J52" s="699" t="s">
        <v>182</v>
      </c>
      <c r="K52" s="696"/>
      <c r="L52" s="695"/>
      <c r="M52" s="657"/>
      <c r="N52" s="656"/>
    </row>
    <row r="53" spans="1:14" ht="15" customHeight="1" x14ac:dyDescent="0.2">
      <c r="A53" s="656"/>
      <c r="B53" s="656"/>
      <c r="C53" s="656"/>
      <c r="D53" s="656"/>
      <c r="E53" s="656"/>
      <c r="F53" s="656"/>
      <c r="G53" s="656"/>
      <c r="H53" s="656"/>
      <c r="J53" s="700" t="s">
        <v>183</v>
      </c>
      <c r="K53" s="699"/>
      <c r="L53" s="699"/>
      <c r="M53" s="657"/>
      <c r="N53" s="656"/>
    </row>
    <row r="54" spans="1:14" ht="15" customHeight="1" x14ac:dyDescent="0.2">
      <c r="A54" s="656"/>
      <c r="B54" s="656"/>
      <c r="C54" s="656"/>
      <c r="D54" s="656"/>
      <c r="E54" s="656"/>
      <c r="F54" s="656"/>
      <c r="G54" s="656"/>
      <c r="H54" s="656"/>
      <c r="J54" s="700" t="s">
        <v>184</v>
      </c>
      <c r="K54" s="695"/>
      <c r="L54" s="695"/>
      <c r="M54" s="657"/>
      <c r="N54" s="656"/>
    </row>
    <row r="55" spans="1:14" ht="15" customHeight="1" x14ac:dyDescent="0.2">
      <c r="A55" s="656"/>
      <c r="B55" s="656"/>
      <c r="C55" s="656"/>
      <c r="D55" s="656"/>
      <c r="E55" s="656"/>
      <c r="F55" s="656"/>
      <c r="G55" s="656"/>
      <c r="H55" s="656"/>
      <c r="J55" s="699"/>
      <c r="K55" s="695"/>
      <c r="L55" s="695"/>
      <c r="M55" s="657"/>
      <c r="N55" s="656"/>
    </row>
    <row r="56" spans="1:14" ht="15" customHeight="1" x14ac:dyDescent="0.2">
      <c r="A56" s="656"/>
      <c r="B56" s="656"/>
      <c r="C56" s="656"/>
      <c r="D56" s="656"/>
      <c r="E56" s="656"/>
      <c r="F56" s="656"/>
      <c r="G56" s="656"/>
      <c r="H56" s="656"/>
      <c r="J56" s="699"/>
      <c r="K56" s="695"/>
      <c r="L56" s="695"/>
      <c r="M56" s="662"/>
      <c r="N56" s="660"/>
    </row>
    <row r="57" spans="1:14" ht="15" customHeight="1" x14ac:dyDescent="0.2">
      <c r="A57" s="656"/>
      <c r="B57" s="656"/>
      <c r="C57" s="656"/>
      <c r="D57" s="656"/>
      <c r="E57" s="656"/>
      <c r="F57" s="656"/>
      <c r="G57" s="656"/>
      <c r="H57" s="656"/>
      <c r="J57" s="699"/>
      <c r="K57" s="695"/>
      <c r="L57" s="695"/>
      <c r="M57" s="662"/>
      <c r="N57" s="656"/>
    </row>
    <row r="58" spans="1:14" ht="15" customHeight="1" x14ac:dyDescent="0.2">
      <c r="A58" s="656"/>
      <c r="B58" s="656"/>
      <c r="C58" s="656"/>
      <c r="D58" s="656"/>
      <c r="E58" s="656"/>
      <c r="F58" s="656"/>
      <c r="G58" s="656"/>
      <c r="H58" s="656"/>
      <c r="J58" s="701"/>
      <c r="K58" s="693"/>
      <c r="L58" s="695"/>
      <c r="M58" s="662"/>
      <c r="N58" s="658"/>
    </row>
    <row r="59" spans="1:14" ht="15" customHeight="1" x14ac:dyDescent="0.2">
      <c r="A59" s="656"/>
      <c r="B59" s="656"/>
      <c r="C59" s="656"/>
      <c r="D59" s="656"/>
      <c r="E59" s="656"/>
      <c r="F59" s="656"/>
      <c r="G59" s="656"/>
      <c r="H59" s="656"/>
      <c r="J59" s="702" t="s">
        <v>185</v>
      </c>
      <c r="K59" s="695"/>
      <c r="L59" s="696"/>
      <c r="M59" s="662"/>
      <c r="N59" s="658"/>
    </row>
    <row r="60" spans="1:14" ht="15" customHeight="1" x14ac:dyDescent="0.2">
      <c r="A60" s="656"/>
      <c r="B60" s="656"/>
      <c r="C60" s="656"/>
      <c r="D60" s="656"/>
      <c r="E60" s="656"/>
      <c r="F60" s="656"/>
      <c r="G60" s="656"/>
      <c r="H60" s="656"/>
      <c r="J60" s="579" t="str">
        <f>VLOOKUP(J59,X153:Y154,2,0)</f>
        <v>NIP 198008062010121001</v>
      </c>
      <c r="K60" s="695"/>
      <c r="L60" s="696"/>
      <c r="M60" s="662"/>
      <c r="N60" s="658"/>
    </row>
    <row r="61" spans="1:14" ht="15" customHeight="1" x14ac:dyDescent="0.2">
      <c r="A61" s="656"/>
      <c r="B61" s="656"/>
      <c r="C61" s="656"/>
      <c r="D61" s="656"/>
      <c r="E61" s="656"/>
      <c r="F61" s="656"/>
      <c r="G61" s="656"/>
      <c r="H61" s="656"/>
      <c r="J61" s="579"/>
      <c r="K61" s="695"/>
      <c r="L61" s="696"/>
      <c r="M61" s="662"/>
      <c r="N61" s="658"/>
    </row>
    <row r="62" spans="1:14" ht="15" customHeight="1" x14ac:dyDescent="0.2">
      <c r="A62" s="656"/>
      <c r="B62" s="656"/>
      <c r="C62" s="656"/>
      <c r="D62" s="656"/>
      <c r="E62" s="656"/>
      <c r="F62" s="656"/>
      <c r="G62" s="656"/>
      <c r="H62" s="656"/>
      <c r="J62" s="579"/>
      <c r="K62" s="695"/>
      <c r="L62" s="696"/>
      <c r="M62" s="662"/>
      <c r="N62" s="658"/>
    </row>
    <row r="63" spans="1:14" ht="15" customHeight="1" x14ac:dyDescent="0.2">
      <c r="A63" s="656"/>
      <c r="B63" s="656"/>
      <c r="C63" s="656"/>
      <c r="D63" s="656"/>
      <c r="E63" s="656"/>
      <c r="F63" s="656"/>
      <c r="G63" s="656"/>
      <c r="H63" s="656"/>
      <c r="J63" s="579"/>
      <c r="K63" s="695"/>
      <c r="L63" s="696"/>
      <c r="M63" s="662"/>
    </row>
    <row r="64" spans="1:14" ht="15" customHeight="1" x14ac:dyDescent="0.2">
      <c r="A64" s="656"/>
      <c r="B64" s="656"/>
      <c r="C64" s="656"/>
      <c r="D64" s="656"/>
      <c r="E64" s="656"/>
      <c r="F64" s="656"/>
      <c r="G64" s="656"/>
      <c r="H64" s="656"/>
      <c r="J64" s="579"/>
      <c r="K64" s="695"/>
      <c r="L64" s="696"/>
      <c r="M64" s="662"/>
      <c r="N64" s="703" t="s">
        <v>186</v>
      </c>
    </row>
    <row r="65" spans="1:14" ht="15.75" x14ac:dyDescent="0.2">
      <c r="A65" s="656"/>
      <c r="B65" s="656"/>
      <c r="C65" s="656"/>
      <c r="D65" s="656"/>
      <c r="E65" s="656"/>
      <c r="F65" s="656"/>
      <c r="G65" s="656"/>
      <c r="H65" s="656"/>
      <c r="J65" s="579"/>
      <c r="K65" s="695"/>
      <c r="L65" s="696"/>
      <c r="M65" s="662"/>
      <c r="N65" s="658"/>
    </row>
    <row r="66" spans="1:14" ht="15.75" x14ac:dyDescent="0.2">
      <c r="A66" s="656"/>
      <c r="B66" s="656"/>
      <c r="C66" s="656"/>
      <c r="D66" s="656"/>
      <c r="E66" s="656"/>
      <c r="F66" s="656"/>
      <c r="G66" s="656"/>
      <c r="H66" s="656"/>
      <c r="J66" s="579"/>
      <c r="K66" s="695"/>
      <c r="L66" s="696"/>
      <c r="M66" s="662"/>
      <c r="N66" s="658"/>
    </row>
    <row r="67" spans="1:14" ht="15.75" x14ac:dyDescent="0.2">
      <c r="A67" s="656"/>
      <c r="B67" s="656"/>
      <c r="C67" s="656"/>
      <c r="D67" s="656"/>
      <c r="E67" s="656"/>
      <c r="F67" s="656"/>
      <c r="G67" s="656"/>
      <c r="H67" s="656"/>
      <c r="J67" s="579"/>
      <c r="K67" s="695"/>
      <c r="L67" s="696"/>
      <c r="M67" s="662"/>
      <c r="N67" s="658"/>
    </row>
    <row r="68" spans="1:14" ht="15.75" x14ac:dyDescent="0.2">
      <c r="A68" s="656"/>
      <c r="B68" s="656"/>
      <c r="C68" s="656"/>
      <c r="D68" s="656"/>
      <c r="E68" s="656"/>
      <c r="F68" s="656"/>
      <c r="G68" s="656"/>
      <c r="H68" s="656"/>
      <c r="J68" s="579"/>
      <c r="K68" s="695"/>
      <c r="L68" s="696"/>
      <c r="M68" s="662"/>
      <c r="N68" s="658"/>
    </row>
    <row r="69" spans="1:14" x14ac:dyDescent="0.2"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5"/>
    </row>
    <row r="70" spans="1:14" x14ac:dyDescent="0.2">
      <c r="M70" s="668"/>
    </row>
    <row r="71" spans="1:14" x14ac:dyDescent="0.2">
      <c r="M71" s="668"/>
    </row>
    <row r="72" spans="1:14" x14ac:dyDescent="0.2">
      <c r="M72" s="668"/>
    </row>
    <row r="73" spans="1:14" x14ac:dyDescent="0.2">
      <c r="M73" s="668"/>
    </row>
    <row r="74" spans="1:14" x14ac:dyDescent="0.2">
      <c r="M74" s="668"/>
    </row>
    <row r="75" spans="1:14" x14ac:dyDescent="0.2">
      <c r="M75" s="668"/>
    </row>
    <row r="76" spans="1:14" x14ac:dyDescent="0.2">
      <c r="M76" s="668"/>
    </row>
    <row r="77" spans="1:14" x14ac:dyDescent="0.2">
      <c r="M77" s="668"/>
    </row>
    <row r="78" spans="1:14" x14ac:dyDescent="0.2">
      <c r="M78" s="668"/>
    </row>
    <row r="79" spans="1:14" x14ac:dyDescent="0.2">
      <c r="M79" s="668"/>
    </row>
    <row r="80" spans="1:14" x14ac:dyDescent="0.2">
      <c r="M80" s="668"/>
    </row>
    <row r="81" spans="10:15" x14ac:dyDescent="0.2">
      <c r="M81" s="668"/>
    </row>
    <row r="83" spans="10:15" x14ac:dyDescent="0.2">
      <c r="O83" s="706"/>
    </row>
    <row r="84" spans="10:15" x14ac:dyDescent="0.2">
      <c r="O84" s="706"/>
    </row>
    <row r="85" spans="10:15" x14ac:dyDescent="0.2">
      <c r="M85" s="668"/>
    </row>
    <row r="86" spans="10:15" x14ac:dyDescent="0.2">
      <c r="J86" s="707"/>
      <c r="M86" s="668"/>
      <c r="N86" s="707"/>
    </row>
    <row r="87" spans="10:15" x14ac:dyDescent="0.2">
      <c r="J87" s="707"/>
      <c r="M87" s="668"/>
      <c r="N87" s="707"/>
    </row>
    <row r="92" spans="10:15" hidden="1" x14ac:dyDescent="0.2"/>
    <row r="97" spans="1:14" x14ac:dyDescent="0.2">
      <c r="A97" s="708"/>
      <c r="B97" s="708"/>
      <c r="C97" s="708"/>
      <c r="D97" s="708"/>
      <c r="E97" s="708"/>
      <c r="F97" s="708"/>
      <c r="G97" s="708"/>
      <c r="H97" s="708"/>
      <c r="I97" s="708"/>
      <c r="J97" s="708"/>
      <c r="K97" s="708"/>
      <c r="L97" s="708"/>
      <c r="M97" s="708"/>
      <c r="N97" s="708"/>
    </row>
    <row r="98" spans="1:14" x14ac:dyDescent="0.2">
      <c r="A98" s="708"/>
      <c r="B98" s="708"/>
      <c r="C98" s="708"/>
      <c r="D98" s="708"/>
      <c r="E98" s="708"/>
      <c r="F98" s="708"/>
      <c r="G98" s="708"/>
      <c r="H98" s="708"/>
      <c r="I98" s="708"/>
      <c r="J98" s="708"/>
      <c r="K98" s="708"/>
      <c r="L98" s="708"/>
      <c r="M98" s="708"/>
      <c r="N98" s="708"/>
    </row>
    <row r="99" spans="1:14" x14ac:dyDescent="0.2">
      <c r="A99" s="708"/>
      <c r="B99" s="708"/>
      <c r="C99" s="708"/>
      <c r="D99" s="708"/>
      <c r="E99" s="708"/>
      <c r="F99" s="708"/>
      <c r="G99" s="708"/>
      <c r="H99" s="708"/>
      <c r="I99" s="708"/>
      <c r="J99" s="708"/>
      <c r="K99" s="708"/>
      <c r="L99" s="708"/>
      <c r="M99" s="708"/>
      <c r="N99" s="708"/>
    </row>
    <row r="100" spans="1:14" x14ac:dyDescent="0.2">
      <c r="A100" s="708"/>
      <c r="B100" s="708"/>
      <c r="C100" s="708"/>
      <c r="D100" s="708"/>
      <c r="E100" s="708"/>
      <c r="F100" s="708"/>
      <c r="G100" s="708"/>
      <c r="H100" s="708"/>
      <c r="I100" s="708"/>
      <c r="J100" s="708"/>
      <c r="K100" s="708"/>
      <c r="L100" s="708"/>
      <c r="M100" s="708"/>
      <c r="N100" s="708"/>
    </row>
    <row r="101" spans="1:14" x14ac:dyDescent="0.2">
      <c r="A101" s="708"/>
      <c r="B101" s="708"/>
      <c r="C101" s="708"/>
      <c r="D101" s="708"/>
      <c r="E101" s="708"/>
      <c r="F101" s="708"/>
      <c r="G101" s="708"/>
      <c r="H101" s="708"/>
      <c r="I101" s="708"/>
      <c r="J101" s="708"/>
      <c r="K101" s="708"/>
      <c r="L101" s="708"/>
      <c r="M101" s="708"/>
      <c r="N101" s="708"/>
    </row>
    <row r="102" spans="1:14" x14ac:dyDescent="0.2">
      <c r="A102" s="708"/>
      <c r="B102" s="708"/>
      <c r="C102" s="708"/>
      <c r="D102" s="708"/>
      <c r="E102" s="708"/>
      <c r="F102" s="708"/>
      <c r="G102" s="708"/>
      <c r="H102" s="708"/>
      <c r="I102" s="708"/>
      <c r="J102" s="708"/>
      <c r="K102" s="708"/>
      <c r="L102" s="708"/>
      <c r="M102" s="708"/>
      <c r="N102" s="708"/>
    </row>
    <row r="103" spans="1:14" x14ac:dyDescent="0.2">
      <c r="A103" s="708"/>
      <c r="B103" s="708"/>
      <c r="C103" s="708"/>
      <c r="D103" s="708"/>
      <c r="E103" s="708"/>
      <c r="F103" s="708"/>
      <c r="G103" s="708"/>
      <c r="H103" s="708"/>
      <c r="I103" s="708"/>
      <c r="J103" s="708"/>
      <c r="K103" s="708"/>
      <c r="L103" s="708"/>
      <c r="M103" s="708"/>
      <c r="N103" s="708"/>
    </row>
    <row r="104" spans="1:14" x14ac:dyDescent="0.2">
      <c r="A104" s="708"/>
      <c r="B104" s="708"/>
      <c r="C104" s="708"/>
      <c r="D104" s="708"/>
      <c r="E104" s="708"/>
      <c r="F104" s="708"/>
      <c r="G104" s="708"/>
      <c r="H104" s="708"/>
      <c r="I104" s="708"/>
      <c r="J104" s="708"/>
      <c r="K104" s="708"/>
      <c r="L104" s="708"/>
      <c r="M104" s="708"/>
      <c r="N104" s="708"/>
    </row>
    <row r="105" spans="1:14" x14ac:dyDescent="0.2">
      <c r="A105" s="708"/>
      <c r="B105" s="708"/>
      <c r="C105" s="708"/>
      <c r="D105" s="708"/>
      <c r="E105" s="708"/>
      <c r="F105" s="708"/>
      <c r="G105" s="708"/>
      <c r="H105" s="708"/>
      <c r="I105" s="708"/>
      <c r="J105" s="708"/>
      <c r="K105" s="708"/>
      <c r="L105" s="708"/>
      <c r="M105" s="708"/>
      <c r="N105" s="708"/>
    </row>
    <row r="106" spans="1:14" x14ac:dyDescent="0.2">
      <c r="A106" s="708"/>
      <c r="B106" s="708"/>
      <c r="C106" s="708"/>
      <c r="D106" s="708"/>
      <c r="E106" s="708"/>
      <c r="F106" s="708"/>
      <c r="G106" s="708"/>
      <c r="H106" s="708"/>
      <c r="I106" s="708"/>
      <c r="J106" s="708"/>
      <c r="K106" s="708"/>
      <c r="L106" s="708"/>
      <c r="M106" s="708"/>
      <c r="N106" s="708"/>
    </row>
    <row r="107" spans="1:14" x14ac:dyDescent="0.2">
      <c r="A107" s="708"/>
      <c r="B107" s="708"/>
      <c r="C107" s="708"/>
      <c r="D107" s="708"/>
      <c r="E107" s="708"/>
      <c r="F107" s="708"/>
      <c r="G107" s="708"/>
      <c r="H107" s="708"/>
      <c r="I107" s="708"/>
      <c r="J107" s="708"/>
      <c r="K107" s="708"/>
      <c r="L107" s="708"/>
      <c r="M107" s="708"/>
      <c r="N107" s="708"/>
    </row>
    <row r="108" spans="1:14" ht="15.75" customHeight="1" x14ac:dyDescent="0.2">
      <c r="A108" s="708"/>
      <c r="B108" s="708"/>
      <c r="C108" s="708"/>
      <c r="D108" s="708"/>
      <c r="E108" s="708"/>
      <c r="F108" s="708"/>
      <c r="G108" s="708"/>
      <c r="H108" s="708"/>
      <c r="I108" s="708"/>
      <c r="J108" s="708"/>
      <c r="K108" s="708"/>
      <c r="L108" s="708"/>
      <c r="M108" s="708"/>
      <c r="N108" s="708"/>
    </row>
    <row r="109" spans="1:14" x14ac:dyDescent="0.2">
      <c r="A109" s="708"/>
      <c r="B109" s="708"/>
      <c r="C109" s="708"/>
      <c r="D109" s="708"/>
      <c r="E109" s="708"/>
      <c r="F109" s="708"/>
      <c r="G109" s="708"/>
      <c r="H109" s="708"/>
      <c r="I109" s="708"/>
      <c r="J109" s="708"/>
      <c r="K109" s="708"/>
      <c r="L109" s="708"/>
      <c r="M109" s="708"/>
      <c r="N109" s="708"/>
    </row>
    <row r="110" spans="1:14" x14ac:dyDescent="0.2">
      <c r="A110" s="708"/>
      <c r="B110" s="708"/>
      <c r="C110" s="708"/>
      <c r="D110" s="708"/>
      <c r="E110" s="708"/>
      <c r="F110" s="708"/>
      <c r="G110" s="708"/>
      <c r="H110" s="708"/>
      <c r="I110" s="708"/>
      <c r="J110" s="708"/>
      <c r="K110" s="708"/>
      <c r="L110" s="708"/>
      <c r="M110" s="708"/>
      <c r="N110" s="708"/>
    </row>
    <row r="111" spans="1:14" x14ac:dyDescent="0.2">
      <c r="A111" s="708"/>
      <c r="B111" s="708"/>
      <c r="C111" s="708"/>
      <c r="D111" s="708"/>
      <c r="E111" s="708"/>
      <c r="F111" s="708"/>
      <c r="G111" s="708"/>
      <c r="H111" s="708"/>
      <c r="I111" s="708"/>
      <c r="J111" s="708"/>
      <c r="K111" s="708"/>
      <c r="L111" s="708"/>
      <c r="M111" s="708"/>
      <c r="N111" s="708"/>
    </row>
    <row r="112" spans="1:14" x14ac:dyDescent="0.2">
      <c r="A112" s="708"/>
      <c r="B112" s="708"/>
      <c r="C112" s="708"/>
      <c r="D112" s="708"/>
      <c r="E112" s="708"/>
      <c r="F112" s="708"/>
      <c r="G112" s="708"/>
      <c r="H112" s="708"/>
      <c r="I112" s="708"/>
      <c r="J112" s="708"/>
      <c r="K112" s="708"/>
      <c r="L112" s="708"/>
      <c r="M112" s="708"/>
      <c r="N112" s="708"/>
    </row>
    <row r="113" spans="1:14" x14ac:dyDescent="0.2">
      <c r="A113" s="708"/>
      <c r="B113" s="708"/>
      <c r="C113" s="708"/>
      <c r="D113" s="708"/>
      <c r="E113" s="708"/>
      <c r="F113" s="708"/>
      <c r="G113" s="708"/>
      <c r="H113" s="708"/>
      <c r="I113" s="708"/>
      <c r="J113" s="708"/>
      <c r="K113" s="708"/>
      <c r="L113" s="708"/>
      <c r="M113" s="708"/>
      <c r="N113" s="708"/>
    </row>
    <row r="114" spans="1:14" x14ac:dyDescent="0.2">
      <c r="A114" s="708"/>
      <c r="B114" s="708"/>
      <c r="C114" s="708"/>
      <c r="D114" s="708"/>
      <c r="E114" s="708"/>
      <c r="F114" s="708"/>
      <c r="G114" s="708"/>
      <c r="H114" s="708"/>
      <c r="I114" s="708"/>
      <c r="J114" s="708"/>
      <c r="K114" s="708"/>
      <c r="L114" s="708"/>
      <c r="M114" s="708"/>
      <c r="N114" s="708"/>
    </row>
    <row r="115" spans="1:14" x14ac:dyDescent="0.2">
      <c r="A115" s="708"/>
      <c r="B115" s="708"/>
      <c r="C115" s="708"/>
      <c r="D115" s="708"/>
      <c r="E115" s="708"/>
      <c r="F115" s="708"/>
      <c r="G115" s="708"/>
      <c r="H115" s="708"/>
      <c r="I115" s="708"/>
      <c r="J115" s="708"/>
      <c r="K115" s="708"/>
      <c r="L115" s="708"/>
      <c r="M115" s="708"/>
      <c r="N115" s="708"/>
    </row>
    <row r="116" spans="1:14" x14ac:dyDescent="0.2">
      <c r="A116" s="708"/>
      <c r="B116" s="708"/>
      <c r="C116" s="708"/>
      <c r="D116" s="708"/>
      <c r="E116" s="708"/>
      <c r="F116" s="708"/>
      <c r="G116" s="708"/>
      <c r="H116" s="708"/>
      <c r="I116" s="708"/>
      <c r="J116" s="708"/>
      <c r="K116" s="708"/>
      <c r="L116" s="708"/>
      <c r="M116" s="708"/>
      <c r="N116" s="708"/>
    </row>
    <row r="117" spans="1:14" x14ac:dyDescent="0.2">
      <c r="A117" s="708"/>
      <c r="B117" s="708"/>
      <c r="C117" s="708"/>
      <c r="D117" s="708"/>
      <c r="E117" s="708"/>
      <c r="F117" s="708"/>
      <c r="G117" s="708"/>
      <c r="H117" s="708"/>
      <c r="I117" s="708"/>
      <c r="J117" s="708"/>
      <c r="K117" s="708"/>
      <c r="L117" s="708"/>
      <c r="M117" s="708"/>
      <c r="N117" s="708"/>
    </row>
    <row r="118" spans="1:14" x14ac:dyDescent="0.2">
      <c r="A118" s="708"/>
      <c r="B118" s="708"/>
      <c r="C118" s="708"/>
      <c r="D118" s="708"/>
      <c r="E118" s="708"/>
      <c r="F118" s="708"/>
      <c r="G118" s="708"/>
      <c r="H118" s="708"/>
      <c r="I118" s="708"/>
      <c r="J118" s="708"/>
      <c r="K118" s="708"/>
      <c r="L118" s="708"/>
      <c r="M118" s="708"/>
      <c r="N118" s="708"/>
    </row>
    <row r="119" spans="1:14" x14ac:dyDescent="0.2">
      <c r="A119" s="708"/>
      <c r="B119" s="708"/>
      <c r="C119" s="708"/>
      <c r="D119" s="708"/>
      <c r="E119" s="708"/>
      <c r="F119" s="708"/>
      <c r="G119" s="708"/>
      <c r="H119" s="708"/>
      <c r="I119" s="708"/>
      <c r="J119" s="708"/>
      <c r="K119" s="708"/>
      <c r="L119" s="708"/>
      <c r="M119" s="708"/>
      <c r="N119" s="708"/>
    </row>
    <row r="120" spans="1:14" x14ac:dyDescent="0.2">
      <c r="A120" s="708"/>
      <c r="B120" s="708"/>
      <c r="C120" s="708"/>
      <c r="D120" s="708"/>
      <c r="E120" s="708"/>
      <c r="F120" s="708"/>
      <c r="G120" s="708"/>
      <c r="H120" s="708"/>
      <c r="I120" s="708"/>
      <c r="J120" s="708"/>
      <c r="K120" s="708"/>
      <c r="L120" s="708"/>
      <c r="M120" s="708"/>
      <c r="N120" s="708"/>
    </row>
    <row r="121" spans="1:14" x14ac:dyDescent="0.2">
      <c r="A121" s="708"/>
      <c r="B121" s="708"/>
      <c r="C121" s="708"/>
      <c r="D121" s="708"/>
      <c r="E121" s="708"/>
      <c r="F121" s="708"/>
      <c r="G121" s="708"/>
      <c r="H121" s="708"/>
      <c r="I121" s="708"/>
      <c r="J121" s="708"/>
      <c r="K121" s="708"/>
      <c r="L121" s="708"/>
      <c r="M121" s="708"/>
      <c r="N121" s="708"/>
    </row>
    <row r="122" spans="1:14" ht="14.25" customHeight="1" x14ac:dyDescent="0.2">
      <c r="A122" s="708"/>
      <c r="B122" s="708"/>
      <c r="C122" s="708"/>
      <c r="D122" s="708"/>
      <c r="E122" s="708"/>
      <c r="F122" s="708"/>
      <c r="G122" s="708"/>
      <c r="H122" s="708"/>
      <c r="I122" s="708"/>
      <c r="J122" s="708"/>
      <c r="K122" s="708"/>
      <c r="L122" s="708"/>
      <c r="M122" s="708"/>
      <c r="N122" s="709" t="s">
        <v>187</v>
      </c>
    </row>
    <row r="123" spans="1:14" x14ac:dyDescent="0.2">
      <c r="A123" s="708"/>
      <c r="B123" s="708"/>
      <c r="C123" s="708"/>
      <c r="D123" s="708"/>
      <c r="E123" s="708"/>
      <c r="F123" s="708"/>
      <c r="G123" s="708"/>
      <c r="H123" s="708"/>
      <c r="I123" s="708"/>
      <c r="J123" s="708"/>
      <c r="K123" s="708"/>
      <c r="L123" s="708"/>
      <c r="M123" s="708"/>
      <c r="N123" s="708"/>
    </row>
    <row r="153" spans="24:27" ht="15" x14ac:dyDescent="0.25">
      <c r="X153" s="898" t="s">
        <v>75</v>
      </c>
      <c r="Y153" s="97" t="s">
        <v>188</v>
      </c>
      <c r="Z153" s="899"/>
      <c r="AA153" s="899"/>
    </row>
    <row r="154" spans="24:27" ht="15" x14ac:dyDescent="0.2">
      <c r="X154" s="98" t="s">
        <v>185</v>
      </c>
      <c r="Y154" s="97" t="s">
        <v>189</v>
      </c>
      <c r="Z154" s="899"/>
      <c r="AA154" s="899"/>
    </row>
    <row r="155" spans="24:27" ht="14.25" x14ac:dyDescent="0.2">
      <c r="Y155" s="579"/>
      <c r="Z155" s="579"/>
      <c r="AA155" s="579"/>
    </row>
  </sheetData>
  <sheetProtection formatCells="0" formatColumns="0" formatRows="0" insertColumns="0" insertRows="0" deleteColumns="0" deleteRows="0"/>
  <mergeCells count="26">
    <mergeCell ref="A1:N1"/>
    <mergeCell ref="A2:N2"/>
    <mergeCell ref="F7:H7"/>
    <mergeCell ref="F8:H8"/>
    <mergeCell ref="K24:L24"/>
    <mergeCell ref="K23:L23"/>
    <mergeCell ref="K25:L25"/>
    <mergeCell ref="K26:L26"/>
    <mergeCell ref="I23:J23"/>
    <mergeCell ref="C23:H23"/>
    <mergeCell ref="B29:B30"/>
    <mergeCell ref="E29:F30"/>
    <mergeCell ref="G29:G30"/>
    <mergeCell ref="H29:H30"/>
    <mergeCell ref="I29:I30"/>
    <mergeCell ref="K29:L30"/>
    <mergeCell ref="C29:D30"/>
    <mergeCell ref="J29:J30"/>
    <mergeCell ref="E33:F33"/>
    <mergeCell ref="C31:D31"/>
    <mergeCell ref="C32:D32"/>
    <mergeCell ref="C33:D33"/>
    <mergeCell ref="B46:N46"/>
    <mergeCell ref="E31:F31"/>
    <mergeCell ref="J31:J33"/>
    <mergeCell ref="E32:F32"/>
  </mergeCells>
  <phoneticPr fontId="4" type="noConversion"/>
  <dataValidations count="1">
    <dataValidation type="list" allowBlank="1" showInputMessage="1" showErrorMessage="1" sqref="J59" xr:uid="{00000000-0002-0000-0400-000000000000}">
      <formula1>$X$153:$X$154</formula1>
    </dataValidation>
  </dataValidations>
  <printOptions horizontalCentered="1"/>
  <pageMargins left="0.5" right="0.25" top="0.5" bottom="0.45" header="0.25" footer="0.25"/>
  <pageSetup paperSize="9" scale="74" orientation="portrait" horizontalDpi="4294967293" verticalDpi="4294967292" r:id="rId1"/>
  <headerFooter>
    <oddHeader>&amp;R&amp;"-,Regular"&amp;8FV.LHK 005-18 / REV :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69" max="13" man="1"/>
  </rowBreaks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10</xdr:col>
                <xdr:colOff>9525</xdr:colOff>
                <xdr:row>88</xdr:row>
                <xdr:rowOff>0</xdr:rowOff>
              </from>
              <to>
                <xdr:col>11</xdr:col>
                <xdr:colOff>0</xdr:colOff>
                <xdr:row>88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12</xdr:col>
                <xdr:colOff>9525</xdr:colOff>
                <xdr:row>88</xdr:row>
                <xdr:rowOff>0</xdr:rowOff>
              </from>
              <to>
                <xdr:col>12</xdr:col>
                <xdr:colOff>409575</xdr:colOff>
                <xdr:row>88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12</xdr:col>
                <xdr:colOff>38100</xdr:colOff>
                <xdr:row>88</xdr:row>
                <xdr:rowOff>0</xdr:rowOff>
              </from>
              <to>
                <xdr:col>12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00B050"/>
  </sheetPr>
  <dimension ref="A1:AB311"/>
  <sheetViews>
    <sheetView topLeftCell="E259" zoomScale="85" zoomScaleNormal="85" workbookViewId="0">
      <selection activeCell="L268" sqref="L268"/>
    </sheetView>
  </sheetViews>
  <sheetFormatPr defaultColWidth="8.7109375" defaultRowHeight="12.75" x14ac:dyDescent="0.2"/>
  <cols>
    <col min="1" max="1" width="11.5703125" style="100" bestFit="1" customWidth="1"/>
    <col min="2" max="4" width="12.140625" style="100" bestFit="1" customWidth="1"/>
    <col min="5" max="5" width="9.5703125" style="100" bestFit="1" customWidth="1"/>
    <col min="6" max="6" width="9.140625" style="100" bestFit="1" customWidth="1"/>
    <col min="7" max="9" width="8.7109375" style="100"/>
    <col min="10" max="10" width="9.140625" style="100" bestFit="1" customWidth="1"/>
    <col min="11" max="11" width="8.7109375" style="100"/>
    <col min="12" max="12" width="8.5703125" style="100" customWidth="1"/>
    <col min="13" max="13" width="12.28515625" style="100" customWidth="1"/>
    <col min="14" max="14" width="14.42578125" style="100" bestFit="1" customWidth="1"/>
    <col min="15" max="16384" width="8.7109375" style="100"/>
  </cols>
  <sheetData>
    <row r="1" spans="1:24" ht="18" x14ac:dyDescent="0.2">
      <c r="A1" s="1098" t="s">
        <v>285</v>
      </c>
      <c r="B1" s="1099"/>
      <c r="C1" s="1099"/>
      <c r="D1" s="1099"/>
      <c r="E1" s="1099"/>
      <c r="F1" s="1099"/>
      <c r="G1" s="1099"/>
      <c r="H1" s="1099"/>
      <c r="I1" s="1099"/>
      <c r="J1" s="1099"/>
      <c r="K1" s="1099"/>
      <c r="L1" s="1099"/>
      <c r="M1" s="1099"/>
      <c r="N1" s="1099"/>
      <c r="O1" s="1099"/>
      <c r="P1" s="1099"/>
      <c r="Q1" s="1099"/>
      <c r="R1" s="1099"/>
      <c r="S1" s="1099"/>
      <c r="T1" s="1099"/>
      <c r="U1" s="1099"/>
      <c r="V1" s="100" t="s">
        <v>286</v>
      </c>
    </row>
    <row r="2" spans="1:24" ht="15" x14ac:dyDescent="0.2">
      <c r="A2" s="1095" t="s">
        <v>287</v>
      </c>
      <c r="B2" s="1093" t="s">
        <v>288</v>
      </c>
      <c r="C2" s="1093"/>
      <c r="D2" s="1093"/>
      <c r="E2" s="1093"/>
      <c r="F2" s="1093"/>
      <c r="G2" s="1093"/>
      <c r="H2" s="1092" t="s">
        <v>289</v>
      </c>
      <c r="I2" s="1093" t="s">
        <v>290</v>
      </c>
      <c r="J2" s="1093"/>
      <c r="K2" s="1093"/>
      <c r="L2" s="1093"/>
      <c r="M2" s="1093"/>
      <c r="N2" s="1093"/>
      <c r="O2" s="1092" t="s">
        <v>291</v>
      </c>
      <c r="P2" s="1093" t="s">
        <v>292</v>
      </c>
      <c r="Q2" s="1093"/>
      <c r="R2" s="1093"/>
      <c r="S2" s="1093"/>
      <c r="T2" s="1093"/>
      <c r="U2" s="1093"/>
    </row>
    <row r="3" spans="1:24" ht="15" x14ac:dyDescent="0.25">
      <c r="A3" s="1095"/>
      <c r="B3" s="1097" t="s">
        <v>293</v>
      </c>
      <c r="C3" s="1097"/>
      <c r="D3" s="1097"/>
      <c r="E3" s="1097"/>
      <c r="F3" s="1097"/>
      <c r="G3" s="1097"/>
      <c r="H3" s="1092"/>
      <c r="I3" s="1097" t="s">
        <v>293</v>
      </c>
      <c r="J3" s="1097"/>
      <c r="K3" s="1097"/>
      <c r="L3" s="1097"/>
      <c r="M3" s="1097"/>
      <c r="N3" s="1097"/>
      <c r="O3" s="1092"/>
      <c r="P3" s="1094" t="s">
        <v>293</v>
      </c>
      <c r="Q3" s="1094"/>
      <c r="R3" s="1094"/>
      <c r="S3" s="1094"/>
      <c r="T3" s="1094"/>
      <c r="U3" s="1094"/>
    </row>
    <row r="4" spans="1:24" x14ac:dyDescent="0.2">
      <c r="A4" s="1095"/>
      <c r="B4" s="1084" t="s">
        <v>294</v>
      </c>
      <c r="C4" s="1084"/>
      <c r="D4" s="1084"/>
      <c r="E4" s="1084"/>
      <c r="F4" s="1084" t="s">
        <v>295</v>
      </c>
      <c r="G4" s="1084" t="s">
        <v>224</v>
      </c>
      <c r="H4" s="1092"/>
      <c r="I4" s="1084" t="str">
        <f>B4</f>
        <v>Setting VAC</v>
      </c>
      <c r="J4" s="1084"/>
      <c r="K4" s="1084"/>
      <c r="L4" s="1084"/>
      <c r="M4" s="1084" t="s">
        <v>295</v>
      </c>
      <c r="N4" s="1084" t="s">
        <v>224</v>
      </c>
      <c r="O4" s="1092"/>
      <c r="P4" s="1084" t="str">
        <f>B4</f>
        <v>Setting VAC</v>
      </c>
      <c r="Q4" s="1084"/>
      <c r="R4" s="1084"/>
      <c r="S4" s="1084"/>
      <c r="T4" s="1084" t="s">
        <v>295</v>
      </c>
      <c r="U4" s="1084" t="s">
        <v>224</v>
      </c>
    </row>
    <row r="5" spans="1:24" ht="15" x14ac:dyDescent="0.2">
      <c r="A5" s="1095"/>
      <c r="B5" s="202" t="s">
        <v>296</v>
      </c>
      <c r="C5" s="203">
        <v>2020</v>
      </c>
      <c r="D5" s="203">
        <v>2019</v>
      </c>
      <c r="E5" s="203">
        <v>2016</v>
      </c>
      <c r="F5" s="1084"/>
      <c r="G5" s="1084"/>
      <c r="H5" s="1092"/>
      <c r="I5" s="202" t="s">
        <v>296</v>
      </c>
      <c r="J5" s="203">
        <v>2019</v>
      </c>
      <c r="K5" s="204">
        <v>2017</v>
      </c>
      <c r="L5" s="203">
        <v>2016</v>
      </c>
      <c r="M5" s="1084"/>
      <c r="N5" s="1084"/>
      <c r="O5" s="1092"/>
      <c r="P5" s="202" t="s">
        <v>296</v>
      </c>
      <c r="Q5" s="203">
        <v>2022</v>
      </c>
      <c r="R5" s="203">
        <v>2021</v>
      </c>
      <c r="S5" s="203">
        <v>2018</v>
      </c>
      <c r="T5" s="1084"/>
      <c r="U5" s="1084"/>
      <c r="V5" s="205"/>
      <c r="W5" s="205"/>
      <c r="X5" s="116"/>
    </row>
    <row r="6" spans="1:24" x14ac:dyDescent="0.2">
      <c r="A6" s="1095"/>
      <c r="B6" s="206">
        <v>150</v>
      </c>
      <c r="C6" s="206">
        <v>0.31</v>
      </c>
      <c r="D6" s="206">
        <v>0.76</v>
      </c>
      <c r="E6" s="125"/>
      <c r="F6" s="207">
        <f>0.5*(MAX(C6:E6)-MIN(C6:E6))</f>
        <v>0.22500000000000001</v>
      </c>
      <c r="G6" s="207">
        <f t="shared" ref="G6:G11" si="0">(1.2/100)*B6</f>
        <v>1.8</v>
      </c>
      <c r="H6" s="1092"/>
      <c r="I6" s="206">
        <v>150</v>
      </c>
      <c r="J6" s="209">
        <v>0.15</v>
      </c>
      <c r="K6" s="209">
        <v>0.23</v>
      </c>
      <c r="L6" s="125"/>
      <c r="M6" s="207">
        <f>0.5*(MAX(J6:L6)-MIN(J6:L6))</f>
        <v>4.0000000000000008E-2</v>
      </c>
      <c r="N6" s="207">
        <f>(1.2/100)*I6</f>
        <v>1.8</v>
      </c>
      <c r="O6" s="1092"/>
      <c r="P6" s="206">
        <v>150</v>
      </c>
      <c r="Q6" s="209">
        <v>-1.43</v>
      </c>
      <c r="R6" s="209">
        <v>-1.6</v>
      </c>
      <c r="S6" s="209">
        <v>-7.0000000000000007E-2</v>
      </c>
      <c r="T6" s="207">
        <f>0.5*(MAX(Q6:S6)-MIN(Q6:S6))</f>
        <v>0.76500000000000001</v>
      </c>
      <c r="U6" s="207">
        <f t="shared" ref="U6:U11" si="1">(1.2/100)*P6</f>
        <v>1.8</v>
      </c>
      <c r="V6" s="210"/>
      <c r="W6" s="211"/>
      <c r="X6" s="116"/>
    </row>
    <row r="7" spans="1:24" x14ac:dyDescent="0.2">
      <c r="A7" s="1095"/>
      <c r="B7" s="206">
        <v>180</v>
      </c>
      <c r="C7" s="206">
        <v>0.1</v>
      </c>
      <c r="D7" s="206">
        <v>-0.03</v>
      </c>
      <c r="E7" s="125"/>
      <c r="F7" s="207">
        <f t="shared" ref="F7:F11" si="2">0.5*(MAX(C7:E7)-MIN(C7:E7))</f>
        <v>6.5000000000000002E-2</v>
      </c>
      <c r="G7" s="207">
        <f t="shared" si="0"/>
        <v>2.16</v>
      </c>
      <c r="H7" s="1092"/>
      <c r="I7" s="206">
        <v>180</v>
      </c>
      <c r="J7" s="209">
        <v>0.12</v>
      </c>
      <c r="K7" s="209">
        <v>-0.06</v>
      </c>
      <c r="L7" s="125"/>
      <c r="M7" s="207">
        <f t="shared" ref="M7:M11" si="3">0.5*(MAX(J7:L7)-MIN(J7:L7))</f>
        <v>0.09</v>
      </c>
      <c r="N7" s="207">
        <f>(1.2/100)*I7</f>
        <v>2.16</v>
      </c>
      <c r="O7" s="1092"/>
      <c r="P7" s="206">
        <v>180</v>
      </c>
      <c r="Q7" s="209">
        <v>-1.81</v>
      </c>
      <c r="R7" s="209">
        <v>-1.9</v>
      </c>
      <c r="S7" s="209">
        <v>-0.13</v>
      </c>
      <c r="T7" s="207">
        <f t="shared" ref="T7:T11" si="4">0.5*(MAX(Q7:S7)-MIN(Q7:S7))</f>
        <v>0.88500000000000001</v>
      </c>
      <c r="U7" s="207">
        <f t="shared" si="1"/>
        <v>2.16</v>
      </c>
      <c r="V7" s="210"/>
      <c r="W7" s="211"/>
      <c r="X7" s="116"/>
    </row>
    <row r="8" spans="1:24" x14ac:dyDescent="0.2">
      <c r="A8" s="1095"/>
      <c r="B8" s="206">
        <v>200</v>
      </c>
      <c r="C8" s="206">
        <v>-0.04</v>
      </c>
      <c r="D8" s="206">
        <v>-0.16</v>
      </c>
      <c r="E8" s="125"/>
      <c r="F8" s="207">
        <f t="shared" si="2"/>
        <v>0.06</v>
      </c>
      <c r="G8" s="207">
        <f t="shared" si="0"/>
        <v>2.4</v>
      </c>
      <c r="H8" s="1092"/>
      <c r="I8" s="206">
        <v>200</v>
      </c>
      <c r="J8" s="209">
        <v>0.06</v>
      </c>
      <c r="K8" s="209">
        <v>-0.18</v>
      </c>
      <c r="L8" s="125"/>
      <c r="M8" s="207">
        <f t="shared" si="3"/>
        <v>0.12</v>
      </c>
      <c r="N8" s="207">
        <f>(1.2/100)*I8</f>
        <v>2.4</v>
      </c>
      <c r="O8" s="1092"/>
      <c r="P8" s="206">
        <v>200</v>
      </c>
      <c r="Q8" s="209">
        <v>-2.0499999999999998</v>
      </c>
      <c r="R8" s="209">
        <v>-2.14</v>
      </c>
      <c r="S8" s="209">
        <v>-0.26</v>
      </c>
      <c r="T8" s="207">
        <f t="shared" si="4"/>
        <v>0.94000000000000006</v>
      </c>
      <c r="U8" s="207">
        <f t="shared" si="1"/>
        <v>2.4</v>
      </c>
      <c r="V8" s="210"/>
      <c r="W8" s="211"/>
      <c r="X8" s="116"/>
    </row>
    <row r="9" spans="1:24" x14ac:dyDescent="0.2">
      <c r="A9" s="1095"/>
      <c r="B9" s="206">
        <v>220</v>
      </c>
      <c r="C9" s="206">
        <v>-0.28000000000000003</v>
      </c>
      <c r="D9" s="206">
        <v>-0.18</v>
      </c>
      <c r="E9" s="125"/>
      <c r="F9" s="207">
        <f t="shared" si="2"/>
        <v>5.0000000000000017E-2</v>
      </c>
      <c r="G9" s="207">
        <f t="shared" si="0"/>
        <v>2.64</v>
      </c>
      <c r="H9" s="1092"/>
      <c r="I9" s="206">
        <v>220</v>
      </c>
      <c r="J9" s="209">
        <v>0.05</v>
      </c>
      <c r="K9" s="209">
        <v>-0.03</v>
      </c>
      <c r="L9" s="125"/>
      <c r="M9" s="207">
        <f t="shared" si="3"/>
        <v>0.04</v>
      </c>
      <c r="N9" s="207">
        <f>(1.2/100)*I9</f>
        <v>2.64</v>
      </c>
      <c r="O9" s="1092"/>
      <c r="P9" s="206">
        <v>220</v>
      </c>
      <c r="Q9" s="209">
        <v>-2.29</v>
      </c>
      <c r="R9" s="209">
        <v>-3.44</v>
      </c>
      <c r="S9" s="209">
        <v>-0.28999999999999998</v>
      </c>
      <c r="T9" s="207">
        <f t="shared" si="4"/>
        <v>1.575</v>
      </c>
      <c r="U9" s="207">
        <f t="shared" si="1"/>
        <v>2.64</v>
      </c>
      <c r="V9" s="210"/>
      <c r="W9" s="211"/>
      <c r="X9" s="116"/>
    </row>
    <row r="10" spans="1:24" x14ac:dyDescent="0.2">
      <c r="A10" s="1095"/>
      <c r="B10" s="206">
        <v>230</v>
      </c>
      <c r="C10" s="206">
        <v>-0.2</v>
      </c>
      <c r="D10" s="206">
        <v>-0.26</v>
      </c>
      <c r="E10" s="125"/>
      <c r="F10" s="207">
        <f t="shared" si="2"/>
        <v>0.03</v>
      </c>
      <c r="G10" s="207">
        <f t="shared" si="0"/>
        <v>2.7600000000000002</v>
      </c>
      <c r="H10" s="1092"/>
      <c r="I10" s="206">
        <v>230</v>
      </c>
      <c r="J10" s="206">
        <v>9.9999999999999995E-7</v>
      </c>
      <c r="K10" s="206">
        <v>0.05</v>
      </c>
      <c r="L10" s="125"/>
      <c r="M10" s="207">
        <f t="shared" si="3"/>
        <v>2.4999500000000001E-2</v>
      </c>
      <c r="N10" s="207">
        <f>(1.2/100)*I10</f>
        <v>2.7600000000000002</v>
      </c>
      <c r="O10" s="1092"/>
      <c r="P10" s="206">
        <v>230</v>
      </c>
      <c r="Q10" s="209">
        <v>-11.79</v>
      </c>
      <c r="R10" s="209">
        <v>-2.52</v>
      </c>
      <c r="S10" s="209">
        <v>-0.23</v>
      </c>
      <c r="T10" s="207">
        <f t="shared" si="4"/>
        <v>5.7799999999999994</v>
      </c>
      <c r="U10" s="207">
        <f t="shared" si="1"/>
        <v>2.7600000000000002</v>
      </c>
      <c r="V10" s="210"/>
      <c r="W10" s="211"/>
      <c r="X10" s="116"/>
    </row>
    <row r="11" spans="1:24" x14ac:dyDescent="0.2">
      <c r="A11" s="1095"/>
      <c r="B11" s="206">
        <v>250</v>
      </c>
      <c r="C11" s="206">
        <v>-0.32</v>
      </c>
      <c r="D11" s="206">
        <v>9.9999999999999995E-7</v>
      </c>
      <c r="E11" s="125"/>
      <c r="F11" s="207">
        <f t="shared" si="2"/>
        <v>0.16000049999999999</v>
      </c>
      <c r="G11" s="207">
        <f t="shared" si="0"/>
        <v>3</v>
      </c>
      <c r="H11" s="1092"/>
      <c r="I11" s="206">
        <v>250</v>
      </c>
      <c r="J11" s="206">
        <v>9.9999999999999995E-7</v>
      </c>
      <c r="K11" s="206">
        <v>9.9999999999999995E-7</v>
      </c>
      <c r="L11" s="125"/>
      <c r="M11" s="207">
        <f t="shared" si="3"/>
        <v>0</v>
      </c>
      <c r="N11" s="207">
        <v>2.76</v>
      </c>
      <c r="O11" s="1092"/>
      <c r="P11" s="206">
        <v>250</v>
      </c>
      <c r="Q11" s="209">
        <v>9.9999999999999995E-7</v>
      </c>
      <c r="R11" s="209">
        <v>9.9999999999999995E-7</v>
      </c>
      <c r="S11" s="209">
        <v>9.9999999999999995E-7</v>
      </c>
      <c r="T11" s="207">
        <f t="shared" si="4"/>
        <v>0</v>
      </c>
      <c r="U11" s="207">
        <f t="shared" si="1"/>
        <v>3</v>
      </c>
      <c r="V11" s="210"/>
      <c r="W11" s="211"/>
      <c r="X11" s="116"/>
    </row>
    <row r="12" spans="1:24" ht="12.95" customHeight="1" x14ac:dyDescent="0.2">
      <c r="A12" s="1095"/>
      <c r="B12" s="1091" t="s">
        <v>297</v>
      </c>
      <c r="C12" s="1091"/>
      <c r="D12" s="1091"/>
      <c r="E12" s="1091"/>
      <c r="F12" s="1084" t="s">
        <v>295</v>
      </c>
      <c r="G12" s="1084" t="s">
        <v>224</v>
      </c>
      <c r="H12" s="1092"/>
      <c r="I12" s="1091" t="str">
        <f>B12</f>
        <v>Current Leakage</v>
      </c>
      <c r="J12" s="1091"/>
      <c r="K12" s="1091"/>
      <c r="L12" s="1091"/>
      <c r="M12" s="1084" t="s">
        <v>295</v>
      </c>
      <c r="N12" s="1084" t="s">
        <v>224</v>
      </c>
      <c r="O12" s="1092"/>
      <c r="P12" s="1091" t="str">
        <f>B12</f>
        <v>Current Leakage</v>
      </c>
      <c r="Q12" s="1091"/>
      <c r="R12" s="1091"/>
      <c r="S12" s="1091"/>
      <c r="T12" s="1084" t="s">
        <v>295</v>
      </c>
      <c r="U12" s="1084" t="s">
        <v>224</v>
      </c>
      <c r="V12" s="116"/>
      <c r="W12" s="116"/>
      <c r="X12" s="116"/>
    </row>
    <row r="13" spans="1:24" ht="15" x14ac:dyDescent="0.2">
      <c r="A13" s="1095"/>
      <c r="B13" s="202" t="s">
        <v>298</v>
      </c>
      <c r="C13" s="203">
        <f>C5</f>
        <v>2020</v>
      </c>
      <c r="D13" s="203">
        <f>D5</f>
        <v>2019</v>
      </c>
      <c r="E13" s="203">
        <f>E5</f>
        <v>2016</v>
      </c>
      <c r="F13" s="1084"/>
      <c r="G13" s="1084"/>
      <c r="H13" s="1092"/>
      <c r="I13" s="202" t="s">
        <v>298</v>
      </c>
      <c r="J13" s="203">
        <f>J5</f>
        <v>2019</v>
      </c>
      <c r="K13" s="203">
        <f>K5</f>
        <v>2017</v>
      </c>
      <c r="L13" s="203">
        <f>L5</f>
        <v>2016</v>
      </c>
      <c r="M13" s="1084"/>
      <c r="N13" s="1084"/>
      <c r="O13" s="1092"/>
      <c r="P13" s="202" t="s">
        <v>298</v>
      </c>
      <c r="Q13" s="203">
        <f>Q5</f>
        <v>2022</v>
      </c>
      <c r="R13" s="203">
        <f>R5</f>
        <v>2021</v>
      </c>
      <c r="S13" s="203">
        <f>S5</f>
        <v>2018</v>
      </c>
      <c r="T13" s="1084"/>
      <c r="U13" s="1084"/>
      <c r="V13" s="116"/>
      <c r="W13" s="116"/>
      <c r="X13" s="116"/>
    </row>
    <row r="14" spans="1:24" x14ac:dyDescent="0.2">
      <c r="A14" s="1095"/>
      <c r="B14" s="206">
        <v>0</v>
      </c>
      <c r="C14" s="206">
        <v>9.9999999999999995E-7</v>
      </c>
      <c r="D14" s="206">
        <v>9.9999999999999995E-7</v>
      </c>
      <c r="E14" s="125"/>
      <c r="F14" s="207">
        <f>0.5*(MAX(C14:E14)-MIN(C14:E14))</f>
        <v>0</v>
      </c>
      <c r="G14" s="207">
        <v>0.3</v>
      </c>
      <c r="H14" s="1092"/>
      <c r="I14" s="206">
        <v>0</v>
      </c>
      <c r="J14" s="206">
        <v>9.9999999999999995E-7</v>
      </c>
      <c r="K14" s="206">
        <v>9.9999999999999995E-7</v>
      </c>
      <c r="L14" s="125"/>
      <c r="M14" s="207">
        <f>0.5*(MAX(J14:L14)-MIN(J14:L14))</f>
        <v>0</v>
      </c>
      <c r="N14" s="207">
        <v>0.3</v>
      </c>
      <c r="O14" s="1092"/>
      <c r="P14" s="206">
        <v>9.9999999999999995E-7</v>
      </c>
      <c r="Q14" s="206">
        <v>9.9999999999999995E-7</v>
      </c>
      <c r="R14" s="206">
        <v>9.9999999999999995E-7</v>
      </c>
      <c r="S14" s="206">
        <v>9.9999999999999995E-7</v>
      </c>
      <c r="T14" s="207">
        <f>0.5*(MAX(Q14:S14)-MIN(Q14:S14))</f>
        <v>0</v>
      </c>
      <c r="U14" s="207">
        <f t="shared" ref="U14:U19" si="5">(0.59/100)*P14</f>
        <v>5.8999999999999999E-9</v>
      </c>
      <c r="V14" s="116"/>
      <c r="W14" s="116"/>
      <c r="X14" s="116"/>
    </row>
    <row r="15" spans="1:24" x14ac:dyDescent="0.2">
      <c r="A15" s="1095"/>
      <c r="B15" s="206">
        <v>50</v>
      </c>
      <c r="C15" s="206">
        <v>0.1</v>
      </c>
      <c r="D15" s="206">
        <v>-0.06</v>
      </c>
      <c r="E15" s="125"/>
      <c r="F15" s="207">
        <f t="shared" ref="F15:F19" si="6">0.5*(MAX(C15:E15)-MIN(C15:E15))</f>
        <v>0.08</v>
      </c>
      <c r="G15" s="207">
        <f>(0.59/100)*B15</f>
        <v>0.29499999999999998</v>
      </c>
      <c r="H15" s="1092"/>
      <c r="I15" s="206">
        <v>50</v>
      </c>
      <c r="J15" s="209">
        <v>-0.08</v>
      </c>
      <c r="K15" s="209">
        <v>0.1</v>
      </c>
      <c r="L15" s="125"/>
      <c r="M15" s="207">
        <f t="shared" ref="M15:M19" si="7">0.5*(MAX(J15:L15)-MIN(J15:L15))</f>
        <v>0.09</v>
      </c>
      <c r="N15" s="207">
        <f>(0.59/100)*I15</f>
        <v>0.29499999999999998</v>
      </c>
      <c r="O15" s="1092"/>
      <c r="P15" s="206">
        <v>50</v>
      </c>
      <c r="Q15" s="209">
        <v>9.1</v>
      </c>
      <c r="R15" s="209">
        <v>-0.62</v>
      </c>
      <c r="S15" s="209">
        <v>2</v>
      </c>
      <c r="T15" s="207">
        <f t="shared" ref="T15:T19" si="8">0.5*(MAX(Q15:S15)-MIN(Q15:S15))</f>
        <v>4.8599999999999994</v>
      </c>
      <c r="U15" s="207">
        <f t="shared" si="5"/>
        <v>0.29499999999999998</v>
      </c>
      <c r="V15" s="116"/>
      <c r="W15" s="116"/>
      <c r="X15" s="116"/>
    </row>
    <row r="16" spans="1:24" x14ac:dyDescent="0.2">
      <c r="A16" s="1095"/>
      <c r="B16" s="206">
        <v>100</v>
      </c>
      <c r="C16" s="206">
        <v>0.2</v>
      </c>
      <c r="D16" s="206">
        <v>-0.06</v>
      </c>
      <c r="E16" s="125"/>
      <c r="F16" s="207">
        <f t="shared" si="6"/>
        <v>0.13</v>
      </c>
      <c r="G16" s="207">
        <f>(0.59/100)*B16</f>
        <v>0.59</v>
      </c>
      <c r="H16" s="1092"/>
      <c r="I16" s="206">
        <v>100</v>
      </c>
      <c r="J16" s="206">
        <v>-7.0000000000000007E-2</v>
      </c>
      <c r="K16" s="206">
        <v>2.2000000000000002</v>
      </c>
      <c r="L16" s="125"/>
      <c r="M16" s="207">
        <f t="shared" si="7"/>
        <v>1.135</v>
      </c>
      <c r="N16" s="207">
        <f>(0.59/100)*I16</f>
        <v>0.59</v>
      </c>
      <c r="O16" s="1092"/>
      <c r="P16" s="206">
        <v>100</v>
      </c>
      <c r="Q16" s="209">
        <v>6</v>
      </c>
      <c r="R16" s="209">
        <v>-0.22</v>
      </c>
      <c r="S16" s="209">
        <v>2</v>
      </c>
      <c r="T16" s="207">
        <f t="shared" si="8"/>
        <v>3.11</v>
      </c>
      <c r="U16" s="207">
        <f t="shared" si="5"/>
        <v>0.59</v>
      </c>
      <c r="V16" s="116"/>
      <c r="W16" s="116"/>
      <c r="X16" s="116"/>
    </row>
    <row r="17" spans="1:28" x14ac:dyDescent="0.2">
      <c r="A17" s="1095"/>
      <c r="B17" s="206">
        <v>200</v>
      </c>
      <c r="C17" s="206">
        <v>0.4</v>
      </c>
      <c r="D17" s="206">
        <v>9.9999999999999995E-7</v>
      </c>
      <c r="E17" s="125"/>
      <c r="F17" s="207">
        <f t="shared" si="6"/>
        <v>0.19999950000000002</v>
      </c>
      <c r="G17" s="207">
        <f>(0.59/100)*B17</f>
        <v>1.18</v>
      </c>
      <c r="H17" s="1092"/>
      <c r="I17" s="206">
        <v>200</v>
      </c>
      <c r="J17" s="209">
        <v>-0.1</v>
      </c>
      <c r="K17" s="209">
        <v>3.3</v>
      </c>
      <c r="L17" s="125"/>
      <c r="M17" s="207">
        <f t="shared" si="7"/>
        <v>1.7</v>
      </c>
      <c r="N17" s="207">
        <f>(0.59/100)*I17</f>
        <v>1.18</v>
      </c>
      <c r="O17" s="1092"/>
      <c r="P17" s="206">
        <v>200</v>
      </c>
      <c r="Q17" s="209">
        <v>-3.6</v>
      </c>
      <c r="R17" s="209">
        <v>-0.1</v>
      </c>
      <c r="S17" s="209">
        <v>3.6</v>
      </c>
      <c r="T17" s="207">
        <f t="shared" si="8"/>
        <v>3.6</v>
      </c>
      <c r="U17" s="207">
        <f t="shared" si="5"/>
        <v>1.18</v>
      </c>
      <c r="V17" s="116"/>
      <c r="W17" s="116"/>
      <c r="X17" s="116"/>
    </row>
    <row r="18" spans="1:28" x14ac:dyDescent="0.2">
      <c r="A18" s="1095"/>
      <c r="B18" s="206">
        <v>500</v>
      </c>
      <c r="C18" s="206">
        <v>3.8</v>
      </c>
      <c r="D18" s="206">
        <v>-0.9</v>
      </c>
      <c r="E18" s="125"/>
      <c r="F18" s="207">
        <f t="shared" si="6"/>
        <v>2.35</v>
      </c>
      <c r="G18" s="207">
        <f>(0.59/100)*B18</f>
        <v>2.9499999999999997</v>
      </c>
      <c r="H18" s="1092"/>
      <c r="I18" s="206">
        <v>500</v>
      </c>
      <c r="J18" s="209">
        <v>0.8</v>
      </c>
      <c r="K18" s="209">
        <v>2</v>
      </c>
      <c r="L18" s="125"/>
      <c r="M18" s="207">
        <f t="shared" si="7"/>
        <v>0.6</v>
      </c>
      <c r="N18" s="207">
        <f>(0.59/100)*I18</f>
        <v>2.9499999999999997</v>
      </c>
      <c r="O18" s="1092"/>
      <c r="P18" s="206">
        <v>500</v>
      </c>
      <c r="Q18" s="209">
        <v>-18.8</v>
      </c>
      <c r="R18" s="209">
        <v>-1.1000000000000001</v>
      </c>
      <c r="S18" s="209">
        <v>2.9</v>
      </c>
      <c r="T18" s="207">
        <f t="shared" si="8"/>
        <v>10.85</v>
      </c>
      <c r="U18" s="207">
        <f t="shared" si="5"/>
        <v>2.9499999999999997</v>
      </c>
      <c r="V18" s="116"/>
      <c r="W18" s="116"/>
      <c r="X18" s="116"/>
      <c r="AB18" s="212"/>
    </row>
    <row r="19" spans="1:28" x14ac:dyDescent="0.2">
      <c r="A19" s="1095"/>
      <c r="B19" s="206">
        <v>1000</v>
      </c>
      <c r="C19" s="206">
        <v>9.9999999999999995E-7</v>
      </c>
      <c r="D19" s="206">
        <v>9.9999999999999995E-7</v>
      </c>
      <c r="E19" s="125"/>
      <c r="F19" s="207">
        <f t="shared" si="6"/>
        <v>0</v>
      </c>
      <c r="G19" s="207">
        <v>2.95</v>
      </c>
      <c r="H19" s="1092"/>
      <c r="I19" s="206">
        <v>1000</v>
      </c>
      <c r="J19" s="206">
        <v>9.9999999999999995E-7</v>
      </c>
      <c r="K19" s="206">
        <v>9.9999999999999995E-7</v>
      </c>
      <c r="L19" s="125"/>
      <c r="M19" s="207">
        <f t="shared" si="7"/>
        <v>0</v>
      </c>
      <c r="N19" s="207">
        <v>2.95</v>
      </c>
      <c r="O19" s="1092"/>
      <c r="P19" s="206">
        <v>1000</v>
      </c>
      <c r="Q19" s="209">
        <v>-47</v>
      </c>
      <c r="R19" s="209">
        <v>3</v>
      </c>
      <c r="S19" s="209">
        <v>3</v>
      </c>
      <c r="T19" s="207">
        <f t="shared" si="8"/>
        <v>25</v>
      </c>
      <c r="U19" s="207">
        <f t="shared" si="5"/>
        <v>5.8999999999999995</v>
      </c>
      <c r="V19" s="116"/>
      <c r="W19" s="116"/>
      <c r="X19" s="116"/>
    </row>
    <row r="20" spans="1:28" x14ac:dyDescent="0.2">
      <c r="A20" s="1095"/>
      <c r="B20" s="1091" t="s">
        <v>299</v>
      </c>
      <c r="C20" s="1091"/>
      <c r="D20" s="1091"/>
      <c r="E20" s="1091"/>
      <c r="F20" s="1084" t="s">
        <v>295</v>
      </c>
      <c r="G20" s="1084" t="s">
        <v>224</v>
      </c>
      <c r="H20" s="1092"/>
      <c r="I20" s="1091" t="str">
        <f>B20</f>
        <v>Main-PE</v>
      </c>
      <c r="J20" s="1091"/>
      <c r="K20" s="1091"/>
      <c r="L20" s="1091"/>
      <c r="M20" s="1084" t="s">
        <v>295</v>
      </c>
      <c r="N20" s="1084" t="s">
        <v>224</v>
      </c>
      <c r="O20" s="1092"/>
      <c r="P20" s="1091" t="str">
        <f>B20</f>
        <v>Main-PE</v>
      </c>
      <c r="Q20" s="1091"/>
      <c r="R20" s="1091"/>
      <c r="S20" s="1091"/>
      <c r="T20" s="1084" t="s">
        <v>295</v>
      </c>
      <c r="U20" s="1084" t="s">
        <v>224</v>
      </c>
      <c r="V20" s="116"/>
      <c r="W20" s="116"/>
      <c r="X20" s="116"/>
    </row>
    <row r="21" spans="1:28" ht="15" x14ac:dyDescent="0.2">
      <c r="A21" s="1095"/>
      <c r="B21" s="202" t="s">
        <v>300</v>
      </c>
      <c r="C21" s="203">
        <f>C5</f>
        <v>2020</v>
      </c>
      <c r="D21" s="203">
        <f>D5</f>
        <v>2019</v>
      </c>
      <c r="E21" s="203">
        <f>E5</f>
        <v>2016</v>
      </c>
      <c r="F21" s="1084"/>
      <c r="G21" s="1084"/>
      <c r="H21" s="1092"/>
      <c r="I21" s="202" t="s">
        <v>300</v>
      </c>
      <c r="J21" s="203">
        <f>J5</f>
        <v>2019</v>
      </c>
      <c r="K21" s="203">
        <f>K5</f>
        <v>2017</v>
      </c>
      <c r="L21" s="203">
        <f>L5</f>
        <v>2016</v>
      </c>
      <c r="M21" s="1084"/>
      <c r="N21" s="1084"/>
      <c r="O21" s="1092"/>
      <c r="P21" s="202" t="s">
        <v>300</v>
      </c>
      <c r="Q21" s="203">
        <f>Q5</f>
        <v>2022</v>
      </c>
      <c r="R21" s="203">
        <f>R5</f>
        <v>2021</v>
      </c>
      <c r="S21" s="203">
        <f>S5</f>
        <v>2018</v>
      </c>
      <c r="T21" s="1084"/>
      <c r="U21" s="1084"/>
      <c r="V21" s="116"/>
      <c r="W21" s="116"/>
      <c r="X21" s="116"/>
    </row>
    <row r="22" spans="1:28" x14ac:dyDescent="0.2">
      <c r="A22" s="1095"/>
      <c r="B22" s="206">
        <v>10</v>
      </c>
      <c r="C22" s="206">
        <v>-1E-3</v>
      </c>
      <c r="D22" s="206">
        <v>9.9999999999999995E-7</v>
      </c>
      <c r="E22" s="125"/>
      <c r="F22" s="207">
        <f>0.5*(MAX(C22:E22)-MIN(C22:E22))</f>
        <v>5.0049999999999997E-4</v>
      </c>
      <c r="G22" s="207">
        <v>0</v>
      </c>
      <c r="H22" s="1092"/>
      <c r="I22" s="206">
        <v>10</v>
      </c>
      <c r="J22" s="206">
        <v>0.1</v>
      </c>
      <c r="K22" s="206">
        <v>9.9999999999999995E-7</v>
      </c>
      <c r="L22" s="125"/>
      <c r="M22" s="207">
        <f>0.5*(MAX(J22:L22)-MIN(J22:L22))</f>
        <v>4.9999500000000002E-2</v>
      </c>
      <c r="N22" s="207">
        <f>(0.59/100)*I22</f>
        <v>5.8999999999999997E-2</v>
      </c>
      <c r="O22" s="1092"/>
      <c r="P22" s="206">
        <v>5</v>
      </c>
      <c r="Q22" s="209">
        <v>9.9999999999999995E-7</v>
      </c>
      <c r="R22" s="209">
        <v>9.9999999999999995E-7</v>
      </c>
      <c r="S22" s="209">
        <v>9.9999999999999995E-7</v>
      </c>
      <c r="T22" s="207">
        <f>0.5*(MAX(Q22:S22)-MIN(Q22:S22))</f>
        <v>0</v>
      </c>
      <c r="U22" s="207">
        <f>(1.7/100)*P22</f>
        <v>8.5000000000000006E-2</v>
      </c>
      <c r="V22" s="116"/>
      <c r="W22" s="116"/>
      <c r="X22" s="116"/>
    </row>
    <row r="23" spans="1:28" x14ac:dyDescent="0.2">
      <c r="A23" s="1095"/>
      <c r="B23" s="206">
        <v>20</v>
      </c>
      <c r="C23" s="206">
        <v>9.9999999999999995E-7</v>
      </c>
      <c r="D23" s="206">
        <v>9.9999999999999995E-7</v>
      </c>
      <c r="E23" s="125"/>
      <c r="F23" s="207">
        <f t="shared" ref="F23:F25" si="9">0.5*(MAX(C23:E23)-MIN(C23:E23))</f>
        <v>0</v>
      </c>
      <c r="G23" s="207">
        <v>0</v>
      </c>
      <c r="H23" s="1092"/>
      <c r="I23" s="206">
        <v>20</v>
      </c>
      <c r="J23" s="206">
        <v>0.2</v>
      </c>
      <c r="K23" s="206">
        <v>0.1</v>
      </c>
      <c r="L23" s="125"/>
      <c r="M23" s="207">
        <f t="shared" ref="M23:M25" si="10">0.5*(MAX(J23:L23)-MIN(J23:L23))</f>
        <v>0.05</v>
      </c>
      <c r="N23" s="207">
        <f>(0.59/100)*I23</f>
        <v>0.11799999999999999</v>
      </c>
      <c r="O23" s="1092"/>
      <c r="P23" s="206">
        <v>10</v>
      </c>
      <c r="Q23" s="209">
        <v>9.9999999999999995E-7</v>
      </c>
      <c r="R23" s="209">
        <v>9.9999999999999995E-7</v>
      </c>
      <c r="S23" s="209">
        <v>9.9999999999999995E-7</v>
      </c>
      <c r="T23" s="207">
        <f t="shared" ref="T23:T25" si="11">0.5*(MAX(Q23:S23)-MIN(Q23:S23))</f>
        <v>0</v>
      </c>
      <c r="U23" s="207">
        <f>(1.7/100)*P23</f>
        <v>0.17</v>
      </c>
      <c r="V23" s="116"/>
      <c r="W23" s="116"/>
      <c r="X23" s="116"/>
    </row>
    <row r="24" spans="1:28" x14ac:dyDescent="0.2">
      <c r="A24" s="1095"/>
      <c r="B24" s="206">
        <v>50</v>
      </c>
      <c r="C24" s="206">
        <v>9.9999999999999995E-7</v>
      </c>
      <c r="D24" s="206">
        <v>9.9999999999999995E-7</v>
      </c>
      <c r="E24" s="125"/>
      <c r="F24" s="207">
        <f t="shared" si="9"/>
        <v>0</v>
      </c>
      <c r="G24" s="207">
        <v>0</v>
      </c>
      <c r="H24" s="1092"/>
      <c r="I24" s="206">
        <v>50</v>
      </c>
      <c r="J24" s="206">
        <v>0.3</v>
      </c>
      <c r="K24" s="206">
        <v>0.1</v>
      </c>
      <c r="L24" s="125"/>
      <c r="M24" s="207">
        <f t="shared" si="10"/>
        <v>9.9999999999999992E-2</v>
      </c>
      <c r="N24" s="207">
        <f>(0.59/100)*I24</f>
        <v>0.29499999999999998</v>
      </c>
      <c r="O24" s="1092"/>
      <c r="P24" s="206">
        <v>20</v>
      </c>
      <c r="Q24" s="209">
        <v>9.9999999999999995E-7</v>
      </c>
      <c r="R24" s="209">
        <v>0.4</v>
      </c>
      <c r="S24" s="209">
        <v>0.3</v>
      </c>
      <c r="T24" s="207">
        <f t="shared" si="11"/>
        <v>0.19999950000000002</v>
      </c>
      <c r="U24" s="207">
        <f>(1.7/100)*P24</f>
        <v>0.34</v>
      </c>
      <c r="V24" s="116"/>
      <c r="W24" s="116"/>
      <c r="X24" s="116"/>
    </row>
    <row r="25" spans="1:28" x14ac:dyDescent="0.2">
      <c r="A25" s="1095"/>
      <c r="B25" s="206">
        <v>100</v>
      </c>
      <c r="C25" s="206">
        <v>9.9999999999999995E-7</v>
      </c>
      <c r="D25" s="206">
        <v>9.9999999999999995E-7</v>
      </c>
      <c r="E25" s="125"/>
      <c r="F25" s="207">
        <f t="shared" si="9"/>
        <v>0</v>
      </c>
      <c r="G25" s="207">
        <v>0</v>
      </c>
      <c r="H25" s="1092"/>
      <c r="I25" s="206">
        <v>100</v>
      </c>
      <c r="J25" s="206">
        <v>0.3</v>
      </c>
      <c r="K25" s="206">
        <v>9.9999999999999995E-7</v>
      </c>
      <c r="L25" s="125"/>
      <c r="M25" s="207">
        <f t="shared" si="10"/>
        <v>0.14999950000000001</v>
      </c>
      <c r="N25" s="207">
        <f>(0.59/100)*I25</f>
        <v>0.59</v>
      </c>
      <c r="O25" s="1092"/>
      <c r="P25" s="206">
        <v>50</v>
      </c>
      <c r="Q25" s="209">
        <v>0.1</v>
      </c>
      <c r="R25" s="209">
        <v>1.1000000000000001</v>
      </c>
      <c r="S25" s="209">
        <v>0.6</v>
      </c>
      <c r="T25" s="207">
        <f t="shared" si="11"/>
        <v>0.5</v>
      </c>
      <c r="U25" s="207">
        <f>(1.7/100)*P25</f>
        <v>0.85000000000000009</v>
      </c>
      <c r="V25" s="116"/>
      <c r="W25" s="116"/>
      <c r="X25" s="116"/>
    </row>
    <row r="26" spans="1:28" ht="12.95" customHeight="1" x14ac:dyDescent="0.2">
      <c r="A26" s="1095"/>
      <c r="B26" s="1091" t="s">
        <v>301</v>
      </c>
      <c r="C26" s="1091"/>
      <c r="D26" s="1091"/>
      <c r="E26" s="1091"/>
      <c r="F26" s="1084" t="s">
        <v>295</v>
      </c>
      <c r="G26" s="1084" t="s">
        <v>224</v>
      </c>
      <c r="H26" s="1092"/>
      <c r="I26" s="1091" t="str">
        <f>B26</f>
        <v>Resistance</v>
      </c>
      <c r="J26" s="1091"/>
      <c r="K26" s="1091"/>
      <c r="L26" s="1091"/>
      <c r="M26" s="1084" t="s">
        <v>295</v>
      </c>
      <c r="N26" s="1084" t="s">
        <v>224</v>
      </c>
      <c r="O26" s="1092"/>
      <c r="P26" s="1091" t="str">
        <f>B26</f>
        <v>Resistance</v>
      </c>
      <c r="Q26" s="1091"/>
      <c r="R26" s="1091"/>
      <c r="S26" s="1091"/>
      <c r="T26" s="1084" t="s">
        <v>295</v>
      </c>
      <c r="U26" s="1084" t="s">
        <v>224</v>
      </c>
      <c r="V26" s="116"/>
      <c r="W26" s="116"/>
      <c r="X26" s="116"/>
    </row>
    <row r="27" spans="1:28" ht="15" x14ac:dyDescent="0.2">
      <c r="A27" s="1095"/>
      <c r="B27" s="202" t="s">
        <v>302</v>
      </c>
      <c r="C27" s="203">
        <f>C5</f>
        <v>2020</v>
      </c>
      <c r="D27" s="203">
        <f>D5</f>
        <v>2019</v>
      </c>
      <c r="E27" s="203">
        <f>E5</f>
        <v>2016</v>
      </c>
      <c r="F27" s="1084"/>
      <c r="G27" s="1084"/>
      <c r="H27" s="1092"/>
      <c r="I27" s="202" t="s">
        <v>302</v>
      </c>
      <c r="J27" s="203">
        <f>J5</f>
        <v>2019</v>
      </c>
      <c r="K27" s="203">
        <f>K5</f>
        <v>2017</v>
      </c>
      <c r="L27" s="203">
        <f>L5</f>
        <v>2016</v>
      </c>
      <c r="M27" s="1084"/>
      <c r="N27" s="1084"/>
      <c r="O27" s="1092"/>
      <c r="P27" s="202" t="s">
        <v>302</v>
      </c>
      <c r="Q27" s="203">
        <f>Q5</f>
        <v>2022</v>
      </c>
      <c r="R27" s="203">
        <f>R5</f>
        <v>2021</v>
      </c>
      <c r="S27" s="203">
        <f>S5</f>
        <v>2018</v>
      </c>
      <c r="T27" s="1084"/>
      <c r="U27" s="1084"/>
      <c r="V27" s="116"/>
      <c r="W27" s="116"/>
      <c r="X27" s="116"/>
    </row>
    <row r="28" spans="1:28" x14ac:dyDescent="0.2">
      <c r="A28" s="1095"/>
      <c r="B28" s="206">
        <v>0</v>
      </c>
      <c r="C28" s="206">
        <v>9.9999999999999995E-7</v>
      </c>
      <c r="D28" s="206">
        <v>9.9999999999999995E-7</v>
      </c>
      <c r="E28" s="125"/>
      <c r="F28" s="207">
        <f>0.5*(MAX(C28:E28)-MIN(C28:E28))</f>
        <v>0</v>
      </c>
      <c r="G28" s="207">
        <f>(1.2/100)*B28</f>
        <v>0</v>
      </c>
      <c r="H28" s="1092"/>
      <c r="I28" s="206">
        <v>0.01</v>
      </c>
      <c r="J28" s="206">
        <v>9.9999999999999995E-7</v>
      </c>
      <c r="K28" s="206">
        <v>9.9999999999999995E-7</v>
      </c>
      <c r="L28" s="125"/>
      <c r="M28" s="207">
        <f>0.5*(MAX(J28:L28)-MIN(J28:L28))</f>
        <v>0</v>
      </c>
      <c r="N28" s="207">
        <f>(1.2/100)*I28</f>
        <v>1.2E-4</v>
      </c>
      <c r="O28" s="1092"/>
      <c r="P28" s="206">
        <v>0</v>
      </c>
      <c r="Q28" s="213">
        <v>-1E-3</v>
      </c>
      <c r="R28" s="213">
        <v>9.9999999999999995E-7</v>
      </c>
      <c r="S28" s="213">
        <v>9.9999999999999995E-7</v>
      </c>
      <c r="T28" s="207">
        <f>0.5*(MAX(Q28:S28)-MIN(Q28:S28))</f>
        <v>5.0049999999999997E-4</v>
      </c>
      <c r="U28" s="207">
        <f>(1.2/100)*P28</f>
        <v>0</v>
      </c>
      <c r="V28" s="116"/>
      <c r="W28" s="116"/>
      <c r="X28" s="116"/>
    </row>
    <row r="29" spans="1:28" x14ac:dyDescent="0.2">
      <c r="A29" s="1095"/>
      <c r="B29" s="206">
        <v>0.1</v>
      </c>
      <c r="C29" s="206">
        <v>-1E-3</v>
      </c>
      <c r="D29" s="206">
        <v>2E-3</v>
      </c>
      <c r="E29" s="125"/>
      <c r="F29" s="207">
        <f t="shared" ref="F29:F31" si="12">0.5*(MAX(C29:E29)-MIN(C29:E29))</f>
        <v>1.5E-3</v>
      </c>
      <c r="G29" s="207">
        <f>(1.2/100)*B29</f>
        <v>1.2000000000000001E-3</v>
      </c>
      <c r="H29" s="1092"/>
      <c r="I29" s="206">
        <v>0.1</v>
      </c>
      <c r="J29" s="206">
        <v>6.0000000000000001E-3</v>
      </c>
      <c r="K29" s="206">
        <v>5.0000000000000001E-3</v>
      </c>
      <c r="L29" s="125"/>
      <c r="M29" s="207">
        <f t="shared" ref="M29:M31" si="13">0.5*(MAX(J29:L29)-MIN(J29:L29))</f>
        <v>5.0000000000000001E-4</v>
      </c>
      <c r="N29" s="207">
        <f>(1.2/100)*I29</f>
        <v>1.2000000000000001E-3</v>
      </c>
      <c r="O29" s="1092"/>
      <c r="P29" s="206">
        <v>0.5</v>
      </c>
      <c r="Q29" s="213">
        <v>-2E-3</v>
      </c>
      <c r="R29" s="213">
        <v>-1E-3</v>
      </c>
      <c r="S29" s="213">
        <v>9.9999999999999995E-7</v>
      </c>
      <c r="T29" s="207">
        <f t="shared" ref="T29:T31" si="14">0.5*(MAX(Q29:S29)-MIN(Q29:S29))</f>
        <v>1.0005000000000001E-3</v>
      </c>
      <c r="U29" s="207">
        <f>(1.2/100)*P29</f>
        <v>6.0000000000000001E-3</v>
      </c>
      <c r="V29" s="116"/>
      <c r="W29" s="116"/>
      <c r="X29" s="116"/>
    </row>
    <row r="30" spans="1:28" x14ac:dyDescent="0.2">
      <c r="A30" s="1095"/>
      <c r="B30" s="206">
        <v>1</v>
      </c>
      <c r="C30" s="206">
        <v>4.0000000000000001E-3</v>
      </c>
      <c r="D30" s="206">
        <v>1.2E-2</v>
      </c>
      <c r="E30" s="125"/>
      <c r="F30" s="207">
        <f t="shared" si="12"/>
        <v>4.0000000000000001E-3</v>
      </c>
      <c r="G30" s="207">
        <f>(1.2/100)*B30</f>
        <v>1.2E-2</v>
      </c>
      <c r="H30" s="1092"/>
      <c r="I30" s="206">
        <v>1</v>
      </c>
      <c r="J30" s="206">
        <v>4.4999999999999998E-2</v>
      </c>
      <c r="K30" s="206">
        <v>5.5E-2</v>
      </c>
      <c r="L30" s="125"/>
      <c r="M30" s="207">
        <f t="shared" si="13"/>
        <v>5.000000000000001E-3</v>
      </c>
      <c r="N30" s="207">
        <f>(1.2/100)*I30</f>
        <v>1.2E-2</v>
      </c>
      <c r="O30" s="1092"/>
      <c r="P30" s="206">
        <v>1</v>
      </c>
      <c r="Q30" s="213">
        <v>-1.2E-2</v>
      </c>
      <c r="R30" s="213">
        <v>5.0000000000000001E-3</v>
      </c>
      <c r="S30" s="213">
        <v>9.9999999999999995E-7</v>
      </c>
      <c r="T30" s="207">
        <f t="shared" si="14"/>
        <v>8.5000000000000006E-3</v>
      </c>
      <c r="U30" s="207">
        <f>(1.2/100)*P30</f>
        <v>1.2E-2</v>
      </c>
      <c r="V30" s="116"/>
      <c r="W30" s="116"/>
      <c r="X30" s="116"/>
    </row>
    <row r="31" spans="1:28" x14ac:dyDescent="0.2">
      <c r="A31" s="1095"/>
      <c r="B31" s="206">
        <v>2</v>
      </c>
      <c r="C31" s="206">
        <v>7.0000000000000001E-3</v>
      </c>
      <c r="D31" s="206">
        <v>9.9999999999999995E-7</v>
      </c>
      <c r="E31" s="125"/>
      <c r="F31" s="207">
        <f t="shared" si="12"/>
        <v>3.4995E-3</v>
      </c>
      <c r="G31" s="207">
        <f>(1.2/100)*B31</f>
        <v>2.4E-2</v>
      </c>
      <c r="H31" s="1092"/>
      <c r="I31" s="206">
        <v>2</v>
      </c>
      <c r="J31" s="206">
        <v>9.9999999999999995E-7</v>
      </c>
      <c r="K31" s="206">
        <v>9.9999999999999995E-7</v>
      </c>
      <c r="L31" s="125"/>
      <c r="M31" s="207">
        <f t="shared" si="13"/>
        <v>0</v>
      </c>
      <c r="N31" s="207">
        <f>(0/100)*I31</f>
        <v>0</v>
      </c>
      <c r="O31" s="1092"/>
      <c r="P31" s="206">
        <v>2</v>
      </c>
      <c r="Q31" s="213">
        <v>-8.0000000000000002E-3</v>
      </c>
      <c r="R31" s="213">
        <v>1.4E-2</v>
      </c>
      <c r="S31" s="213">
        <v>9.9999999999999995E-7</v>
      </c>
      <c r="T31" s="207">
        <f t="shared" si="14"/>
        <v>1.0999999999999999E-2</v>
      </c>
      <c r="U31" s="207">
        <f>(1.2/100)*P31</f>
        <v>2.4E-2</v>
      </c>
      <c r="V31" s="116"/>
      <c r="W31" s="116"/>
      <c r="X31" s="116"/>
    </row>
    <row r="32" spans="1:28" x14ac:dyDescent="0.2">
      <c r="A32" s="214"/>
      <c r="T32" s="179"/>
      <c r="V32" s="116"/>
      <c r="W32" s="116"/>
      <c r="X32" s="116"/>
    </row>
    <row r="33" spans="1:24" ht="15" x14ac:dyDescent="0.2">
      <c r="A33" s="1095" t="s">
        <v>303</v>
      </c>
      <c r="B33" s="1096" t="s">
        <v>304</v>
      </c>
      <c r="C33" s="1096"/>
      <c r="D33" s="1096"/>
      <c r="E33" s="1096"/>
      <c r="F33" s="1096"/>
      <c r="G33" s="1096"/>
      <c r="H33" s="1092" t="s">
        <v>305</v>
      </c>
      <c r="I33" s="1093" t="s">
        <v>306</v>
      </c>
      <c r="J33" s="1093"/>
      <c r="K33" s="1093"/>
      <c r="L33" s="1093"/>
      <c r="M33" s="1093"/>
      <c r="N33" s="1093"/>
      <c r="O33" s="1092" t="s">
        <v>307</v>
      </c>
      <c r="P33" s="1096" t="s">
        <v>308</v>
      </c>
      <c r="Q33" s="1096"/>
      <c r="R33" s="1096"/>
      <c r="S33" s="1096"/>
      <c r="T33" s="1096"/>
      <c r="U33" s="1096"/>
      <c r="V33" s="116"/>
      <c r="W33" s="116"/>
      <c r="X33" s="116"/>
    </row>
    <row r="34" spans="1:24" ht="15" x14ac:dyDescent="0.25">
      <c r="A34" s="1095"/>
      <c r="B34" s="1097" t="s">
        <v>293</v>
      </c>
      <c r="C34" s="1097"/>
      <c r="D34" s="1097"/>
      <c r="E34" s="1097"/>
      <c r="F34" s="1097"/>
      <c r="G34" s="1097"/>
      <c r="H34" s="1092"/>
      <c r="I34" s="1097" t="s">
        <v>293</v>
      </c>
      <c r="J34" s="1097"/>
      <c r="K34" s="1097"/>
      <c r="L34" s="1097"/>
      <c r="M34" s="1097"/>
      <c r="N34" s="1097"/>
      <c r="O34" s="1092"/>
      <c r="P34" s="1097" t="s">
        <v>293</v>
      </c>
      <c r="Q34" s="1097"/>
      <c r="R34" s="1097"/>
      <c r="S34" s="1097"/>
      <c r="T34" s="1097"/>
      <c r="U34" s="1097"/>
      <c r="V34" s="116"/>
      <c r="W34" s="116"/>
      <c r="X34" s="116"/>
    </row>
    <row r="35" spans="1:24" x14ac:dyDescent="0.2">
      <c r="A35" s="1095"/>
      <c r="B35" s="1084" t="str">
        <f>B4</f>
        <v>Setting VAC</v>
      </c>
      <c r="C35" s="1084"/>
      <c r="D35" s="1084"/>
      <c r="E35" s="1084"/>
      <c r="F35" s="1084" t="s">
        <v>295</v>
      </c>
      <c r="G35" s="1084" t="s">
        <v>224</v>
      </c>
      <c r="H35" s="1092"/>
      <c r="I35" s="1084" t="str">
        <f>B35</f>
        <v>Setting VAC</v>
      </c>
      <c r="J35" s="1084"/>
      <c r="K35" s="1084"/>
      <c r="L35" s="1084"/>
      <c r="M35" s="1084" t="s">
        <v>295</v>
      </c>
      <c r="N35" s="1084" t="s">
        <v>224</v>
      </c>
      <c r="O35" s="1092"/>
      <c r="P35" s="1084" t="str">
        <f>I35</f>
        <v>Setting VAC</v>
      </c>
      <c r="Q35" s="1084"/>
      <c r="R35" s="1084"/>
      <c r="S35" s="1084"/>
      <c r="T35" s="1084" t="s">
        <v>295</v>
      </c>
      <c r="U35" s="1084" t="s">
        <v>224</v>
      </c>
      <c r="V35" s="116"/>
      <c r="W35" s="116"/>
      <c r="X35" s="116"/>
    </row>
    <row r="36" spans="1:24" ht="15" x14ac:dyDescent="0.2">
      <c r="A36" s="1095"/>
      <c r="B36" s="202" t="s">
        <v>296</v>
      </c>
      <c r="C36" s="203">
        <v>2021</v>
      </c>
      <c r="D36" s="203">
        <v>2019</v>
      </c>
      <c r="E36" s="203">
        <v>2016</v>
      </c>
      <c r="F36" s="1084"/>
      <c r="G36" s="1084"/>
      <c r="H36" s="1092"/>
      <c r="I36" s="202" t="s">
        <v>296</v>
      </c>
      <c r="J36" s="203">
        <v>2021</v>
      </c>
      <c r="K36" s="203">
        <v>2019</v>
      </c>
      <c r="L36" s="203">
        <v>2016</v>
      </c>
      <c r="M36" s="1084"/>
      <c r="N36" s="1084"/>
      <c r="O36" s="1092"/>
      <c r="P36" s="202" t="s">
        <v>296</v>
      </c>
      <c r="Q36" s="203">
        <v>2019</v>
      </c>
      <c r="R36" s="203">
        <v>2018</v>
      </c>
      <c r="S36" s="203">
        <v>2016</v>
      </c>
      <c r="T36" s="1084"/>
      <c r="U36" s="1084"/>
      <c r="V36" s="205"/>
      <c r="W36" s="205"/>
      <c r="X36" s="116"/>
    </row>
    <row r="37" spans="1:24" x14ac:dyDescent="0.2">
      <c r="A37" s="1095"/>
      <c r="B37" s="206">
        <v>150</v>
      </c>
      <c r="C37" s="209">
        <v>-0.05</v>
      </c>
      <c r="D37" s="209">
        <v>0.11</v>
      </c>
      <c r="E37" s="125"/>
      <c r="F37" s="207">
        <f>0.5*(MAX(C37:E37)-MIN(C37:E37))</f>
        <v>0.08</v>
      </c>
      <c r="G37" s="207">
        <f>(1.2/100)*B37</f>
        <v>1.8</v>
      </c>
      <c r="H37" s="1092"/>
      <c r="I37" s="206">
        <v>150</v>
      </c>
      <c r="J37" s="209">
        <v>0.25</v>
      </c>
      <c r="K37" s="209">
        <v>0.02</v>
      </c>
      <c r="L37" s="125"/>
      <c r="M37" s="207">
        <f>0.5*(MAX(J37:L37)-MIN(J37:L37))</f>
        <v>0.115</v>
      </c>
      <c r="N37" s="207">
        <f>(1.2/100)*I37</f>
        <v>1.8</v>
      </c>
      <c r="O37" s="1092"/>
      <c r="P37" s="206">
        <v>150</v>
      </c>
      <c r="Q37" s="209">
        <v>-0.15</v>
      </c>
      <c r="R37" s="209">
        <v>0.03</v>
      </c>
      <c r="S37" s="125"/>
      <c r="T37" s="207">
        <f>0.5*(MAX(Q37:S37)-MIN(Q37:S37))</f>
        <v>0.09</v>
      </c>
      <c r="U37" s="207">
        <f>(1.2/100)*P37</f>
        <v>1.8</v>
      </c>
      <c r="V37" s="210"/>
      <c r="W37" s="211"/>
      <c r="X37" s="116"/>
    </row>
    <row r="38" spans="1:24" x14ac:dyDescent="0.2">
      <c r="A38" s="1095"/>
      <c r="B38" s="206">
        <v>180</v>
      </c>
      <c r="C38" s="209">
        <v>-0.04</v>
      </c>
      <c r="D38" s="209">
        <v>0.03</v>
      </c>
      <c r="E38" s="125"/>
      <c r="F38" s="207">
        <f t="shared" ref="F38:F42" si="15">0.5*(MAX(C38:E38)-MIN(C38:E38))</f>
        <v>3.5000000000000003E-2</v>
      </c>
      <c r="G38" s="207">
        <f>(1.2/100)*B38</f>
        <v>2.16</v>
      </c>
      <c r="H38" s="1092"/>
      <c r="I38" s="206">
        <v>180</v>
      </c>
      <c r="J38" s="209">
        <v>0.09</v>
      </c>
      <c r="K38" s="209">
        <v>0.1</v>
      </c>
      <c r="L38" s="125"/>
      <c r="M38" s="207">
        <f t="shared" ref="M38:M42" si="16">0.5*(MAX(J38:L38)-MIN(J38:L38))</f>
        <v>5.0000000000000044E-3</v>
      </c>
      <c r="N38" s="207">
        <f>(1.2/100)*I38</f>
        <v>2.16</v>
      </c>
      <c r="O38" s="1092"/>
      <c r="P38" s="206">
        <v>180</v>
      </c>
      <c r="Q38" s="209">
        <v>-0.11</v>
      </c>
      <c r="R38" s="209">
        <v>9.9999999999999995E-7</v>
      </c>
      <c r="S38" s="125"/>
      <c r="T38" s="207">
        <f t="shared" ref="T38:T42" si="17">0.5*(MAX(Q38:S38)-MIN(Q38:S38))</f>
        <v>5.5000500000000001E-2</v>
      </c>
      <c r="U38" s="207">
        <f>(1.2/100)*P38</f>
        <v>2.16</v>
      </c>
      <c r="V38" s="210"/>
      <c r="W38" s="211"/>
      <c r="X38" s="116"/>
    </row>
    <row r="39" spans="1:24" x14ac:dyDescent="0.2">
      <c r="A39" s="1095"/>
      <c r="B39" s="206">
        <v>200</v>
      </c>
      <c r="C39" s="209">
        <v>-0.67</v>
      </c>
      <c r="D39" s="209">
        <v>0.05</v>
      </c>
      <c r="E39" s="125"/>
      <c r="F39" s="207">
        <f t="shared" si="15"/>
        <v>0.36000000000000004</v>
      </c>
      <c r="G39" s="207">
        <f>(1.2/100)*B39</f>
        <v>2.4</v>
      </c>
      <c r="H39" s="1092"/>
      <c r="I39" s="206">
        <v>200</v>
      </c>
      <c r="J39" s="209">
        <v>0.18</v>
      </c>
      <c r="K39" s="209">
        <v>-0.03</v>
      </c>
      <c r="L39" s="125"/>
      <c r="M39" s="207">
        <f t="shared" si="16"/>
        <v>0.105</v>
      </c>
      <c r="N39" s="207">
        <f>(1.2/100)*I39</f>
        <v>2.4</v>
      </c>
      <c r="O39" s="1092"/>
      <c r="P39" s="206">
        <v>200</v>
      </c>
      <c r="Q39" s="209">
        <v>-0.1</v>
      </c>
      <c r="R39" s="209">
        <v>0.05</v>
      </c>
      <c r="S39" s="125"/>
      <c r="T39" s="207">
        <f t="shared" si="17"/>
        <v>7.5000000000000011E-2</v>
      </c>
      <c r="U39" s="207">
        <f>(1.2/100)*P39</f>
        <v>2.4</v>
      </c>
      <c r="V39" s="210"/>
      <c r="W39" s="211"/>
      <c r="X39" s="116"/>
    </row>
    <row r="40" spans="1:24" x14ac:dyDescent="0.2">
      <c r="A40" s="1095"/>
      <c r="B40" s="206">
        <v>220</v>
      </c>
      <c r="C40" s="209">
        <v>9.9999999999999995E-7</v>
      </c>
      <c r="D40" s="209">
        <v>0.1</v>
      </c>
      <c r="E40" s="125"/>
      <c r="F40" s="207">
        <f t="shared" si="15"/>
        <v>4.9999500000000002E-2</v>
      </c>
      <c r="G40" s="207">
        <f>(1.2/100)*B40</f>
        <v>2.64</v>
      </c>
      <c r="H40" s="1092"/>
      <c r="I40" s="206">
        <v>220</v>
      </c>
      <c r="J40" s="209">
        <v>0.56000000000000005</v>
      </c>
      <c r="K40" s="209">
        <v>0.38</v>
      </c>
      <c r="L40" s="125"/>
      <c r="M40" s="207">
        <f t="shared" si="16"/>
        <v>9.0000000000000024E-2</v>
      </c>
      <c r="N40" s="207">
        <f>(1.2/100)*I40</f>
        <v>2.64</v>
      </c>
      <c r="O40" s="1092"/>
      <c r="P40" s="206">
        <v>220</v>
      </c>
      <c r="Q40" s="209">
        <v>-0.13</v>
      </c>
      <c r="R40" s="209">
        <v>0.05</v>
      </c>
      <c r="S40" s="125"/>
      <c r="T40" s="207">
        <f t="shared" si="17"/>
        <v>0.09</v>
      </c>
      <c r="U40" s="207">
        <f>(1.2/100)*P40</f>
        <v>2.64</v>
      </c>
      <c r="V40" s="210"/>
      <c r="W40" s="211"/>
      <c r="X40" s="116"/>
    </row>
    <row r="41" spans="1:24" x14ac:dyDescent="0.2">
      <c r="A41" s="1095"/>
      <c r="B41" s="206">
        <v>230</v>
      </c>
      <c r="C41" s="209">
        <v>-0.11</v>
      </c>
      <c r="D41" s="209">
        <v>1.1100000000000001</v>
      </c>
      <c r="E41" s="125"/>
      <c r="F41" s="207">
        <f t="shared" si="15"/>
        <v>0.6100000000000001</v>
      </c>
      <c r="G41" s="207">
        <f>(1.2/100)*B41</f>
        <v>2.7600000000000002</v>
      </c>
      <c r="H41" s="1092"/>
      <c r="I41" s="206">
        <v>230</v>
      </c>
      <c r="J41" s="209">
        <v>0.73</v>
      </c>
      <c r="K41" s="209">
        <v>-0.16</v>
      </c>
      <c r="L41" s="125"/>
      <c r="M41" s="207">
        <f t="shared" si="16"/>
        <v>0.44500000000000001</v>
      </c>
      <c r="N41" s="207">
        <f>(1.2/100)*I41</f>
        <v>2.7600000000000002</v>
      </c>
      <c r="O41" s="1092"/>
      <c r="P41" s="206">
        <v>230</v>
      </c>
      <c r="Q41" s="209">
        <v>-0.15</v>
      </c>
      <c r="R41" s="209">
        <v>-0.05</v>
      </c>
      <c r="S41" s="125"/>
      <c r="T41" s="207">
        <f t="shared" si="17"/>
        <v>4.9999999999999996E-2</v>
      </c>
      <c r="U41" s="207">
        <f>(1.2/100)*P41</f>
        <v>2.7600000000000002</v>
      </c>
      <c r="V41" s="210"/>
      <c r="W41" s="211"/>
      <c r="X41" s="116"/>
    </row>
    <row r="42" spans="1:24" x14ac:dyDescent="0.2">
      <c r="A42" s="1095"/>
      <c r="B42" s="206">
        <v>250</v>
      </c>
      <c r="C42" s="209">
        <v>9.9999999999999995E-7</v>
      </c>
      <c r="D42" s="209">
        <v>9.9999999999999995E-7</v>
      </c>
      <c r="E42" s="125"/>
      <c r="F42" s="207">
        <f t="shared" si="15"/>
        <v>0</v>
      </c>
      <c r="G42" s="207">
        <v>2.76</v>
      </c>
      <c r="H42" s="1092"/>
      <c r="I42" s="206">
        <v>250</v>
      </c>
      <c r="J42" s="209">
        <v>9.9999999999999995E-7</v>
      </c>
      <c r="K42" s="209">
        <v>9.9999999999999995E-7</v>
      </c>
      <c r="L42" s="125"/>
      <c r="M42" s="207">
        <f t="shared" si="16"/>
        <v>0</v>
      </c>
      <c r="N42" s="207">
        <v>2.76</v>
      </c>
      <c r="O42" s="1092"/>
      <c r="P42" s="206">
        <v>250</v>
      </c>
      <c r="Q42" s="209">
        <v>9.9999999999999995E-7</v>
      </c>
      <c r="R42" s="209">
        <v>9.9999999999999995E-7</v>
      </c>
      <c r="S42" s="125"/>
      <c r="T42" s="207">
        <f t="shared" si="17"/>
        <v>0</v>
      </c>
      <c r="U42" s="207">
        <f>(0/100)*P42</f>
        <v>0</v>
      </c>
      <c r="V42" s="210"/>
      <c r="W42" s="211"/>
      <c r="X42" s="116"/>
    </row>
    <row r="43" spans="1:24" ht="12.75" customHeight="1" x14ac:dyDescent="0.2">
      <c r="A43" s="1095"/>
      <c r="B43" s="1091" t="str">
        <f>B12</f>
        <v>Current Leakage</v>
      </c>
      <c r="C43" s="1091"/>
      <c r="D43" s="1091"/>
      <c r="E43" s="1091"/>
      <c r="F43" s="1084" t="s">
        <v>295</v>
      </c>
      <c r="G43" s="1084" t="s">
        <v>224</v>
      </c>
      <c r="H43" s="1092"/>
      <c r="I43" s="1091" t="str">
        <f>B43</f>
        <v>Current Leakage</v>
      </c>
      <c r="J43" s="1091"/>
      <c r="K43" s="1091"/>
      <c r="L43" s="1091"/>
      <c r="M43" s="1084" t="s">
        <v>295</v>
      </c>
      <c r="N43" s="1084" t="s">
        <v>224</v>
      </c>
      <c r="O43" s="1092"/>
      <c r="P43" s="1091" t="str">
        <f>I43</f>
        <v>Current Leakage</v>
      </c>
      <c r="Q43" s="1091"/>
      <c r="R43" s="1091"/>
      <c r="S43" s="1091"/>
      <c r="T43" s="1084" t="s">
        <v>295</v>
      </c>
      <c r="U43" s="1084" t="s">
        <v>224</v>
      </c>
      <c r="V43" s="116"/>
      <c r="W43" s="116"/>
      <c r="X43" s="116"/>
    </row>
    <row r="44" spans="1:24" ht="15" x14ac:dyDescent="0.2">
      <c r="A44" s="1095"/>
      <c r="B44" s="202" t="s">
        <v>298</v>
      </c>
      <c r="C44" s="203">
        <f>C36</f>
        <v>2021</v>
      </c>
      <c r="D44" s="203">
        <f>D36</f>
        <v>2019</v>
      </c>
      <c r="E44" s="203">
        <f>E36</f>
        <v>2016</v>
      </c>
      <c r="F44" s="1084"/>
      <c r="G44" s="1084"/>
      <c r="H44" s="1092"/>
      <c r="I44" s="202" t="s">
        <v>298</v>
      </c>
      <c r="J44" s="203">
        <f>J36</f>
        <v>2021</v>
      </c>
      <c r="K44" s="203">
        <f>K36</f>
        <v>2019</v>
      </c>
      <c r="L44" s="203">
        <f>L36</f>
        <v>2016</v>
      </c>
      <c r="M44" s="1084"/>
      <c r="N44" s="1084"/>
      <c r="O44" s="1092"/>
      <c r="P44" s="202" t="s">
        <v>298</v>
      </c>
      <c r="Q44" s="203">
        <f>Q36</f>
        <v>2019</v>
      </c>
      <c r="R44" s="203">
        <f>R36</f>
        <v>2018</v>
      </c>
      <c r="S44" s="203">
        <f>S36</f>
        <v>2016</v>
      </c>
      <c r="T44" s="1084"/>
      <c r="U44" s="1084"/>
      <c r="V44" s="116"/>
      <c r="W44" s="116"/>
      <c r="X44" s="116"/>
    </row>
    <row r="45" spans="1:24" x14ac:dyDescent="0.2">
      <c r="A45" s="1095"/>
      <c r="B45" s="206">
        <v>0</v>
      </c>
      <c r="C45" s="209">
        <v>9.9999999999999995E-7</v>
      </c>
      <c r="D45" s="206">
        <v>9.9999999999999995E-7</v>
      </c>
      <c r="E45" s="125"/>
      <c r="F45" s="207">
        <f>0.5*(MAX(C45:E45)-MIN(C45:E45))</f>
        <v>0</v>
      </c>
      <c r="G45" s="207">
        <v>0.3</v>
      </c>
      <c r="H45" s="1092"/>
      <c r="I45" s="206">
        <v>0</v>
      </c>
      <c r="J45" s="209">
        <v>9.9999999999999995E-7</v>
      </c>
      <c r="K45" s="209">
        <v>9.9999999999999995E-7</v>
      </c>
      <c r="L45" s="125"/>
      <c r="M45" s="207">
        <f>0.5*(MAX(J45:L45)-MIN(J45:L45))</f>
        <v>0</v>
      </c>
      <c r="N45" s="207">
        <f>(0.58/100)*I45</f>
        <v>0</v>
      </c>
      <c r="O45" s="1092"/>
      <c r="P45" s="206">
        <v>0</v>
      </c>
      <c r="Q45" s="209">
        <v>9.9999999999999995E-7</v>
      </c>
      <c r="R45" s="206">
        <v>9.9999999999999995E-7</v>
      </c>
      <c r="S45" s="125"/>
      <c r="T45" s="207">
        <f>0.5*(MAX(Q45:S45)-MIN(Q45:S45))</f>
        <v>0</v>
      </c>
      <c r="U45" s="207">
        <v>0.28999999999999998</v>
      </c>
    </row>
    <row r="46" spans="1:24" x14ac:dyDescent="0.2">
      <c r="A46" s="1095"/>
      <c r="B46" s="206">
        <v>50</v>
      </c>
      <c r="C46" s="209">
        <v>-0.3</v>
      </c>
      <c r="D46" s="209">
        <v>-0.28999999999999998</v>
      </c>
      <c r="E46" s="125"/>
      <c r="F46" s="207">
        <f t="shared" ref="F46:F50" si="18">0.5*(MAX(C46:E46)-MIN(C46:E46))</f>
        <v>5.0000000000000044E-3</v>
      </c>
      <c r="G46" s="207">
        <f>(0.59/100)*B46</f>
        <v>0.29499999999999998</v>
      </c>
      <c r="H46" s="1092"/>
      <c r="I46" s="206">
        <v>50</v>
      </c>
      <c r="J46" s="209">
        <v>0.3</v>
      </c>
      <c r="K46" s="209">
        <v>-0.33</v>
      </c>
      <c r="L46" s="125"/>
      <c r="M46" s="207">
        <f t="shared" ref="M46:M50" si="19">0.5*(MAX(J46:L46)-MIN(J46:L46))</f>
        <v>0.315</v>
      </c>
      <c r="N46" s="207">
        <f>(0.58/100)*I46</f>
        <v>0.28999999999999998</v>
      </c>
      <c r="O46" s="1092"/>
      <c r="P46" s="206">
        <v>50</v>
      </c>
      <c r="Q46" s="209">
        <v>0.02</v>
      </c>
      <c r="R46" s="209">
        <v>-0.1</v>
      </c>
      <c r="S46" s="125"/>
      <c r="T46" s="207">
        <f t="shared" ref="T46:T50" si="20">0.5*(MAX(Q46:S46)-MIN(Q46:S46))</f>
        <v>6.0000000000000005E-2</v>
      </c>
      <c r="U46" s="207">
        <f>(0.58/100)*P46</f>
        <v>0.28999999999999998</v>
      </c>
    </row>
    <row r="47" spans="1:24" x14ac:dyDescent="0.2">
      <c r="A47" s="1095"/>
      <c r="B47" s="206">
        <v>100</v>
      </c>
      <c r="C47" s="209">
        <v>-0.4</v>
      </c>
      <c r="D47" s="209">
        <v>-0.35</v>
      </c>
      <c r="E47" s="125"/>
      <c r="F47" s="207">
        <f t="shared" si="18"/>
        <v>2.5000000000000022E-2</v>
      </c>
      <c r="G47" s="207">
        <f>(0.59/100)*B47</f>
        <v>0.59</v>
      </c>
      <c r="H47" s="1092"/>
      <c r="I47" s="206">
        <v>100</v>
      </c>
      <c r="J47" s="209">
        <v>-0.1</v>
      </c>
      <c r="K47" s="209">
        <v>-0.42</v>
      </c>
      <c r="L47" s="125"/>
      <c r="M47" s="207">
        <f t="shared" si="19"/>
        <v>0.15999999999999998</v>
      </c>
      <c r="N47" s="207">
        <f>(0.58/100)*I47</f>
        <v>0.57999999999999996</v>
      </c>
      <c r="O47" s="1092"/>
      <c r="P47" s="206">
        <v>100</v>
      </c>
      <c r="Q47" s="209">
        <v>0.22</v>
      </c>
      <c r="R47" s="206">
        <v>-0.2</v>
      </c>
      <c r="S47" s="125"/>
      <c r="T47" s="207">
        <f t="shared" si="20"/>
        <v>0.21000000000000002</v>
      </c>
      <c r="U47" s="207">
        <f>(0.58/100)*P47</f>
        <v>0.57999999999999996</v>
      </c>
    </row>
    <row r="48" spans="1:24" x14ac:dyDescent="0.2">
      <c r="A48" s="1095"/>
      <c r="B48" s="206">
        <v>200</v>
      </c>
      <c r="C48" s="209">
        <v>0.3</v>
      </c>
      <c r="D48" s="209">
        <v>0.8</v>
      </c>
      <c r="E48" s="125"/>
      <c r="F48" s="207">
        <f t="shared" si="18"/>
        <v>0.25</v>
      </c>
      <c r="G48" s="207">
        <f>(0.59/100)*B48</f>
        <v>1.18</v>
      </c>
      <c r="H48" s="1092"/>
      <c r="I48" s="206">
        <v>200</v>
      </c>
      <c r="J48" s="209">
        <v>1.3</v>
      </c>
      <c r="K48" s="209">
        <v>1.3</v>
      </c>
      <c r="L48" s="125"/>
      <c r="M48" s="207">
        <f t="shared" si="19"/>
        <v>0</v>
      </c>
      <c r="N48" s="207">
        <f>(0.58/100)*I48</f>
        <v>1.1599999999999999</v>
      </c>
      <c r="O48" s="1092"/>
      <c r="P48" s="206">
        <v>200</v>
      </c>
      <c r="Q48" s="209">
        <v>0.8</v>
      </c>
      <c r="R48" s="209">
        <v>0.8</v>
      </c>
      <c r="S48" s="125"/>
      <c r="T48" s="207">
        <f t="shared" si="20"/>
        <v>0</v>
      </c>
      <c r="U48" s="207">
        <f>(0.58/100)*P48</f>
        <v>1.1599999999999999</v>
      </c>
    </row>
    <row r="49" spans="1:21" x14ac:dyDescent="0.2">
      <c r="A49" s="1095"/>
      <c r="B49" s="206">
        <v>500</v>
      </c>
      <c r="C49" s="209">
        <v>0.2</v>
      </c>
      <c r="D49" s="209">
        <v>1.2</v>
      </c>
      <c r="E49" s="125"/>
      <c r="F49" s="207">
        <f t="shared" si="18"/>
        <v>0.5</v>
      </c>
      <c r="G49" s="207">
        <f>(0.59/100)*B49</f>
        <v>2.9499999999999997</v>
      </c>
      <c r="H49" s="1092"/>
      <c r="I49" s="206">
        <v>500</v>
      </c>
      <c r="J49" s="209">
        <v>0.7</v>
      </c>
      <c r="K49" s="209">
        <v>0.7</v>
      </c>
      <c r="L49" s="125"/>
      <c r="M49" s="207">
        <f t="shared" si="19"/>
        <v>0</v>
      </c>
      <c r="N49" s="207">
        <f>(0.58/100)*I49</f>
        <v>2.9</v>
      </c>
      <c r="O49" s="1092"/>
      <c r="P49" s="206">
        <v>500</v>
      </c>
      <c r="Q49" s="209">
        <v>1.1000000000000001</v>
      </c>
      <c r="R49" s="209">
        <v>0.6</v>
      </c>
      <c r="S49" s="125"/>
      <c r="T49" s="207">
        <f t="shared" si="20"/>
        <v>0.25000000000000006</v>
      </c>
      <c r="U49" s="207">
        <f>(0.58/100)*P49</f>
        <v>2.9</v>
      </c>
    </row>
    <row r="50" spans="1:21" x14ac:dyDescent="0.2">
      <c r="A50" s="1095"/>
      <c r="B50" s="206">
        <v>1000</v>
      </c>
      <c r="C50" s="209">
        <v>2</v>
      </c>
      <c r="D50" s="209">
        <v>2</v>
      </c>
      <c r="E50" s="125"/>
      <c r="F50" s="207">
        <f t="shared" si="18"/>
        <v>0</v>
      </c>
      <c r="G50" s="207">
        <f>(0/100)*B50</f>
        <v>0</v>
      </c>
      <c r="H50" s="1092"/>
      <c r="I50" s="206">
        <v>850</v>
      </c>
      <c r="J50" s="209">
        <v>9.9999999999999995E-7</v>
      </c>
      <c r="K50" s="209">
        <v>9.9999999999999995E-7</v>
      </c>
      <c r="L50" s="125"/>
      <c r="M50" s="207">
        <f t="shared" si="19"/>
        <v>0</v>
      </c>
      <c r="N50" s="207">
        <v>2.9</v>
      </c>
      <c r="O50" s="1092"/>
      <c r="P50" s="206">
        <v>1000</v>
      </c>
      <c r="Q50" s="209">
        <v>9.9999999999999995E-7</v>
      </c>
      <c r="R50" s="206">
        <v>9.9999999999999995E-7</v>
      </c>
      <c r="S50" s="125"/>
      <c r="T50" s="207">
        <f t="shared" si="20"/>
        <v>0</v>
      </c>
      <c r="U50" s="207">
        <v>2.9</v>
      </c>
    </row>
    <row r="51" spans="1:21" x14ac:dyDescent="0.2">
      <c r="A51" s="1095"/>
      <c r="B51" s="1091" t="str">
        <f>B20</f>
        <v>Main-PE</v>
      </c>
      <c r="C51" s="1091"/>
      <c r="D51" s="1091"/>
      <c r="E51" s="1091"/>
      <c r="F51" s="1084" t="s">
        <v>295</v>
      </c>
      <c r="G51" s="1084" t="s">
        <v>224</v>
      </c>
      <c r="H51" s="1092"/>
      <c r="I51" s="1091" t="str">
        <f>B51</f>
        <v>Main-PE</v>
      </c>
      <c r="J51" s="1091"/>
      <c r="K51" s="1091"/>
      <c r="L51" s="1091"/>
      <c r="M51" s="1084" t="s">
        <v>295</v>
      </c>
      <c r="N51" s="1084" t="s">
        <v>224</v>
      </c>
      <c r="O51" s="1092"/>
      <c r="P51" s="1091" t="str">
        <f>I51</f>
        <v>Main-PE</v>
      </c>
      <c r="Q51" s="1091"/>
      <c r="R51" s="1091"/>
      <c r="S51" s="1091"/>
      <c r="T51" s="1084" t="s">
        <v>295</v>
      </c>
      <c r="U51" s="1084" t="s">
        <v>224</v>
      </c>
    </row>
    <row r="52" spans="1:21" ht="15" x14ac:dyDescent="0.2">
      <c r="A52" s="1095"/>
      <c r="B52" s="202" t="s">
        <v>300</v>
      </c>
      <c r="C52" s="203">
        <f>C36</f>
        <v>2021</v>
      </c>
      <c r="D52" s="203">
        <f>D36</f>
        <v>2019</v>
      </c>
      <c r="E52" s="203">
        <f>E36</f>
        <v>2016</v>
      </c>
      <c r="F52" s="1084"/>
      <c r="G52" s="1084"/>
      <c r="H52" s="1092"/>
      <c r="I52" s="202" t="s">
        <v>300</v>
      </c>
      <c r="J52" s="203">
        <f>J36</f>
        <v>2021</v>
      </c>
      <c r="K52" s="203">
        <f>K36</f>
        <v>2019</v>
      </c>
      <c r="L52" s="203">
        <f>L36</f>
        <v>2016</v>
      </c>
      <c r="M52" s="1084"/>
      <c r="N52" s="1084"/>
      <c r="O52" s="1092"/>
      <c r="P52" s="202" t="s">
        <v>300</v>
      </c>
      <c r="Q52" s="203">
        <f>Q36</f>
        <v>2019</v>
      </c>
      <c r="R52" s="203">
        <f>R36</f>
        <v>2018</v>
      </c>
      <c r="S52" s="203">
        <f>S36</f>
        <v>2016</v>
      </c>
      <c r="T52" s="1084"/>
      <c r="U52" s="1084"/>
    </row>
    <row r="53" spans="1:21" x14ac:dyDescent="0.2">
      <c r="A53" s="1095"/>
      <c r="B53" s="206">
        <v>10</v>
      </c>
      <c r="C53" s="209">
        <v>9.9999999999999995E-7</v>
      </c>
      <c r="D53" s="209">
        <v>0.1</v>
      </c>
      <c r="E53" s="125"/>
      <c r="F53" s="207">
        <f>0.5*(MAX(C53:E53)-MIN(C53:E53))</f>
        <v>4.9999500000000002E-2</v>
      </c>
      <c r="G53" s="207">
        <f>(1.7/100)*B53</f>
        <v>0.17</v>
      </c>
      <c r="H53" s="1092"/>
      <c r="I53" s="206">
        <v>10</v>
      </c>
      <c r="J53" s="209">
        <v>9.9999999999999995E-7</v>
      </c>
      <c r="K53" s="209">
        <v>0.1</v>
      </c>
      <c r="L53" s="125"/>
      <c r="M53" s="207">
        <f>0.5*(MAX(J53:L53)-MIN(J53:L53))</f>
        <v>4.9999500000000002E-2</v>
      </c>
      <c r="N53" s="207">
        <f>(1.7/100)*I53</f>
        <v>0.17</v>
      </c>
      <c r="O53" s="1092"/>
      <c r="P53" s="206">
        <v>10</v>
      </c>
      <c r="Q53" s="209">
        <v>0.1</v>
      </c>
      <c r="R53" s="206">
        <v>9.9999999999999995E-7</v>
      </c>
      <c r="S53" s="125"/>
      <c r="T53" s="207">
        <f>0.5*(MAX(Q53:S53)-MIN(Q53:S53))</f>
        <v>4.9999500000000002E-2</v>
      </c>
      <c r="U53" s="207">
        <f>(1.7/100)*P53</f>
        <v>0.17</v>
      </c>
    </row>
    <row r="54" spans="1:21" x14ac:dyDescent="0.2">
      <c r="A54" s="1095"/>
      <c r="B54" s="206">
        <v>20</v>
      </c>
      <c r="C54" s="209">
        <v>0.1</v>
      </c>
      <c r="D54" s="209">
        <v>0.2</v>
      </c>
      <c r="E54" s="125"/>
      <c r="F54" s="207">
        <f t="shared" ref="F54:F56" si="21">0.5*(MAX(C54:E54)-MIN(C54:E54))</f>
        <v>0.05</v>
      </c>
      <c r="G54" s="207">
        <f>(1.7/100)*B54</f>
        <v>0.34</v>
      </c>
      <c r="H54" s="1092"/>
      <c r="I54" s="206">
        <v>20</v>
      </c>
      <c r="J54" s="209">
        <v>0.1</v>
      </c>
      <c r="K54" s="209">
        <v>0.1</v>
      </c>
      <c r="L54" s="125"/>
      <c r="M54" s="207">
        <f t="shared" ref="M54:M56" si="22">0.5*(MAX(J54:L54)-MIN(J54:L54))</f>
        <v>0</v>
      </c>
      <c r="N54" s="207">
        <f>(1.7/100)*I54</f>
        <v>0.34</v>
      </c>
      <c r="O54" s="1092"/>
      <c r="P54" s="206">
        <v>20</v>
      </c>
      <c r="Q54" s="209">
        <v>0.1</v>
      </c>
      <c r="R54" s="206">
        <v>9.9999999999999995E-7</v>
      </c>
      <c r="S54" s="125"/>
      <c r="T54" s="207">
        <f t="shared" ref="T54:T56" si="23">0.5*(MAX(Q54:S54)-MIN(Q54:S54))</f>
        <v>4.9999500000000002E-2</v>
      </c>
      <c r="U54" s="207">
        <f>(1.7/100)*P54</f>
        <v>0.34</v>
      </c>
    </row>
    <row r="55" spans="1:21" x14ac:dyDescent="0.2">
      <c r="A55" s="1095"/>
      <c r="B55" s="206">
        <v>50</v>
      </c>
      <c r="C55" s="209">
        <v>0.4</v>
      </c>
      <c r="D55" s="209">
        <v>0.5</v>
      </c>
      <c r="E55" s="125"/>
      <c r="F55" s="207">
        <f t="shared" si="21"/>
        <v>4.9999999999999989E-2</v>
      </c>
      <c r="G55" s="207">
        <f>(1.7/100)*B55</f>
        <v>0.85000000000000009</v>
      </c>
      <c r="H55" s="1092"/>
      <c r="I55" s="206">
        <v>50</v>
      </c>
      <c r="J55" s="209">
        <v>0.6</v>
      </c>
      <c r="K55" s="209">
        <v>0.4</v>
      </c>
      <c r="L55" s="125"/>
      <c r="M55" s="207">
        <f t="shared" si="22"/>
        <v>9.9999999999999978E-2</v>
      </c>
      <c r="N55" s="207">
        <f>(1.7/100)*I55</f>
        <v>0.85000000000000009</v>
      </c>
      <c r="O55" s="1092"/>
      <c r="P55" s="206">
        <v>50</v>
      </c>
      <c r="Q55" s="209">
        <v>0.3</v>
      </c>
      <c r="R55" s="206">
        <v>0.2</v>
      </c>
      <c r="S55" s="125"/>
      <c r="T55" s="207">
        <f t="shared" si="23"/>
        <v>4.9999999999999989E-2</v>
      </c>
      <c r="U55" s="207">
        <f>(1.7/100)*P55</f>
        <v>0.85000000000000009</v>
      </c>
    </row>
    <row r="56" spans="1:21" x14ac:dyDescent="0.2">
      <c r="A56" s="1095"/>
      <c r="B56" s="206">
        <v>100</v>
      </c>
      <c r="C56" s="209">
        <v>1.4</v>
      </c>
      <c r="D56" s="209">
        <v>1</v>
      </c>
      <c r="E56" s="125"/>
      <c r="F56" s="207">
        <f t="shared" si="21"/>
        <v>0.19999999999999996</v>
      </c>
      <c r="G56" s="207">
        <f>(1.7/100)*B56</f>
        <v>1.7000000000000002</v>
      </c>
      <c r="H56" s="1092"/>
      <c r="I56" s="206">
        <v>100</v>
      </c>
      <c r="J56" s="209">
        <v>1.5</v>
      </c>
      <c r="K56" s="209">
        <v>0.8</v>
      </c>
      <c r="L56" s="125"/>
      <c r="M56" s="207">
        <f t="shared" si="22"/>
        <v>0.35</v>
      </c>
      <c r="N56" s="207">
        <f>(1.7/100)*I56</f>
        <v>1.7000000000000002</v>
      </c>
      <c r="O56" s="1092"/>
      <c r="P56" s="206">
        <v>100</v>
      </c>
      <c r="Q56" s="209">
        <v>0.6</v>
      </c>
      <c r="R56" s="206">
        <v>0.7</v>
      </c>
      <c r="S56" s="125"/>
      <c r="T56" s="207">
        <f t="shared" si="23"/>
        <v>4.9999999999999989E-2</v>
      </c>
      <c r="U56" s="207">
        <f>(1.7/100)*P56</f>
        <v>1.7000000000000002</v>
      </c>
    </row>
    <row r="57" spans="1:21" ht="12.75" customHeight="1" x14ac:dyDescent="0.2">
      <c r="A57" s="1095"/>
      <c r="B57" s="1091" t="str">
        <f>B26</f>
        <v>Resistance</v>
      </c>
      <c r="C57" s="1091"/>
      <c r="D57" s="1091"/>
      <c r="E57" s="1091"/>
      <c r="F57" s="1084" t="s">
        <v>295</v>
      </c>
      <c r="G57" s="1084" t="s">
        <v>224</v>
      </c>
      <c r="H57" s="1092"/>
      <c r="I57" s="1091" t="str">
        <f>B57</f>
        <v>Resistance</v>
      </c>
      <c r="J57" s="1091"/>
      <c r="K57" s="1091"/>
      <c r="L57" s="1091"/>
      <c r="M57" s="1084" t="s">
        <v>295</v>
      </c>
      <c r="N57" s="1084" t="s">
        <v>224</v>
      </c>
      <c r="O57" s="1092"/>
      <c r="P57" s="1091" t="str">
        <f>I57</f>
        <v>Resistance</v>
      </c>
      <c r="Q57" s="1091"/>
      <c r="R57" s="1091"/>
      <c r="S57" s="1091"/>
      <c r="T57" s="1084" t="s">
        <v>295</v>
      </c>
      <c r="U57" s="1084" t="s">
        <v>224</v>
      </c>
    </row>
    <row r="58" spans="1:21" ht="15" x14ac:dyDescent="0.2">
      <c r="A58" s="1095"/>
      <c r="B58" s="202" t="s">
        <v>302</v>
      </c>
      <c r="C58" s="203">
        <f>C36</f>
        <v>2021</v>
      </c>
      <c r="D58" s="203">
        <f>D36</f>
        <v>2019</v>
      </c>
      <c r="E58" s="203">
        <f>E36</f>
        <v>2016</v>
      </c>
      <c r="F58" s="1084"/>
      <c r="G58" s="1084"/>
      <c r="H58" s="1092"/>
      <c r="I58" s="202" t="s">
        <v>302</v>
      </c>
      <c r="J58" s="203">
        <f>J36</f>
        <v>2021</v>
      </c>
      <c r="K58" s="203">
        <f>K36</f>
        <v>2019</v>
      </c>
      <c r="L58" s="203">
        <f>L36</f>
        <v>2016</v>
      </c>
      <c r="M58" s="1084"/>
      <c r="N58" s="1084"/>
      <c r="O58" s="1092"/>
      <c r="P58" s="202" t="s">
        <v>302</v>
      </c>
      <c r="Q58" s="203">
        <f>Q36</f>
        <v>2019</v>
      </c>
      <c r="R58" s="203">
        <f>R36</f>
        <v>2018</v>
      </c>
      <c r="S58" s="203">
        <f>S36</f>
        <v>2016</v>
      </c>
      <c r="T58" s="1084"/>
      <c r="U58" s="1084"/>
    </row>
    <row r="59" spans="1:21" x14ac:dyDescent="0.2">
      <c r="A59" s="1095"/>
      <c r="B59" s="206">
        <v>0.01</v>
      </c>
      <c r="C59" s="209">
        <v>9.9999999999999995E-7</v>
      </c>
      <c r="D59" s="209">
        <v>9.9999999999999995E-7</v>
      </c>
      <c r="E59" s="125"/>
      <c r="F59" s="207">
        <f>0.5*(MAX(C59:E59)-MIN(C59:E59))</f>
        <v>0</v>
      </c>
      <c r="G59" s="207">
        <f>(0/100)*B59</f>
        <v>0</v>
      </c>
      <c r="H59" s="1092"/>
      <c r="I59" s="206">
        <v>0.01</v>
      </c>
      <c r="J59" s="209">
        <v>9.9999999999999995E-7</v>
      </c>
      <c r="K59" s="209">
        <v>9.9999999999999995E-7</v>
      </c>
      <c r="L59" s="125"/>
      <c r="M59" s="207">
        <f>0.5*(MAX(J59:L59)-MIN(J59:L59))</f>
        <v>0</v>
      </c>
      <c r="N59" s="207">
        <f>(1.2/100)*I59</f>
        <v>1.2E-4</v>
      </c>
      <c r="O59" s="1092"/>
      <c r="P59" s="206">
        <v>0.01</v>
      </c>
      <c r="Q59" s="209">
        <v>9.9999999999999995E-7</v>
      </c>
      <c r="R59" s="206">
        <v>9.9999999999999995E-7</v>
      </c>
      <c r="S59" s="125"/>
      <c r="T59" s="207">
        <f>0.5*(MAX(Q59:S59)-MIN(Q59:S59))</f>
        <v>0</v>
      </c>
      <c r="U59" s="207">
        <f>(1.2/100)*P59</f>
        <v>1.2E-4</v>
      </c>
    </row>
    <row r="60" spans="1:21" x14ac:dyDescent="0.2">
      <c r="A60" s="1095"/>
      <c r="B60" s="206">
        <v>0.1</v>
      </c>
      <c r="C60" s="209">
        <v>-2E-3</v>
      </c>
      <c r="D60" s="209">
        <v>9.9999999999999995E-7</v>
      </c>
      <c r="E60" s="125"/>
      <c r="F60" s="207">
        <f t="shared" ref="F60:F62" si="24">0.5*(MAX(C60:E60)-MIN(C60:E60))</f>
        <v>1.0005000000000001E-3</v>
      </c>
      <c r="G60" s="207">
        <f>(1.2/100)*B60</f>
        <v>1.2000000000000001E-3</v>
      </c>
      <c r="H60" s="1092"/>
      <c r="I60" s="206">
        <v>0.1</v>
      </c>
      <c r="J60" s="209">
        <v>5.0000000000000001E-3</v>
      </c>
      <c r="K60" s="209">
        <v>2E-3</v>
      </c>
      <c r="L60" s="125"/>
      <c r="M60" s="207">
        <f t="shared" ref="M60:M62" si="25">0.5*(MAX(J60:L60)-MIN(J60:L60))</f>
        <v>1.5E-3</v>
      </c>
      <c r="N60" s="207">
        <f>(1.2/100)*I60</f>
        <v>1.2000000000000001E-3</v>
      </c>
      <c r="O60" s="1092"/>
      <c r="P60" s="206">
        <v>0.1</v>
      </c>
      <c r="Q60" s="209">
        <v>-2E-3</v>
      </c>
      <c r="R60" s="206">
        <v>6.0000000000000001E-3</v>
      </c>
      <c r="S60" s="125"/>
      <c r="T60" s="207">
        <f t="shared" ref="T60:T62" si="26">0.5*(MAX(Q60:S60)-MIN(Q60:S60))</f>
        <v>4.0000000000000001E-3</v>
      </c>
      <c r="U60" s="207">
        <f>(1.2/100)*P60</f>
        <v>1.2000000000000001E-3</v>
      </c>
    </row>
    <row r="61" spans="1:21" x14ac:dyDescent="0.2">
      <c r="A61" s="1095"/>
      <c r="B61" s="206">
        <v>1</v>
      </c>
      <c r="C61" s="209">
        <v>-8.0000000000000002E-3</v>
      </c>
      <c r="D61" s="209">
        <v>-1E-3</v>
      </c>
      <c r="E61" s="125"/>
      <c r="F61" s="207">
        <f t="shared" si="24"/>
        <v>3.5000000000000001E-3</v>
      </c>
      <c r="G61" s="207">
        <f>(1.2/100)*B61</f>
        <v>1.2E-2</v>
      </c>
      <c r="H61" s="1092"/>
      <c r="I61" s="206">
        <v>1</v>
      </c>
      <c r="J61" s="209">
        <v>1.7999999999999999E-2</v>
      </c>
      <c r="K61" s="209">
        <v>1.2E-2</v>
      </c>
      <c r="L61" s="125"/>
      <c r="M61" s="207">
        <f t="shared" si="25"/>
        <v>2.9999999999999992E-3</v>
      </c>
      <c r="N61" s="207">
        <f>(1.2/100)*I61</f>
        <v>1.2E-2</v>
      </c>
      <c r="O61" s="1092"/>
      <c r="P61" s="206">
        <v>1</v>
      </c>
      <c r="Q61" s="209">
        <v>-1E-3</v>
      </c>
      <c r="R61" s="206">
        <v>8.0000000000000002E-3</v>
      </c>
      <c r="S61" s="125"/>
      <c r="T61" s="207">
        <f t="shared" si="26"/>
        <v>4.5000000000000005E-3</v>
      </c>
      <c r="U61" s="207">
        <f>(1.2/100)*P61</f>
        <v>1.2E-2</v>
      </c>
    </row>
    <row r="62" spans="1:21" x14ac:dyDescent="0.2">
      <c r="A62" s="1095"/>
      <c r="B62" s="206">
        <v>2</v>
      </c>
      <c r="C62" s="209">
        <v>-7.0000000000000001E-3</v>
      </c>
      <c r="D62" s="209">
        <v>9.9999999999999995E-7</v>
      </c>
      <c r="E62" s="125"/>
      <c r="F62" s="207">
        <f t="shared" si="24"/>
        <v>3.5005000000000001E-3</v>
      </c>
      <c r="G62" s="207">
        <f>(1.2/100)*B62</f>
        <v>2.4E-2</v>
      </c>
      <c r="H62" s="1092"/>
      <c r="I62" s="215">
        <v>2</v>
      </c>
      <c r="J62" s="216">
        <v>0.113</v>
      </c>
      <c r="K62" s="216">
        <v>9.9999999999999995E-7</v>
      </c>
      <c r="L62" s="125"/>
      <c r="M62" s="217">
        <f t="shared" si="25"/>
        <v>5.6499500000000001E-2</v>
      </c>
      <c r="N62" s="207">
        <f>(1.2/100)*I62</f>
        <v>2.4E-2</v>
      </c>
      <c r="O62" s="1092"/>
      <c r="P62" s="206">
        <v>2</v>
      </c>
      <c r="Q62" s="209">
        <v>9.9999999999999995E-7</v>
      </c>
      <c r="R62" s="206">
        <v>9.9999999999999995E-7</v>
      </c>
      <c r="S62" s="125"/>
      <c r="T62" s="207">
        <f t="shared" si="26"/>
        <v>0</v>
      </c>
      <c r="U62" s="207">
        <f>(0/100)*P62</f>
        <v>0</v>
      </c>
    </row>
    <row r="63" spans="1:21" ht="15.75" x14ac:dyDescent="0.2">
      <c r="A63" s="218"/>
      <c r="B63" s="219"/>
      <c r="C63" s="219"/>
      <c r="D63" s="220"/>
      <c r="E63" s="220"/>
      <c r="F63" s="220"/>
      <c r="H63" s="221"/>
      <c r="I63" s="222"/>
      <c r="J63" s="219"/>
      <c r="K63" s="220"/>
      <c r="L63" s="220"/>
      <c r="M63" s="220"/>
      <c r="O63" s="221"/>
      <c r="P63" s="219"/>
      <c r="Q63" s="219"/>
      <c r="T63" s="179"/>
    </row>
    <row r="64" spans="1:21" ht="14.45" customHeight="1" x14ac:dyDescent="0.2">
      <c r="A64" s="1095" t="s">
        <v>99</v>
      </c>
      <c r="B64" s="1096" t="s">
        <v>309</v>
      </c>
      <c r="C64" s="1096"/>
      <c r="D64" s="1096"/>
      <c r="E64" s="1096"/>
      <c r="F64" s="1096"/>
      <c r="G64" s="1096"/>
      <c r="H64" s="1092" t="s">
        <v>310</v>
      </c>
      <c r="I64" s="1096" t="s">
        <v>311</v>
      </c>
      <c r="J64" s="1096"/>
      <c r="K64" s="1096"/>
      <c r="L64" s="1096"/>
      <c r="M64" s="1096"/>
      <c r="N64" s="1096"/>
      <c r="O64" s="1092" t="s">
        <v>42</v>
      </c>
      <c r="P64" s="1096" t="s">
        <v>312</v>
      </c>
      <c r="Q64" s="1096"/>
      <c r="R64" s="1096"/>
      <c r="S64" s="1096"/>
      <c r="T64" s="1096"/>
      <c r="U64" s="1096"/>
    </row>
    <row r="65" spans="1:21" ht="15" x14ac:dyDescent="0.25">
      <c r="A65" s="1095"/>
      <c r="B65" s="1097" t="s">
        <v>293</v>
      </c>
      <c r="C65" s="1097"/>
      <c r="D65" s="1097"/>
      <c r="E65" s="1097"/>
      <c r="F65" s="1097"/>
      <c r="G65" s="1097"/>
      <c r="H65" s="1092"/>
      <c r="I65" s="1094" t="s">
        <v>293</v>
      </c>
      <c r="J65" s="1094"/>
      <c r="K65" s="1094"/>
      <c r="L65" s="1094"/>
      <c r="M65" s="1094"/>
      <c r="N65" s="1094"/>
      <c r="O65" s="1092"/>
      <c r="P65" s="1094" t="s">
        <v>293</v>
      </c>
      <c r="Q65" s="1094"/>
      <c r="R65" s="1094"/>
      <c r="S65" s="1094"/>
      <c r="T65" s="1094"/>
      <c r="U65" s="1094"/>
    </row>
    <row r="66" spans="1:21" x14ac:dyDescent="0.2">
      <c r="A66" s="1095"/>
      <c r="B66" s="1084" t="s">
        <v>294</v>
      </c>
      <c r="C66" s="1084"/>
      <c r="D66" s="1084"/>
      <c r="E66" s="1084"/>
      <c r="F66" s="1084" t="s">
        <v>295</v>
      </c>
      <c r="G66" s="1084" t="s">
        <v>224</v>
      </c>
      <c r="H66" s="1092"/>
      <c r="I66" s="1084" t="str">
        <f>B66</f>
        <v>Setting VAC</v>
      </c>
      <c r="J66" s="1084"/>
      <c r="K66" s="1084"/>
      <c r="L66" s="1084"/>
      <c r="M66" s="1084" t="s">
        <v>295</v>
      </c>
      <c r="N66" s="1084" t="s">
        <v>224</v>
      </c>
      <c r="O66" s="1092"/>
      <c r="P66" s="1084" t="str">
        <f>B66</f>
        <v>Setting VAC</v>
      </c>
      <c r="Q66" s="1084"/>
      <c r="R66" s="1084"/>
      <c r="S66" s="1084"/>
      <c r="T66" s="1084" t="s">
        <v>295</v>
      </c>
      <c r="U66" s="1084" t="s">
        <v>224</v>
      </c>
    </row>
    <row r="67" spans="1:21" ht="15" x14ac:dyDescent="0.2">
      <c r="A67" s="1095"/>
      <c r="B67" s="202" t="s">
        <v>296</v>
      </c>
      <c r="C67" s="203">
        <v>2020</v>
      </c>
      <c r="D67" s="203">
        <v>2018</v>
      </c>
      <c r="E67" s="203">
        <v>2016</v>
      </c>
      <c r="F67" s="1084"/>
      <c r="G67" s="1084"/>
      <c r="H67" s="1092"/>
      <c r="I67" s="202" t="s">
        <v>296</v>
      </c>
      <c r="J67" s="203">
        <v>2022</v>
      </c>
      <c r="K67" s="203">
        <v>2020</v>
      </c>
      <c r="L67" s="203">
        <v>2016</v>
      </c>
      <c r="M67" s="1084"/>
      <c r="N67" s="1084"/>
      <c r="O67" s="1092"/>
      <c r="P67" s="202" t="s">
        <v>296</v>
      </c>
      <c r="Q67" s="203">
        <v>2020</v>
      </c>
      <c r="R67" s="204" t="s">
        <v>103</v>
      </c>
      <c r="S67" s="203">
        <v>2016</v>
      </c>
      <c r="T67" s="1084"/>
      <c r="U67" s="1084"/>
    </row>
    <row r="68" spans="1:21" x14ac:dyDescent="0.2">
      <c r="A68" s="1095"/>
      <c r="B68" s="206">
        <v>150.21</v>
      </c>
      <c r="C68" s="206">
        <v>0.21</v>
      </c>
      <c r="D68" s="206">
        <v>0.27</v>
      </c>
      <c r="E68" s="125"/>
      <c r="F68" s="207">
        <f>0.5*(MAX(C68:E68)-MIN(C68:E68))</f>
        <v>3.0000000000000013E-2</v>
      </c>
      <c r="G68" s="207">
        <f t="shared" ref="G68:G73" si="27">(1.2/100)*B68</f>
        <v>1.8025200000000001</v>
      </c>
      <c r="H68" s="1092"/>
      <c r="I68" s="206">
        <v>150</v>
      </c>
      <c r="J68" s="223">
        <v>-0.17</v>
      </c>
      <c r="K68" s="223">
        <v>-0.24</v>
      </c>
      <c r="L68" s="125"/>
      <c r="M68" s="207">
        <f>0.5*(MAX(J68:L68)-MIN(J68:L68))</f>
        <v>3.4999999999999989E-2</v>
      </c>
      <c r="N68" s="207">
        <f t="shared" ref="N68:N73" si="28">(1.2/100)*I68</f>
        <v>1.8</v>
      </c>
      <c r="O68" s="1092"/>
      <c r="P68" s="206">
        <v>149.83000000000001</v>
      </c>
      <c r="Q68" s="223">
        <v>-0.17</v>
      </c>
      <c r="R68" s="208" t="s">
        <v>103</v>
      </c>
      <c r="S68" s="125"/>
      <c r="T68" s="207">
        <f>0.5*(MAX(Q68:S68)-MIN(Q68:S68))</f>
        <v>0</v>
      </c>
      <c r="U68" s="207">
        <f t="shared" ref="U68:U73" si="29">(1.2/100)*P68</f>
        <v>1.7979600000000002</v>
      </c>
    </row>
    <row r="69" spans="1:21" x14ac:dyDescent="0.2">
      <c r="A69" s="1095"/>
      <c r="B69" s="206">
        <v>180.33</v>
      </c>
      <c r="C69" s="206">
        <v>0.33</v>
      </c>
      <c r="D69" s="206">
        <v>0.37</v>
      </c>
      <c r="E69" s="125"/>
      <c r="F69" s="207">
        <f t="shared" ref="F69:F73" si="30">0.5*(MAX(C69:E69)-MIN(C69:E69))</f>
        <v>1.999999999999999E-2</v>
      </c>
      <c r="G69" s="207">
        <f t="shared" si="27"/>
        <v>2.1639600000000003</v>
      </c>
      <c r="H69" s="1092"/>
      <c r="I69" s="206">
        <v>180</v>
      </c>
      <c r="J69" s="223">
        <v>-0.39</v>
      </c>
      <c r="K69" s="223">
        <v>-0.14000000000000001</v>
      </c>
      <c r="L69" s="125"/>
      <c r="M69" s="207">
        <f t="shared" ref="M69:M73" si="31">0.5*(MAX(J69:L69)-MIN(J69:L69))</f>
        <v>0.125</v>
      </c>
      <c r="N69" s="207">
        <f t="shared" si="28"/>
        <v>2.16</v>
      </c>
      <c r="O69" s="1092"/>
      <c r="P69" s="206">
        <v>179.78</v>
      </c>
      <c r="Q69" s="223">
        <v>-0.22</v>
      </c>
      <c r="R69" s="209" t="s">
        <v>103</v>
      </c>
      <c r="S69" s="125"/>
      <c r="T69" s="207">
        <f t="shared" ref="T69:T73" si="32">0.5*(MAX(Q69:S69)-MIN(Q69:S69))</f>
        <v>0</v>
      </c>
      <c r="U69" s="207">
        <f t="shared" si="29"/>
        <v>2.1573600000000002</v>
      </c>
    </row>
    <row r="70" spans="1:21" x14ac:dyDescent="0.2">
      <c r="A70" s="1095"/>
      <c r="B70" s="206">
        <v>200.35</v>
      </c>
      <c r="C70" s="206">
        <v>0.34</v>
      </c>
      <c r="D70" s="206">
        <v>0.4</v>
      </c>
      <c r="E70" s="125"/>
      <c r="F70" s="207">
        <f t="shared" si="30"/>
        <v>0.03</v>
      </c>
      <c r="G70" s="207">
        <f t="shared" si="27"/>
        <v>2.4041999999999999</v>
      </c>
      <c r="H70" s="1092"/>
      <c r="I70" s="206">
        <v>200</v>
      </c>
      <c r="J70" s="206">
        <v>-0.23</v>
      </c>
      <c r="K70" s="206">
        <v>-0.33</v>
      </c>
      <c r="L70" s="125"/>
      <c r="M70" s="207">
        <f t="shared" si="31"/>
        <v>0.05</v>
      </c>
      <c r="N70" s="207">
        <f t="shared" si="28"/>
        <v>2.4</v>
      </c>
      <c r="O70" s="1092"/>
      <c r="P70" s="206">
        <v>199.67</v>
      </c>
      <c r="Q70" s="206">
        <v>-0.33</v>
      </c>
      <c r="R70" s="209" t="s">
        <v>103</v>
      </c>
      <c r="S70" s="125"/>
      <c r="T70" s="207">
        <f t="shared" si="32"/>
        <v>0</v>
      </c>
      <c r="U70" s="207">
        <f t="shared" si="29"/>
        <v>2.3960399999999997</v>
      </c>
    </row>
    <row r="71" spans="1:21" x14ac:dyDescent="0.2">
      <c r="A71" s="1095"/>
      <c r="B71" s="206">
        <v>220.37</v>
      </c>
      <c r="C71" s="206">
        <v>0.37</v>
      </c>
      <c r="D71" s="206">
        <v>0.38</v>
      </c>
      <c r="E71" s="125"/>
      <c r="F71" s="207">
        <f t="shared" si="30"/>
        <v>5.0000000000000044E-3</v>
      </c>
      <c r="G71" s="207">
        <f t="shared" si="27"/>
        <v>2.6444399999999999</v>
      </c>
      <c r="H71" s="1092"/>
      <c r="I71" s="206">
        <v>220</v>
      </c>
      <c r="J71" s="206">
        <v>-0.16</v>
      </c>
      <c r="K71" s="206">
        <v>-0.45</v>
      </c>
      <c r="L71" s="125"/>
      <c r="M71" s="207">
        <f t="shared" si="31"/>
        <v>0.14500000000000002</v>
      </c>
      <c r="N71" s="207">
        <f t="shared" si="28"/>
        <v>2.64</v>
      </c>
      <c r="O71" s="1092"/>
      <c r="P71" s="206">
        <v>219.61</v>
      </c>
      <c r="Q71" s="206">
        <v>-0.39</v>
      </c>
      <c r="R71" s="209" t="s">
        <v>103</v>
      </c>
      <c r="S71" s="125"/>
      <c r="T71" s="207">
        <f t="shared" si="32"/>
        <v>0</v>
      </c>
      <c r="U71" s="207">
        <f t="shared" si="29"/>
        <v>2.6353200000000001</v>
      </c>
    </row>
    <row r="72" spans="1:21" x14ac:dyDescent="0.2">
      <c r="A72" s="1095"/>
      <c r="B72" s="206">
        <v>230.47</v>
      </c>
      <c r="C72" s="206">
        <v>0.47</v>
      </c>
      <c r="D72" s="206">
        <v>0.4</v>
      </c>
      <c r="E72" s="125"/>
      <c r="F72" s="207">
        <f t="shared" si="30"/>
        <v>3.4999999999999976E-2</v>
      </c>
      <c r="G72" s="207">
        <f t="shared" si="27"/>
        <v>2.7656399999999999</v>
      </c>
      <c r="H72" s="1092"/>
      <c r="I72" s="206">
        <v>230</v>
      </c>
      <c r="J72" s="206">
        <v>-0.15</v>
      </c>
      <c r="K72" s="206">
        <v>-0.54</v>
      </c>
      <c r="L72" s="125"/>
      <c r="M72" s="207">
        <f t="shared" si="31"/>
        <v>0.19500000000000001</v>
      </c>
      <c r="N72" s="207">
        <f t="shared" si="28"/>
        <v>2.7600000000000002</v>
      </c>
      <c r="O72" s="1092"/>
      <c r="P72" s="206">
        <v>229.61</v>
      </c>
      <c r="Q72" s="206">
        <v>-0.39</v>
      </c>
      <c r="R72" s="209" t="s">
        <v>103</v>
      </c>
      <c r="S72" s="125"/>
      <c r="T72" s="207">
        <f t="shared" si="32"/>
        <v>0</v>
      </c>
      <c r="U72" s="207">
        <f t="shared" si="29"/>
        <v>2.7553200000000002</v>
      </c>
    </row>
    <row r="73" spans="1:21" x14ac:dyDescent="0.2">
      <c r="A73" s="1095"/>
      <c r="B73" s="206">
        <v>240.38</v>
      </c>
      <c r="C73" s="206">
        <v>0.38</v>
      </c>
      <c r="D73" s="206">
        <v>9.9999999999999995E-7</v>
      </c>
      <c r="E73" s="125"/>
      <c r="F73" s="207">
        <f t="shared" si="30"/>
        <v>0.18999950000000002</v>
      </c>
      <c r="G73" s="207">
        <f t="shared" si="27"/>
        <v>2.88456</v>
      </c>
      <c r="H73" s="1092"/>
      <c r="I73" s="206">
        <v>250</v>
      </c>
      <c r="J73" s="206">
        <v>9.9999999999999995E-7</v>
      </c>
      <c r="K73" s="206">
        <v>-0.49</v>
      </c>
      <c r="L73" s="125"/>
      <c r="M73" s="207">
        <f t="shared" si="31"/>
        <v>0.24500049999999998</v>
      </c>
      <c r="N73" s="207">
        <f t="shared" si="28"/>
        <v>3</v>
      </c>
      <c r="O73" s="1092"/>
      <c r="P73" s="206">
        <v>239.61</v>
      </c>
      <c r="Q73" s="206">
        <v>-0.39</v>
      </c>
      <c r="R73" s="209" t="s">
        <v>103</v>
      </c>
      <c r="S73" s="125"/>
      <c r="T73" s="207">
        <f t="shared" si="32"/>
        <v>0</v>
      </c>
      <c r="U73" s="207">
        <f t="shared" si="29"/>
        <v>2.8753200000000003</v>
      </c>
    </row>
    <row r="74" spans="1:21" ht="12.75" customHeight="1" x14ac:dyDescent="0.2">
      <c r="A74" s="1095"/>
      <c r="B74" s="1091" t="s">
        <v>297</v>
      </c>
      <c r="C74" s="1091"/>
      <c r="D74" s="1091"/>
      <c r="E74" s="1091"/>
      <c r="F74" s="1084" t="s">
        <v>295</v>
      </c>
      <c r="G74" s="1084" t="s">
        <v>224</v>
      </c>
      <c r="H74" s="1092"/>
      <c r="I74" s="1091" t="str">
        <f>B74</f>
        <v>Current Leakage</v>
      </c>
      <c r="J74" s="1091"/>
      <c r="K74" s="1091"/>
      <c r="L74" s="1091"/>
      <c r="M74" s="1084" t="s">
        <v>295</v>
      </c>
      <c r="N74" s="1084" t="s">
        <v>224</v>
      </c>
      <c r="O74" s="1092"/>
      <c r="P74" s="1091" t="str">
        <f>B74</f>
        <v>Current Leakage</v>
      </c>
      <c r="Q74" s="1091"/>
      <c r="R74" s="1091"/>
      <c r="S74" s="1091"/>
      <c r="T74" s="1084" t="s">
        <v>295</v>
      </c>
      <c r="U74" s="1084" t="s">
        <v>224</v>
      </c>
    </row>
    <row r="75" spans="1:21" ht="15" x14ac:dyDescent="0.2">
      <c r="A75" s="1095"/>
      <c r="B75" s="202" t="s">
        <v>298</v>
      </c>
      <c r="C75" s="203">
        <f>C67</f>
        <v>2020</v>
      </c>
      <c r="D75" s="203">
        <f>D67</f>
        <v>2018</v>
      </c>
      <c r="E75" s="203">
        <f>E67</f>
        <v>2016</v>
      </c>
      <c r="F75" s="1084"/>
      <c r="G75" s="1084"/>
      <c r="H75" s="1092"/>
      <c r="I75" s="202" t="s">
        <v>298</v>
      </c>
      <c r="J75" s="203">
        <f>J67</f>
        <v>2022</v>
      </c>
      <c r="K75" s="203">
        <f>K67</f>
        <v>2020</v>
      </c>
      <c r="L75" s="203">
        <f>L67</f>
        <v>2016</v>
      </c>
      <c r="M75" s="1084"/>
      <c r="N75" s="1084"/>
      <c r="O75" s="1092"/>
      <c r="P75" s="202" t="s">
        <v>298</v>
      </c>
      <c r="Q75" s="203">
        <f>Q67</f>
        <v>2020</v>
      </c>
      <c r="R75" s="203" t="str">
        <f>R67</f>
        <v>-</v>
      </c>
      <c r="S75" s="203">
        <f>S67</f>
        <v>2016</v>
      </c>
      <c r="T75" s="1084"/>
      <c r="U75" s="1084"/>
    </row>
    <row r="76" spans="1:21" x14ac:dyDescent="0.2">
      <c r="A76" s="1095"/>
      <c r="B76" s="206">
        <v>0</v>
      </c>
      <c r="C76" s="206">
        <v>9.9999999999999995E-7</v>
      </c>
      <c r="D76" s="206">
        <v>9.9999999999999995E-7</v>
      </c>
      <c r="E76" s="125"/>
      <c r="F76" s="207">
        <f>0.5*(MAX(C76:E76)-MIN(C76:E76))</f>
        <v>0</v>
      </c>
      <c r="G76" s="207">
        <v>0.3</v>
      </c>
      <c r="H76" s="1092"/>
      <c r="I76" s="206">
        <v>0</v>
      </c>
      <c r="J76" s="206">
        <v>9.9999999999999995E-7</v>
      </c>
      <c r="K76" s="206">
        <v>9.9999999999999995E-7</v>
      </c>
      <c r="L76" s="125"/>
      <c r="M76" s="207">
        <f>0.5*(MAX(J76:L76)-MIN(J76:L76))</f>
        <v>0</v>
      </c>
      <c r="N76" s="207">
        <f t="shared" ref="N76:N81" si="33">(0.59/100)*I76</f>
        <v>0</v>
      </c>
      <c r="O76" s="1092"/>
      <c r="P76" s="206">
        <v>0</v>
      </c>
      <c r="Q76" s="206">
        <v>9.9999999999999995E-7</v>
      </c>
      <c r="R76" s="208" t="s">
        <v>103</v>
      </c>
      <c r="S76" s="125"/>
      <c r="T76" s="207">
        <f>0.5*(MAX(Q76:S76)-MIN(Q76:S76))</f>
        <v>0</v>
      </c>
      <c r="U76" s="207">
        <v>0.12</v>
      </c>
    </row>
    <row r="77" spans="1:21" x14ac:dyDescent="0.2">
      <c r="A77" s="1095"/>
      <c r="B77" s="206">
        <v>50</v>
      </c>
      <c r="C77" s="206">
        <v>1.7</v>
      </c>
      <c r="D77" s="206">
        <v>2.1</v>
      </c>
      <c r="E77" s="125"/>
      <c r="F77" s="207">
        <f t="shared" ref="F77:F81" si="34">0.5*(MAX(C77:E77)-MIN(C77:E77))</f>
        <v>0.20000000000000007</v>
      </c>
      <c r="G77" s="207">
        <f>(0.59/100)*B77</f>
        <v>0.29499999999999998</v>
      </c>
      <c r="H77" s="1092"/>
      <c r="I77" s="206">
        <v>20</v>
      </c>
      <c r="J77" s="206">
        <v>6.6</v>
      </c>
      <c r="K77" s="206">
        <v>0.9</v>
      </c>
      <c r="L77" s="125"/>
      <c r="M77" s="207">
        <f t="shared" ref="M77:M81" si="35">0.5*(MAX(J77:L77)-MIN(J77:L77))</f>
        <v>2.8499999999999996</v>
      </c>
      <c r="N77" s="207">
        <f t="shared" si="33"/>
        <v>0.11799999999999999</v>
      </c>
      <c r="O77" s="1092"/>
      <c r="P77" s="206">
        <v>20.8</v>
      </c>
      <c r="Q77" s="206">
        <v>0.8</v>
      </c>
      <c r="R77" s="209" t="s">
        <v>103</v>
      </c>
      <c r="S77" s="125"/>
      <c r="T77" s="207">
        <f t="shared" ref="T77:T81" si="36">0.5*(MAX(Q77:S77)-MIN(Q77:S77))</f>
        <v>0</v>
      </c>
      <c r="U77" s="207">
        <f>(0.59/100)*P77</f>
        <v>0.12272</v>
      </c>
    </row>
    <row r="78" spans="1:21" x14ac:dyDescent="0.2">
      <c r="A78" s="1095"/>
      <c r="B78" s="206">
        <v>100</v>
      </c>
      <c r="C78" s="206">
        <v>1.7</v>
      </c>
      <c r="D78" s="206">
        <v>2.2000000000000002</v>
      </c>
      <c r="E78" s="125"/>
      <c r="F78" s="207">
        <f t="shared" si="34"/>
        <v>0.25000000000000011</v>
      </c>
      <c r="G78" s="207">
        <f>(0.59/100)*B78</f>
        <v>0.59</v>
      </c>
      <c r="H78" s="1092"/>
      <c r="I78" s="206">
        <v>50</v>
      </c>
      <c r="J78" s="206">
        <v>5</v>
      </c>
      <c r="K78" s="206">
        <v>2.1</v>
      </c>
      <c r="L78" s="125"/>
      <c r="M78" s="207">
        <f t="shared" si="35"/>
        <v>1.45</v>
      </c>
      <c r="N78" s="207">
        <f t="shared" si="33"/>
        <v>0.29499999999999998</v>
      </c>
      <c r="O78" s="1092"/>
      <c r="P78" s="206">
        <v>51.7</v>
      </c>
      <c r="Q78" s="206">
        <v>1.7</v>
      </c>
      <c r="R78" s="209" t="s">
        <v>103</v>
      </c>
      <c r="S78" s="125"/>
      <c r="T78" s="207">
        <f t="shared" si="36"/>
        <v>0</v>
      </c>
      <c r="U78" s="207">
        <f>(0.59/100)*P78</f>
        <v>0.30503000000000002</v>
      </c>
    </row>
    <row r="79" spans="1:21" x14ac:dyDescent="0.2">
      <c r="A79" s="1095"/>
      <c r="B79" s="206">
        <v>200.4</v>
      </c>
      <c r="C79" s="206">
        <v>0.4</v>
      </c>
      <c r="D79" s="206">
        <v>2.4</v>
      </c>
      <c r="E79" s="125"/>
      <c r="F79" s="207">
        <f t="shared" si="34"/>
        <v>1</v>
      </c>
      <c r="G79" s="207">
        <f>(0.59/100)*B79</f>
        <v>1.1823600000000001</v>
      </c>
      <c r="H79" s="1092"/>
      <c r="I79" s="206">
        <v>200</v>
      </c>
      <c r="J79" s="206">
        <v>-8.1999999999999993</v>
      </c>
      <c r="K79" s="206">
        <v>3.7</v>
      </c>
      <c r="L79" s="125"/>
      <c r="M79" s="207">
        <f t="shared" si="35"/>
        <v>5.9499999999999993</v>
      </c>
      <c r="N79" s="207">
        <f t="shared" si="33"/>
        <v>1.18</v>
      </c>
      <c r="O79" s="1092"/>
      <c r="P79" s="206">
        <v>103.4</v>
      </c>
      <c r="Q79" s="206">
        <v>3.4</v>
      </c>
      <c r="R79" s="209" t="s">
        <v>103</v>
      </c>
      <c r="S79" s="125"/>
      <c r="T79" s="207">
        <f t="shared" si="36"/>
        <v>0</v>
      </c>
      <c r="U79" s="207">
        <f>(0.59/100)*P79</f>
        <v>0.61006000000000005</v>
      </c>
    </row>
    <row r="80" spans="1:21" x14ac:dyDescent="0.2">
      <c r="A80" s="1095"/>
      <c r="B80" s="206">
        <v>500</v>
      </c>
      <c r="C80" s="206">
        <v>3</v>
      </c>
      <c r="D80" s="206">
        <v>3.3</v>
      </c>
      <c r="E80" s="125"/>
      <c r="F80" s="207">
        <f t="shared" si="34"/>
        <v>0.14999999999999991</v>
      </c>
      <c r="G80" s="207">
        <f>(0.59/100)*B80</f>
        <v>2.9499999999999997</v>
      </c>
      <c r="H80" s="1092"/>
      <c r="I80" s="206">
        <v>500</v>
      </c>
      <c r="J80" s="206">
        <v>-31.8</v>
      </c>
      <c r="K80" s="206">
        <v>8.3000000000000007</v>
      </c>
      <c r="L80" s="125"/>
      <c r="M80" s="207">
        <f t="shared" si="35"/>
        <v>20.05</v>
      </c>
      <c r="N80" s="207">
        <f t="shared" si="33"/>
        <v>2.9499999999999997</v>
      </c>
      <c r="O80" s="1092"/>
      <c r="P80" s="206">
        <v>507.2</v>
      </c>
      <c r="Q80" s="206">
        <v>7.2</v>
      </c>
      <c r="R80" s="209" t="s">
        <v>103</v>
      </c>
      <c r="S80" s="125"/>
      <c r="T80" s="207">
        <f t="shared" si="36"/>
        <v>0</v>
      </c>
      <c r="U80" s="207">
        <f>(0.59/100)*P80</f>
        <v>2.99248</v>
      </c>
    </row>
    <row r="81" spans="1:21" x14ac:dyDescent="0.2">
      <c r="A81" s="1095"/>
      <c r="B81" s="206">
        <v>1000</v>
      </c>
      <c r="C81" s="206">
        <v>9.9999999999999995E-7</v>
      </c>
      <c r="D81" s="206">
        <v>9.9999999999999995E-7</v>
      </c>
      <c r="E81" s="125"/>
      <c r="F81" s="207">
        <f t="shared" si="34"/>
        <v>0</v>
      </c>
      <c r="G81" s="207">
        <v>2.95</v>
      </c>
      <c r="H81" s="1092"/>
      <c r="I81" s="206">
        <v>1000</v>
      </c>
      <c r="J81" s="206">
        <v>-74</v>
      </c>
      <c r="K81" s="206">
        <v>9.9999999999999995E-7</v>
      </c>
      <c r="L81" s="125"/>
      <c r="M81" s="207">
        <f t="shared" si="35"/>
        <v>37.000000499999999</v>
      </c>
      <c r="N81" s="207">
        <f t="shared" si="33"/>
        <v>5.8999999999999995</v>
      </c>
      <c r="O81" s="1092"/>
      <c r="P81" s="206">
        <v>920</v>
      </c>
      <c r="Q81" s="206">
        <v>9.9999999999999995E-7</v>
      </c>
      <c r="R81" s="209" t="s">
        <v>103</v>
      </c>
      <c r="S81" s="125"/>
      <c r="T81" s="207">
        <f t="shared" si="36"/>
        <v>0</v>
      </c>
      <c r="U81" s="207">
        <v>2.99</v>
      </c>
    </row>
    <row r="82" spans="1:21" x14ac:dyDescent="0.2">
      <c r="A82" s="1095"/>
      <c r="B82" s="1091" t="s">
        <v>299</v>
      </c>
      <c r="C82" s="1091"/>
      <c r="D82" s="1091"/>
      <c r="E82" s="1091"/>
      <c r="F82" s="1084" t="s">
        <v>295</v>
      </c>
      <c r="G82" s="1084" t="s">
        <v>224</v>
      </c>
      <c r="H82" s="1092"/>
      <c r="I82" s="1091" t="s">
        <v>299</v>
      </c>
      <c r="J82" s="1091"/>
      <c r="K82" s="1091"/>
      <c r="L82" s="1091"/>
      <c r="M82" s="1084" t="s">
        <v>295</v>
      </c>
      <c r="N82" s="1084" t="s">
        <v>224</v>
      </c>
      <c r="O82" s="1092"/>
      <c r="P82" s="1091" t="str">
        <f>B82</f>
        <v>Main-PE</v>
      </c>
      <c r="Q82" s="1091"/>
      <c r="R82" s="1091"/>
      <c r="S82" s="1091"/>
      <c r="T82" s="1084" t="s">
        <v>295</v>
      </c>
      <c r="U82" s="1084" t="s">
        <v>224</v>
      </c>
    </row>
    <row r="83" spans="1:21" ht="15" x14ac:dyDescent="0.2">
      <c r="A83" s="1095"/>
      <c r="B83" s="202" t="s">
        <v>300</v>
      </c>
      <c r="C83" s="203">
        <f>C67</f>
        <v>2020</v>
      </c>
      <c r="D83" s="203">
        <f>D67</f>
        <v>2018</v>
      </c>
      <c r="E83" s="203">
        <f>E67</f>
        <v>2016</v>
      </c>
      <c r="F83" s="1084"/>
      <c r="G83" s="1084"/>
      <c r="H83" s="1092"/>
      <c r="I83" s="202" t="s">
        <v>300</v>
      </c>
      <c r="J83" s="203">
        <f>J67</f>
        <v>2022</v>
      </c>
      <c r="K83" s="203">
        <f>K67</f>
        <v>2020</v>
      </c>
      <c r="L83" s="203">
        <f>L67</f>
        <v>2016</v>
      </c>
      <c r="M83" s="1084"/>
      <c r="N83" s="1084"/>
      <c r="O83" s="1092"/>
      <c r="P83" s="202" t="s">
        <v>300</v>
      </c>
      <c r="Q83" s="203">
        <f>Q67</f>
        <v>2020</v>
      </c>
      <c r="R83" s="203" t="str">
        <f>R67</f>
        <v>-</v>
      </c>
      <c r="S83" s="203">
        <f>S67</f>
        <v>2016</v>
      </c>
      <c r="T83" s="1084"/>
      <c r="U83" s="1084"/>
    </row>
    <row r="84" spans="1:21" x14ac:dyDescent="0.2">
      <c r="A84" s="1095"/>
      <c r="B84" s="206">
        <v>10</v>
      </c>
      <c r="C84" s="206">
        <v>9.9999999999999995E-7</v>
      </c>
      <c r="D84" s="206">
        <v>9.9999999999999995E-7</v>
      </c>
      <c r="E84" s="125"/>
      <c r="F84" s="207">
        <f>0.5*(MAX(C84:E84)-MIN(C84:E84))</f>
        <v>0</v>
      </c>
      <c r="G84" s="207">
        <f>(1.7/100)*B84</f>
        <v>0.17</v>
      </c>
      <c r="H84" s="1092"/>
      <c r="I84" s="206">
        <v>10</v>
      </c>
      <c r="J84" s="206">
        <v>9.9999999999999995E-7</v>
      </c>
      <c r="K84" s="206">
        <v>9.9999999999999995E-7</v>
      </c>
      <c r="L84" s="125"/>
      <c r="M84" s="207">
        <f>0.5*(MAX(J84:L84)-MIN(J84:L84))</f>
        <v>0</v>
      </c>
      <c r="N84" s="207">
        <f>(1.7/100)*I84</f>
        <v>0.17</v>
      </c>
      <c r="O84" s="1092"/>
      <c r="P84" s="206">
        <v>10</v>
      </c>
      <c r="Q84" s="206">
        <v>9.9999999999999995E-7</v>
      </c>
      <c r="R84" s="209" t="s">
        <v>103</v>
      </c>
      <c r="S84" s="125"/>
      <c r="T84" s="207">
        <f>0.5*(MAX(Q84:S84)-MIN(Q84:S84))</f>
        <v>0</v>
      </c>
      <c r="U84" s="207">
        <v>0</v>
      </c>
    </row>
    <row r="85" spans="1:21" x14ac:dyDescent="0.2">
      <c r="A85" s="1095"/>
      <c r="B85" s="206">
        <v>20</v>
      </c>
      <c r="C85" s="206">
        <v>9.9999999999999995E-7</v>
      </c>
      <c r="D85" s="206">
        <v>0.1</v>
      </c>
      <c r="E85" s="125"/>
      <c r="F85" s="207">
        <f t="shared" ref="F85:F87" si="37">0.5*(MAX(C85:E85)-MIN(C85:E85))</f>
        <v>4.9999500000000002E-2</v>
      </c>
      <c r="G85" s="207">
        <f>(1.7/100)*B85</f>
        <v>0.34</v>
      </c>
      <c r="H85" s="1092"/>
      <c r="I85" s="206">
        <v>20</v>
      </c>
      <c r="J85" s="206">
        <v>9.9999999999999995E-7</v>
      </c>
      <c r="K85" s="206">
        <v>9.9999999999999995E-7</v>
      </c>
      <c r="L85" s="125"/>
      <c r="M85" s="207">
        <f t="shared" ref="M85:M87" si="38">0.5*(MAX(J85:L85)-MIN(J85:L85))</f>
        <v>0</v>
      </c>
      <c r="N85" s="207">
        <f t="shared" ref="N85:N87" si="39">(1.7/100)*I85</f>
        <v>0.34</v>
      </c>
      <c r="O85" s="1092"/>
      <c r="P85" s="206">
        <v>20</v>
      </c>
      <c r="Q85" s="206">
        <v>9.9999999999999995E-7</v>
      </c>
      <c r="R85" s="209" t="s">
        <v>103</v>
      </c>
      <c r="S85" s="125"/>
      <c r="T85" s="207">
        <f t="shared" ref="T85:T87" si="40">0.5*(MAX(Q85:S85)-MIN(Q85:S85))</f>
        <v>0</v>
      </c>
      <c r="U85" s="207">
        <v>0</v>
      </c>
    </row>
    <row r="86" spans="1:21" x14ac:dyDescent="0.2">
      <c r="A86" s="1095"/>
      <c r="B86" s="206">
        <v>50</v>
      </c>
      <c r="C86" s="206">
        <v>9.9999999999999995E-7</v>
      </c>
      <c r="D86" s="206">
        <v>0.4</v>
      </c>
      <c r="E86" s="125"/>
      <c r="F86" s="207">
        <f t="shared" si="37"/>
        <v>0.19999950000000002</v>
      </c>
      <c r="G86" s="207">
        <f>(1.7/100)*B86</f>
        <v>0.85000000000000009</v>
      </c>
      <c r="H86" s="1092"/>
      <c r="I86" s="206">
        <v>50</v>
      </c>
      <c r="J86" s="206">
        <v>0.2</v>
      </c>
      <c r="K86" s="206">
        <v>9.9999999999999995E-7</v>
      </c>
      <c r="L86" s="125"/>
      <c r="M86" s="207">
        <f t="shared" si="38"/>
        <v>9.9999500000000005E-2</v>
      </c>
      <c r="N86" s="207">
        <f t="shared" si="39"/>
        <v>0.85000000000000009</v>
      </c>
      <c r="O86" s="1092"/>
      <c r="P86" s="206">
        <v>50</v>
      </c>
      <c r="Q86" s="206">
        <v>9.9999999999999995E-7</v>
      </c>
      <c r="R86" s="209" t="s">
        <v>103</v>
      </c>
      <c r="S86" s="125"/>
      <c r="T86" s="207">
        <f t="shared" si="40"/>
        <v>0</v>
      </c>
      <c r="U86" s="207">
        <v>0</v>
      </c>
    </row>
    <row r="87" spans="1:21" x14ac:dyDescent="0.2">
      <c r="A87" s="1095"/>
      <c r="B87" s="206">
        <v>100</v>
      </c>
      <c r="C87" s="206">
        <v>9.9999999999999995E-7</v>
      </c>
      <c r="D87" s="206">
        <v>1.4</v>
      </c>
      <c r="E87" s="125"/>
      <c r="F87" s="207">
        <f t="shared" si="37"/>
        <v>0.6999995</v>
      </c>
      <c r="G87" s="207">
        <f>(1.7/100)*B87</f>
        <v>1.7000000000000002</v>
      </c>
      <c r="H87" s="1092"/>
      <c r="I87" s="206">
        <v>100</v>
      </c>
      <c r="J87" s="206">
        <v>0.4</v>
      </c>
      <c r="K87" s="206">
        <v>9.9999999999999995E-7</v>
      </c>
      <c r="L87" s="125"/>
      <c r="M87" s="207">
        <f t="shared" si="38"/>
        <v>0.19999950000000002</v>
      </c>
      <c r="N87" s="207">
        <f t="shared" si="39"/>
        <v>1.7000000000000002</v>
      </c>
      <c r="O87" s="1092"/>
      <c r="P87" s="206">
        <v>100</v>
      </c>
      <c r="Q87" s="206">
        <v>9.9999999999999995E-7</v>
      </c>
      <c r="R87" s="209" t="s">
        <v>103</v>
      </c>
      <c r="S87" s="125"/>
      <c r="T87" s="207">
        <f t="shared" si="40"/>
        <v>0</v>
      </c>
      <c r="U87" s="207">
        <v>0</v>
      </c>
    </row>
    <row r="88" spans="1:21" ht="12.75" customHeight="1" x14ac:dyDescent="0.2">
      <c r="A88" s="1095"/>
      <c r="B88" s="1091" t="s">
        <v>301</v>
      </c>
      <c r="C88" s="1091"/>
      <c r="D88" s="1091"/>
      <c r="E88" s="1091"/>
      <c r="F88" s="1084" t="s">
        <v>295</v>
      </c>
      <c r="G88" s="1084" t="s">
        <v>224</v>
      </c>
      <c r="H88" s="1092"/>
      <c r="I88" s="1091" t="s">
        <v>301</v>
      </c>
      <c r="J88" s="1091"/>
      <c r="K88" s="1091"/>
      <c r="L88" s="1091"/>
      <c r="M88" s="1084" t="s">
        <v>295</v>
      </c>
      <c r="N88" s="1084" t="s">
        <v>224</v>
      </c>
      <c r="O88" s="1092"/>
      <c r="P88" s="1091" t="str">
        <f>B88</f>
        <v>Resistance</v>
      </c>
      <c r="Q88" s="1091"/>
      <c r="R88" s="1091"/>
      <c r="S88" s="1091"/>
      <c r="T88" s="1084" t="s">
        <v>295</v>
      </c>
      <c r="U88" s="1084" t="s">
        <v>224</v>
      </c>
    </row>
    <row r="89" spans="1:21" ht="15" x14ac:dyDescent="0.2">
      <c r="A89" s="1095"/>
      <c r="B89" s="202" t="s">
        <v>302</v>
      </c>
      <c r="C89" s="203">
        <f>C67</f>
        <v>2020</v>
      </c>
      <c r="D89" s="203">
        <f>D67</f>
        <v>2018</v>
      </c>
      <c r="E89" s="203">
        <f>E67</f>
        <v>2016</v>
      </c>
      <c r="F89" s="1084"/>
      <c r="G89" s="1084"/>
      <c r="H89" s="1092"/>
      <c r="I89" s="202" t="s">
        <v>302</v>
      </c>
      <c r="J89" s="203">
        <f>J67</f>
        <v>2022</v>
      </c>
      <c r="K89" s="203">
        <f>K67</f>
        <v>2020</v>
      </c>
      <c r="L89" s="203">
        <f>L67</f>
        <v>2016</v>
      </c>
      <c r="M89" s="1084"/>
      <c r="N89" s="1084"/>
      <c r="O89" s="1092"/>
      <c r="P89" s="202" t="s">
        <v>302</v>
      </c>
      <c r="Q89" s="203">
        <f>Q67</f>
        <v>2020</v>
      </c>
      <c r="R89" s="203" t="str">
        <f>R67</f>
        <v>-</v>
      </c>
      <c r="S89" s="203">
        <f>S67</f>
        <v>2016</v>
      </c>
      <c r="T89" s="1084"/>
      <c r="U89" s="1084"/>
    </row>
    <row r="90" spans="1:21" x14ac:dyDescent="0.2">
      <c r="A90" s="1095"/>
      <c r="B90" s="206">
        <v>0.01</v>
      </c>
      <c r="C90" s="206">
        <v>9.9999999999999995E-7</v>
      </c>
      <c r="D90" s="206">
        <v>9.9999999999999995E-7</v>
      </c>
      <c r="E90" s="125"/>
      <c r="F90" s="207">
        <f>0.5*(MAX(C90:E90)-MIN(C90:E90))</f>
        <v>0</v>
      </c>
      <c r="G90" s="207">
        <v>0.01</v>
      </c>
      <c r="H90" s="1092"/>
      <c r="I90" s="206">
        <v>0.1</v>
      </c>
      <c r="J90" s="224">
        <v>-1E-3</v>
      </c>
      <c r="K90" s="224">
        <v>-1E-3</v>
      </c>
      <c r="L90" s="125"/>
      <c r="M90" s="225">
        <f>0.5*(MAX(J90:L90)-MIN(J90:L90))</f>
        <v>0</v>
      </c>
      <c r="N90" s="225">
        <f>(1.2/100)*I90</f>
        <v>1.2000000000000001E-3</v>
      </c>
      <c r="O90" s="1092"/>
      <c r="P90" s="206">
        <v>1E-3</v>
      </c>
      <c r="Q90" s="206">
        <v>-1E-3</v>
      </c>
      <c r="R90" s="209" t="s">
        <v>103</v>
      </c>
      <c r="S90" s="125"/>
      <c r="T90" s="207">
        <f>0.5*(MAX(Q90:S90)-MIN(Q90:S90))</f>
        <v>0</v>
      </c>
      <c r="U90" s="207">
        <f>(1.2/100)*P90</f>
        <v>1.2E-5</v>
      </c>
    </row>
    <row r="91" spans="1:21" x14ac:dyDescent="0.2">
      <c r="A91" s="1095"/>
      <c r="B91" s="206">
        <v>0.5</v>
      </c>
      <c r="C91" s="206">
        <v>9.9999999999999995E-7</v>
      </c>
      <c r="D91" s="206">
        <v>1E-3</v>
      </c>
      <c r="E91" s="125"/>
      <c r="F91" s="207">
        <f t="shared" ref="F91:F93" si="41">0.5*(MAX(C91:E91)-MIN(C91:E91))</f>
        <v>4.9950000000000005E-4</v>
      </c>
      <c r="G91" s="207">
        <f>(1.2/100)*B91</f>
        <v>6.0000000000000001E-3</v>
      </c>
      <c r="H91" s="1092"/>
      <c r="I91" s="206">
        <v>0.5</v>
      </c>
      <c r="J91" s="224">
        <v>4.0000000000000001E-3</v>
      </c>
      <c r="K91" s="224">
        <v>-3.0000000000000001E-3</v>
      </c>
      <c r="L91" s="125"/>
      <c r="M91" s="225">
        <f t="shared" ref="M91:M93" si="42">0.5*(MAX(J91:L91)-MIN(J91:L91))</f>
        <v>3.5000000000000001E-3</v>
      </c>
      <c r="N91" s="225">
        <f>(1.2/100)*I91</f>
        <v>6.0000000000000001E-3</v>
      </c>
      <c r="O91" s="1092"/>
      <c r="P91" s="206">
        <v>0.10199999999999999</v>
      </c>
      <c r="Q91" s="206">
        <v>-2E-3</v>
      </c>
      <c r="R91" s="209" t="s">
        <v>103</v>
      </c>
      <c r="S91" s="125"/>
      <c r="T91" s="207">
        <f t="shared" ref="T91:T93" si="43">0.5*(MAX(Q91:S91)-MIN(Q91:S91))</f>
        <v>0</v>
      </c>
      <c r="U91" s="207">
        <f>(1.2/100)*P91</f>
        <v>1.224E-3</v>
      </c>
    </row>
    <row r="92" spans="1:21" x14ac:dyDescent="0.2">
      <c r="A92" s="1095"/>
      <c r="B92" s="206">
        <v>1</v>
      </c>
      <c r="C92" s="206">
        <v>-2E-3</v>
      </c>
      <c r="D92" s="206">
        <v>1E-3</v>
      </c>
      <c r="E92" s="125"/>
      <c r="F92" s="207">
        <f t="shared" si="41"/>
        <v>1.5E-3</v>
      </c>
      <c r="G92" s="207">
        <f>(1.2/100)*B92</f>
        <v>1.2E-2</v>
      </c>
      <c r="H92" s="1092"/>
      <c r="I92" s="206">
        <v>1</v>
      </c>
      <c r="J92" s="224">
        <v>5.0000000000000001E-3</v>
      </c>
      <c r="K92" s="224">
        <v>1E-3</v>
      </c>
      <c r="L92" s="125"/>
      <c r="M92" s="225">
        <f t="shared" si="42"/>
        <v>2E-3</v>
      </c>
      <c r="N92" s="225">
        <f>(1.2/100)*I92</f>
        <v>1.2E-2</v>
      </c>
      <c r="O92" s="1092"/>
      <c r="P92" s="206">
        <v>0.5</v>
      </c>
      <c r="Q92" s="206">
        <v>9.9999999999999995E-7</v>
      </c>
      <c r="R92" s="209" t="s">
        <v>103</v>
      </c>
      <c r="S92" s="125"/>
      <c r="T92" s="207">
        <f t="shared" si="43"/>
        <v>0</v>
      </c>
      <c r="U92" s="207">
        <f>(1.2/100)*P92</f>
        <v>6.0000000000000001E-3</v>
      </c>
    </row>
    <row r="93" spans="1:21" x14ac:dyDescent="0.2">
      <c r="A93" s="1095"/>
      <c r="B93" s="206">
        <v>2</v>
      </c>
      <c r="C93" s="206">
        <v>9.9999999999999995E-7</v>
      </c>
      <c r="D93" s="206">
        <v>9.9999999999999995E-7</v>
      </c>
      <c r="E93" s="125"/>
      <c r="F93" s="207">
        <f t="shared" si="41"/>
        <v>0</v>
      </c>
      <c r="G93" s="207">
        <f>(1.2/100)*B93</f>
        <v>2.4E-2</v>
      </c>
      <c r="H93" s="1092"/>
      <c r="I93" s="206">
        <v>2</v>
      </c>
      <c r="J93" s="224">
        <v>5.0000000000000001E-3</v>
      </c>
      <c r="K93" s="224">
        <v>-1E-3</v>
      </c>
      <c r="L93" s="125"/>
      <c r="M93" s="225">
        <f t="shared" si="42"/>
        <v>3.0000000000000001E-3</v>
      </c>
      <c r="N93" s="225">
        <f>(1.2/100)*I93</f>
        <v>2.4E-2</v>
      </c>
      <c r="O93" s="1092"/>
      <c r="P93" s="215">
        <v>1</v>
      </c>
      <c r="Q93" s="215">
        <v>-1E-3</v>
      </c>
      <c r="R93" s="216" t="s">
        <v>103</v>
      </c>
      <c r="S93" s="125"/>
      <c r="T93" s="217">
        <f t="shared" si="43"/>
        <v>0</v>
      </c>
      <c r="U93" s="207">
        <f>(1.2/100)*P93</f>
        <v>1.2E-2</v>
      </c>
    </row>
    <row r="94" spans="1:21" ht="15.75" x14ac:dyDescent="0.2">
      <c r="A94" s="226"/>
      <c r="B94" s="219"/>
      <c r="C94" s="219"/>
      <c r="D94" s="220"/>
      <c r="E94" s="112"/>
      <c r="F94" s="220"/>
      <c r="H94" s="221"/>
      <c r="I94" s="219"/>
      <c r="J94" s="219"/>
      <c r="K94" s="220"/>
      <c r="L94" s="220"/>
      <c r="M94" s="220"/>
      <c r="O94" s="221"/>
      <c r="P94" s="219"/>
      <c r="Q94" s="219"/>
      <c r="R94" s="220"/>
      <c r="S94" s="220"/>
      <c r="T94" s="220"/>
    </row>
    <row r="95" spans="1:21" ht="15" x14ac:dyDescent="0.2">
      <c r="A95" s="1095" t="s">
        <v>313</v>
      </c>
      <c r="B95" s="1096">
        <v>10</v>
      </c>
      <c r="C95" s="1096"/>
      <c r="D95" s="1096"/>
      <c r="E95" s="1096"/>
      <c r="F95" s="1096"/>
      <c r="G95" s="1096"/>
      <c r="H95" s="1092" t="s">
        <v>314</v>
      </c>
      <c r="I95" s="1093">
        <v>11</v>
      </c>
      <c r="J95" s="1093"/>
      <c r="K95" s="1093"/>
      <c r="L95" s="1093"/>
      <c r="M95" s="1093"/>
      <c r="N95" s="1093"/>
      <c r="O95" s="1092" t="s">
        <v>315</v>
      </c>
      <c r="P95" s="1093">
        <v>12</v>
      </c>
      <c r="Q95" s="1093"/>
      <c r="R95" s="1093"/>
      <c r="S95" s="1093"/>
      <c r="T95" s="1093"/>
      <c r="U95" s="1093"/>
    </row>
    <row r="96" spans="1:21" ht="15" x14ac:dyDescent="0.25">
      <c r="A96" s="1095"/>
      <c r="B96" s="1097" t="s">
        <v>293</v>
      </c>
      <c r="C96" s="1097"/>
      <c r="D96" s="1097"/>
      <c r="E96" s="1097"/>
      <c r="F96" s="1097"/>
      <c r="G96" s="1097"/>
      <c r="H96" s="1092"/>
      <c r="I96" s="1094" t="s">
        <v>293</v>
      </c>
      <c r="J96" s="1094"/>
      <c r="K96" s="1094"/>
      <c r="L96" s="1094"/>
      <c r="M96" s="1094"/>
      <c r="N96" s="1094"/>
      <c r="O96" s="1092"/>
      <c r="P96" s="1094" t="s">
        <v>293</v>
      </c>
      <c r="Q96" s="1094"/>
      <c r="R96" s="1094"/>
      <c r="S96" s="1094"/>
      <c r="T96" s="1094"/>
      <c r="U96" s="1094"/>
    </row>
    <row r="97" spans="1:21" x14ac:dyDescent="0.2">
      <c r="A97" s="1095"/>
      <c r="B97" s="1084" t="s">
        <v>294</v>
      </c>
      <c r="C97" s="1084"/>
      <c r="D97" s="1084"/>
      <c r="E97" s="1084"/>
      <c r="F97" s="1084" t="s">
        <v>295</v>
      </c>
      <c r="G97" s="1084" t="s">
        <v>224</v>
      </c>
      <c r="H97" s="1092"/>
      <c r="I97" s="1084" t="str">
        <f>B97</f>
        <v>Setting VAC</v>
      </c>
      <c r="J97" s="1084"/>
      <c r="K97" s="1084"/>
      <c r="L97" s="1084"/>
      <c r="M97" s="1084" t="s">
        <v>295</v>
      </c>
      <c r="N97" s="1084" t="s">
        <v>224</v>
      </c>
      <c r="O97" s="1092"/>
      <c r="P97" s="1084" t="str">
        <f>B97</f>
        <v>Setting VAC</v>
      </c>
      <c r="Q97" s="1084"/>
      <c r="R97" s="1084"/>
      <c r="S97" s="1084"/>
      <c r="T97" s="1084" t="s">
        <v>295</v>
      </c>
      <c r="U97" s="1084" t="s">
        <v>224</v>
      </c>
    </row>
    <row r="98" spans="1:21" ht="15" x14ac:dyDescent="0.2">
      <c r="A98" s="1095"/>
      <c r="B98" s="202" t="s">
        <v>296</v>
      </c>
      <c r="C98" s="204">
        <v>2021</v>
      </c>
      <c r="D98" s="204" t="s">
        <v>103</v>
      </c>
      <c r="E98" s="203">
        <v>2016</v>
      </c>
      <c r="F98" s="1084"/>
      <c r="G98" s="1084"/>
      <c r="H98" s="1092"/>
      <c r="I98" s="202" t="s">
        <v>296</v>
      </c>
      <c r="J98" s="204" t="s">
        <v>103</v>
      </c>
      <c r="K98" s="204" t="s">
        <v>103</v>
      </c>
      <c r="L98" s="203">
        <v>2016</v>
      </c>
      <c r="M98" s="1084"/>
      <c r="N98" s="1084"/>
      <c r="O98" s="1092"/>
      <c r="P98" s="202" t="s">
        <v>296</v>
      </c>
      <c r="Q98" s="204" t="s">
        <v>103</v>
      </c>
      <c r="R98" s="204" t="s">
        <v>103</v>
      </c>
      <c r="S98" s="203">
        <v>2016</v>
      </c>
      <c r="T98" s="1084"/>
      <c r="U98" s="1084"/>
    </row>
    <row r="99" spans="1:21" x14ac:dyDescent="0.2">
      <c r="A99" s="1095"/>
      <c r="B99" s="206">
        <v>150</v>
      </c>
      <c r="C99" s="206">
        <v>-0.05</v>
      </c>
      <c r="D99" s="208" t="s">
        <v>103</v>
      </c>
      <c r="E99" s="209"/>
      <c r="F99" s="207">
        <f>0.5*(MAX(C99:E99)-MIN(C99:E99))</f>
        <v>0</v>
      </c>
      <c r="G99" s="208" t="s">
        <v>103</v>
      </c>
      <c r="H99" s="1092"/>
      <c r="I99" s="206">
        <v>150</v>
      </c>
      <c r="J99" s="206">
        <v>9.9999999999999995E-7</v>
      </c>
      <c r="K99" s="208" t="s">
        <v>103</v>
      </c>
      <c r="L99" s="125"/>
      <c r="M99" s="207">
        <f>0.5*(MAX(J99:L99)-MIN(J99:L99))</f>
        <v>0</v>
      </c>
      <c r="N99" s="208" t="s">
        <v>103</v>
      </c>
      <c r="O99" s="1092"/>
      <c r="P99" s="206">
        <v>150</v>
      </c>
      <c r="Q99" s="206">
        <v>9.9999999999999995E-7</v>
      </c>
      <c r="R99" s="208" t="s">
        <v>103</v>
      </c>
      <c r="S99" s="125"/>
      <c r="T99" s="207">
        <f>0.5*(MAX(Q99:S99)-MIN(Q99:S99))</f>
        <v>0</v>
      </c>
      <c r="U99" s="208" t="s">
        <v>103</v>
      </c>
    </row>
    <row r="100" spans="1:21" x14ac:dyDescent="0.2">
      <c r="A100" s="1095"/>
      <c r="B100" s="206">
        <v>180</v>
      </c>
      <c r="C100" s="206">
        <v>-0.04</v>
      </c>
      <c r="D100" s="209" t="s">
        <v>103</v>
      </c>
      <c r="E100" s="209"/>
      <c r="F100" s="207">
        <f t="shared" ref="F100:F104" si="44">0.5*(MAX(C100:E100)-MIN(C100:E100))</f>
        <v>0</v>
      </c>
      <c r="G100" s="208" t="s">
        <v>103</v>
      </c>
      <c r="H100" s="1092"/>
      <c r="I100" s="206">
        <v>180</v>
      </c>
      <c r="J100" s="206">
        <v>9.9999999999999995E-7</v>
      </c>
      <c r="K100" s="209" t="s">
        <v>103</v>
      </c>
      <c r="L100" s="125"/>
      <c r="M100" s="207">
        <f t="shared" ref="M100:M104" si="45">0.5*(MAX(J100:L100)-MIN(J100:L100))</f>
        <v>0</v>
      </c>
      <c r="N100" s="209" t="s">
        <v>103</v>
      </c>
      <c r="O100" s="1092"/>
      <c r="P100" s="206">
        <v>180</v>
      </c>
      <c r="Q100" s="206">
        <v>9.9999999999999995E-7</v>
      </c>
      <c r="R100" s="209" t="s">
        <v>103</v>
      </c>
      <c r="S100" s="125"/>
      <c r="T100" s="207">
        <f t="shared" ref="T100:T104" si="46">0.5*(MAX(Q100:S100)-MIN(Q100:S100))</f>
        <v>0</v>
      </c>
      <c r="U100" s="209" t="s">
        <v>103</v>
      </c>
    </row>
    <row r="101" spans="1:21" x14ac:dyDescent="0.2">
      <c r="A101" s="1095"/>
      <c r="B101" s="206">
        <v>200</v>
      </c>
      <c r="C101" s="206">
        <v>-0.67</v>
      </c>
      <c r="D101" s="209" t="s">
        <v>103</v>
      </c>
      <c r="E101" s="209"/>
      <c r="F101" s="207">
        <f t="shared" si="44"/>
        <v>0</v>
      </c>
      <c r="G101" s="208" t="s">
        <v>103</v>
      </c>
      <c r="H101" s="1092"/>
      <c r="I101" s="206">
        <v>200</v>
      </c>
      <c r="J101" s="206">
        <v>9.9999999999999995E-7</v>
      </c>
      <c r="K101" s="209" t="s">
        <v>103</v>
      </c>
      <c r="L101" s="125"/>
      <c r="M101" s="207">
        <f t="shared" si="45"/>
        <v>0</v>
      </c>
      <c r="N101" s="209" t="s">
        <v>103</v>
      </c>
      <c r="O101" s="1092"/>
      <c r="P101" s="206">
        <v>200</v>
      </c>
      <c r="Q101" s="206">
        <v>9.9999999999999995E-7</v>
      </c>
      <c r="R101" s="209" t="s">
        <v>103</v>
      </c>
      <c r="S101" s="125"/>
      <c r="T101" s="207">
        <f t="shared" si="46"/>
        <v>0</v>
      </c>
      <c r="U101" s="209" t="s">
        <v>103</v>
      </c>
    </row>
    <row r="102" spans="1:21" x14ac:dyDescent="0.2">
      <c r="A102" s="1095"/>
      <c r="B102" s="206">
        <v>220</v>
      </c>
      <c r="C102" s="206">
        <v>9.9999999999999995E-7</v>
      </c>
      <c r="D102" s="209" t="s">
        <v>103</v>
      </c>
      <c r="E102" s="209"/>
      <c r="F102" s="207">
        <f t="shared" si="44"/>
        <v>0</v>
      </c>
      <c r="G102" s="208" t="s">
        <v>103</v>
      </c>
      <c r="H102" s="1092"/>
      <c r="I102" s="206">
        <v>220</v>
      </c>
      <c r="J102" s="206">
        <v>9.9999999999999995E-7</v>
      </c>
      <c r="K102" s="209" t="s">
        <v>103</v>
      </c>
      <c r="L102" s="125"/>
      <c r="M102" s="207">
        <f t="shared" si="45"/>
        <v>0</v>
      </c>
      <c r="N102" s="209" t="s">
        <v>103</v>
      </c>
      <c r="O102" s="1092"/>
      <c r="P102" s="206">
        <v>220</v>
      </c>
      <c r="Q102" s="206">
        <v>9.9999999999999995E-7</v>
      </c>
      <c r="R102" s="209" t="s">
        <v>103</v>
      </c>
      <c r="S102" s="125"/>
      <c r="T102" s="207">
        <f t="shared" si="46"/>
        <v>0</v>
      </c>
      <c r="U102" s="209" t="s">
        <v>103</v>
      </c>
    </row>
    <row r="103" spans="1:21" x14ac:dyDescent="0.2">
      <c r="A103" s="1095"/>
      <c r="B103" s="206">
        <v>230</v>
      </c>
      <c r="C103" s="206">
        <v>-0.11</v>
      </c>
      <c r="D103" s="209" t="s">
        <v>103</v>
      </c>
      <c r="E103" s="209"/>
      <c r="F103" s="207">
        <f t="shared" si="44"/>
        <v>0</v>
      </c>
      <c r="G103" s="208" t="s">
        <v>103</v>
      </c>
      <c r="H103" s="1092"/>
      <c r="I103" s="206">
        <v>230</v>
      </c>
      <c r="J103" s="206">
        <v>9.9999999999999995E-7</v>
      </c>
      <c r="K103" s="209" t="s">
        <v>103</v>
      </c>
      <c r="L103" s="125"/>
      <c r="M103" s="207">
        <f t="shared" si="45"/>
        <v>0</v>
      </c>
      <c r="N103" s="209" t="s">
        <v>103</v>
      </c>
      <c r="O103" s="1092"/>
      <c r="P103" s="206">
        <v>230</v>
      </c>
      <c r="Q103" s="206">
        <v>9.9999999999999995E-7</v>
      </c>
      <c r="R103" s="209" t="s">
        <v>103</v>
      </c>
      <c r="S103" s="125"/>
      <c r="T103" s="207">
        <f t="shared" si="46"/>
        <v>0</v>
      </c>
      <c r="U103" s="209" t="s">
        <v>103</v>
      </c>
    </row>
    <row r="104" spans="1:21" x14ac:dyDescent="0.2">
      <c r="A104" s="1095"/>
      <c r="B104" s="206">
        <v>250</v>
      </c>
      <c r="C104" s="206">
        <v>-0.11</v>
      </c>
      <c r="D104" s="209" t="s">
        <v>103</v>
      </c>
      <c r="E104" s="209"/>
      <c r="F104" s="207">
        <f t="shared" si="44"/>
        <v>0</v>
      </c>
      <c r="G104" s="208" t="s">
        <v>103</v>
      </c>
      <c r="H104" s="1092"/>
      <c r="I104" s="206">
        <v>250</v>
      </c>
      <c r="J104" s="206">
        <v>9.9999999999999995E-7</v>
      </c>
      <c r="K104" s="209" t="s">
        <v>103</v>
      </c>
      <c r="L104" s="125"/>
      <c r="M104" s="207">
        <f t="shared" si="45"/>
        <v>0</v>
      </c>
      <c r="N104" s="209" t="s">
        <v>103</v>
      </c>
      <c r="O104" s="1092"/>
      <c r="P104" s="206">
        <v>250</v>
      </c>
      <c r="Q104" s="206">
        <v>9.9999999999999995E-7</v>
      </c>
      <c r="R104" s="209" t="s">
        <v>103</v>
      </c>
      <c r="S104" s="125"/>
      <c r="T104" s="207">
        <f t="shared" si="46"/>
        <v>0</v>
      </c>
      <c r="U104" s="209" t="s">
        <v>103</v>
      </c>
    </row>
    <row r="105" spans="1:21" ht="12.95" customHeight="1" x14ac:dyDescent="0.2">
      <c r="A105" s="1095"/>
      <c r="B105" s="1091" t="s">
        <v>297</v>
      </c>
      <c r="C105" s="1091"/>
      <c r="D105" s="1091"/>
      <c r="E105" s="1091"/>
      <c r="F105" s="1084" t="s">
        <v>295</v>
      </c>
      <c r="G105" s="1084" t="s">
        <v>224</v>
      </c>
      <c r="H105" s="1092"/>
      <c r="I105" s="1091" t="str">
        <f>B105</f>
        <v>Current Leakage</v>
      </c>
      <c r="J105" s="1091"/>
      <c r="K105" s="1091"/>
      <c r="L105" s="1091"/>
      <c r="M105" s="1084" t="s">
        <v>295</v>
      </c>
      <c r="N105" s="1084" t="s">
        <v>224</v>
      </c>
      <c r="O105" s="1092"/>
      <c r="P105" s="1091" t="str">
        <f>B105</f>
        <v>Current Leakage</v>
      </c>
      <c r="Q105" s="1091"/>
      <c r="R105" s="1091"/>
      <c r="S105" s="1091"/>
      <c r="T105" s="1084" t="s">
        <v>295</v>
      </c>
      <c r="U105" s="1084" t="s">
        <v>224</v>
      </c>
    </row>
    <row r="106" spans="1:21" ht="15" x14ac:dyDescent="0.2">
      <c r="A106" s="1095"/>
      <c r="B106" s="202" t="s">
        <v>298</v>
      </c>
      <c r="C106" s="203">
        <f>C98</f>
        <v>2021</v>
      </c>
      <c r="D106" s="203" t="str">
        <f>D98</f>
        <v>-</v>
      </c>
      <c r="E106" s="203">
        <f>E98</f>
        <v>2016</v>
      </c>
      <c r="F106" s="1084"/>
      <c r="G106" s="1084"/>
      <c r="H106" s="1092"/>
      <c r="I106" s="202" t="s">
        <v>298</v>
      </c>
      <c r="J106" s="203" t="str">
        <f>J98</f>
        <v>-</v>
      </c>
      <c r="K106" s="203" t="str">
        <f>K98</f>
        <v>-</v>
      </c>
      <c r="L106" s="203">
        <f>L98</f>
        <v>2016</v>
      </c>
      <c r="M106" s="1084"/>
      <c r="N106" s="1084"/>
      <c r="O106" s="1092"/>
      <c r="P106" s="202" t="s">
        <v>298</v>
      </c>
      <c r="Q106" s="203" t="str">
        <f>Q98</f>
        <v>-</v>
      </c>
      <c r="R106" s="203" t="str">
        <f>R98</f>
        <v>-</v>
      </c>
      <c r="S106" s="203">
        <f>S98</f>
        <v>2016</v>
      </c>
      <c r="T106" s="1084"/>
      <c r="U106" s="1084"/>
    </row>
    <row r="107" spans="1:21" x14ac:dyDescent="0.2">
      <c r="A107" s="1095"/>
      <c r="B107" s="206">
        <v>0</v>
      </c>
      <c r="C107" s="206">
        <v>9.9999999999999995E-7</v>
      </c>
      <c r="D107" s="208" t="s">
        <v>103</v>
      </c>
      <c r="E107" s="125"/>
      <c r="F107" s="207">
        <f>0.5*(MAX(C107:E107)-MIN(C107:E107))</f>
        <v>0</v>
      </c>
      <c r="G107" s="208" t="s">
        <v>103</v>
      </c>
      <c r="H107" s="1092"/>
      <c r="I107" s="206">
        <v>0</v>
      </c>
      <c r="J107" s="206">
        <v>9.9999999999999995E-7</v>
      </c>
      <c r="K107" s="208" t="s">
        <v>103</v>
      </c>
      <c r="L107" s="125"/>
      <c r="M107" s="207">
        <f>0.5*(MAX(J107:L107)-MIN(J107:L107))</f>
        <v>0</v>
      </c>
      <c r="N107" s="208" t="s">
        <v>103</v>
      </c>
      <c r="O107" s="1092"/>
      <c r="P107" s="206">
        <v>0</v>
      </c>
      <c r="Q107" s="206">
        <v>9.9999999999999995E-7</v>
      </c>
      <c r="R107" s="208" t="s">
        <v>103</v>
      </c>
      <c r="S107" s="125"/>
      <c r="T107" s="207">
        <f>0.5*(MAX(Q107:S107)-MIN(Q107:S107))</f>
        <v>0</v>
      </c>
      <c r="U107" s="208" t="s">
        <v>103</v>
      </c>
    </row>
    <row r="108" spans="1:21" x14ac:dyDescent="0.2">
      <c r="A108" s="1095"/>
      <c r="B108" s="206">
        <v>50</v>
      </c>
      <c r="C108" s="206">
        <v>0.4</v>
      </c>
      <c r="D108" s="209" t="s">
        <v>103</v>
      </c>
      <c r="E108" s="125"/>
      <c r="F108" s="207">
        <f t="shared" ref="F108:F112" si="47">0.5*(MAX(C108:E108)-MIN(C108:E108))</f>
        <v>0</v>
      </c>
      <c r="G108" s="208" t="s">
        <v>103</v>
      </c>
      <c r="H108" s="1092"/>
      <c r="I108" s="206">
        <v>50</v>
      </c>
      <c r="J108" s="206">
        <v>9.9999999999999995E-7</v>
      </c>
      <c r="K108" s="209" t="s">
        <v>103</v>
      </c>
      <c r="L108" s="125"/>
      <c r="M108" s="207">
        <f t="shared" ref="M108:M112" si="48">0.5*(MAX(J108:L108)-MIN(J108:L108))</f>
        <v>0</v>
      </c>
      <c r="N108" s="209" t="s">
        <v>103</v>
      </c>
      <c r="O108" s="1092"/>
      <c r="P108" s="206">
        <v>50</v>
      </c>
      <c r="Q108" s="206">
        <v>9.9999999999999995E-7</v>
      </c>
      <c r="R108" s="209" t="s">
        <v>103</v>
      </c>
      <c r="S108" s="125"/>
      <c r="T108" s="207">
        <f t="shared" ref="T108:T112" si="49">0.5*(MAX(Q108:S108)-MIN(Q108:S108))</f>
        <v>0</v>
      </c>
      <c r="U108" s="209" t="s">
        <v>103</v>
      </c>
    </row>
    <row r="109" spans="1:21" x14ac:dyDescent="0.2">
      <c r="A109" s="1095"/>
      <c r="B109" s="206">
        <v>100</v>
      </c>
      <c r="C109" s="206">
        <v>0.4</v>
      </c>
      <c r="D109" s="209" t="s">
        <v>103</v>
      </c>
      <c r="E109" s="125"/>
      <c r="F109" s="207">
        <f t="shared" si="47"/>
        <v>0</v>
      </c>
      <c r="G109" s="208" t="s">
        <v>103</v>
      </c>
      <c r="H109" s="1092"/>
      <c r="I109" s="206">
        <v>100</v>
      </c>
      <c r="J109" s="206">
        <v>9.9999999999999995E-7</v>
      </c>
      <c r="K109" s="209" t="s">
        <v>103</v>
      </c>
      <c r="L109" s="125"/>
      <c r="M109" s="207">
        <f t="shared" si="48"/>
        <v>0</v>
      </c>
      <c r="N109" s="209" t="s">
        <v>103</v>
      </c>
      <c r="O109" s="1092"/>
      <c r="P109" s="206">
        <v>100</v>
      </c>
      <c r="Q109" s="206">
        <v>9.9999999999999995E-7</v>
      </c>
      <c r="R109" s="209" t="s">
        <v>103</v>
      </c>
      <c r="S109" s="125"/>
      <c r="T109" s="207">
        <f t="shared" si="49"/>
        <v>0</v>
      </c>
      <c r="U109" s="209" t="s">
        <v>103</v>
      </c>
    </row>
    <row r="110" spans="1:21" x14ac:dyDescent="0.2">
      <c r="A110" s="1095"/>
      <c r="B110" s="206">
        <v>200</v>
      </c>
      <c r="C110" s="206">
        <v>0.4</v>
      </c>
      <c r="D110" s="209" t="s">
        <v>103</v>
      </c>
      <c r="E110" s="125"/>
      <c r="F110" s="207">
        <f t="shared" si="47"/>
        <v>0</v>
      </c>
      <c r="G110" s="208" t="s">
        <v>103</v>
      </c>
      <c r="H110" s="1092"/>
      <c r="I110" s="206">
        <v>200</v>
      </c>
      <c r="J110" s="206">
        <v>9.9999999999999995E-7</v>
      </c>
      <c r="K110" s="209" t="s">
        <v>103</v>
      </c>
      <c r="L110" s="125"/>
      <c r="M110" s="207">
        <f t="shared" si="48"/>
        <v>0</v>
      </c>
      <c r="N110" s="209" t="s">
        <v>103</v>
      </c>
      <c r="O110" s="1092"/>
      <c r="P110" s="206">
        <v>200</v>
      </c>
      <c r="Q110" s="206">
        <v>9.9999999999999995E-7</v>
      </c>
      <c r="R110" s="209" t="s">
        <v>103</v>
      </c>
      <c r="S110" s="125"/>
      <c r="T110" s="207">
        <f t="shared" si="49"/>
        <v>0</v>
      </c>
      <c r="U110" s="209" t="s">
        <v>103</v>
      </c>
    </row>
    <row r="111" spans="1:21" x14ac:dyDescent="0.2">
      <c r="A111" s="1095"/>
      <c r="B111" s="206">
        <v>500</v>
      </c>
      <c r="C111" s="206">
        <v>1.5</v>
      </c>
      <c r="D111" s="209" t="s">
        <v>103</v>
      </c>
      <c r="E111" s="125"/>
      <c r="F111" s="207">
        <f t="shared" si="47"/>
        <v>0</v>
      </c>
      <c r="G111" s="208" t="s">
        <v>103</v>
      </c>
      <c r="H111" s="1092"/>
      <c r="I111" s="206">
        <v>500</v>
      </c>
      <c r="J111" s="206">
        <v>9.9999999999999995E-7</v>
      </c>
      <c r="K111" s="209" t="s">
        <v>103</v>
      </c>
      <c r="L111" s="125"/>
      <c r="M111" s="207">
        <f t="shared" si="48"/>
        <v>0</v>
      </c>
      <c r="N111" s="209" t="s">
        <v>103</v>
      </c>
      <c r="O111" s="1092"/>
      <c r="P111" s="206">
        <v>500</v>
      </c>
      <c r="Q111" s="206">
        <v>9.9999999999999995E-7</v>
      </c>
      <c r="R111" s="209" t="s">
        <v>103</v>
      </c>
      <c r="S111" s="125"/>
      <c r="T111" s="207">
        <f t="shared" si="49"/>
        <v>0</v>
      </c>
      <c r="U111" s="209" t="s">
        <v>103</v>
      </c>
    </row>
    <row r="112" spans="1:21" x14ac:dyDescent="0.2">
      <c r="A112" s="1095"/>
      <c r="B112" s="206">
        <v>1000</v>
      </c>
      <c r="C112" s="206">
        <v>2</v>
      </c>
      <c r="D112" s="209" t="s">
        <v>103</v>
      </c>
      <c r="E112" s="125"/>
      <c r="F112" s="207">
        <f t="shared" si="47"/>
        <v>0</v>
      </c>
      <c r="G112" s="208" t="s">
        <v>103</v>
      </c>
      <c r="H112" s="1092"/>
      <c r="I112" s="206">
        <v>1000</v>
      </c>
      <c r="J112" s="206">
        <v>9.9999999999999995E-7</v>
      </c>
      <c r="K112" s="209" t="s">
        <v>103</v>
      </c>
      <c r="L112" s="125"/>
      <c r="M112" s="207">
        <f t="shared" si="48"/>
        <v>0</v>
      </c>
      <c r="N112" s="209" t="s">
        <v>103</v>
      </c>
      <c r="O112" s="1092"/>
      <c r="P112" s="206">
        <v>1000</v>
      </c>
      <c r="Q112" s="206">
        <v>9.9999999999999995E-7</v>
      </c>
      <c r="R112" s="209" t="s">
        <v>103</v>
      </c>
      <c r="S112" s="125"/>
      <c r="T112" s="207">
        <f t="shared" si="49"/>
        <v>0</v>
      </c>
      <c r="U112" s="209" t="s">
        <v>103</v>
      </c>
    </row>
    <row r="113" spans="1:21" x14ac:dyDescent="0.2">
      <c r="A113" s="1095"/>
      <c r="B113" s="1091" t="s">
        <v>299</v>
      </c>
      <c r="C113" s="1091"/>
      <c r="D113" s="1091"/>
      <c r="E113" s="1091"/>
      <c r="F113" s="1084" t="s">
        <v>295</v>
      </c>
      <c r="G113" s="1084" t="s">
        <v>224</v>
      </c>
      <c r="H113" s="1092"/>
      <c r="I113" s="1091" t="s">
        <v>299</v>
      </c>
      <c r="J113" s="1091"/>
      <c r="K113" s="1091"/>
      <c r="L113" s="1091"/>
      <c r="M113" s="1084" t="s">
        <v>295</v>
      </c>
      <c r="N113" s="1084" t="s">
        <v>224</v>
      </c>
      <c r="O113" s="1092"/>
      <c r="P113" s="1091" t="str">
        <f>B113</f>
        <v>Main-PE</v>
      </c>
      <c r="Q113" s="1091"/>
      <c r="R113" s="1091"/>
      <c r="S113" s="1091"/>
      <c r="T113" s="1084" t="s">
        <v>295</v>
      </c>
      <c r="U113" s="1084" t="s">
        <v>224</v>
      </c>
    </row>
    <row r="114" spans="1:21" ht="15" x14ac:dyDescent="0.2">
      <c r="A114" s="1095"/>
      <c r="B114" s="202" t="s">
        <v>300</v>
      </c>
      <c r="C114" s="203">
        <f>C98</f>
        <v>2021</v>
      </c>
      <c r="D114" s="203" t="str">
        <f>D98</f>
        <v>-</v>
      </c>
      <c r="E114" s="203">
        <f>E98</f>
        <v>2016</v>
      </c>
      <c r="F114" s="1084"/>
      <c r="G114" s="1084"/>
      <c r="H114" s="1092"/>
      <c r="I114" s="202" t="s">
        <v>300</v>
      </c>
      <c r="J114" s="203" t="str">
        <f>J98</f>
        <v>-</v>
      </c>
      <c r="K114" s="203" t="str">
        <f>K98</f>
        <v>-</v>
      </c>
      <c r="L114" s="203">
        <f>L98</f>
        <v>2016</v>
      </c>
      <c r="M114" s="1084"/>
      <c r="N114" s="1084"/>
      <c r="O114" s="1092"/>
      <c r="P114" s="202" t="s">
        <v>300</v>
      </c>
      <c r="Q114" s="203" t="str">
        <f>Q98</f>
        <v>-</v>
      </c>
      <c r="R114" s="203" t="str">
        <f>R98</f>
        <v>-</v>
      </c>
      <c r="S114" s="203">
        <f>S98</f>
        <v>2016</v>
      </c>
      <c r="T114" s="1084"/>
      <c r="U114" s="1084"/>
    </row>
    <row r="115" spans="1:21" x14ac:dyDescent="0.2">
      <c r="A115" s="1095"/>
      <c r="B115" s="206">
        <v>10</v>
      </c>
      <c r="C115" s="206">
        <v>9.9999999999999995E-7</v>
      </c>
      <c r="D115" s="209" t="s">
        <v>103</v>
      </c>
      <c r="E115" s="125"/>
      <c r="F115" s="207">
        <f>0.5*(MAX(C115:E115)-MIN(C115:E115))</f>
        <v>0</v>
      </c>
      <c r="G115" s="209" t="s">
        <v>103</v>
      </c>
      <c r="H115" s="1092"/>
      <c r="I115" s="206">
        <v>10</v>
      </c>
      <c r="J115" s="206">
        <v>9.9999999999999995E-7</v>
      </c>
      <c r="K115" s="209" t="s">
        <v>103</v>
      </c>
      <c r="L115" s="125"/>
      <c r="M115" s="207">
        <f>0.5*(MAX(J115:L115)-MIN(J115:L115))</f>
        <v>0</v>
      </c>
      <c r="N115" s="209" t="s">
        <v>103</v>
      </c>
      <c r="O115" s="1092"/>
      <c r="P115" s="206">
        <v>10</v>
      </c>
      <c r="Q115" s="206">
        <v>9.9999999999999995E-7</v>
      </c>
      <c r="R115" s="209" t="s">
        <v>103</v>
      </c>
      <c r="S115" s="125"/>
      <c r="T115" s="207">
        <f>0.5*(MAX(Q115:S115)-MIN(Q115:S115))</f>
        <v>0</v>
      </c>
      <c r="U115" s="209" t="s">
        <v>103</v>
      </c>
    </row>
    <row r="116" spans="1:21" x14ac:dyDescent="0.2">
      <c r="A116" s="1095"/>
      <c r="B116" s="206">
        <v>20</v>
      </c>
      <c r="C116" s="206">
        <v>0.1</v>
      </c>
      <c r="D116" s="209" t="s">
        <v>103</v>
      </c>
      <c r="E116" s="125"/>
      <c r="F116" s="207">
        <f t="shared" ref="F116:F118" si="50">0.5*(MAX(C116:E116)-MIN(C116:E116))</f>
        <v>0</v>
      </c>
      <c r="G116" s="209" t="s">
        <v>103</v>
      </c>
      <c r="H116" s="1092"/>
      <c r="I116" s="206">
        <v>20</v>
      </c>
      <c r="J116" s="206">
        <v>9.9999999999999995E-7</v>
      </c>
      <c r="K116" s="209" t="s">
        <v>103</v>
      </c>
      <c r="L116" s="125"/>
      <c r="M116" s="207">
        <f t="shared" ref="M116:M118" si="51">0.5*(MAX(J116:L116)-MIN(J116:L116))</f>
        <v>0</v>
      </c>
      <c r="N116" s="209" t="s">
        <v>103</v>
      </c>
      <c r="O116" s="1092"/>
      <c r="P116" s="206">
        <v>20</v>
      </c>
      <c r="Q116" s="206">
        <v>9.9999999999999995E-7</v>
      </c>
      <c r="R116" s="209" t="s">
        <v>103</v>
      </c>
      <c r="S116" s="125"/>
      <c r="T116" s="207">
        <f t="shared" ref="T116:T118" si="52">0.5*(MAX(Q116:S116)-MIN(Q116:S116))</f>
        <v>0</v>
      </c>
      <c r="U116" s="209" t="s">
        <v>103</v>
      </c>
    </row>
    <row r="117" spans="1:21" x14ac:dyDescent="0.2">
      <c r="A117" s="1095"/>
      <c r="B117" s="206">
        <v>50</v>
      </c>
      <c r="C117" s="206">
        <v>0.4</v>
      </c>
      <c r="D117" s="209" t="s">
        <v>103</v>
      </c>
      <c r="E117" s="125"/>
      <c r="F117" s="207">
        <f t="shared" si="50"/>
        <v>0</v>
      </c>
      <c r="G117" s="209" t="s">
        <v>103</v>
      </c>
      <c r="H117" s="1092"/>
      <c r="I117" s="206">
        <v>50</v>
      </c>
      <c r="J117" s="206">
        <v>9.9999999999999995E-7</v>
      </c>
      <c r="K117" s="209" t="s">
        <v>103</v>
      </c>
      <c r="L117" s="125"/>
      <c r="M117" s="207">
        <f t="shared" si="51"/>
        <v>0</v>
      </c>
      <c r="N117" s="209" t="s">
        <v>103</v>
      </c>
      <c r="O117" s="1092"/>
      <c r="P117" s="206">
        <v>50</v>
      </c>
      <c r="Q117" s="206">
        <v>9.9999999999999995E-7</v>
      </c>
      <c r="R117" s="209" t="s">
        <v>103</v>
      </c>
      <c r="S117" s="125"/>
      <c r="T117" s="207">
        <f t="shared" si="52"/>
        <v>0</v>
      </c>
      <c r="U117" s="209" t="s">
        <v>103</v>
      </c>
    </row>
    <row r="118" spans="1:21" x14ac:dyDescent="0.2">
      <c r="A118" s="1095"/>
      <c r="B118" s="206">
        <v>100</v>
      </c>
      <c r="C118" s="206">
        <v>1.4</v>
      </c>
      <c r="D118" s="209" t="s">
        <v>103</v>
      </c>
      <c r="E118" s="125"/>
      <c r="F118" s="207">
        <f t="shared" si="50"/>
        <v>0</v>
      </c>
      <c r="G118" s="209" t="s">
        <v>103</v>
      </c>
      <c r="H118" s="1092"/>
      <c r="I118" s="206">
        <v>100</v>
      </c>
      <c r="J118" s="206">
        <v>9.9999999999999995E-7</v>
      </c>
      <c r="K118" s="209" t="s">
        <v>103</v>
      </c>
      <c r="L118" s="125"/>
      <c r="M118" s="207">
        <f t="shared" si="51"/>
        <v>0</v>
      </c>
      <c r="N118" s="209" t="s">
        <v>103</v>
      </c>
      <c r="O118" s="1092"/>
      <c r="P118" s="206">
        <v>100</v>
      </c>
      <c r="Q118" s="206">
        <v>9.9999999999999995E-7</v>
      </c>
      <c r="R118" s="209" t="s">
        <v>103</v>
      </c>
      <c r="S118" s="125"/>
      <c r="T118" s="207">
        <f t="shared" si="52"/>
        <v>0</v>
      </c>
      <c r="U118" s="209" t="s">
        <v>103</v>
      </c>
    </row>
    <row r="119" spans="1:21" ht="12.95" customHeight="1" x14ac:dyDescent="0.2">
      <c r="A119" s="1095"/>
      <c r="B119" s="1091" t="s">
        <v>301</v>
      </c>
      <c r="C119" s="1091"/>
      <c r="D119" s="1091"/>
      <c r="E119" s="1091"/>
      <c r="F119" s="1084" t="s">
        <v>295</v>
      </c>
      <c r="G119" s="1084" t="s">
        <v>224</v>
      </c>
      <c r="H119" s="1092"/>
      <c r="I119" s="1091" t="s">
        <v>301</v>
      </c>
      <c r="J119" s="1091"/>
      <c r="K119" s="1091"/>
      <c r="L119" s="1091"/>
      <c r="M119" s="1084" t="s">
        <v>295</v>
      </c>
      <c r="N119" s="1084" t="s">
        <v>224</v>
      </c>
      <c r="O119" s="1092"/>
      <c r="P119" s="1091" t="str">
        <f>B119</f>
        <v>Resistance</v>
      </c>
      <c r="Q119" s="1091"/>
      <c r="R119" s="1091"/>
      <c r="S119" s="1091"/>
      <c r="T119" s="1084" t="s">
        <v>295</v>
      </c>
      <c r="U119" s="1084" t="s">
        <v>224</v>
      </c>
    </row>
    <row r="120" spans="1:21" ht="15" x14ac:dyDescent="0.2">
      <c r="A120" s="1095"/>
      <c r="B120" s="202" t="s">
        <v>302</v>
      </c>
      <c r="C120" s="203">
        <f>C98</f>
        <v>2021</v>
      </c>
      <c r="D120" s="203" t="str">
        <f>D98</f>
        <v>-</v>
      </c>
      <c r="E120" s="203">
        <f>E98</f>
        <v>2016</v>
      </c>
      <c r="F120" s="1084"/>
      <c r="G120" s="1084"/>
      <c r="H120" s="1092"/>
      <c r="I120" s="202" t="s">
        <v>302</v>
      </c>
      <c r="J120" s="203" t="str">
        <f>J98</f>
        <v>-</v>
      </c>
      <c r="K120" s="203" t="str">
        <f>K98</f>
        <v>-</v>
      </c>
      <c r="L120" s="203">
        <f>L98</f>
        <v>2016</v>
      </c>
      <c r="M120" s="1084"/>
      <c r="N120" s="1084"/>
      <c r="O120" s="1092"/>
      <c r="P120" s="202" t="s">
        <v>302</v>
      </c>
      <c r="Q120" s="203" t="str">
        <f>Q98</f>
        <v>-</v>
      </c>
      <c r="R120" s="203" t="str">
        <f>R98</f>
        <v>-</v>
      </c>
      <c r="S120" s="203">
        <f>S98</f>
        <v>2016</v>
      </c>
      <c r="T120" s="1084"/>
      <c r="U120" s="1084"/>
    </row>
    <row r="121" spans="1:21" x14ac:dyDescent="0.2">
      <c r="A121" s="1095"/>
      <c r="B121" s="206">
        <v>0</v>
      </c>
      <c r="C121" s="206">
        <v>9.9999999999999995E-7</v>
      </c>
      <c r="D121" s="209" t="s">
        <v>103</v>
      </c>
      <c r="E121" s="125"/>
      <c r="F121" s="207">
        <f>0.5*(MAX(C121:E121)-MIN(C121:E121))</f>
        <v>0</v>
      </c>
      <c r="G121" s="209" t="s">
        <v>103</v>
      </c>
      <c r="H121" s="1092"/>
      <c r="I121" s="206">
        <v>0.01</v>
      </c>
      <c r="J121" s="206">
        <v>9.9999999999999995E-7</v>
      </c>
      <c r="K121" s="209" t="s">
        <v>103</v>
      </c>
      <c r="L121" s="125"/>
      <c r="M121" s="207">
        <f>0.5*(MAX(J121:L121)-MIN(J121:L121))</f>
        <v>0</v>
      </c>
      <c r="N121" s="209" t="s">
        <v>103</v>
      </c>
      <c r="O121" s="1092"/>
      <c r="P121" s="206">
        <v>0.01</v>
      </c>
      <c r="Q121" s="206">
        <v>9.9999999999999995E-7</v>
      </c>
      <c r="R121" s="209" t="s">
        <v>103</v>
      </c>
      <c r="S121" s="125"/>
      <c r="T121" s="207">
        <f>0.5*(MAX(Q121:S121)-MIN(Q121:S121))</f>
        <v>0</v>
      </c>
      <c r="U121" s="209" t="s">
        <v>103</v>
      </c>
    </row>
    <row r="122" spans="1:21" x14ac:dyDescent="0.2">
      <c r="A122" s="1095"/>
      <c r="B122" s="206">
        <v>0.1</v>
      </c>
      <c r="C122" s="206">
        <v>-2E-3</v>
      </c>
      <c r="D122" s="209" t="s">
        <v>103</v>
      </c>
      <c r="E122" s="125"/>
      <c r="F122" s="207">
        <f t="shared" ref="F122:F124" si="53">0.5*(MAX(C122:E122)-MIN(C122:E122))</f>
        <v>0</v>
      </c>
      <c r="G122" s="209" t="s">
        <v>103</v>
      </c>
      <c r="H122" s="1092"/>
      <c r="I122" s="206">
        <v>0.1</v>
      </c>
      <c r="J122" s="206">
        <v>9.9999999999999995E-7</v>
      </c>
      <c r="K122" s="209" t="s">
        <v>103</v>
      </c>
      <c r="L122" s="125"/>
      <c r="M122" s="207">
        <f t="shared" ref="M122:M124" si="54">0.5*(MAX(J122:L122)-MIN(J122:L122))</f>
        <v>0</v>
      </c>
      <c r="N122" s="209" t="s">
        <v>103</v>
      </c>
      <c r="O122" s="1092"/>
      <c r="P122" s="206">
        <v>0.1</v>
      </c>
      <c r="Q122" s="206">
        <v>9.9999999999999995E-7</v>
      </c>
      <c r="R122" s="209" t="s">
        <v>103</v>
      </c>
      <c r="S122" s="125"/>
      <c r="T122" s="207">
        <f t="shared" ref="T122:T124" si="55">0.5*(MAX(Q122:S122)-MIN(Q122:S122))</f>
        <v>0</v>
      </c>
      <c r="U122" s="209" t="s">
        <v>103</v>
      </c>
    </row>
    <row r="123" spans="1:21" x14ac:dyDescent="0.2">
      <c r="A123" s="1095"/>
      <c r="B123" s="206">
        <v>1</v>
      </c>
      <c r="C123" s="206">
        <v>-8.0000000000000002E-3</v>
      </c>
      <c r="D123" s="209" t="s">
        <v>103</v>
      </c>
      <c r="E123" s="125"/>
      <c r="F123" s="207">
        <f t="shared" si="53"/>
        <v>0</v>
      </c>
      <c r="G123" s="209" t="s">
        <v>103</v>
      </c>
      <c r="H123" s="1092"/>
      <c r="I123" s="206">
        <v>1</v>
      </c>
      <c r="J123" s="206">
        <v>9.9999999999999995E-7</v>
      </c>
      <c r="K123" s="209" t="s">
        <v>103</v>
      </c>
      <c r="L123" s="125"/>
      <c r="M123" s="207">
        <f t="shared" si="54"/>
        <v>0</v>
      </c>
      <c r="N123" s="209" t="s">
        <v>103</v>
      </c>
      <c r="O123" s="1092"/>
      <c r="P123" s="206">
        <v>1</v>
      </c>
      <c r="Q123" s="206">
        <v>9.9999999999999995E-7</v>
      </c>
      <c r="R123" s="209" t="s">
        <v>103</v>
      </c>
      <c r="S123" s="125"/>
      <c r="T123" s="207">
        <f t="shared" si="55"/>
        <v>0</v>
      </c>
      <c r="U123" s="209" t="s">
        <v>103</v>
      </c>
    </row>
    <row r="124" spans="1:21" x14ac:dyDescent="0.2">
      <c r="A124" s="1095"/>
      <c r="B124" s="206">
        <v>2</v>
      </c>
      <c r="C124" s="206">
        <v>-7.0000000000000001E-3</v>
      </c>
      <c r="D124" s="209" t="s">
        <v>103</v>
      </c>
      <c r="E124" s="125"/>
      <c r="F124" s="207">
        <f t="shared" si="53"/>
        <v>0</v>
      </c>
      <c r="G124" s="209" t="s">
        <v>103</v>
      </c>
      <c r="H124" s="1092"/>
      <c r="I124" s="206">
        <v>2</v>
      </c>
      <c r="J124" s="206">
        <v>9.9999999999999995E-7</v>
      </c>
      <c r="K124" s="209" t="s">
        <v>103</v>
      </c>
      <c r="L124" s="125"/>
      <c r="M124" s="207">
        <f t="shared" si="54"/>
        <v>0</v>
      </c>
      <c r="N124" s="209" t="s">
        <v>103</v>
      </c>
      <c r="O124" s="1092"/>
      <c r="P124" s="206">
        <v>2</v>
      </c>
      <c r="Q124" s="206">
        <v>9.9999999999999995E-7</v>
      </c>
      <c r="R124" s="209" t="s">
        <v>103</v>
      </c>
      <c r="S124" s="125"/>
      <c r="T124" s="207">
        <f t="shared" si="55"/>
        <v>0</v>
      </c>
      <c r="U124" s="209" t="s">
        <v>103</v>
      </c>
    </row>
    <row r="125" spans="1:21" ht="15.75" x14ac:dyDescent="0.2">
      <c r="A125" s="1085"/>
      <c r="B125" s="1086"/>
      <c r="C125" s="1086"/>
      <c r="D125" s="1086"/>
      <c r="E125" s="1086"/>
      <c r="F125" s="1086"/>
      <c r="G125" s="1086"/>
      <c r="H125" s="1086"/>
      <c r="I125" s="1086"/>
      <c r="J125" s="1086"/>
      <c r="K125" s="1086"/>
      <c r="L125" s="1086"/>
      <c r="M125" s="1086"/>
      <c r="N125" s="1086"/>
      <c r="O125" s="1086"/>
      <c r="P125" s="1086"/>
      <c r="Q125" s="1086"/>
      <c r="R125" s="1086"/>
      <c r="S125" s="1086"/>
      <c r="T125" s="1086"/>
      <c r="U125" s="1086"/>
    </row>
    <row r="126" spans="1:21" ht="15.75" x14ac:dyDescent="0.2">
      <c r="A126" s="1085"/>
      <c r="B126" s="1086"/>
      <c r="C126" s="1086"/>
      <c r="D126" s="1086"/>
      <c r="E126" s="1086"/>
      <c r="F126" s="1086"/>
      <c r="G126" s="1086"/>
      <c r="H126" s="1086"/>
      <c r="I126" s="1086"/>
      <c r="J126" s="1086"/>
      <c r="K126" s="1086"/>
      <c r="L126" s="1086"/>
      <c r="M126" s="1086"/>
      <c r="N126" s="1086"/>
      <c r="O126" s="1086"/>
      <c r="P126" s="1086"/>
      <c r="Q126" s="1086"/>
      <c r="R126" s="1086"/>
      <c r="S126" s="1086"/>
      <c r="T126" s="1086"/>
      <c r="U126" s="1086"/>
    </row>
    <row r="127" spans="1:21" x14ac:dyDescent="0.2">
      <c r="A127" s="109"/>
      <c r="B127" s="219"/>
      <c r="C127" s="219"/>
    </row>
    <row r="128" spans="1:21" ht="14.25" x14ac:dyDescent="0.2">
      <c r="A128" s="1077" t="s">
        <v>316</v>
      </c>
      <c r="B128" s="1078"/>
      <c r="C128" s="1079" t="s">
        <v>293</v>
      </c>
      <c r="D128" s="1079"/>
      <c r="E128" s="1079"/>
      <c r="F128" s="1079"/>
      <c r="G128" s="1079"/>
      <c r="H128" s="1079"/>
      <c r="J128" s="1077" t="str">
        <f>A128</f>
        <v>No. Urut</v>
      </c>
      <c r="K128" s="1078"/>
      <c r="L128" s="1087" t="s">
        <v>293</v>
      </c>
      <c r="M128" s="1088"/>
      <c r="N128" s="1088"/>
      <c r="O128" s="1089"/>
      <c r="P128" s="227"/>
      <c r="Q128" s="227"/>
    </row>
    <row r="129" spans="1:17" ht="12.95" customHeight="1" x14ac:dyDescent="0.2">
      <c r="A129" s="1077"/>
      <c r="B129" s="1078"/>
      <c r="C129" s="1090" t="str">
        <f>B4</f>
        <v>Setting VAC</v>
      </c>
      <c r="D129" s="1090"/>
      <c r="E129" s="1090"/>
      <c r="F129" s="1090"/>
      <c r="G129" s="228" t="s">
        <v>295</v>
      </c>
      <c r="H129" s="228" t="s">
        <v>224</v>
      </c>
      <c r="J129" s="1077"/>
      <c r="K129" s="1078"/>
      <c r="L129" s="1083" t="str">
        <f>B12</f>
        <v>Current Leakage</v>
      </c>
      <c r="M129" s="1083"/>
      <c r="N129" s="1083"/>
      <c r="O129" s="1083"/>
      <c r="P129" s="228" t="s">
        <v>295</v>
      </c>
      <c r="Q129" s="228" t="s">
        <v>224</v>
      </c>
    </row>
    <row r="130" spans="1:17" ht="14.25" x14ac:dyDescent="0.2">
      <c r="A130" s="1077"/>
      <c r="B130" s="1078"/>
      <c r="C130" s="229" t="s">
        <v>296</v>
      </c>
      <c r="D130" s="228"/>
      <c r="E130" s="228"/>
      <c r="F130" s="125"/>
      <c r="G130" s="228"/>
      <c r="H130" s="228"/>
      <c r="J130" s="1077"/>
      <c r="K130" s="1078"/>
      <c r="L130" s="229" t="s">
        <v>298</v>
      </c>
      <c r="M130" s="228"/>
      <c r="N130" s="228"/>
      <c r="O130" s="125"/>
      <c r="P130" s="228"/>
      <c r="Q130" s="228"/>
    </row>
    <row r="131" spans="1:17" ht="15" x14ac:dyDescent="0.2">
      <c r="A131" s="1082" t="s">
        <v>42</v>
      </c>
      <c r="B131" s="45">
        <v>1</v>
      </c>
      <c r="C131" s="45">
        <f t="shared" ref="C131:H131" si="56">B6</f>
        <v>150</v>
      </c>
      <c r="D131" s="45">
        <f t="shared" si="56"/>
        <v>0.31</v>
      </c>
      <c r="E131" s="45">
        <f t="shared" si="56"/>
        <v>0.76</v>
      </c>
      <c r="F131" s="45">
        <f t="shared" si="56"/>
        <v>0</v>
      </c>
      <c r="G131" s="45">
        <f t="shared" si="56"/>
        <v>0.22500000000000001</v>
      </c>
      <c r="H131" s="45">
        <f t="shared" si="56"/>
        <v>1.8</v>
      </c>
      <c r="J131" s="1082" t="s">
        <v>42</v>
      </c>
      <c r="K131" s="45">
        <v>1</v>
      </c>
      <c r="L131" s="230">
        <f t="shared" ref="L131:Q131" si="57">B14</f>
        <v>0</v>
      </c>
      <c r="M131" s="230">
        <f t="shared" si="57"/>
        <v>9.9999999999999995E-7</v>
      </c>
      <c r="N131" s="230">
        <f t="shared" si="57"/>
        <v>9.9999999999999995E-7</v>
      </c>
      <c r="O131" s="230">
        <f t="shared" si="57"/>
        <v>0</v>
      </c>
      <c r="P131" s="230">
        <f t="shared" si="57"/>
        <v>0</v>
      </c>
      <c r="Q131" s="230">
        <f t="shared" si="57"/>
        <v>0.3</v>
      </c>
    </row>
    <row r="132" spans="1:17" ht="15" x14ac:dyDescent="0.2">
      <c r="A132" s="1082"/>
      <c r="B132" s="45">
        <v>2</v>
      </c>
      <c r="C132" s="46">
        <f t="shared" ref="C132:H132" si="58">I6</f>
        <v>150</v>
      </c>
      <c r="D132" s="46">
        <f t="shared" si="58"/>
        <v>0.15</v>
      </c>
      <c r="E132" s="46">
        <f t="shared" si="58"/>
        <v>0.23</v>
      </c>
      <c r="F132" s="46">
        <f t="shared" si="58"/>
        <v>0</v>
      </c>
      <c r="G132" s="46">
        <f t="shared" si="58"/>
        <v>4.0000000000000008E-2</v>
      </c>
      <c r="H132" s="46">
        <f t="shared" si="58"/>
        <v>1.8</v>
      </c>
      <c r="J132" s="1082"/>
      <c r="K132" s="45">
        <v>2</v>
      </c>
      <c r="L132" s="230">
        <f t="shared" ref="L132:Q132" si="59">I14</f>
        <v>0</v>
      </c>
      <c r="M132" s="230">
        <f t="shared" si="59"/>
        <v>9.9999999999999995E-7</v>
      </c>
      <c r="N132" s="230">
        <f t="shared" si="59"/>
        <v>9.9999999999999995E-7</v>
      </c>
      <c r="O132" s="230">
        <f t="shared" si="59"/>
        <v>0</v>
      </c>
      <c r="P132" s="230">
        <f t="shared" si="59"/>
        <v>0</v>
      </c>
      <c r="Q132" s="230">
        <f t="shared" si="59"/>
        <v>0.3</v>
      </c>
    </row>
    <row r="133" spans="1:17" x14ac:dyDescent="0.2">
      <c r="A133" s="1082"/>
      <c r="B133" s="47">
        <v>3</v>
      </c>
      <c r="C133" s="46">
        <f t="shared" ref="C133:H133" si="60">P6</f>
        <v>150</v>
      </c>
      <c r="D133" s="46">
        <f t="shared" si="60"/>
        <v>-1.43</v>
      </c>
      <c r="E133" s="46">
        <f t="shared" si="60"/>
        <v>-1.6</v>
      </c>
      <c r="F133" s="46">
        <f t="shared" si="60"/>
        <v>-7.0000000000000007E-2</v>
      </c>
      <c r="G133" s="46">
        <f t="shared" si="60"/>
        <v>0.76500000000000001</v>
      </c>
      <c r="H133" s="46">
        <f t="shared" si="60"/>
        <v>1.8</v>
      </c>
      <c r="J133" s="1082"/>
      <c r="K133" s="47">
        <v>3</v>
      </c>
      <c r="L133" s="230">
        <f t="shared" ref="L133:Q133" si="61">P14</f>
        <v>9.9999999999999995E-7</v>
      </c>
      <c r="M133" s="230">
        <f t="shared" si="61"/>
        <v>9.9999999999999995E-7</v>
      </c>
      <c r="N133" s="230">
        <f t="shared" si="61"/>
        <v>9.9999999999999995E-7</v>
      </c>
      <c r="O133" s="230">
        <f t="shared" si="61"/>
        <v>9.9999999999999995E-7</v>
      </c>
      <c r="P133" s="230">
        <f t="shared" si="61"/>
        <v>0</v>
      </c>
      <c r="Q133" s="230">
        <f t="shared" si="61"/>
        <v>5.8999999999999999E-9</v>
      </c>
    </row>
    <row r="134" spans="1:17" x14ac:dyDescent="0.2">
      <c r="A134" s="1082"/>
      <c r="B134" s="47">
        <v>4</v>
      </c>
      <c r="C134" s="46">
        <f t="shared" ref="C134:H134" si="62">B37</f>
        <v>150</v>
      </c>
      <c r="D134" s="46">
        <f t="shared" si="62"/>
        <v>-0.05</v>
      </c>
      <c r="E134" s="46">
        <f t="shared" si="62"/>
        <v>0.11</v>
      </c>
      <c r="F134" s="46">
        <f t="shared" si="62"/>
        <v>0</v>
      </c>
      <c r="G134" s="46">
        <f t="shared" si="62"/>
        <v>0.08</v>
      </c>
      <c r="H134" s="46">
        <f t="shared" si="62"/>
        <v>1.8</v>
      </c>
      <c r="J134" s="1082"/>
      <c r="K134" s="47">
        <v>4</v>
      </c>
      <c r="L134" s="230">
        <f t="shared" ref="L134:Q134" si="63">B45</f>
        <v>0</v>
      </c>
      <c r="M134" s="230">
        <f t="shared" si="63"/>
        <v>9.9999999999999995E-7</v>
      </c>
      <c r="N134" s="230">
        <f t="shared" si="63"/>
        <v>9.9999999999999995E-7</v>
      </c>
      <c r="O134" s="230">
        <f t="shared" si="63"/>
        <v>0</v>
      </c>
      <c r="P134" s="230">
        <f t="shared" si="63"/>
        <v>0</v>
      </c>
      <c r="Q134" s="230">
        <f t="shared" si="63"/>
        <v>0.3</v>
      </c>
    </row>
    <row r="135" spans="1:17" x14ac:dyDescent="0.2">
      <c r="A135" s="1082"/>
      <c r="B135" s="47">
        <v>5</v>
      </c>
      <c r="C135" s="46">
        <f t="shared" ref="C135:H135" si="64">I37</f>
        <v>150</v>
      </c>
      <c r="D135" s="46">
        <f t="shared" si="64"/>
        <v>0.25</v>
      </c>
      <c r="E135" s="46">
        <f t="shared" si="64"/>
        <v>0.02</v>
      </c>
      <c r="F135" s="46">
        <f t="shared" si="64"/>
        <v>0</v>
      </c>
      <c r="G135" s="46">
        <f t="shared" si="64"/>
        <v>0.115</v>
      </c>
      <c r="H135" s="46">
        <f t="shared" si="64"/>
        <v>1.8</v>
      </c>
      <c r="J135" s="1082"/>
      <c r="K135" s="47">
        <v>5</v>
      </c>
      <c r="L135" s="230">
        <f t="shared" ref="L135:Q135" si="65">I45</f>
        <v>0</v>
      </c>
      <c r="M135" s="230">
        <f t="shared" si="65"/>
        <v>9.9999999999999995E-7</v>
      </c>
      <c r="N135" s="230">
        <f t="shared" si="65"/>
        <v>9.9999999999999995E-7</v>
      </c>
      <c r="O135" s="230">
        <f t="shared" si="65"/>
        <v>0</v>
      </c>
      <c r="P135" s="230">
        <f t="shared" si="65"/>
        <v>0</v>
      </c>
      <c r="Q135" s="230">
        <f t="shared" si="65"/>
        <v>0</v>
      </c>
    </row>
    <row r="136" spans="1:17" x14ac:dyDescent="0.2">
      <c r="A136" s="1082"/>
      <c r="B136" s="47">
        <v>6</v>
      </c>
      <c r="C136" s="46">
        <f t="shared" ref="C136:H136" si="66">P37</f>
        <v>150</v>
      </c>
      <c r="D136" s="46">
        <f t="shared" si="66"/>
        <v>-0.15</v>
      </c>
      <c r="E136" s="46">
        <f t="shared" si="66"/>
        <v>0.03</v>
      </c>
      <c r="F136" s="46">
        <f t="shared" si="66"/>
        <v>0</v>
      </c>
      <c r="G136" s="46">
        <f t="shared" si="66"/>
        <v>0.09</v>
      </c>
      <c r="H136" s="46">
        <f t="shared" si="66"/>
        <v>1.8</v>
      </c>
      <c r="J136" s="1082"/>
      <c r="K136" s="47">
        <v>6</v>
      </c>
      <c r="L136" s="230">
        <f t="shared" ref="L136:Q136" si="67">P45</f>
        <v>0</v>
      </c>
      <c r="M136" s="230">
        <f t="shared" si="67"/>
        <v>9.9999999999999995E-7</v>
      </c>
      <c r="N136" s="230">
        <f t="shared" si="67"/>
        <v>9.9999999999999995E-7</v>
      </c>
      <c r="O136" s="230">
        <f t="shared" si="67"/>
        <v>0</v>
      </c>
      <c r="P136" s="230">
        <f t="shared" si="67"/>
        <v>0</v>
      </c>
      <c r="Q136" s="230">
        <f t="shared" si="67"/>
        <v>0.28999999999999998</v>
      </c>
    </row>
    <row r="137" spans="1:17" x14ac:dyDescent="0.2">
      <c r="A137" s="1082"/>
      <c r="B137" s="47">
        <v>7</v>
      </c>
      <c r="C137" s="46">
        <f t="shared" ref="C137:H137" si="68">B68</f>
        <v>150.21</v>
      </c>
      <c r="D137" s="46">
        <f t="shared" si="68"/>
        <v>0.21</v>
      </c>
      <c r="E137" s="46">
        <f t="shared" si="68"/>
        <v>0.27</v>
      </c>
      <c r="F137" s="46">
        <f t="shared" si="68"/>
        <v>0</v>
      </c>
      <c r="G137" s="46">
        <f t="shared" si="68"/>
        <v>3.0000000000000013E-2</v>
      </c>
      <c r="H137" s="46">
        <f t="shared" si="68"/>
        <v>1.8025200000000001</v>
      </c>
      <c r="J137" s="1082"/>
      <c r="K137" s="47">
        <v>7</v>
      </c>
      <c r="L137" s="230">
        <f t="shared" ref="L137:Q137" si="69">B76</f>
        <v>0</v>
      </c>
      <c r="M137" s="230">
        <f t="shared" si="69"/>
        <v>9.9999999999999995E-7</v>
      </c>
      <c r="N137" s="230">
        <f t="shared" si="69"/>
        <v>9.9999999999999995E-7</v>
      </c>
      <c r="O137" s="230">
        <f t="shared" si="69"/>
        <v>0</v>
      </c>
      <c r="P137" s="230">
        <f t="shared" si="69"/>
        <v>0</v>
      </c>
      <c r="Q137" s="230">
        <f t="shared" si="69"/>
        <v>0.3</v>
      </c>
    </row>
    <row r="138" spans="1:17" x14ac:dyDescent="0.2">
      <c r="A138" s="1082"/>
      <c r="B138" s="47">
        <v>8</v>
      </c>
      <c r="C138" s="46">
        <f t="shared" ref="C138:H138" si="70">I68</f>
        <v>150</v>
      </c>
      <c r="D138" s="46">
        <f t="shared" si="70"/>
        <v>-0.17</v>
      </c>
      <c r="E138" s="46">
        <f t="shared" si="70"/>
        <v>-0.24</v>
      </c>
      <c r="F138" s="46">
        <f t="shared" si="70"/>
        <v>0</v>
      </c>
      <c r="G138" s="46">
        <f t="shared" si="70"/>
        <v>3.4999999999999989E-2</v>
      </c>
      <c r="H138" s="46">
        <f t="shared" si="70"/>
        <v>1.8</v>
      </c>
      <c r="J138" s="1082"/>
      <c r="K138" s="47">
        <v>8</v>
      </c>
      <c r="L138" s="230">
        <f t="shared" ref="L138:Q138" si="71">I76</f>
        <v>0</v>
      </c>
      <c r="M138" s="230">
        <f t="shared" si="71"/>
        <v>9.9999999999999995E-7</v>
      </c>
      <c r="N138" s="230">
        <f t="shared" si="71"/>
        <v>9.9999999999999995E-7</v>
      </c>
      <c r="O138" s="230">
        <f t="shared" si="71"/>
        <v>0</v>
      </c>
      <c r="P138" s="230">
        <f t="shared" si="71"/>
        <v>0</v>
      </c>
      <c r="Q138" s="230">
        <f t="shared" si="71"/>
        <v>0</v>
      </c>
    </row>
    <row r="139" spans="1:17" x14ac:dyDescent="0.2">
      <c r="A139" s="1082"/>
      <c r="B139" s="47">
        <v>9</v>
      </c>
      <c r="C139" s="46">
        <f t="shared" ref="C139:H139" si="72">P68</f>
        <v>149.83000000000001</v>
      </c>
      <c r="D139" s="46">
        <f t="shared" si="72"/>
        <v>-0.17</v>
      </c>
      <c r="E139" s="46" t="str">
        <f t="shared" si="72"/>
        <v>-</v>
      </c>
      <c r="F139" s="46">
        <f t="shared" si="72"/>
        <v>0</v>
      </c>
      <c r="G139" s="46">
        <f t="shared" si="72"/>
        <v>0</v>
      </c>
      <c r="H139" s="46">
        <f t="shared" si="72"/>
        <v>1.7979600000000002</v>
      </c>
      <c r="J139" s="1082"/>
      <c r="K139" s="47">
        <v>9</v>
      </c>
      <c r="L139" s="230">
        <f t="shared" ref="L139:Q139" si="73">P76</f>
        <v>0</v>
      </c>
      <c r="M139" s="230">
        <f t="shared" si="73"/>
        <v>9.9999999999999995E-7</v>
      </c>
      <c r="N139" s="230" t="str">
        <f t="shared" si="73"/>
        <v>-</v>
      </c>
      <c r="O139" s="230">
        <f t="shared" si="73"/>
        <v>0</v>
      </c>
      <c r="P139" s="230">
        <f t="shared" si="73"/>
        <v>0</v>
      </c>
      <c r="Q139" s="230">
        <f t="shared" si="73"/>
        <v>0.12</v>
      </c>
    </row>
    <row r="140" spans="1:17" x14ac:dyDescent="0.2">
      <c r="A140" s="1082"/>
      <c r="B140" s="47">
        <v>10</v>
      </c>
      <c r="C140" s="46">
        <f>B99</f>
        <v>150</v>
      </c>
      <c r="D140" s="46">
        <f t="shared" ref="D140:F140" si="74">C99</f>
        <v>-0.05</v>
      </c>
      <c r="E140" s="46" t="str">
        <f t="shared" si="74"/>
        <v>-</v>
      </c>
      <c r="F140" s="46">
        <f t="shared" si="74"/>
        <v>0</v>
      </c>
      <c r="G140" s="46">
        <f>F99</f>
        <v>0</v>
      </c>
      <c r="H140" s="46" t="str">
        <f>G99</f>
        <v>-</v>
      </c>
      <c r="J140" s="1082"/>
      <c r="K140" s="47">
        <v>10</v>
      </c>
      <c r="L140" s="230">
        <f t="shared" ref="L140:Q140" si="75">B107</f>
        <v>0</v>
      </c>
      <c r="M140" s="230">
        <f t="shared" si="75"/>
        <v>9.9999999999999995E-7</v>
      </c>
      <c r="N140" s="230" t="str">
        <f t="shared" si="75"/>
        <v>-</v>
      </c>
      <c r="O140" s="230">
        <f t="shared" si="75"/>
        <v>0</v>
      </c>
      <c r="P140" s="230">
        <f t="shared" si="75"/>
        <v>0</v>
      </c>
      <c r="Q140" s="230" t="str">
        <f t="shared" si="75"/>
        <v>-</v>
      </c>
    </row>
    <row r="141" spans="1:17" x14ac:dyDescent="0.2">
      <c r="A141" s="1082"/>
      <c r="B141" s="47">
        <v>11</v>
      </c>
      <c r="C141" s="46">
        <f>I99</f>
        <v>150</v>
      </c>
      <c r="D141" s="46">
        <f t="shared" ref="D141:F141" si="76">J99</f>
        <v>9.9999999999999995E-7</v>
      </c>
      <c r="E141" s="46" t="str">
        <f t="shared" si="76"/>
        <v>-</v>
      </c>
      <c r="F141" s="46">
        <f t="shared" si="76"/>
        <v>0</v>
      </c>
      <c r="G141" s="46">
        <f>M99</f>
        <v>0</v>
      </c>
      <c r="H141" s="46" t="str">
        <f>N99</f>
        <v>-</v>
      </c>
      <c r="J141" s="1082"/>
      <c r="K141" s="47">
        <v>11</v>
      </c>
      <c r="L141" s="230">
        <f t="shared" ref="L141:Q141" si="77">I107</f>
        <v>0</v>
      </c>
      <c r="M141" s="230">
        <f t="shared" si="77"/>
        <v>9.9999999999999995E-7</v>
      </c>
      <c r="N141" s="230" t="str">
        <f t="shared" si="77"/>
        <v>-</v>
      </c>
      <c r="O141" s="230">
        <f t="shared" si="77"/>
        <v>0</v>
      </c>
      <c r="P141" s="230">
        <f t="shared" si="77"/>
        <v>0</v>
      </c>
      <c r="Q141" s="230" t="str">
        <f t="shared" si="77"/>
        <v>-</v>
      </c>
    </row>
    <row r="142" spans="1:17" x14ac:dyDescent="0.2">
      <c r="A142" s="1082"/>
      <c r="B142" s="47">
        <v>12</v>
      </c>
      <c r="C142" s="46">
        <f>P99</f>
        <v>150</v>
      </c>
      <c r="D142" s="46">
        <f t="shared" ref="D142:F142" si="78">Q99</f>
        <v>9.9999999999999995E-7</v>
      </c>
      <c r="E142" s="46" t="str">
        <f t="shared" si="78"/>
        <v>-</v>
      </c>
      <c r="F142" s="46">
        <f t="shared" si="78"/>
        <v>0</v>
      </c>
      <c r="G142" s="46">
        <f>T99</f>
        <v>0</v>
      </c>
      <c r="H142" s="46" t="str">
        <f>U99</f>
        <v>-</v>
      </c>
      <c r="J142" s="1082"/>
      <c r="K142" s="47">
        <v>12</v>
      </c>
      <c r="L142" s="230">
        <f t="shared" ref="L142:Q142" si="79">P107</f>
        <v>0</v>
      </c>
      <c r="M142" s="230">
        <f t="shared" si="79"/>
        <v>9.9999999999999995E-7</v>
      </c>
      <c r="N142" s="230" t="str">
        <f t="shared" si="79"/>
        <v>-</v>
      </c>
      <c r="O142" s="230">
        <f t="shared" si="79"/>
        <v>0</v>
      </c>
      <c r="P142" s="230">
        <f t="shared" si="79"/>
        <v>0</v>
      </c>
      <c r="Q142" s="230" t="str">
        <f t="shared" si="79"/>
        <v>-</v>
      </c>
    </row>
    <row r="143" spans="1:17" s="116" customFormat="1" x14ac:dyDescent="0.2">
      <c r="A143" s="231"/>
      <c r="B143" s="231"/>
      <c r="C143" s="145"/>
      <c r="D143" s="145"/>
      <c r="E143" s="145"/>
      <c r="F143" s="232"/>
      <c r="G143" s="145"/>
      <c r="H143" s="145"/>
      <c r="J143" s="231"/>
      <c r="K143" s="231"/>
      <c r="L143" s="233"/>
      <c r="M143" s="233"/>
      <c r="N143" s="233"/>
      <c r="O143" s="232"/>
      <c r="P143" s="233"/>
      <c r="Q143" s="233"/>
    </row>
    <row r="144" spans="1:17" ht="15" x14ac:dyDescent="0.2">
      <c r="A144" s="1082" t="s">
        <v>43</v>
      </c>
      <c r="B144" s="45">
        <v>1</v>
      </c>
      <c r="C144" s="45">
        <f t="shared" ref="C144:H144" si="80">B7</f>
        <v>180</v>
      </c>
      <c r="D144" s="45">
        <f t="shared" si="80"/>
        <v>0.1</v>
      </c>
      <c r="E144" s="45">
        <f t="shared" si="80"/>
        <v>-0.03</v>
      </c>
      <c r="F144" s="45">
        <f t="shared" si="80"/>
        <v>0</v>
      </c>
      <c r="G144" s="45">
        <f t="shared" si="80"/>
        <v>6.5000000000000002E-2</v>
      </c>
      <c r="H144" s="45">
        <f t="shared" si="80"/>
        <v>2.16</v>
      </c>
      <c r="J144" s="1082" t="s">
        <v>43</v>
      </c>
      <c r="K144" s="45">
        <v>1</v>
      </c>
      <c r="L144" s="45">
        <f t="shared" ref="L144:Q144" si="81">B15</f>
        <v>50</v>
      </c>
      <c r="M144" s="45">
        <f t="shared" si="81"/>
        <v>0.1</v>
      </c>
      <c r="N144" s="45">
        <f t="shared" si="81"/>
        <v>-0.06</v>
      </c>
      <c r="O144" s="45">
        <f t="shared" si="81"/>
        <v>0</v>
      </c>
      <c r="P144" s="45">
        <f t="shared" si="81"/>
        <v>0.08</v>
      </c>
      <c r="Q144" s="47">
        <f t="shared" si="81"/>
        <v>0.29499999999999998</v>
      </c>
    </row>
    <row r="145" spans="1:17" ht="15" x14ac:dyDescent="0.2">
      <c r="A145" s="1082"/>
      <c r="B145" s="45">
        <v>2</v>
      </c>
      <c r="C145" s="45">
        <f t="shared" ref="C145:H145" si="82">I7</f>
        <v>180</v>
      </c>
      <c r="D145" s="45">
        <f t="shared" si="82"/>
        <v>0.12</v>
      </c>
      <c r="E145" s="45">
        <f t="shared" si="82"/>
        <v>-0.06</v>
      </c>
      <c r="F145" s="45">
        <f t="shared" si="82"/>
        <v>0</v>
      </c>
      <c r="G145" s="45">
        <f t="shared" si="82"/>
        <v>0.09</v>
      </c>
      <c r="H145" s="45">
        <f t="shared" si="82"/>
        <v>2.16</v>
      </c>
      <c r="J145" s="1082"/>
      <c r="K145" s="45">
        <v>2</v>
      </c>
      <c r="L145" s="45">
        <f t="shared" ref="L145:Q145" si="83">I15</f>
        <v>50</v>
      </c>
      <c r="M145" s="45">
        <f t="shared" si="83"/>
        <v>-0.08</v>
      </c>
      <c r="N145" s="45">
        <f t="shared" si="83"/>
        <v>0.1</v>
      </c>
      <c r="O145" s="45">
        <f t="shared" si="83"/>
        <v>0</v>
      </c>
      <c r="P145" s="45">
        <f t="shared" si="83"/>
        <v>0.09</v>
      </c>
      <c r="Q145" s="47">
        <f t="shared" si="83"/>
        <v>0.29499999999999998</v>
      </c>
    </row>
    <row r="146" spans="1:17" ht="15" x14ac:dyDescent="0.2">
      <c r="A146" s="1082"/>
      <c r="B146" s="47">
        <v>3</v>
      </c>
      <c r="C146" s="45">
        <f t="shared" ref="C146:H146" si="84">P7</f>
        <v>180</v>
      </c>
      <c r="D146" s="45">
        <f t="shared" si="84"/>
        <v>-1.81</v>
      </c>
      <c r="E146" s="45">
        <f t="shared" si="84"/>
        <v>-1.9</v>
      </c>
      <c r="F146" s="45">
        <f t="shared" si="84"/>
        <v>-0.13</v>
      </c>
      <c r="G146" s="45">
        <f t="shared" si="84"/>
        <v>0.88500000000000001</v>
      </c>
      <c r="H146" s="45">
        <f t="shared" si="84"/>
        <v>2.16</v>
      </c>
      <c r="J146" s="1082"/>
      <c r="K146" s="47">
        <v>3</v>
      </c>
      <c r="L146" s="45">
        <f t="shared" ref="L146:Q146" si="85">P15</f>
        <v>50</v>
      </c>
      <c r="M146" s="45">
        <f t="shared" si="85"/>
        <v>9.1</v>
      </c>
      <c r="N146" s="45">
        <f t="shared" si="85"/>
        <v>-0.62</v>
      </c>
      <c r="O146" s="45">
        <f t="shared" si="85"/>
        <v>2</v>
      </c>
      <c r="P146" s="45">
        <f t="shared" si="85"/>
        <v>4.8599999999999994</v>
      </c>
      <c r="Q146" s="47">
        <f t="shared" si="85"/>
        <v>0.29499999999999998</v>
      </c>
    </row>
    <row r="147" spans="1:17" ht="15" x14ac:dyDescent="0.2">
      <c r="A147" s="1082"/>
      <c r="B147" s="47">
        <v>4</v>
      </c>
      <c r="C147" s="45">
        <f t="shared" ref="C147:H147" si="86">B38</f>
        <v>180</v>
      </c>
      <c r="D147" s="45">
        <f t="shared" si="86"/>
        <v>-0.04</v>
      </c>
      <c r="E147" s="45">
        <f t="shared" si="86"/>
        <v>0.03</v>
      </c>
      <c r="F147" s="45">
        <f t="shared" si="86"/>
        <v>0</v>
      </c>
      <c r="G147" s="45">
        <f t="shared" si="86"/>
        <v>3.5000000000000003E-2</v>
      </c>
      <c r="H147" s="45">
        <f t="shared" si="86"/>
        <v>2.16</v>
      </c>
      <c r="J147" s="1082"/>
      <c r="K147" s="47">
        <v>4</v>
      </c>
      <c r="L147" s="45">
        <f t="shared" ref="L147:Q147" si="87">B46</f>
        <v>50</v>
      </c>
      <c r="M147" s="45">
        <f t="shared" si="87"/>
        <v>-0.3</v>
      </c>
      <c r="N147" s="45">
        <f t="shared" si="87"/>
        <v>-0.28999999999999998</v>
      </c>
      <c r="O147" s="45">
        <f t="shared" si="87"/>
        <v>0</v>
      </c>
      <c r="P147" s="45">
        <f t="shared" si="87"/>
        <v>5.0000000000000044E-3</v>
      </c>
      <c r="Q147" s="47">
        <f t="shared" si="87"/>
        <v>0.29499999999999998</v>
      </c>
    </row>
    <row r="148" spans="1:17" ht="15" x14ac:dyDescent="0.2">
      <c r="A148" s="1082"/>
      <c r="B148" s="47">
        <v>5</v>
      </c>
      <c r="C148" s="45">
        <f t="shared" ref="C148:H148" si="88">I38</f>
        <v>180</v>
      </c>
      <c r="D148" s="45">
        <f t="shared" si="88"/>
        <v>0.09</v>
      </c>
      <c r="E148" s="45">
        <f t="shared" si="88"/>
        <v>0.1</v>
      </c>
      <c r="F148" s="45">
        <f t="shared" si="88"/>
        <v>0</v>
      </c>
      <c r="G148" s="45">
        <f t="shared" si="88"/>
        <v>5.0000000000000044E-3</v>
      </c>
      <c r="H148" s="45">
        <f t="shared" si="88"/>
        <v>2.16</v>
      </c>
      <c r="J148" s="1082"/>
      <c r="K148" s="47">
        <v>5</v>
      </c>
      <c r="L148" s="45">
        <f t="shared" ref="L148:Q148" si="89">I46</f>
        <v>50</v>
      </c>
      <c r="M148" s="45">
        <f t="shared" si="89"/>
        <v>0.3</v>
      </c>
      <c r="N148" s="45">
        <f t="shared" si="89"/>
        <v>-0.33</v>
      </c>
      <c r="O148" s="45">
        <f t="shared" si="89"/>
        <v>0</v>
      </c>
      <c r="P148" s="45">
        <f t="shared" si="89"/>
        <v>0.315</v>
      </c>
      <c r="Q148" s="47">
        <f t="shared" si="89"/>
        <v>0.28999999999999998</v>
      </c>
    </row>
    <row r="149" spans="1:17" ht="15" x14ac:dyDescent="0.2">
      <c r="A149" s="1082"/>
      <c r="B149" s="47">
        <v>6</v>
      </c>
      <c r="C149" s="45">
        <f t="shared" ref="C149:H149" si="90">P38</f>
        <v>180</v>
      </c>
      <c r="D149" s="45">
        <f t="shared" si="90"/>
        <v>-0.11</v>
      </c>
      <c r="E149" s="45">
        <f t="shared" si="90"/>
        <v>9.9999999999999995E-7</v>
      </c>
      <c r="F149" s="45">
        <f t="shared" si="90"/>
        <v>0</v>
      </c>
      <c r="G149" s="45">
        <f t="shared" si="90"/>
        <v>5.5000500000000001E-2</v>
      </c>
      <c r="H149" s="45">
        <f t="shared" si="90"/>
        <v>2.16</v>
      </c>
      <c r="J149" s="1082"/>
      <c r="K149" s="47">
        <v>6</v>
      </c>
      <c r="L149" s="45">
        <f t="shared" ref="L149:Q149" si="91">P46</f>
        <v>50</v>
      </c>
      <c r="M149" s="45">
        <f t="shared" si="91"/>
        <v>0.02</v>
      </c>
      <c r="N149" s="45">
        <f t="shared" si="91"/>
        <v>-0.1</v>
      </c>
      <c r="O149" s="45">
        <f t="shared" si="91"/>
        <v>0</v>
      </c>
      <c r="P149" s="45">
        <f t="shared" si="91"/>
        <v>6.0000000000000005E-2</v>
      </c>
      <c r="Q149" s="47">
        <f t="shared" si="91"/>
        <v>0.28999999999999998</v>
      </c>
    </row>
    <row r="150" spans="1:17" ht="15" x14ac:dyDescent="0.2">
      <c r="A150" s="1082"/>
      <c r="B150" s="47">
        <v>7</v>
      </c>
      <c r="C150" s="45">
        <f t="shared" ref="C150:H150" si="92">B69</f>
        <v>180.33</v>
      </c>
      <c r="D150" s="45">
        <f t="shared" si="92"/>
        <v>0.33</v>
      </c>
      <c r="E150" s="45">
        <f t="shared" si="92"/>
        <v>0.37</v>
      </c>
      <c r="F150" s="45">
        <f t="shared" si="92"/>
        <v>0</v>
      </c>
      <c r="G150" s="45">
        <f t="shared" si="92"/>
        <v>1.999999999999999E-2</v>
      </c>
      <c r="H150" s="45">
        <f t="shared" si="92"/>
        <v>2.1639600000000003</v>
      </c>
      <c r="J150" s="1082"/>
      <c r="K150" s="47">
        <v>7</v>
      </c>
      <c r="L150" s="45">
        <f t="shared" ref="L150:Q150" si="93">B77</f>
        <v>50</v>
      </c>
      <c r="M150" s="45">
        <f t="shared" si="93"/>
        <v>1.7</v>
      </c>
      <c r="N150" s="45">
        <f t="shared" si="93"/>
        <v>2.1</v>
      </c>
      <c r="O150" s="45">
        <f t="shared" si="93"/>
        <v>0</v>
      </c>
      <c r="P150" s="45">
        <f t="shared" si="93"/>
        <v>0.20000000000000007</v>
      </c>
      <c r="Q150" s="47">
        <f t="shared" si="93"/>
        <v>0.29499999999999998</v>
      </c>
    </row>
    <row r="151" spans="1:17" ht="15" x14ac:dyDescent="0.2">
      <c r="A151" s="1082"/>
      <c r="B151" s="47">
        <v>8</v>
      </c>
      <c r="C151" s="45">
        <f t="shared" ref="C151:H151" si="94">I69</f>
        <v>180</v>
      </c>
      <c r="D151" s="45">
        <f t="shared" si="94"/>
        <v>-0.39</v>
      </c>
      <c r="E151" s="45">
        <f t="shared" si="94"/>
        <v>-0.14000000000000001</v>
      </c>
      <c r="F151" s="45">
        <f t="shared" si="94"/>
        <v>0</v>
      </c>
      <c r="G151" s="45">
        <f t="shared" si="94"/>
        <v>0.125</v>
      </c>
      <c r="H151" s="45">
        <f t="shared" si="94"/>
        <v>2.16</v>
      </c>
      <c r="J151" s="1082"/>
      <c r="K151" s="47">
        <v>8</v>
      </c>
      <c r="L151" s="45">
        <f t="shared" ref="L151:Q151" si="95">I77</f>
        <v>20</v>
      </c>
      <c r="M151" s="45">
        <f t="shared" si="95"/>
        <v>6.6</v>
      </c>
      <c r="N151" s="45">
        <f t="shared" si="95"/>
        <v>0.9</v>
      </c>
      <c r="O151" s="45">
        <f t="shared" si="95"/>
        <v>0</v>
      </c>
      <c r="P151" s="45">
        <f t="shared" si="95"/>
        <v>2.8499999999999996</v>
      </c>
      <c r="Q151" s="47">
        <f t="shared" si="95"/>
        <v>0.11799999999999999</v>
      </c>
    </row>
    <row r="152" spans="1:17" ht="15" x14ac:dyDescent="0.2">
      <c r="A152" s="1082"/>
      <c r="B152" s="47">
        <v>9</v>
      </c>
      <c r="C152" s="45">
        <f t="shared" ref="C152:H152" si="96">P69</f>
        <v>179.78</v>
      </c>
      <c r="D152" s="45">
        <f t="shared" si="96"/>
        <v>-0.22</v>
      </c>
      <c r="E152" s="45" t="str">
        <f t="shared" si="96"/>
        <v>-</v>
      </c>
      <c r="F152" s="45">
        <f t="shared" si="96"/>
        <v>0</v>
      </c>
      <c r="G152" s="45">
        <f t="shared" si="96"/>
        <v>0</v>
      </c>
      <c r="H152" s="45">
        <f t="shared" si="96"/>
        <v>2.1573600000000002</v>
      </c>
      <c r="J152" s="1082"/>
      <c r="K152" s="47">
        <v>9</v>
      </c>
      <c r="L152" s="45">
        <f t="shared" ref="L152:Q152" si="97">P77</f>
        <v>20.8</v>
      </c>
      <c r="M152" s="45">
        <f t="shared" si="97"/>
        <v>0.8</v>
      </c>
      <c r="N152" s="45" t="str">
        <f t="shared" si="97"/>
        <v>-</v>
      </c>
      <c r="O152" s="45">
        <f t="shared" si="97"/>
        <v>0</v>
      </c>
      <c r="P152" s="45">
        <f t="shared" si="97"/>
        <v>0</v>
      </c>
      <c r="Q152" s="47">
        <f t="shared" si="97"/>
        <v>0.12272</v>
      </c>
    </row>
    <row r="153" spans="1:17" ht="15" x14ac:dyDescent="0.2">
      <c r="A153" s="1082"/>
      <c r="B153" s="47">
        <v>10</v>
      </c>
      <c r="C153" s="45">
        <f>B100</f>
        <v>180</v>
      </c>
      <c r="D153" s="45">
        <f t="shared" ref="D153:F153" si="98">C100</f>
        <v>-0.04</v>
      </c>
      <c r="E153" s="45" t="str">
        <f t="shared" si="98"/>
        <v>-</v>
      </c>
      <c r="F153" s="45">
        <f t="shared" si="98"/>
        <v>0</v>
      </c>
      <c r="G153" s="45">
        <f>F100</f>
        <v>0</v>
      </c>
      <c r="H153" s="45" t="str">
        <f>G100</f>
        <v>-</v>
      </c>
      <c r="J153" s="1082"/>
      <c r="K153" s="47">
        <v>10</v>
      </c>
      <c r="L153" s="45">
        <f t="shared" ref="L153:Q153" si="99">B108</f>
        <v>50</v>
      </c>
      <c r="M153" s="45">
        <f t="shared" si="99"/>
        <v>0.4</v>
      </c>
      <c r="N153" s="45" t="str">
        <f t="shared" si="99"/>
        <v>-</v>
      </c>
      <c r="O153" s="45">
        <f t="shared" si="99"/>
        <v>0</v>
      </c>
      <c r="P153" s="45">
        <f t="shared" si="99"/>
        <v>0</v>
      </c>
      <c r="Q153" s="47" t="str">
        <f t="shared" si="99"/>
        <v>-</v>
      </c>
    </row>
    <row r="154" spans="1:17" ht="15" x14ac:dyDescent="0.2">
      <c r="A154" s="1082"/>
      <c r="B154" s="47">
        <v>11</v>
      </c>
      <c r="C154" s="45">
        <f>I100</f>
        <v>180</v>
      </c>
      <c r="D154" s="45">
        <f t="shared" ref="D154:F154" si="100">J100</f>
        <v>9.9999999999999995E-7</v>
      </c>
      <c r="E154" s="45" t="str">
        <f t="shared" si="100"/>
        <v>-</v>
      </c>
      <c r="F154" s="45">
        <f t="shared" si="100"/>
        <v>0</v>
      </c>
      <c r="G154" s="45">
        <f>M100</f>
        <v>0</v>
      </c>
      <c r="H154" s="45" t="str">
        <f>N100</f>
        <v>-</v>
      </c>
      <c r="J154" s="1082"/>
      <c r="K154" s="47">
        <v>11</v>
      </c>
      <c r="L154" s="45">
        <f t="shared" ref="L154:Q154" si="101">I108</f>
        <v>50</v>
      </c>
      <c r="M154" s="45">
        <f t="shared" si="101"/>
        <v>9.9999999999999995E-7</v>
      </c>
      <c r="N154" s="45" t="str">
        <f t="shared" si="101"/>
        <v>-</v>
      </c>
      <c r="O154" s="45">
        <f t="shared" si="101"/>
        <v>0</v>
      </c>
      <c r="P154" s="45">
        <f t="shared" si="101"/>
        <v>0</v>
      </c>
      <c r="Q154" s="47" t="str">
        <f t="shared" si="101"/>
        <v>-</v>
      </c>
    </row>
    <row r="155" spans="1:17" ht="15" x14ac:dyDescent="0.2">
      <c r="A155" s="1082"/>
      <c r="B155" s="47">
        <v>12</v>
      </c>
      <c r="C155" s="45">
        <f>P100</f>
        <v>180</v>
      </c>
      <c r="D155" s="45">
        <f t="shared" ref="D155:F155" si="102">Q100</f>
        <v>9.9999999999999995E-7</v>
      </c>
      <c r="E155" s="45" t="str">
        <f t="shared" si="102"/>
        <v>-</v>
      </c>
      <c r="F155" s="45">
        <f t="shared" si="102"/>
        <v>0</v>
      </c>
      <c r="G155" s="45">
        <f>T100</f>
        <v>0</v>
      </c>
      <c r="H155" s="45" t="str">
        <f>U100</f>
        <v>-</v>
      </c>
      <c r="J155" s="1082"/>
      <c r="K155" s="47">
        <v>12</v>
      </c>
      <c r="L155" s="45">
        <f t="shared" ref="L155:Q155" si="103">P108</f>
        <v>50</v>
      </c>
      <c r="M155" s="45">
        <f t="shared" si="103"/>
        <v>9.9999999999999995E-7</v>
      </c>
      <c r="N155" s="45" t="str">
        <f t="shared" si="103"/>
        <v>-</v>
      </c>
      <c r="O155" s="45">
        <f t="shared" si="103"/>
        <v>0</v>
      </c>
      <c r="P155" s="45">
        <f t="shared" si="103"/>
        <v>0</v>
      </c>
      <c r="Q155" s="47" t="str">
        <f t="shared" si="103"/>
        <v>-</v>
      </c>
    </row>
    <row r="156" spans="1:17" s="116" customFormat="1" x14ac:dyDescent="0.2">
      <c r="A156" s="231"/>
      <c r="B156" s="231"/>
      <c r="C156" s="231"/>
      <c r="D156" s="231"/>
      <c r="E156" s="231"/>
      <c r="F156" s="232"/>
      <c r="G156" s="231"/>
      <c r="H156" s="231"/>
      <c r="J156" s="231"/>
      <c r="K156" s="231"/>
      <c r="L156" s="231"/>
      <c r="M156" s="231"/>
      <c r="N156" s="231"/>
      <c r="O156" s="232"/>
      <c r="P156" s="231"/>
      <c r="Q156" s="231"/>
    </row>
    <row r="157" spans="1:17" ht="15" x14ac:dyDescent="0.2">
      <c r="A157" s="1082" t="s">
        <v>44</v>
      </c>
      <c r="B157" s="45">
        <v>1</v>
      </c>
      <c r="C157" s="45">
        <f t="shared" ref="C157:H157" si="104">B8</f>
        <v>200</v>
      </c>
      <c r="D157" s="45">
        <f t="shared" si="104"/>
        <v>-0.04</v>
      </c>
      <c r="E157" s="45">
        <f t="shared" si="104"/>
        <v>-0.16</v>
      </c>
      <c r="F157" s="45">
        <f t="shared" si="104"/>
        <v>0</v>
      </c>
      <c r="G157" s="45">
        <f t="shared" si="104"/>
        <v>0.06</v>
      </c>
      <c r="H157" s="45">
        <f t="shared" si="104"/>
        <v>2.4</v>
      </c>
      <c r="J157" s="1082" t="s">
        <v>44</v>
      </c>
      <c r="K157" s="45">
        <v>1</v>
      </c>
      <c r="L157" s="45">
        <f t="shared" ref="L157:Q157" si="105">B16</f>
        <v>100</v>
      </c>
      <c r="M157" s="45">
        <f t="shared" si="105"/>
        <v>0.2</v>
      </c>
      <c r="N157" s="45">
        <f t="shared" si="105"/>
        <v>-0.06</v>
      </c>
      <c r="O157" s="45">
        <f t="shared" si="105"/>
        <v>0</v>
      </c>
      <c r="P157" s="45">
        <f t="shared" si="105"/>
        <v>0.13</v>
      </c>
      <c r="Q157" s="45">
        <f t="shared" si="105"/>
        <v>0.59</v>
      </c>
    </row>
    <row r="158" spans="1:17" ht="15" x14ac:dyDescent="0.2">
      <c r="A158" s="1082"/>
      <c r="B158" s="45">
        <v>2</v>
      </c>
      <c r="C158" s="45">
        <f t="shared" ref="C158:H158" si="106">I8</f>
        <v>200</v>
      </c>
      <c r="D158" s="45">
        <f t="shared" si="106"/>
        <v>0.06</v>
      </c>
      <c r="E158" s="45">
        <f t="shared" si="106"/>
        <v>-0.18</v>
      </c>
      <c r="F158" s="45">
        <f t="shared" si="106"/>
        <v>0</v>
      </c>
      <c r="G158" s="45">
        <f t="shared" si="106"/>
        <v>0.12</v>
      </c>
      <c r="H158" s="45">
        <f t="shared" si="106"/>
        <v>2.4</v>
      </c>
      <c r="J158" s="1082"/>
      <c r="K158" s="45">
        <v>2</v>
      </c>
      <c r="L158" s="45">
        <f t="shared" ref="L158:Q158" si="107">I16</f>
        <v>100</v>
      </c>
      <c r="M158" s="45">
        <f t="shared" si="107"/>
        <v>-7.0000000000000007E-2</v>
      </c>
      <c r="N158" s="45">
        <f t="shared" si="107"/>
        <v>2.2000000000000002</v>
      </c>
      <c r="O158" s="45">
        <f t="shared" si="107"/>
        <v>0</v>
      </c>
      <c r="P158" s="45">
        <f t="shared" si="107"/>
        <v>1.135</v>
      </c>
      <c r="Q158" s="45">
        <f t="shared" si="107"/>
        <v>0.59</v>
      </c>
    </row>
    <row r="159" spans="1:17" ht="15" x14ac:dyDescent="0.2">
      <c r="A159" s="1082"/>
      <c r="B159" s="47">
        <v>3</v>
      </c>
      <c r="C159" s="47">
        <f t="shared" ref="C159:H159" si="108">P8</f>
        <v>200</v>
      </c>
      <c r="D159" s="47">
        <f t="shared" si="108"/>
        <v>-2.0499999999999998</v>
      </c>
      <c r="E159" s="47">
        <f t="shared" si="108"/>
        <v>-2.14</v>
      </c>
      <c r="F159" s="47">
        <f t="shared" si="108"/>
        <v>-0.26</v>
      </c>
      <c r="G159" s="47">
        <f t="shared" si="108"/>
        <v>0.94000000000000006</v>
      </c>
      <c r="H159" s="47">
        <f t="shared" si="108"/>
        <v>2.4</v>
      </c>
      <c r="J159" s="1082"/>
      <c r="K159" s="47">
        <v>3</v>
      </c>
      <c r="L159" s="45">
        <f t="shared" ref="L159:Q159" si="109">P16</f>
        <v>100</v>
      </c>
      <c r="M159" s="45">
        <f t="shared" si="109"/>
        <v>6</v>
      </c>
      <c r="N159" s="45">
        <f t="shared" si="109"/>
        <v>-0.22</v>
      </c>
      <c r="O159" s="45">
        <f t="shared" si="109"/>
        <v>2</v>
      </c>
      <c r="P159" s="45">
        <f t="shared" si="109"/>
        <v>3.11</v>
      </c>
      <c r="Q159" s="45">
        <f t="shared" si="109"/>
        <v>0.59</v>
      </c>
    </row>
    <row r="160" spans="1:17" ht="15" x14ac:dyDescent="0.2">
      <c r="A160" s="1082"/>
      <c r="B160" s="47">
        <v>4</v>
      </c>
      <c r="C160" s="47">
        <f t="shared" ref="C160:H160" si="110">B39</f>
        <v>200</v>
      </c>
      <c r="D160" s="47">
        <f t="shared" si="110"/>
        <v>-0.67</v>
      </c>
      <c r="E160" s="47">
        <f t="shared" si="110"/>
        <v>0.05</v>
      </c>
      <c r="F160" s="47">
        <f t="shared" si="110"/>
        <v>0</v>
      </c>
      <c r="G160" s="47">
        <f t="shared" si="110"/>
        <v>0.36000000000000004</v>
      </c>
      <c r="H160" s="47">
        <f t="shared" si="110"/>
        <v>2.4</v>
      </c>
      <c r="J160" s="1082"/>
      <c r="K160" s="47">
        <v>4</v>
      </c>
      <c r="L160" s="45">
        <f t="shared" ref="L160:Q160" si="111">B47</f>
        <v>100</v>
      </c>
      <c r="M160" s="45">
        <f t="shared" si="111"/>
        <v>-0.4</v>
      </c>
      <c r="N160" s="45">
        <f t="shared" si="111"/>
        <v>-0.35</v>
      </c>
      <c r="O160" s="45">
        <f t="shared" si="111"/>
        <v>0</v>
      </c>
      <c r="P160" s="45">
        <f t="shared" si="111"/>
        <v>2.5000000000000022E-2</v>
      </c>
      <c r="Q160" s="45">
        <f t="shared" si="111"/>
        <v>0.59</v>
      </c>
    </row>
    <row r="161" spans="1:17" ht="15" x14ac:dyDescent="0.2">
      <c r="A161" s="1082"/>
      <c r="B161" s="47">
        <v>5</v>
      </c>
      <c r="C161" s="47">
        <f t="shared" ref="C161:H161" si="112">I39</f>
        <v>200</v>
      </c>
      <c r="D161" s="47">
        <f t="shared" si="112"/>
        <v>0.18</v>
      </c>
      <c r="E161" s="47">
        <f t="shared" si="112"/>
        <v>-0.03</v>
      </c>
      <c r="F161" s="47">
        <f t="shared" si="112"/>
        <v>0</v>
      </c>
      <c r="G161" s="47">
        <f t="shared" si="112"/>
        <v>0.105</v>
      </c>
      <c r="H161" s="47">
        <f t="shared" si="112"/>
        <v>2.4</v>
      </c>
      <c r="J161" s="1082"/>
      <c r="K161" s="47">
        <v>5</v>
      </c>
      <c r="L161" s="45">
        <f t="shared" ref="L161:Q161" si="113">I47</f>
        <v>100</v>
      </c>
      <c r="M161" s="45">
        <f t="shared" si="113"/>
        <v>-0.1</v>
      </c>
      <c r="N161" s="45">
        <f t="shared" si="113"/>
        <v>-0.42</v>
      </c>
      <c r="O161" s="45">
        <f t="shared" si="113"/>
        <v>0</v>
      </c>
      <c r="P161" s="45">
        <f t="shared" si="113"/>
        <v>0.15999999999999998</v>
      </c>
      <c r="Q161" s="45">
        <f t="shared" si="113"/>
        <v>0.57999999999999996</v>
      </c>
    </row>
    <row r="162" spans="1:17" ht="15" x14ac:dyDescent="0.2">
      <c r="A162" s="1082"/>
      <c r="B162" s="47">
        <v>6</v>
      </c>
      <c r="C162" s="47">
        <f t="shared" ref="C162:H162" si="114">P39</f>
        <v>200</v>
      </c>
      <c r="D162" s="47">
        <f t="shared" si="114"/>
        <v>-0.1</v>
      </c>
      <c r="E162" s="47">
        <f t="shared" si="114"/>
        <v>0.05</v>
      </c>
      <c r="F162" s="47">
        <f t="shared" si="114"/>
        <v>0</v>
      </c>
      <c r="G162" s="47">
        <f t="shared" si="114"/>
        <v>7.5000000000000011E-2</v>
      </c>
      <c r="H162" s="47">
        <f t="shared" si="114"/>
        <v>2.4</v>
      </c>
      <c r="J162" s="1082"/>
      <c r="K162" s="47">
        <v>6</v>
      </c>
      <c r="L162" s="45">
        <f t="shared" ref="L162:Q162" si="115">P47</f>
        <v>100</v>
      </c>
      <c r="M162" s="45">
        <f t="shared" si="115"/>
        <v>0.22</v>
      </c>
      <c r="N162" s="45">
        <f t="shared" si="115"/>
        <v>-0.2</v>
      </c>
      <c r="O162" s="45">
        <f t="shared" si="115"/>
        <v>0</v>
      </c>
      <c r="P162" s="45">
        <f t="shared" si="115"/>
        <v>0.21000000000000002</v>
      </c>
      <c r="Q162" s="45">
        <f t="shared" si="115"/>
        <v>0.57999999999999996</v>
      </c>
    </row>
    <row r="163" spans="1:17" ht="15" x14ac:dyDescent="0.2">
      <c r="A163" s="1082"/>
      <c r="B163" s="47">
        <v>7</v>
      </c>
      <c r="C163" s="47">
        <f t="shared" ref="C163:H163" si="116">B70</f>
        <v>200.35</v>
      </c>
      <c r="D163" s="47">
        <f t="shared" si="116"/>
        <v>0.34</v>
      </c>
      <c r="E163" s="47">
        <f t="shared" si="116"/>
        <v>0.4</v>
      </c>
      <c r="F163" s="47">
        <f t="shared" si="116"/>
        <v>0</v>
      </c>
      <c r="G163" s="47">
        <f t="shared" si="116"/>
        <v>0.03</v>
      </c>
      <c r="H163" s="47">
        <f t="shared" si="116"/>
        <v>2.4041999999999999</v>
      </c>
      <c r="J163" s="1082"/>
      <c r="K163" s="47">
        <v>7</v>
      </c>
      <c r="L163" s="45">
        <f t="shared" ref="L163:Q163" si="117">B78</f>
        <v>100</v>
      </c>
      <c r="M163" s="45">
        <f t="shared" si="117"/>
        <v>1.7</v>
      </c>
      <c r="N163" s="45">
        <f t="shared" si="117"/>
        <v>2.2000000000000002</v>
      </c>
      <c r="O163" s="45">
        <f t="shared" si="117"/>
        <v>0</v>
      </c>
      <c r="P163" s="45">
        <f t="shared" si="117"/>
        <v>0.25000000000000011</v>
      </c>
      <c r="Q163" s="45">
        <f t="shared" si="117"/>
        <v>0.59</v>
      </c>
    </row>
    <row r="164" spans="1:17" ht="15" x14ac:dyDescent="0.2">
      <c r="A164" s="1082"/>
      <c r="B164" s="47">
        <v>8</v>
      </c>
      <c r="C164" s="47">
        <f t="shared" ref="C164:H164" si="118">I70</f>
        <v>200</v>
      </c>
      <c r="D164" s="47">
        <f t="shared" si="118"/>
        <v>-0.23</v>
      </c>
      <c r="E164" s="47">
        <f t="shared" si="118"/>
        <v>-0.33</v>
      </c>
      <c r="F164" s="47">
        <f t="shared" si="118"/>
        <v>0</v>
      </c>
      <c r="G164" s="47">
        <f t="shared" si="118"/>
        <v>0.05</v>
      </c>
      <c r="H164" s="47">
        <f t="shared" si="118"/>
        <v>2.4</v>
      </c>
      <c r="J164" s="1082"/>
      <c r="K164" s="47">
        <v>8</v>
      </c>
      <c r="L164" s="45">
        <f t="shared" ref="L164:Q164" si="119">I78</f>
        <v>50</v>
      </c>
      <c r="M164" s="45">
        <f t="shared" si="119"/>
        <v>5</v>
      </c>
      <c r="N164" s="45">
        <f t="shared" si="119"/>
        <v>2.1</v>
      </c>
      <c r="O164" s="45">
        <f t="shared" si="119"/>
        <v>0</v>
      </c>
      <c r="P164" s="45">
        <f t="shared" si="119"/>
        <v>1.45</v>
      </c>
      <c r="Q164" s="45">
        <f t="shared" si="119"/>
        <v>0.29499999999999998</v>
      </c>
    </row>
    <row r="165" spans="1:17" ht="15" x14ac:dyDescent="0.2">
      <c r="A165" s="1082"/>
      <c r="B165" s="47">
        <v>9</v>
      </c>
      <c r="C165" s="47">
        <f t="shared" ref="C165:H165" si="120">P70</f>
        <v>199.67</v>
      </c>
      <c r="D165" s="47">
        <f t="shared" si="120"/>
        <v>-0.33</v>
      </c>
      <c r="E165" s="47" t="str">
        <f t="shared" si="120"/>
        <v>-</v>
      </c>
      <c r="F165" s="47">
        <f t="shared" si="120"/>
        <v>0</v>
      </c>
      <c r="G165" s="47">
        <f t="shared" si="120"/>
        <v>0</v>
      </c>
      <c r="H165" s="47">
        <f t="shared" si="120"/>
        <v>2.3960399999999997</v>
      </c>
      <c r="J165" s="1082"/>
      <c r="K165" s="47">
        <v>9</v>
      </c>
      <c r="L165" s="45">
        <f t="shared" ref="L165:Q165" si="121">P78</f>
        <v>51.7</v>
      </c>
      <c r="M165" s="45">
        <f t="shared" si="121"/>
        <v>1.7</v>
      </c>
      <c r="N165" s="45" t="str">
        <f t="shared" si="121"/>
        <v>-</v>
      </c>
      <c r="O165" s="45">
        <f t="shared" si="121"/>
        <v>0</v>
      </c>
      <c r="P165" s="45">
        <f t="shared" si="121"/>
        <v>0</v>
      </c>
      <c r="Q165" s="45">
        <f t="shared" si="121"/>
        <v>0.30503000000000002</v>
      </c>
    </row>
    <row r="166" spans="1:17" ht="15" x14ac:dyDescent="0.2">
      <c r="A166" s="1082"/>
      <c r="B166" s="47">
        <v>10</v>
      </c>
      <c r="C166" s="47">
        <f>B101</f>
        <v>200</v>
      </c>
      <c r="D166" s="47">
        <f t="shared" ref="D166:F166" si="122">C101</f>
        <v>-0.67</v>
      </c>
      <c r="E166" s="47" t="str">
        <f t="shared" si="122"/>
        <v>-</v>
      </c>
      <c r="F166" s="47">
        <f t="shared" si="122"/>
        <v>0</v>
      </c>
      <c r="G166" s="47">
        <f>F101</f>
        <v>0</v>
      </c>
      <c r="H166" s="47" t="str">
        <f>G101</f>
        <v>-</v>
      </c>
      <c r="J166" s="1082"/>
      <c r="K166" s="47">
        <v>10</v>
      </c>
      <c r="L166" s="45">
        <f t="shared" ref="L166:Q166" si="123">B109</f>
        <v>100</v>
      </c>
      <c r="M166" s="45">
        <f t="shared" si="123"/>
        <v>0.4</v>
      </c>
      <c r="N166" s="45" t="str">
        <f t="shared" si="123"/>
        <v>-</v>
      </c>
      <c r="O166" s="45">
        <f t="shared" si="123"/>
        <v>0</v>
      </c>
      <c r="P166" s="45">
        <f t="shared" si="123"/>
        <v>0</v>
      </c>
      <c r="Q166" s="45" t="str">
        <f t="shared" si="123"/>
        <v>-</v>
      </c>
    </row>
    <row r="167" spans="1:17" ht="15" x14ac:dyDescent="0.2">
      <c r="A167" s="1082"/>
      <c r="B167" s="47">
        <v>11</v>
      </c>
      <c r="C167" s="47">
        <f>I101</f>
        <v>200</v>
      </c>
      <c r="D167" s="47">
        <f t="shared" ref="D167:F167" si="124">J101</f>
        <v>9.9999999999999995E-7</v>
      </c>
      <c r="E167" s="47" t="str">
        <f t="shared" si="124"/>
        <v>-</v>
      </c>
      <c r="F167" s="47">
        <f t="shared" si="124"/>
        <v>0</v>
      </c>
      <c r="G167" s="47">
        <f>M101</f>
        <v>0</v>
      </c>
      <c r="H167" s="47" t="str">
        <f>N101</f>
        <v>-</v>
      </c>
      <c r="J167" s="1082"/>
      <c r="K167" s="47">
        <v>11</v>
      </c>
      <c r="L167" s="45">
        <f t="shared" ref="L167:Q167" si="125">I109</f>
        <v>100</v>
      </c>
      <c r="M167" s="45">
        <f t="shared" si="125"/>
        <v>9.9999999999999995E-7</v>
      </c>
      <c r="N167" s="45" t="str">
        <f t="shared" si="125"/>
        <v>-</v>
      </c>
      <c r="O167" s="45">
        <f t="shared" si="125"/>
        <v>0</v>
      </c>
      <c r="P167" s="45">
        <f t="shared" si="125"/>
        <v>0</v>
      </c>
      <c r="Q167" s="45" t="str">
        <f t="shared" si="125"/>
        <v>-</v>
      </c>
    </row>
    <row r="168" spans="1:17" ht="15" x14ac:dyDescent="0.2">
      <c r="A168" s="1082"/>
      <c r="B168" s="47">
        <v>12</v>
      </c>
      <c r="C168" s="47">
        <f>P101</f>
        <v>200</v>
      </c>
      <c r="D168" s="47">
        <f t="shared" ref="D168:F168" si="126">Q101</f>
        <v>9.9999999999999995E-7</v>
      </c>
      <c r="E168" s="47" t="str">
        <f t="shared" si="126"/>
        <v>-</v>
      </c>
      <c r="F168" s="47">
        <f t="shared" si="126"/>
        <v>0</v>
      </c>
      <c r="G168" s="47">
        <f>T101</f>
        <v>0</v>
      </c>
      <c r="H168" s="47" t="str">
        <f>U101</f>
        <v>-</v>
      </c>
      <c r="J168" s="1082"/>
      <c r="K168" s="47">
        <v>12</v>
      </c>
      <c r="L168" s="45">
        <f t="shared" ref="L168:Q168" si="127">P109</f>
        <v>100</v>
      </c>
      <c r="M168" s="45">
        <f t="shared" si="127"/>
        <v>9.9999999999999995E-7</v>
      </c>
      <c r="N168" s="45" t="str">
        <f t="shared" si="127"/>
        <v>-</v>
      </c>
      <c r="O168" s="45">
        <f t="shared" si="127"/>
        <v>0</v>
      </c>
      <c r="P168" s="45">
        <f t="shared" si="127"/>
        <v>0</v>
      </c>
      <c r="Q168" s="45" t="str">
        <f t="shared" si="127"/>
        <v>-</v>
      </c>
    </row>
    <row r="169" spans="1:17" s="116" customFormat="1" x14ac:dyDescent="0.2">
      <c r="A169" s="231"/>
      <c r="B169" s="231"/>
      <c r="C169" s="231"/>
      <c r="D169" s="231"/>
      <c r="E169" s="231"/>
      <c r="F169" s="232"/>
      <c r="G169" s="231"/>
      <c r="H169" s="231"/>
      <c r="J169" s="231"/>
      <c r="K169" s="231"/>
      <c r="L169" s="231"/>
      <c r="M169" s="231"/>
      <c r="N169" s="231"/>
      <c r="O169" s="232"/>
      <c r="P169" s="231"/>
      <c r="Q169" s="231"/>
    </row>
    <row r="170" spans="1:17" ht="15" x14ac:dyDescent="0.2">
      <c r="A170" s="1082" t="s">
        <v>45</v>
      </c>
      <c r="B170" s="45">
        <v>1</v>
      </c>
      <c r="C170" s="45">
        <f t="shared" ref="C170:H170" si="128">B9</f>
        <v>220</v>
      </c>
      <c r="D170" s="45">
        <f t="shared" si="128"/>
        <v>-0.28000000000000003</v>
      </c>
      <c r="E170" s="45">
        <f t="shared" si="128"/>
        <v>-0.18</v>
      </c>
      <c r="F170" s="45">
        <f t="shared" si="128"/>
        <v>0</v>
      </c>
      <c r="G170" s="45">
        <f t="shared" si="128"/>
        <v>5.0000000000000017E-2</v>
      </c>
      <c r="H170" s="45">
        <f t="shared" si="128"/>
        <v>2.64</v>
      </c>
      <c r="J170" s="1082" t="s">
        <v>45</v>
      </c>
      <c r="K170" s="45">
        <v>1</v>
      </c>
      <c r="L170" s="47">
        <f t="shared" ref="L170:Q170" si="129">B17</f>
        <v>200</v>
      </c>
      <c r="M170" s="47">
        <f t="shared" si="129"/>
        <v>0.4</v>
      </c>
      <c r="N170" s="47">
        <f t="shared" si="129"/>
        <v>9.9999999999999995E-7</v>
      </c>
      <c r="O170" s="47">
        <f t="shared" si="129"/>
        <v>0</v>
      </c>
      <c r="P170" s="47">
        <f t="shared" si="129"/>
        <v>0.19999950000000002</v>
      </c>
      <c r="Q170" s="47">
        <f t="shared" si="129"/>
        <v>1.18</v>
      </c>
    </row>
    <row r="171" spans="1:17" ht="15" x14ac:dyDescent="0.2">
      <c r="A171" s="1082"/>
      <c r="B171" s="45">
        <v>2</v>
      </c>
      <c r="C171" s="47">
        <f t="shared" ref="C171:H171" si="130">I9</f>
        <v>220</v>
      </c>
      <c r="D171" s="47">
        <f t="shared" si="130"/>
        <v>0.05</v>
      </c>
      <c r="E171" s="47">
        <f t="shared" si="130"/>
        <v>-0.03</v>
      </c>
      <c r="F171" s="47">
        <f t="shared" si="130"/>
        <v>0</v>
      </c>
      <c r="G171" s="47">
        <f t="shared" si="130"/>
        <v>0.04</v>
      </c>
      <c r="H171" s="47">
        <f t="shared" si="130"/>
        <v>2.64</v>
      </c>
      <c r="J171" s="1082"/>
      <c r="K171" s="45">
        <v>2</v>
      </c>
      <c r="L171" s="47">
        <f t="shared" ref="L171:Q171" si="131">I17</f>
        <v>200</v>
      </c>
      <c r="M171" s="47">
        <f t="shared" si="131"/>
        <v>-0.1</v>
      </c>
      <c r="N171" s="47">
        <f t="shared" si="131"/>
        <v>3.3</v>
      </c>
      <c r="O171" s="47">
        <f t="shared" si="131"/>
        <v>0</v>
      </c>
      <c r="P171" s="47">
        <f t="shared" si="131"/>
        <v>1.7</v>
      </c>
      <c r="Q171" s="47">
        <f t="shared" si="131"/>
        <v>1.18</v>
      </c>
    </row>
    <row r="172" spans="1:17" x14ac:dyDescent="0.2">
      <c r="A172" s="1082"/>
      <c r="B172" s="47">
        <v>3</v>
      </c>
      <c r="C172" s="47">
        <f t="shared" ref="C172:H172" si="132">P9</f>
        <v>220</v>
      </c>
      <c r="D172" s="47">
        <f t="shared" si="132"/>
        <v>-2.29</v>
      </c>
      <c r="E172" s="47">
        <f t="shared" si="132"/>
        <v>-3.44</v>
      </c>
      <c r="F172" s="47">
        <f t="shared" si="132"/>
        <v>-0.28999999999999998</v>
      </c>
      <c r="G172" s="47">
        <f t="shared" si="132"/>
        <v>1.575</v>
      </c>
      <c r="H172" s="47">
        <f t="shared" si="132"/>
        <v>2.64</v>
      </c>
      <c r="J172" s="1082"/>
      <c r="K172" s="47">
        <v>3</v>
      </c>
      <c r="L172" s="47">
        <f t="shared" ref="L172:Q172" si="133">P17</f>
        <v>200</v>
      </c>
      <c r="M172" s="47">
        <f t="shared" si="133"/>
        <v>-3.6</v>
      </c>
      <c r="N172" s="47">
        <f t="shared" si="133"/>
        <v>-0.1</v>
      </c>
      <c r="O172" s="47">
        <f t="shared" si="133"/>
        <v>3.6</v>
      </c>
      <c r="P172" s="47">
        <f t="shared" si="133"/>
        <v>3.6</v>
      </c>
      <c r="Q172" s="47">
        <f t="shared" si="133"/>
        <v>1.18</v>
      </c>
    </row>
    <row r="173" spans="1:17" x14ac:dyDescent="0.2">
      <c r="A173" s="1082"/>
      <c r="B173" s="47">
        <v>4</v>
      </c>
      <c r="C173" s="47">
        <f t="shared" ref="C173:H173" si="134">B40</f>
        <v>220</v>
      </c>
      <c r="D173" s="47">
        <f t="shared" si="134"/>
        <v>9.9999999999999995E-7</v>
      </c>
      <c r="E173" s="47">
        <f t="shared" si="134"/>
        <v>0.1</v>
      </c>
      <c r="F173" s="47">
        <f t="shared" si="134"/>
        <v>0</v>
      </c>
      <c r="G173" s="47">
        <f t="shared" si="134"/>
        <v>4.9999500000000002E-2</v>
      </c>
      <c r="H173" s="47">
        <f t="shared" si="134"/>
        <v>2.64</v>
      </c>
      <c r="J173" s="1082"/>
      <c r="K173" s="47">
        <v>4</v>
      </c>
      <c r="L173" s="47">
        <f t="shared" ref="L173:Q173" si="135">B48</f>
        <v>200</v>
      </c>
      <c r="M173" s="47">
        <f t="shared" si="135"/>
        <v>0.3</v>
      </c>
      <c r="N173" s="47">
        <f t="shared" si="135"/>
        <v>0.8</v>
      </c>
      <c r="O173" s="47">
        <f t="shared" si="135"/>
        <v>0</v>
      </c>
      <c r="P173" s="47">
        <f t="shared" si="135"/>
        <v>0.25</v>
      </c>
      <c r="Q173" s="47">
        <f t="shared" si="135"/>
        <v>1.18</v>
      </c>
    </row>
    <row r="174" spans="1:17" x14ac:dyDescent="0.2">
      <c r="A174" s="1082"/>
      <c r="B174" s="47">
        <v>5</v>
      </c>
      <c r="C174" s="47">
        <f t="shared" ref="C174:H174" si="136">I40</f>
        <v>220</v>
      </c>
      <c r="D174" s="47">
        <f t="shared" si="136"/>
        <v>0.56000000000000005</v>
      </c>
      <c r="E174" s="47">
        <f t="shared" si="136"/>
        <v>0.38</v>
      </c>
      <c r="F174" s="47">
        <f t="shared" si="136"/>
        <v>0</v>
      </c>
      <c r="G174" s="47">
        <f t="shared" si="136"/>
        <v>9.0000000000000024E-2</v>
      </c>
      <c r="H174" s="47">
        <f t="shared" si="136"/>
        <v>2.64</v>
      </c>
      <c r="J174" s="1082"/>
      <c r="K174" s="47">
        <v>5</v>
      </c>
      <c r="L174" s="47">
        <f t="shared" ref="L174:Q174" si="137">I48</f>
        <v>200</v>
      </c>
      <c r="M174" s="47">
        <f t="shared" si="137"/>
        <v>1.3</v>
      </c>
      <c r="N174" s="47">
        <f t="shared" si="137"/>
        <v>1.3</v>
      </c>
      <c r="O174" s="47">
        <f t="shared" si="137"/>
        <v>0</v>
      </c>
      <c r="P174" s="47">
        <f t="shared" si="137"/>
        <v>0</v>
      </c>
      <c r="Q174" s="47">
        <f t="shared" si="137"/>
        <v>1.1599999999999999</v>
      </c>
    </row>
    <row r="175" spans="1:17" x14ac:dyDescent="0.2">
      <c r="A175" s="1082"/>
      <c r="B175" s="47">
        <v>6</v>
      </c>
      <c r="C175" s="47">
        <f t="shared" ref="C175:H175" si="138">P40</f>
        <v>220</v>
      </c>
      <c r="D175" s="47">
        <f t="shared" si="138"/>
        <v>-0.13</v>
      </c>
      <c r="E175" s="47">
        <f t="shared" si="138"/>
        <v>0.05</v>
      </c>
      <c r="F175" s="47">
        <f t="shared" si="138"/>
        <v>0</v>
      </c>
      <c r="G175" s="47">
        <f t="shared" si="138"/>
        <v>0.09</v>
      </c>
      <c r="H175" s="47">
        <f t="shared" si="138"/>
        <v>2.64</v>
      </c>
      <c r="J175" s="1082"/>
      <c r="K175" s="47">
        <v>6</v>
      </c>
      <c r="L175" s="47">
        <f t="shared" ref="L175:Q175" si="139">P48</f>
        <v>200</v>
      </c>
      <c r="M175" s="47">
        <f t="shared" si="139"/>
        <v>0.8</v>
      </c>
      <c r="N175" s="47">
        <f t="shared" si="139"/>
        <v>0.8</v>
      </c>
      <c r="O175" s="47">
        <f t="shared" si="139"/>
        <v>0</v>
      </c>
      <c r="P175" s="47">
        <f t="shared" si="139"/>
        <v>0</v>
      </c>
      <c r="Q175" s="47">
        <f t="shared" si="139"/>
        <v>1.1599999999999999</v>
      </c>
    </row>
    <row r="176" spans="1:17" x14ac:dyDescent="0.2">
      <c r="A176" s="1082"/>
      <c r="B176" s="47">
        <v>7</v>
      </c>
      <c r="C176" s="47">
        <f t="shared" ref="C176:H176" si="140">B71</f>
        <v>220.37</v>
      </c>
      <c r="D176" s="47">
        <f t="shared" si="140"/>
        <v>0.37</v>
      </c>
      <c r="E176" s="47">
        <f t="shared" si="140"/>
        <v>0.38</v>
      </c>
      <c r="F176" s="47">
        <f t="shared" si="140"/>
        <v>0</v>
      </c>
      <c r="G176" s="47">
        <f t="shared" si="140"/>
        <v>5.0000000000000044E-3</v>
      </c>
      <c r="H176" s="47">
        <f t="shared" si="140"/>
        <v>2.6444399999999999</v>
      </c>
      <c r="J176" s="1082"/>
      <c r="K176" s="47">
        <v>7</v>
      </c>
      <c r="L176" s="47">
        <f t="shared" ref="L176:Q176" si="141">B79</f>
        <v>200.4</v>
      </c>
      <c r="M176" s="47">
        <f t="shared" si="141"/>
        <v>0.4</v>
      </c>
      <c r="N176" s="47">
        <f t="shared" si="141"/>
        <v>2.4</v>
      </c>
      <c r="O176" s="47">
        <f t="shared" si="141"/>
        <v>0</v>
      </c>
      <c r="P176" s="47">
        <f t="shared" si="141"/>
        <v>1</v>
      </c>
      <c r="Q176" s="47">
        <f t="shared" si="141"/>
        <v>1.1823600000000001</v>
      </c>
    </row>
    <row r="177" spans="1:17" x14ac:dyDescent="0.2">
      <c r="A177" s="1082"/>
      <c r="B177" s="47">
        <v>8</v>
      </c>
      <c r="C177" s="47">
        <f t="shared" ref="C177:H177" si="142">I71</f>
        <v>220</v>
      </c>
      <c r="D177" s="47">
        <f t="shared" si="142"/>
        <v>-0.16</v>
      </c>
      <c r="E177" s="47">
        <f t="shared" si="142"/>
        <v>-0.45</v>
      </c>
      <c r="F177" s="47">
        <f t="shared" si="142"/>
        <v>0</v>
      </c>
      <c r="G177" s="47">
        <f t="shared" si="142"/>
        <v>0.14500000000000002</v>
      </c>
      <c r="H177" s="47">
        <f t="shared" si="142"/>
        <v>2.64</v>
      </c>
      <c r="J177" s="1082"/>
      <c r="K177" s="47">
        <v>8</v>
      </c>
      <c r="L177" s="47">
        <f t="shared" ref="L177:Q177" si="143">I79</f>
        <v>200</v>
      </c>
      <c r="M177" s="47">
        <f t="shared" si="143"/>
        <v>-8.1999999999999993</v>
      </c>
      <c r="N177" s="47">
        <f t="shared" si="143"/>
        <v>3.7</v>
      </c>
      <c r="O177" s="47">
        <f t="shared" si="143"/>
        <v>0</v>
      </c>
      <c r="P177" s="47">
        <f t="shared" si="143"/>
        <v>5.9499999999999993</v>
      </c>
      <c r="Q177" s="47">
        <f t="shared" si="143"/>
        <v>1.18</v>
      </c>
    </row>
    <row r="178" spans="1:17" x14ac:dyDescent="0.2">
      <c r="A178" s="1082"/>
      <c r="B178" s="47">
        <v>9</v>
      </c>
      <c r="C178" s="47">
        <f t="shared" ref="C178:H178" si="144">P71</f>
        <v>219.61</v>
      </c>
      <c r="D178" s="47">
        <f t="shared" si="144"/>
        <v>-0.39</v>
      </c>
      <c r="E178" s="47" t="str">
        <f t="shared" si="144"/>
        <v>-</v>
      </c>
      <c r="F178" s="47">
        <f t="shared" si="144"/>
        <v>0</v>
      </c>
      <c r="G178" s="47">
        <f t="shared" si="144"/>
        <v>0</v>
      </c>
      <c r="H178" s="47">
        <f t="shared" si="144"/>
        <v>2.6353200000000001</v>
      </c>
      <c r="J178" s="1082"/>
      <c r="K178" s="47">
        <v>9</v>
      </c>
      <c r="L178" s="47">
        <f t="shared" ref="L178:Q178" si="145">P79</f>
        <v>103.4</v>
      </c>
      <c r="M178" s="47">
        <f t="shared" si="145"/>
        <v>3.4</v>
      </c>
      <c r="N178" s="47" t="str">
        <f t="shared" si="145"/>
        <v>-</v>
      </c>
      <c r="O178" s="47">
        <f t="shared" si="145"/>
        <v>0</v>
      </c>
      <c r="P178" s="47">
        <f t="shared" si="145"/>
        <v>0</v>
      </c>
      <c r="Q178" s="47">
        <f t="shared" si="145"/>
        <v>0.61006000000000005</v>
      </c>
    </row>
    <row r="179" spans="1:17" x14ac:dyDescent="0.2">
      <c r="A179" s="1082"/>
      <c r="B179" s="47">
        <v>10</v>
      </c>
      <c r="C179" s="47">
        <f>B102</f>
        <v>220</v>
      </c>
      <c r="D179" s="47">
        <f t="shared" ref="D179:F179" si="146">C102</f>
        <v>9.9999999999999995E-7</v>
      </c>
      <c r="E179" s="47" t="str">
        <f t="shared" si="146"/>
        <v>-</v>
      </c>
      <c r="F179" s="47">
        <f t="shared" si="146"/>
        <v>0</v>
      </c>
      <c r="G179" s="47">
        <f>F102</f>
        <v>0</v>
      </c>
      <c r="H179" s="47" t="str">
        <f>G102</f>
        <v>-</v>
      </c>
      <c r="J179" s="1082"/>
      <c r="K179" s="47">
        <v>10</v>
      </c>
      <c r="L179" s="47">
        <f t="shared" ref="L179:Q179" si="147">B110</f>
        <v>200</v>
      </c>
      <c r="M179" s="47">
        <f t="shared" si="147"/>
        <v>0.4</v>
      </c>
      <c r="N179" s="47" t="str">
        <f t="shared" si="147"/>
        <v>-</v>
      </c>
      <c r="O179" s="47">
        <f t="shared" si="147"/>
        <v>0</v>
      </c>
      <c r="P179" s="47">
        <f t="shared" si="147"/>
        <v>0</v>
      </c>
      <c r="Q179" s="47" t="str">
        <f t="shared" si="147"/>
        <v>-</v>
      </c>
    </row>
    <row r="180" spans="1:17" x14ac:dyDescent="0.2">
      <c r="A180" s="1082"/>
      <c r="B180" s="47">
        <v>11</v>
      </c>
      <c r="C180" s="47">
        <f>I102</f>
        <v>220</v>
      </c>
      <c r="D180" s="47">
        <f t="shared" ref="D180:F180" si="148">J102</f>
        <v>9.9999999999999995E-7</v>
      </c>
      <c r="E180" s="47" t="str">
        <f t="shared" si="148"/>
        <v>-</v>
      </c>
      <c r="F180" s="47">
        <f t="shared" si="148"/>
        <v>0</v>
      </c>
      <c r="G180" s="47">
        <f>M102</f>
        <v>0</v>
      </c>
      <c r="H180" s="47" t="str">
        <f>N102</f>
        <v>-</v>
      </c>
      <c r="J180" s="1082"/>
      <c r="K180" s="47">
        <v>11</v>
      </c>
      <c r="L180" s="47">
        <f t="shared" ref="L180:Q180" si="149">I110</f>
        <v>200</v>
      </c>
      <c r="M180" s="47">
        <f t="shared" si="149"/>
        <v>9.9999999999999995E-7</v>
      </c>
      <c r="N180" s="47" t="str">
        <f t="shared" si="149"/>
        <v>-</v>
      </c>
      <c r="O180" s="47">
        <f t="shared" si="149"/>
        <v>0</v>
      </c>
      <c r="P180" s="47">
        <f t="shared" si="149"/>
        <v>0</v>
      </c>
      <c r="Q180" s="47" t="str">
        <f t="shared" si="149"/>
        <v>-</v>
      </c>
    </row>
    <row r="181" spans="1:17" x14ac:dyDescent="0.2">
      <c r="A181" s="1082"/>
      <c r="B181" s="47">
        <v>12</v>
      </c>
      <c r="C181" s="47">
        <f>P102</f>
        <v>220</v>
      </c>
      <c r="D181" s="47">
        <f t="shared" ref="D181:F181" si="150">Q102</f>
        <v>9.9999999999999995E-7</v>
      </c>
      <c r="E181" s="47" t="str">
        <f t="shared" si="150"/>
        <v>-</v>
      </c>
      <c r="F181" s="47">
        <f t="shared" si="150"/>
        <v>0</v>
      </c>
      <c r="G181" s="47">
        <f>T102</f>
        <v>0</v>
      </c>
      <c r="H181" s="47" t="str">
        <f>U102</f>
        <v>-</v>
      </c>
      <c r="J181" s="1082"/>
      <c r="K181" s="47">
        <v>12</v>
      </c>
      <c r="L181" s="47">
        <f t="shared" ref="L181:Q181" si="151">P110</f>
        <v>200</v>
      </c>
      <c r="M181" s="47">
        <f t="shared" si="151"/>
        <v>9.9999999999999995E-7</v>
      </c>
      <c r="N181" s="47" t="str">
        <f t="shared" si="151"/>
        <v>-</v>
      </c>
      <c r="O181" s="47">
        <f t="shared" si="151"/>
        <v>0</v>
      </c>
      <c r="P181" s="47">
        <f t="shared" si="151"/>
        <v>0</v>
      </c>
      <c r="Q181" s="47" t="str">
        <f t="shared" si="151"/>
        <v>-</v>
      </c>
    </row>
    <row r="182" spans="1:17" s="116" customFormat="1" x14ac:dyDescent="0.2">
      <c r="A182" s="231"/>
      <c r="B182" s="231"/>
      <c r="C182" s="231"/>
      <c r="D182" s="231"/>
      <c r="E182" s="231"/>
      <c r="F182" s="232"/>
      <c r="G182" s="231"/>
      <c r="H182" s="231"/>
      <c r="J182" s="231"/>
      <c r="K182" s="231"/>
      <c r="L182" s="231"/>
      <c r="M182" s="231"/>
      <c r="N182" s="231"/>
      <c r="O182" s="232"/>
      <c r="P182" s="231"/>
      <c r="Q182" s="231"/>
    </row>
    <row r="183" spans="1:17" ht="15" x14ac:dyDescent="0.2">
      <c r="A183" s="1082" t="s">
        <v>46</v>
      </c>
      <c r="B183" s="45">
        <v>1</v>
      </c>
      <c r="C183" s="45">
        <f t="shared" ref="C183:H183" si="152">B10</f>
        <v>230</v>
      </c>
      <c r="D183" s="45">
        <f t="shared" si="152"/>
        <v>-0.2</v>
      </c>
      <c r="E183" s="45">
        <f t="shared" si="152"/>
        <v>-0.26</v>
      </c>
      <c r="F183" s="45">
        <f t="shared" si="152"/>
        <v>0</v>
      </c>
      <c r="G183" s="45">
        <f t="shared" si="152"/>
        <v>0.03</v>
      </c>
      <c r="H183" s="45">
        <f t="shared" si="152"/>
        <v>2.7600000000000002</v>
      </c>
      <c r="J183" s="1082" t="s">
        <v>46</v>
      </c>
      <c r="K183" s="45">
        <v>1</v>
      </c>
      <c r="L183" s="47">
        <f t="shared" ref="L183:Q183" si="153">B18</f>
        <v>500</v>
      </c>
      <c r="M183" s="47">
        <f t="shared" si="153"/>
        <v>3.8</v>
      </c>
      <c r="N183" s="47">
        <f t="shared" si="153"/>
        <v>-0.9</v>
      </c>
      <c r="O183" s="47">
        <f t="shared" si="153"/>
        <v>0</v>
      </c>
      <c r="P183" s="47">
        <f t="shared" si="153"/>
        <v>2.35</v>
      </c>
      <c r="Q183" s="47">
        <f t="shared" si="153"/>
        <v>2.9499999999999997</v>
      </c>
    </row>
    <row r="184" spans="1:17" ht="15" x14ac:dyDescent="0.2">
      <c r="A184" s="1082"/>
      <c r="B184" s="45">
        <v>2</v>
      </c>
      <c r="C184" s="47">
        <f t="shared" ref="C184:H184" si="154">I10</f>
        <v>230</v>
      </c>
      <c r="D184" s="47">
        <f t="shared" si="154"/>
        <v>9.9999999999999995E-7</v>
      </c>
      <c r="E184" s="47">
        <f t="shared" si="154"/>
        <v>0.05</v>
      </c>
      <c r="F184" s="47">
        <f t="shared" si="154"/>
        <v>0</v>
      </c>
      <c r="G184" s="47">
        <f t="shared" si="154"/>
        <v>2.4999500000000001E-2</v>
      </c>
      <c r="H184" s="47">
        <f t="shared" si="154"/>
        <v>2.7600000000000002</v>
      </c>
      <c r="J184" s="1082"/>
      <c r="K184" s="45">
        <v>2</v>
      </c>
      <c r="L184" s="47">
        <f t="shared" ref="L184:Q184" si="155">I18</f>
        <v>500</v>
      </c>
      <c r="M184" s="47">
        <f t="shared" si="155"/>
        <v>0.8</v>
      </c>
      <c r="N184" s="47">
        <f t="shared" si="155"/>
        <v>2</v>
      </c>
      <c r="O184" s="47">
        <f t="shared" si="155"/>
        <v>0</v>
      </c>
      <c r="P184" s="47">
        <f t="shared" si="155"/>
        <v>0.6</v>
      </c>
      <c r="Q184" s="47">
        <f t="shared" si="155"/>
        <v>2.9499999999999997</v>
      </c>
    </row>
    <row r="185" spans="1:17" x14ac:dyDescent="0.2">
      <c r="A185" s="1082"/>
      <c r="B185" s="47">
        <v>3</v>
      </c>
      <c r="C185" s="47">
        <f t="shared" ref="C185:H185" si="156">P10</f>
        <v>230</v>
      </c>
      <c r="D185" s="47">
        <f t="shared" si="156"/>
        <v>-11.79</v>
      </c>
      <c r="E185" s="47">
        <f t="shared" si="156"/>
        <v>-2.52</v>
      </c>
      <c r="F185" s="47">
        <f t="shared" si="156"/>
        <v>-0.23</v>
      </c>
      <c r="G185" s="47">
        <f t="shared" si="156"/>
        <v>5.7799999999999994</v>
      </c>
      <c r="H185" s="47">
        <f t="shared" si="156"/>
        <v>2.7600000000000002</v>
      </c>
      <c r="J185" s="1082"/>
      <c r="K185" s="47">
        <v>3</v>
      </c>
      <c r="L185" s="47">
        <f t="shared" ref="L185:Q185" si="157">P18</f>
        <v>500</v>
      </c>
      <c r="M185" s="47">
        <f t="shared" si="157"/>
        <v>-18.8</v>
      </c>
      <c r="N185" s="47">
        <f t="shared" si="157"/>
        <v>-1.1000000000000001</v>
      </c>
      <c r="O185" s="47">
        <f t="shared" si="157"/>
        <v>2.9</v>
      </c>
      <c r="P185" s="47">
        <f t="shared" si="157"/>
        <v>10.85</v>
      </c>
      <c r="Q185" s="47">
        <f t="shared" si="157"/>
        <v>2.9499999999999997</v>
      </c>
    </row>
    <row r="186" spans="1:17" x14ac:dyDescent="0.2">
      <c r="A186" s="1082"/>
      <c r="B186" s="47">
        <v>4</v>
      </c>
      <c r="C186" s="47">
        <f t="shared" ref="C186:H186" si="158">B41</f>
        <v>230</v>
      </c>
      <c r="D186" s="47">
        <f t="shared" si="158"/>
        <v>-0.11</v>
      </c>
      <c r="E186" s="47">
        <f t="shared" si="158"/>
        <v>1.1100000000000001</v>
      </c>
      <c r="F186" s="47">
        <f t="shared" si="158"/>
        <v>0</v>
      </c>
      <c r="G186" s="47">
        <f t="shared" si="158"/>
        <v>0.6100000000000001</v>
      </c>
      <c r="H186" s="47">
        <f t="shared" si="158"/>
        <v>2.7600000000000002</v>
      </c>
      <c r="J186" s="1082"/>
      <c r="K186" s="47">
        <v>4</v>
      </c>
      <c r="L186" s="47">
        <f t="shared" ref="L186:Q186" si="159">B49</f>
        <v>500</v>
      </c>
      <c r="M186" s="47">
        <f t="shared" si="159"/>
        <v>0.2</v>
      </c>
      <c r="N186" s="47">
        <f t="shared" si="159"/>
        <v>1.2</v>
      </c>
      <c r="O186" s="47">
        <f t="shared" si="159"/>
        <v>0</v>
      </c>
      <c r="P186" s="47">
        <f t="shared" si="159"/>
        <v>0.5</v>
      </c>
      <c r="Q186" s="47">
        <f t="shared" si="159"/>
        <v>2.9499999999999997</v>
      </c>
    </row>
    <row r="187" spans="1:17" x14ac:dyDescent="0.2">
      <c r="A187" s="1082"/>
      <c r="B187" s="47">
        <v>5</v>
      </c>
      <c r="C187" s="47">
        <f t="shared" ref="C187:H187" si="160">I41</f>
        <v>230</v>
      </c>
      <c r="D187" s="47">
        <f t="shared" si="160"/>
        <v>0.73</v>
      </c>
      <c r="E187" s="47">
        <f t="shared" si="160"/>
        <v>-0.16</v>
      </c>
      <c r="F187" s="47">
        <f t="shared" si="160"/>
        <v>0</v>
      </c>
      <c r="G187" s="47">
        <f t="shared" si="160"/>
        <v>0.44500000000000001</v>
      </c>
      <c r="H187" s="47">
        <f t="shared" si="160"/>
        <v>2.7600000000000002</v>
      </c>
      <c r="J187" s="1082"/>
      <c r="K187" s="47">
        <v>5</v>
      </c>
      <c r="L187" s="47">
        <f t="shared" ref="L187:Q187" si="161">I49</f>
        <v>500</v>
      </c>
      <c r="M187" s="47">
        <f t="shared" si="161"/>
        <v>0.7</v>
      </c>
      <c r="N187" s="47">
        <f t="shared" si="161"/>
        <v>0.7</v>
      </c>
      <c r="O187" s="47">
        <f t="shared" si="161"/>
        <v>0</v>
      </c>
      <c r="P187" s="47">
        <f t="shared" si="161"/>
        <v>0</v>
      </c>
      <c r="Q187" s="47">
        <f t="shared" si="161"/>
        <v>2.9</v>
      </c>
    </row>
    <row r="188" spans="1:17" x14ac:dyDescent="0.2">
      <c r="A188" s="1082"/>
      <c r="B188" s="47">
        <v>6</v>
      </c>
      <c r="C188" s="47">
        <f t="shared" ref="C188:H188" si="162">P41</f>
        <v>230</v>
      </c>
      <c r="D188" s="47">
        <f t="shared" si="162"/>
        <v>-0.15</v>
      </c>
      <c r="E188" s="47">
        <f t="shared" si="162"/>
        <v>-0.05</v>
      </c>
      <c r="F188" s="47">
        <f t="shared" si="162"/>
        <v>0</v>
      </c>
      <c r="G188" s="47">
        <f t="shared" si="162"/>
        <v>4.9999999999999996E-2</v>
      </c>
      <c r="H188" s="47">
        <f t="shared" si="162"/>
        <v>2.7600000000000002</v>
      </c>
      <c r="J188" s="1082"/>
      <c r="K188" s="47">
        <v>6</v>
      </c>
      <c r="L188" s="47">
        <f t="shared" ref="L188:Q188" si="163">P49</f>
        <v>500</v>
      </c>
      <c r="M188" s="47">
        <f t="shared" si="163"/>
        <v>1.1000000000000001</v>
      </c>
      <c r="N188" s="47">
        <f t="shared" si="163"/>
        <v>0.6</v>
      </c>
      <c r="O188" s="47">
        <f t="shared" si="163"/>
        <v>0</v>
      </c>
      <c r="P188" s="47">
        <f t="shared" si="163"/>
        <v>0.25000000000000006</v>
      </c>
      <c r="Q188" s="47">
        <f t="shared" si="163"/>
        <v>2.9</v>
      </c>
    </row>
    <row r="189" spans="1:17" x14ac:dyDescent="0.2">
      <c r="A189" s="1082"/>
      <c r="B189" s="47">
        <v>7</v>
      </c>
      <c r="C189" s="47">
        <f t="shared" ref="C189:H189" si="164">B72</f>
        <v>230.47</v>
      </c>
      <c r="D189" s="47">
        <f t="shared" si="164"/>
        <v>0.47</v>
      </c>
      <c r="E189" s="47">
        <f t="shared" si="164"/>
        <v>0.4</v>
      </c>
      <c r="F189" s="47">
        <f t="shared" si="164"/>
        <v>0</v>
      </c>
      <c r="G189" s="47">
        <f t="shared" si="164"/>
        <v>3.4999999999999976E-2</v>
      </c>
      <c r="H189" s="47">
        <f t="shared" si="164"/>
        <v>2.7656399999999999</v>
      </c>
      <c r="J189" s="1082"/>
      <c r="K189" s="47">
        <v>7</v>
      </c>
      <c r="L189" s="47">
        <f t="shared" ref="L189:Q189" si="165">B80</f>
        <v>500</v>
      </c>
      <c r="M189" s="47">
        <f t="shared" si="165"/>
        <v>3</v>
      </c>
      <c r="N189" s="47">
        <f t="shared" si="165"/>
        <v>3.3</v>
      </c>
      <c r="O189" s="47">
        <f t="shared" si="165"/>
        <v>0</v>
      </c>
      <c r="P189" s="47">
        <f t="shared" si="165"/>
        <v>0.14999999999999991</v>
      </c>
      <c r="Q189" s="47">
        <f t="shared" si="165"/>
        <v>2.9499999999999997</v>
      </c>
    </row>
    <row r="190" spans="1:17" x14ac:dyDescent="0.2">
      <c r="A190" s="1082"/>
      <c r="B190" s="47">
        <v>8</v>
      </c>
      <c r="C190" s="47">
        <f t="shared" ref="C190:H190" si="166">I72</f>
        <v>230</v>
      </c>
      <c r="D190" s="47">
        <f t="shared" si="166"/>
        <v>-0.15</v>
      </c>
      <c r="E190" s="47">
        <f t="shared" si="166"/>
        <v>-0.54</v>
      </c>
      <c r="F190" s="47">
        <f t="shared" si="166"/>
        <v>0</v>
      </c>
      <c r="G190" s="47">
        <f t="shared" si="166"/>
        <v>0.19500000000000001</v>
      </c>
      <c r="H190" s="47">
        <f t="shared" si="166"/>
        <v>2.7600000000000002</v>
      </c>
      <c r="J190" s="1082"/>
      <c r="K190" s="47">
        <v>8</v>
      </c>
      <c r="L190" s="47">
        <f t="shared" ref="L190:Q190" si="167">I80</f>
        <v>500</v>
      </c>
      <c r="M190" s="47">
        <f t="shared" si="167"/>
        <v>-31.8</v>
      </c>
      <c r="N190" s="47">
        <f t="shared" si="167"/>
        <v>8.3000000000000007</v>
      </c>
      <c r="O190" s="47">
        <f t="shared" si="167"/>
        <v>0</v>
      </c>
      <c r="P190" s="47">
        <f t="shared" si="167"/>
        <v>20.05</v>
      </c>
      <c r="Q190" s="47">
        <f t="shared" si="167"/>
        <v>2.9499999999999997</v>
      </c>
    </row>
    <row r="191" spans="1:17" x14ac:dyDescent="0.2">
      <c r="A191" s="1082"/>
      <c r="B191" s="47">
        <v>9</v>
      </c>
      <c r="C191" s="47">
        <f t="shared" ref="C191:H191" si="168">P72</f>
        <v>229.61</v>
      </c>
      <c r="D191" s="47">
        <f t="shared" si="168"/>
        <v>-0.39</v>
      </c>
      <c r="E191" s="47" t="str">
        <f t="shared" si="168"/>
        <v>-</v>
      </c>
      <c r="F191" s="47">
        <f t="shared" si="168"/>
        <v>0</v>
      </c>
      <c r="G191" s="47">
        <f t="shared" si="168"/>
        <v>0</v>
      </c>
      <c r="H191" s="47">
        <f t="shared" si="168"/>
        <v>2.7553200000000002</v>
      </c>
      <c r="J191" s="1082"/>
      <c r="K191" s="47">
        <v>9</v>
      </c>
      <c r="L191" s="47">
        <f t="shared" ref="L191:Q191" si="169">P80</f>
        <v>507.2</v>
      </c>
      <c r="M191" s="47">
        <f t="shared" si="169"/>
        <v>7.2</v>
      </c>
      <c r="N191" s="47" t="str">
        <f t="shared" si="169"/>
        <v>-</v>
      </c>
      <c r="O191" s="47">
        <f t="shared" si="169"/>
        <v>0</v>
      </c>
      <c r="P191" s="47">
        <f t="shared" si="169"/>
        <v>0</v>
      </c>
      <c r="Q191" s="47">
        <f t="shared" si="169"/>
        <v>2.99248</v>
      </c>
    </row>
    <row r="192" spans="1:17" x14ac:dyDescent="0.2">
      <c r="A192" s="1082"/>
      <c r="B192" s="47">
        <v>10</v>
      </c>
      <c r="C192" s="47">
        <f>B103</f>
        <v>230</v>
      </c>
      <c r="D192" s="47">
        <f t="shared" ref="D192:F192" si="170">C103</f>
        <v>-0.11</v>
      </c>
      <c r="E192" s="47" t="str">
        <f t="shared" si="170"/>
        <v>-</v>
      </c>
      <c r="F192" s="47">
        <f t="shared" si="170"/>
        <v>0</v>
      </c>
      <c r="G192" s="47">
        <f>F103</f>
        <v>0</v>
      </c>
      <c r="H192" s="47" t="str">
        <f>G103</f>
        <v>-</v>
      </c>
      <c r="J192" s="1082"/>
      <c r="K192" s="47">
        <v>10</v>
      </c>
      <c r="L192" s="47">
        <f t="shared" ref="L192:Q192" si="171">B111</f>
        <v>500</v>
      </c>
      <c r="M192" s="47">
        <f t="shared" si="171"/>
        <v>1.5</v>
      </c>
      <c r="N192" s="47" t="str">
        <f t="shared" si="171"/>
        <v>-</v>
      </c>
      <c r="O192" s="47">
        <f t="shared" si="171"/>
        <v>0</v>
      </c>
      <c r="P192" s="47">
        <f t="shared" si="171"/>
        <v>0</v>
      </c>
      <c r="Q192" s="47" t="str">
        <f t="shared" si="171"/>
        <v>-</v>
      </c>
    </row>
    <row r="193" spans="1:17" x14ac:dyDescent="0.2">
      <c r="A193" s="1082"/>
      <c r="B193" s="47">
        <v>11</v>
      </c>
      <c r="C193" s="47">
        <f>I103</f>
        <v>230</v>
      </c>
      <c r="D193" s="47">
        <f t="shared" ref="D193:F193" si="172">J103</f>
        <v>9.9999999999999995E-7</v>
      </c>
      <c r="E193" s="47" t="str">
        <f t="shared" si="172"/>
        <v>-</v>
      </c>
      <c r="F193" s="47">
        <f t="shared" si="172"/>
        <v>0</v>
      </c>
      <c r="G193" s="47">
        <f>M103</f>
        <v>0</v>
      </c>
      <c r="H193" s="47" t="str">
        <f>N103</f>
        <v>-</v>
      </c>
      <c r="J193" s="1082"/>
      <c r="K193" s="47">
        <v>11</v>
      </c>
      <c r="L193" s="47">
        <f t="shared" ref="L193:Q193" si="173">I111</f>
        <v>500</v>
      </c>
      <c r="M193" s="47">
        <f t="shared" si="173"/>
        <v>9.9999999999999995E-7</v>
      </c>
      <c r="N193" s="47" t="str">
        <f t="shared" si="173"/>
        <v>-</v>
      </c>
      <c r="O193" s="47">
        <f t="shared" si="173"/>
        <v>0</v>
      </c>
      <c r="P193" s="47">
        <f t="shared" si="173"/>
        <v>0</v>
      </c>
      <c r="Q193" s="47" t="str">
        <f t="shared" si="173"/>
        <v>-</v>
      </c>
    </row>
    <row r="194" spans="1:17" x14ac:dyDescent="0.2">
      <c r="A194" s="1082"/>
      <c r="B194" s="47">
        <v>12</v>
      </c>
      <c r="C194" s="47">
        <f>P103</f>
        <v>230</v>
      </c>
      <c r="D194" s="47">
        <f t="shared" ref="D194:F194" si="174">Q103</f>
        <v>9.9999999999999995E-7</v>
      </c>
      <c r="E194" s="47" t="str">
        <f t="shared" si="174"/>
        <v>-</v>
      </c>
      <c r="F194" s="47">
        <f t="shared" si="174"/>
        <v>0</v>
      </c>
      <c r="G194" s="47">
        <f>T103</f>
        <v>0</v>
      </c>
      <c r="H194" s="47" t="str">
        <f>U103</f>
        <v>-</v>
      </c>
      <c r="J194" s="1082"/>
      <c r="K194" s="47">
        <v>12</v>
      </c>
      <c r="L194" s="47">
        <f t="shared" ref="L194:Q194" si="175">P111</f>
        <v>500</v>
      </c>
      <c r="M194" s="47">
        <f t="shared" si="175"/>
        <v>9.9999999999999995E-7</v>
      </c>
      <c r="N194" s="47" t="str">
        <f t="shared" si="175"/>
        <v>-</v>
      </c>
      <c r="O194" s="47">
        <f t="shared" si="175"/>
        <v>0</v>
      </c>
      <c r="P194" s="47">
        <f t="shared" si="175"/>
        <v>0</v>
      </c>
      <c r="Q194" s="47" t="str">
        <f t="shared" si="175"/>
        <v>-</v>
      </c>
    </row>
    <row r="195" spans="1:17" s="116" customFormat="1" x14ac:dyDescent="0.2">
      <c r="A195" s="231"/>
      <c r="B195" s="231"/>
      <c r="C195" s="231"/>
      <c r="D195" s="231"/>
      <c r="E195" s="231"/>
      <c r="F195" s="232"/>
      <c r="G195" s="231"/>
      <c r="H195" s="231"/>
      <c r="J195" s="231"/>
      <c r="K195" s="231"/>
      <c r="L195" s="231"/>
      <c r="M195" s="231"/>
      <c r="N195" s="231"/>
      <c r="O195" s="232"/>
      <c r="P195" s="231"/>
      <c r="Q195" s="231"/>
    </row>
    <row r="196" spans="1:17" ht="15" x14ac:dyDescent="0.2">
      <c r="A196" s="1082" t="s">
        <v>317</v>
      </c>
      <c r="B196" s="45">
        <v>1</v>
      </c>
      <c r="C196" s="45">
        <f t="shared" ref="C196:H196" si="176">B11</f>
        <v>250</v>
      </c>
      <c r="D196" s="45">
        <f t="shared" si="176"/>
        <v>-0.32</v>
      </c>
      <c r="E196" s="45">
        <f t="shared" si="176"/>
        <v>9.9999999999999995E-7</v>
      </c>
      <c r="F196" s="45">
        <f t="shared" si="176"/>
        <v>0</v>
      </c>
      <c r="G196" s="45">
        <f t="shared" si="176"/>
        <v>0.16000049999999999</v>
      </c>
      <c r="H196" s="45">
        <f t="shared" si="176"/>
        <v>3</v>
      </c>
      <c r="J196" s="1082" t="s">
        <v>317</v>
      </c>
      <c r="K196" s="45">
        <v>1</v>
      </c>
      <c r="L196" s="47">
        <f t="shared" ref="L196:Q196" si="177">B19</f>
        <v>1000</v>
      </c>
      <c r="M196" s="47">
        <f t="shared" si="177"/>
        <v>9.9999999999999995E-7</v>
      </c>
      <c r="N196" s="47">
        <f t="shared" si="177"/>
        <v>9.9999999999999995E-7</v>
      </c>
      <c r="O196" s="47">
        <f t="shared" si="177"/>
        <v>0</v>
      </c>
      <c r="P196" s="47">
        <f t="shared" si="177"/>
        <v>0</v>
      </c>
      <c r="Q196" s="47">
        <f t="shared" si="177"/>
        <v>2.95</v>
      </c>
    </row>
    <row r="197" spans="1:17" ht="15" x14ac:dyDescent="0.2">
      <c r="A197" s="1082"/>
      <c r="B197" s="45">
        <v>2</v>
      </c>
      <c r="C197" s="47">
        <f t="shared" ref="C197:H197" si="178">I11</f>
        <v>250</v>
      </c>
      <c r="D197" s="47">
        <f t="shared" si="178"/>
        <v>9.9999999999999995E-7</v>
      </c>
      <c r="E197" s="47">
        <f t="shared" si="178"/>
        <v>9.9999999999999995E-7</v>
      </c>
      <c r="F197" s="47">
        <f t="shared" si="178"/>
        <v>0</v>
      </c>
      <c r="G197" s="47">
        <f t="shared" si="178"/>
        <v>0</v>
      </c>
      <c r="H197" s="47">
        <f t="shared" si="178"/>
        <v>2.76</v>
      </c>
      <c r="J197" s="1082"/>
      <c r="K197" s="45">
        <v>2</v>
      </c>
      <c r="L197" s="47">
        <f t="shared" ref="L197:Q197" si="179">I19</f>
        <v>1000</v>
      </c>
      <c r="M197" s="47">
        <f t="shared" si="179"/>
        <v>9.9999999999999995E-7</v>
      </c>
      <c r="N197" s="47">
        <f t="shared" si="179"/>
        <v>9.9999999999999995E-7</v>
      </c>
      <c r="O197" s="47">
        <f t="shared" si="179"/>
        <v>0</v>
      </c>
      <c r="P197" s="47">
        <f t="shared" si="179"/>
        <v>0</v>
      </c>
      <c r="Q197" s="47">
        <f t="shared" si="179"/>
        <v>2.95</v>
      </c>
    </row>
    <row r="198" spans="1:17" x14ac:dyDescent="0.2">
      <c r="A198" s="1082"/>
      <c r="B198" s="47">
        <v>3</v>
      </c>
      <c r="C198" s="47">
        <f t="shared" ref="C198:H198" si="180">P11</f>
        <v>250</v>
      </c>
      <c r="D198" s="47">
        <f t="shared" si="180"/>
        <v>9.9999999999999995E-7</v>
      </c>
      <c r="E198" s="47">
        <f t="shared" si="180"/>
        <v>9.9999999999999995E-7</v>
      </c>
      <c r="F198" s="47">
        <f t="shared" si="180"/>
        <v>9.9999999999999995E-7</v>
      </c>
      <c r="G198" s="47">
        <f t="shared" si="180"/>
        <v>0</v>
      </c>
      <c r="H198" s="47">
        <f t="shared" si="180"/>
        <v>3</v>
      </c>
      <c r="J198" s="1082"/>
      <c r="K198" s="47">
        <v>3</v>
      </c>
      <c r="L198" s="47">
        <f t="shared" ref="L198:Q198" si="181">P19</f>
        <v>1000</v>
      </c>
      <c r="M198" s="47">
        <f t="shared" si="181"/>
        <v>-47</v>
      </c>
      <c r="N198" s="47">
        <f t="shared" si="181"/>
        <v>3</v>
      </c>
      <c r="O198" s="47">
        <f t="shared" si="181"/>
        <v>3</v>
      </c>
      <c r="P198" s="47">
        <f t="shared" si="181"/>
        <v>25</v>
      </c>
      <c r="Q198" s="47">
        <f t="shared" si="181"/>
        <v>5.8999999999999995</v>
      </c>
    </row>
    <row r="199" spans="1:17" x14ac:dyDescent="0.2">
      <c r="A199" s="1082"/>
      <c r="B199" s="47">
        <v>4</v>
      </c>
      <c r="C199" s="47">
        <f t="shared" ref="C199:H199" si="182">B42</f>
        <v>250</v>
      </c>
      <c r="D199" s="47">
        <f t="shared" si="182"/>
        <v>9.9999999999999995E-7</v>
      </c>
      <c r="E199" s="47">
        <f t="shared" si="182"/>
        <v>9.9999999999999995E-7</v>
      </c>
      <c r="F199" s="47">
        <f t="shared" si="182"/>
        <v>0</v>
      </c>
      <c r="G199" s="47">
        <f t="shared" si="182"/>
        <v>0</v>
      </c>
      <c r="H199" s="47">
        <f t="shared" si="182"/>
        <v>2.76</v>
      </c>
      <c r="J199" s="1082"/>
      <c r="K199" s="47">
        <v>4</v>
      </c>
      <c r="L199" s="47">
        <f t="shared" ref="L199:Q199" si="183">B50</f>
        <v>1000</v>
      </c>
      <c r="M199" s="47">
        <f t="shared" si="183"/>
        <v>2</v>
      </c>
      <c r="N199" s="47">
        <f t="shared" si="183"/>
        <v>2</v>
      </c>
      <c r="O199" s="47">
        <f t="shared" si="183"/>
        <v>0</v>
      </c>
      <c r="P199" s="47">
        <f t="shared" si="183"/>
        <v>0</v>
      </c>
      <c r="Q199" s="47">
        <f t="shared" si="183"/>
        <v>0</v>
      </c>
    </row>
    <row r="200" spans="1:17" x14ac:dyDescent="0.2">
      <c r="A200" s="1082"/>
      <c r="B200" s="47">
        <v>5</v>
      </c>
      <c r="C200" s="47">
        <f t="shared" ref="C200:H200" si="184">I42</f>
        <v>250</v>
      </c>
      <c r="D200" s="47">
        <f t="shared" si="184"/>
        <v>9.9999999999999995E-7</v>
      </c>
      <c r="E200" s="47">
        <f t="shared" si="184"/>
        <v>9.9999999999999995E-7</v>
      </c>
      <c r="F200" s="47">
        <f t="shared" si="184"/>
        <v>0</v>
      </c>
      <c r="G200" s="47">
        <f t="shared" si="184"/>
        <v>0</v>
      </c>
      <c r="H200" s="47">
        <f t="shared" si="184"/>
        <v>2.76</v>
      </c>
      <c r="J200" s="1082"/>
      <c r="K200" s="47">
        <v>5</v>
      </c>
      <c r="L200" s="47">
        <f t="shared" ref="L200:Q200" si="185">I50</f>
        <v>850</v>
      </c>
      <c r="M200" s="47">
        <f t="shared" si="185"/>
        <v>9.9999999999999995E-7</v>
      </c>
      <c r="N200" s="47">
        <f t="shared" si="185"/>
        <v>9.9999999999999995E-7</v>
      </c>
      <c r="O200" s="47">
        <f t="shared" si="185"/>
        <v>0</v>
      </c>
      <c r="P200" s="47">
        <f t="shared" si="185"/>
        <v>0</v>
      </c>
      <c r="Q200" s="47">
        <f t="shared" si="185"/>
        <v>2.9</v>
      </c>
    </row>
    <row r="201" spans="1:17" x14ac:dyDescent="0.2">
      <c r="A201" s="1082"/>
      <c r="B201" s="47">
        <v>6</v>
      </c>
      <c r="C201" s="47">
        <f t="shared" ref="C201:H201" si="186">P42</f>
        <v>250</v>
      </c>
      <c r="D201" s="47">
        <f t="shared" si="186"/>
        <v>9.9999999999999995E-7</v>
      </c>
      <c r="E201" s="47">
        <f t="shared" si="186"/>
        <v>9.9999999999999995E-7</v>
      </c>
      <c r="F201" s="47">
        <f t="shared" si="186"/>
        <v>0</v>
      </c>
      <c r="G201" s="47">
        <f t="shared" si="186"/>
        <v>0</v>
      </c>
      <c r="H201" s="47">
        <f t="shared" si="186"/>
        <v>0</v>
      </c>
      <c r="J201" s="1082"/>
      <c r="K201" s="47">
        <v>6</v>
      </c>
      <c r="L201" s="47">
        <f t="shared" ref="L201:Q201" si="187">P50</f>
        <v>1000</v>
      </c>
      <c r="M201" s="47">
        <f t="shared" si="187"/>
        <v>9.9999999999999995E-7</v>
      </c>
      <c r="N201" s="47">
        <f t="shared" si="187"/>
        <v>9.9999999999999995E-7</v>
      </c>
      <c r="O201" s="47">
        <f t="shared" si="187"/>
        <v>0</v>
      </c>
      <c r="P201" s="47">
        <f t="shared" si="187"/>
        <v>0</v>
      </c>
      <c r="Q201" s="47">
        <f t="shared" si="187"/>
        <v>2.9</v>
      </c>
    </row>
    <row r="202" spans="1:17" x14ac:dyDescent="0.2">
      <c r="A202" s="1082"/>
      <c r="B202" s="47">
        <v>7</v>
      </c>
      <c r="C202" s="47">
        <f t="shared" ref="C202:H202" si="188">B73</f>
        <v>240.38</v>
      </c>
      <c r="D202" s="47">
        <f t="shared" si="188"/>
        <v>0.38</v>
      </c>
      <c r="E202" s="47">
        <f t="shared" si="188"/>
        <v>9.9999999999999995E-7</v>
      </c>
      <c r="F202" s="47">
        <f t="shared" si="188"/>
        <v>0</v>
      </c>
      <c r="G202" s="47">
        <f t="shared" si="188"/>
        <v>0.18999950000000002</v>
      </c>
      <c r="H202" s="47">
        <f t="shared" si="188"/>
        <v>2.88456</v>
      </c>
      <c r="J202" s="1082"/>
      <c r="K202" s="47">
        <v>7</v>
      </c>
      <c r="L202" s="47">
        <f t="shared" ref="L202:Q202" si="189">B81</f>
        <v>1000</v>
      </c>
      <c r="M202" s="47">
        <f t="shared" si="189"/>
        <v>9.9999999999999995E-7</v>
      </c>
      <c r="N202" s="47">
        <f t="shared" si="189"/>
        <v>9.9999999999999995E-7</v>
      </c>
      <c r="O202" s="47">
        <f t="shared" si="189"/>
        <v>0</v>
      </c>
      <c r="P202" s="47">
        <f t="shared" si="189"/>
        <v>0</v>
      </c>
      <c r="Q202" s="47">
        <f t="shared" si="189"/>
        <v>2.95</v>
      </c>
    </row>
    <row r="203" spans="1:17" x14ac:dyDescent="0.2">
      <c r="A203" s="1082"/>
      <c r="B203" s="47">
        <v>8</v>
      </c>
      <c r="C203" s="47">
        <f t="shared" ref="C203:H203" si="190">I73</f>
        <v>250</v>
      </c>
      <c r="D203" s="47">
        <f t="shared" si="190"/>
        <v>9.9999999999999995E-7</v>
      </c>
      <c r="E203" s="47">
        <f t="shared" si="190"/>
        <v>-0.49</v>
      </c>
      <c r="F203" s="47">
        <f t="shared" si="190"/>
        <v>0</v>
      </c>
      <c r="G203" s="47">
        <f t="shared" si="190"/>
        <v>0.24500049999999998</v>
      </c>
      <c r="H203" s="47">
        <f t="shared" si="190"/>
        <v>3</v>
      </c>
      <c r="J203" s="1082"/>
      <c r="K203" s="47">
        <v>8</v>
      </c>
      <c r="L203" s="47">
        <f t="shared" ref="L203:Q203" si="191">I81</f>
        <v>1000</v>
      </c>
      <c r="M203" s="47">
        <f t="shared" si="191"/>
        <v>-74</v>
      </c>
      <c r="N203" s="47">
        <f t="shared" si="191"/>
        <v>9.9999999999999995E-7</v>
      </c>
      <c r="O203" s="47">
        <f t="shared" si="191"/>
        <v>0</v>
      </c>
      <c r="P203" s="47">
        <f t="shared" si="191"/>
        <v>37.000000499999999</v>
      </c>
      <c r="Q203" s="47">
        <f t="shared" si="191"/>
        <v>5.8999999999999995</v>
      </c>
    </row>
    <row r="204" spans="1:17" x14ac:dyDescent="0.2">
      <c r="A204" s="1082"/>
      <c r="B204" s="47">
        <v>9</v>
      </c>
      <c r="C204" s="47">
        <f t="shared" ref="C204:H204" si="192">P73</f>
        <v>239.61</v>
      </c>
      <c r="D204" s="47">
        <f t="shared" si="192"/>
        <v>-0.39</v>
      </c>
      <c r="E204" s="47" t="str">
        <f t="shared" si="192"/>
        <v>-</v>
      </c>
      <c r="F204" s="47">
        <f t="shared" si="192"/>
        <v>0</v>
      </c>
      <c r="G204" s="47">
        <f t="shared" si="192"/>
        <v>0</v>
      </c>
      <c r="H204" s="47">
        <f t="shared" si="192"/>
        <v>2.8753200000000003</v>
      </c>
      <c r="J204" s="1082"/>
      <c r="K204" s="47">
        <v>9</v>
      </c>
      <c r="L204" s="47">
        <f t="shared" ref="L204:Q204" si="193">P81</f>
        <v>920</v>
      </c>
      <c r="M204" s="47">
        <f t="shared" si="193"/>
        <v>9.9999999999999995E-7</v>
      </c>
      <c r="N204" s="47" t="str">
        <f t="shared" si="193"/>
        <v>-</v>
      </c>
      <c r="O204" s="47">
        <f t="shared" si="193"/>
        <v>0</v>
      </c>
      <c r="P204" s="47">
        <f t="shared" si="193"/>
        <v>0</v>
      </c>
      <c r="Q204" s="47">
        <f t="shared" si="193"/>
        <v>2.99</v>
      </c>
    </row>
    <row r="205" spans="1:17" x14ac:dyDescent="0.2">
      <c r="A205" s="1082"/>
      <c r="B205" s="47">
        <v>10</v>
      </c>
      <c r="C205" s="47">
        <f>B104</f>
        <v>250</v>
      </c>
      <c r="D205" s="47">
        <f t="shared" ref="D205:F205" si="194">C104</f>
        <v>-0.11</v>
      </c>
      <c r="E205" s="47" t="str">
        <f t="shared" si="194"/>
        <v>-</v>
      </c>
      <c r="F205" s="47">
        <f t="shared" si="194"/>
        <v>0</v>
      </c>
      <c r="G205" s="47">
        <f>F104</f>
        <v>0</v>
      </c>
      <c r="H205" s="47" t="str">
        <f>G104</f>
        <v>-</v>
      </c>
      <c r="J205" s="1082"/>
      <c r="K205" s="47">
        <v>10</v>
      </c>
      <c r="L205" s="47">
        <f t="shared" ref="L205:Q205" si="195">B112</f>
        <v>1000</v>
      </c>
      <c r="M205" s="47">
        <f t="shared" si="195"/>
        <v>2</v>
      </c>
      <c r="N205" s="47" t="str">
        <f t="shared" si="195"/>
        <v>-</v>
      </c>
      <c r="O205" s="47">
        <f t="shared" si="195"/>
        <v>0</v>
      </c>
      <c r="P205" s="47">
        <f t="shared" si="195"/>
        <v>0</v>
      </c>
      <c r="Q205" s="47" t="str">
        <f t="shared" si="195"/>
        <v>-</v>
      </c>
    </row>
    <row r="206" spans="1:17" x14ac:dyDescent="0.2">
      <c r="A206" s="1082"/>
      <c r="B206" s="47">
        <v>11</v>
      </c>
      <c r="C206" s="47">
        <f>I104</f>
        <v>250</v>
      </c>
      <c r="D206" s="47">
        <f t="shared" ref="D206:F206" si="196">J104</f>
        <v>9.9999999999999995E-7</v>
      </c>
      <c r="E206" s="47" t="str">
        <f t="shared" si="196"/>
        <v>-</v>
      </c>
      <c r="F206" s="47">
        <f t="shared" si="196"/>
        <v>0</v>
      </c>
      <c r="G206" s="47">
        <f>M104</f>
        <v>0</v>
      </c>
      <c r="H206" s="47" t="str">
        <f>N104</f>
        <v>-</v>
      </c>
      <c r="J206" s="1082"/>
      <c r="K206" s="47">
        <v>11</v>
      </c>
      <c r="L206" s="47">
        <f t="shared" ref="L206:Q206" si="197">I112</f>
        <v>1000</v>
      </c>
      <c r="M206" s="47">
        <f t="shared" si="197"/>
        <v>9.9999999999999995E-7</v>
      </c>
      <c r="N206" s="47" t="str">
        <f t="shared" si="197"/>
        <v>-</v>
      </c>
      <c r="O206" s="47">
        <f t="shared" si="197"/>
        <v>0</v>
      </c>
      <c r="P206" s="47">
        <f t="shared" si="197"/>
        <v>0</v>
      </c>
      <c r="Q206" s="47" t="str">
        <f t="shared" si="197"/>
        <v>-</v>
      </c>
    </row>
    <row r="207" spans="1:17" x14ac:dyDescent="0.2">
      <c r="A207" s="1082"/>
      <c r="B207" s="47">
        <v>12</v>
      </c>
      <c r="C207" s="47">
        <f>P104</f>
        <v>250</v>
      </c>
      <c r="D207" s="47">
        <f t="shared" ref="D207:F207" si="198">Q104</f>
        <v>9.9999999999999995E-7</v>
      </c>
      <c r="E207" s="47" t="str">
        <f t="shared" si="198"/>
        <v>-</v>
      </c>
      <c r="F207" s="47">
        <f t="shared" si="198"/>
        <v>0</v>
      </c>
      <c r="G207" s="47">
        <f>T104</f>
        <v>0</v>
      </c>
      <c r="H207" s="47" t="str">
        <f>U104</f>
        <v>-</v>
      </c>
      <c r="J207" s="1082"/>
      <c r="K207" s="47">
        <v>12</v>
      </c>
      <c r="L207" s="47">
        <f t="shared" ref="L207:Q207" si="199">P112</f>
        <v>1000</v>
      </c>
      <c r="M207" s="47">
        <f t="shared" si="199"/>
        <v>9.9999999999999995E-7</v>
      </c>
      <c r="N207" s="47" t="str">
        <f t="shared" si="199"/>
        <v>-</v>
      </c>
      <c r="O207" s="47">
        <f t="shared" si="199"/>
        <v>0</v>
      </c>
      <c r="P207" s="47">
        <f t="shared" si="199"/>
        <v>0</v>
      </c>
      <c r="Q207" s="47" t="str">
        <f t="shared" si="199"/>
        <v>-</v>
      </c>
    </row>
    <row r="208" spans="1:17" x14ac:dyDescent="0.2">
      <c r="A208" s="125"/>
      <c r="B208" s="206"/>
      <c r="C208" s="206"/>
      <c r="D208" s="125"/>
      <c r="E208" s="125"/>
      <c r="F208" s="125"/>
      <c r="G208" s="125"/>
      <c r="H208" s="125"/>
      <c r="J208" s="125"/>
      <c r="K208" s="125"/>
      <c r="L208" s="125"/>
      <c r="M208" s="125"/>
      <c r="N208" s="125"/>
      <c r="O208" s="125"/>
      <c r="P208" s="125"/>
      <c r="Q208" s="125"/>
    </row>
    <row r="209" spans="1:17" ht="14.25" x14ac:dyDescent="0.2">
      <c r="A209" s="1077" t="s">
        <v>316</v>
      </c>
      <c r="B209" s="1078"/>
      <c r="C209" s="1079" t="s">
        <v>293</v>
      </c>
      <c r="D209" s="1079"/>
      <c r="E209" s="1079"/>
      <c r="F209" s="1079"/>
      <c r="G209" s="1079"/>
      <c r="H209" s="1079"/>
      <c r="J209" s="1077" t="s">
        <v>316</v>
      </c>
      <c r="K209" s="1078"/>
      <c r="L209" s="1080" t="s">
        <v>293</v>
      </c>
      <c r="M209" s="1080"/>
      <c r="N209" s="1080"/>
      <c r="O209" s="1080"/>
      <c r="P209" s="1080"/>
      <c r="Q209" s="1080"/>
    </row>
    <row r="210" spans="1:17" ht="12.95" customHeight="1" x14ac:dyDescent="0.2">
      <c r="A210" s="1077"/>
      <c r="B210" s="1078"/>
      <c r="C210" s="1081" t="str">
        <f>B20</f>
        <v>Main-PE</v>
      </c>
      <c r="D210" s="1081"/>
      <c r="E210" s="1081"/>
      <c r="F210" s="1081"/>
      <c r="G210" s="234" t="s">
        <v>295</v>
      </c>
      <c r="H210" s="234" t="s">
        <v>224</v>
      </c>
      <c r="J210" s="1077"/>
      <c r="K210" s="1078"/>
      <c r="L210" s="1081" t="str">
        <f>B26</f>
        <v>Resistance</v>
      </c>
      <c r="M210" s="1081"/>
      <c r="N210" s="1081"/>
      <c r="O210" s="1081"/>
      <c r="P210" s="234" t="s">
        <v>295</v>
      </c>
      <c r="Q210" s="234" t="s">
        <v>224</v>
      </c>
    </row>
    <row r="211" spans="1:17" ht="15" x14ac:dyDescent="0.2">
      <c r="A211" s="1077"/>
      <c r="B211" s="1078"/>
      <c r="C211" s="235" t="s">
        <v>300</v>
      </c>
      <c r="D211" s="234"/>
      <c r="E211" s="234"/>
      <c r="F211" s="125"/>
      <c r="G211" s="234"/>
      <c r="H211" s="234"/>
      <c r="J211" s="1077"/>
      <c r="K211" s="1078"/>
      <c r="L211" s="235" t="s">
        <v>302</v>
      </c>
      <c r="M211" s="234"/>
      <c r="N211" s="234"/>
      <c r="O211" s="125"/>
      <c r="P211" s="234"/>
      <c r="Q211" s="234"/>
    </row>
    <row r="212" spans="1:17" ht="15" x14ac:dyDescent="0.2">
      <c r="A212" s="1066" t="s">
        <v>42</v>
      </c>
      <c r="B212" s="47">
        <v>1</v>
      </c>
      <c r="C212" s="47">
        <f t="shared" ref="C212:H212" si="200">B22</f>
        <v>10</v>
      </c>
      <c r="D212" s="47">
        <f t="shared" si="200"/>
        <v>-1E-3</v>
      </c>
      <c r="E212" s="47">
        <f t="shared" si="200"/>
        <v>9.9999999999999995E-7</v>
      </c>
      <c r="F212" s="47">
        <f t="shared" si="200"/>
        <v>0</v>
      </c>
      <c r="G212" s="47">
        <f t="shared" si="200"/>
        <v>5.0049999999999997E-4</v>
      </c>
      <c r="H212" s="47">
        <f t="shared" si="200"/>
        <v>0</v>
      </c>
      <c r="J212" s="1066" t="s">
        <v>42</v>
      </c>
      <c r="K212" s="47">
        <v>1</v>
      </c>
      <c r="L212" s="45">
        <f t="shared" ref="L212:Q212" si="201">B28</f>
        <v>0</v>
      </c>
      <c r="M212" s="45">
        <f t="shared" si="201"/>
        <v>9.9999999999999995E-7</v>
      </c>
      <c r="N212" s="45">
        <f t="shared" si="201"/>
        <v>9.9999999999999995E-7</v>
      </c>
      <c r="O212" s="45">
        <f t="shared" si="201"/>
        <v>0</v>
      </c>
      <c r="P212" s="45">
        <f t="shared" si="201"/>
        <v>0</v>
      </c>
      <c r="Q212" s="45">
        <f t="shared" si="201"/>
        <v>0</v>
      </c>
    </row>
    <row r="213" spans="1:17" x14ac:dyDescent="0.2">
      <c r="A213" s="1066"/>
      <c r="B213" s="47">
        <v>2</v>
      </c>
      <c r="C213" s="47">
        <f t="shared" ref="C213:H213" si="202">I22</f>
        <v>10</v>
      </c>
      <c r="D213" s="47">
        <f t="shared" si="202"/>
        <v>0.1</v>
      </c>
      <c r="E213" s="47">
        <f t="shared" si="202"/>
        <v>9.9999999999999995E-7</v>
      </c>
      <c r="F213" s="47">
        <f t="shared" si="202"/>
        <v>0</v>
      </c>
      <c r="G213" s="47">
        <f t="shared" si="202"/>
        <v>4.9999500000000002E-2</v>
      </c>
      <c r="H213" s="47">
        <f t="shared" si="202"/>
        <v>5.8999999999999997E-2</v>
      </c>
      <c r="J213" s="1066"/>
      <c r="K213" s="47">
        <v>2</v>
      </c>
      <c r="L213" s="47">
        <f t="shared" ref="L213:Q213" si="203">I28</f>
        <v>0.01</v>
      </c>
      <c r="M213" s="47">
        <f t="shared" si="203"/>
        <v>9.9999999999999995E-7</v>
      </c>
      <c r="N213" s="47">
        <f t="shared" si="203"/>
        <v>9.9999999999999995E-7</v>
      </c>
      <c r="O213" s="47">
        <f t="shared" si="203"/>
        <v>0</v>
      </c>
      <c r="P213" s="47">
        <f t="shared" si="203"/>
        <v>0</v>
      </c>
      <c r="Q213" s="47">
        <f t="shared" si="203"/>
        <v>1.2E-4</v>
      </c>
    </row>
    <row r="214" spans="1:17" x14ac:dyDescent="0.2">
      <c r="A214" s="1066"/>
      <c r="B214" s="47">
        <v>3</v>
      </c>
      <c r="C214" s="47">
        <f t="shared" ref="C214:H214" si="204">P22</f>
        <v>5</v>
      </c>
      <c r="D214" s="47">
        <f t="shared" si="204"/>
        <v>9.9999999999999995E-7</v>
      </c>
      <c r="E214" s="47">
        <f t="shared" si="204"/>
        <v>9.9999999999999995E-7</v>
      </c>
      <c r="F214" s="47">
        <f t="shared" si="204"/>
        <v>9.9999999999999995E-7</v>
      </c>
      <c r="G214" s="47">
        <f t="shared" si="204"/>
        <v>0</v>
      </c>
      <c r="H214" s="47">
        <f t="shared" si="204"/>
        <v>8.5000000000000006E-2</v>
      </c>
      <c r="J214" s="1066"/>
      <c r="K214" s="47">
        <v>3</v>
      </c>
      <c r="L214" s="47">
        <f t="shared" ref="L214:Q214" si="205">P28</f>
        <v>0</v>
      </c>
      <c r="M214" s="47">
        <f t="shared" si="205"/>
        <v>-1E-3</v>
      </c>
      <c r="N214" s="47">
        <f t="shared" si="205"/>
        <v>9.9999999999999995E-7</v>
      </c>
      <c r="O214" s="47">
        <f t="shared" si="205"/>
        <v>9.9999999999999995E-7</v>
      </c>
      <c r="P214" s="47">
        <f t="shared" si="205"/>
        <v>5.0049999999999997E-4</v>
      </c>
      <c r="Q214" s="47">
        <f t="shared" si="205"/>
        <v>0</v>
      </c>
    </row>
    <row r="215" spans="1:17" x14ac:dyDescent="0.2">
      <c r="A215" s="1066"/>
      <c r="B215" s="47">
        <v>4</v>
      </c>
      <c r="C215" s="47">
        <f t="shared" ref="C215:H215" si="206">B53</f>
        <v>10</v>
      </c>
      <c r="D215" s="47">
        <f t="shared" si="206"/>
        <v>9.9999999999999995E-7</v>
      </c>
      <c r="E215" s="47">
        <f t="shared" si="206"/>
        <v>0.1</v>
      </c>
      <c r="F215" s="47">
        <f t="shared" si="206"/>
        <v>0</v>
      </c>
      <c r="G215" s="47">
        <f t="shared" si="206"/>
        <v>4.9999500000000002E-2</v>
      </c>
      <c r="H215" s="47">
        <f t="shared" si="206"/>
        <v>0.17</v>
      </c>
      <c r="J215" s="1066"/>
      <c r="K215" s="47">
        <v>4</v>
      </c>
      <c r="L215" s="47">
        <f t="shared" ref="L215:Q215" si="207">B59</f>
        <v>0.01</v>
      </c>
      <c r="M215" s="47">
        <f t="shared" si="207"/>
        <v>9.9999999999999995E-7</v>
      </c>
      <c r="N215" s="47">
        <f t="shared" si="207"/>
        <v>9.9999999999999995E-7</v>
      </c>
      <c r="O215" s="47">
        <f t="shared" si="207"/>
        <v>0</v>
      </c>
      <c r="P215" s="47">
        <f t="shared" si="207"/>
        <v>0</v>
      </c>
      <c r="Q215" s="47">
        <f t="shared" si="207"/>
        <v>0</v>
      </c>
    </row>
    <row r="216" spans="1:17" x14ac:dyDescent="0.2">
      <c r="A216" s="1066"/>
      <c r="B216" s="47">
        <v>5</v>
      </c>
      <c r="C216" s="47">
        <f t="shared" ref="C216:H216" si="208">I53</f>
        <v>10</v>
      </c>
      <c r="D216" s="47">
        <f t="shared" si="208"/>
        <v>9.9999999999999995E-7</v>
      </c>
      <c r="E216" s="47">
        <f t="shared" si="208"/>
        <v>0.1</v>
      </c>
      <c r="F216" s="47">
        <f t="shared" si="208"/>
        <v>0</v>
      </c>
      <c r="G216" s="47">
        <f t="shared" si="208"/>
        <v>4.9999500000000002E-2</v>
      </c>
      <c r="H216" s="47">
        <f t="shared" si="208"/>
        <v>0.17</v>
      </c>
      <c r="J216" s="1066"/>
      <c r="K216" s="47">
        <v>5</v>
      </c>
      <c r="L216" s="47">
        <f t="shared" ref="L216:Q216" si="209">I59</f>
        <v>0.01</v>
      </c>
      <c r="M216" s="47">
        <f t="shared" si="209"/>
        <v>9.9999999999999995E-7</v>
      </c>
      <c r="N216" s="47">
        <f t="shared" si="209"/>
        <v>9.9999999999999995E-7</v>
      </c>
      <c r="O216" s="47">
        <f t="shared" si="209"/>
        <v>0</v>
      </c>
      <c r="P216" s="47">
        <f t="shared" si="209"/>
        <v>0</v>
      </c>
      <c r="Q216" s="47">
        <f t="shared" si="209"/>
        <v>1.2E-4</v>
      </c>
    </row>
    <row r="217" spans="1:17" x14ac:dyDescent="0.2">
      <c r="A217" s="1066"/>
      <c r="B217" s="47">
        <v>6</v>
      </c>
      <c r="C217" s="47">
        <f t="shared" ref="C217:H217" si="210">P53</f>
        <v>10</v>
      </c>
      <c r="D217" s="47">
        <f t="shared" si="210"/>
        <v>0.1</v>
      </c>
      <c r="E217" s="47">
        <f t="shared" si="210"/>
        <v>9.9999999999999995E-7</v>
      </c>
      <c r="F217" s="47">
        <f t="shared" si="210"/>
        <v>0</v>
      </c>
      <c r="G217" s="47">
        <f t="shared" si="210"/>
        <v>4.9999500000000002E-2</v>
      </c>
      <c r="H217" s="47">
        <f t="shared" si="210"/>
        <v>0.17</v>
      </c>
      <c r="J217" s="1066"/>
      <c r="K217" s="47">
        <v>6</v>
      </c>
      <c r="L217" s="47">
        <f t="shared" ref="L217:Q217" si="211">P59</f>
        <v>0.01</v>
      </c>
      <c r="M217" s="47">
        <f t="shared" si="211"/>
        <v>9.9999999999999995E-7</v>
      </c>
      <c r="N217" s="47">
        <f t="shared" si="211"/>
        <v>9.9999999999999995E-7</v>
      </c>
      <c r="O217" s="47">
        <f t="shared" si="211"/>
        <v>0</v>
      </c>
      <c r="P217" s="47">
        <f t="shared" si="211"/>
        <v>0</v>
      </c>
      <c r="Q217" s="47">
        <f t="shared" si="211"/>
        <v>1.2E-4</v>
      </c>
    </row>
    <row r="218" spans="1:17" x14ac:dyDescent="0.2">
      <c r="A218" s="1066"/>
      <c r="B218" s="47">
        <v>7</v>
      </c>
      <c r="C218" s="47">
        <f t="shared" ref="C218:H218" si="212">B84</f>
        <v>10</v>
      </c>
      <c r="D218" s="47">
        <f t="shared" si="212"/>
        <v>9.9999999999999995E-7</v>
      </c>
      <c r="E218" s="47">
        <f t="shared" si="212"/>
        <v>9.9999999999999995E-7</v>
      </c>
      <c r="F218" s="47">
        <f t="shared" si="212"/>
        <v>0</v>
      </c>
      <c r="G218" s="47">
        <f t="shared" si="212"/>
        <v>0</v>
      </c>
      <c r="H218" s="47">
        <f t="shared" si="212"/>
        <v>0.17</v>
      </c>
      <c r="J218" s="1066"/>
      <c r="K218" s="47">
        <v>7</v>
      </c>
      <c r="L218" s="47">
        <f t="shared" ref="L218:Q218" si="213">B90</f>
        <v>0.01</v>
      </c>
      <c r="M218" s="47">
        <f t="shared" si="213"/>
        <v>9.9999999999999995E-7</v>
      </c>
      <c r="N218" s="47">
        <f t="shared" si="213"/>
        <v>9.9999999999999995E-7</v>
      </c>
      <c r="O218" s="47">
        <f t="shared" si="213"/>
        <v>0</v>
      </c>
      <c r="P218" s="47">
        <f t="shared" si="213"/>
        <v>0</v>
      </c>
      <c r="Q218" s="47">
        <f t="shared" si="213"/>
        <v>0.01</v>
      </c>
    </row>
    <row r="219" spans="1:17" x14ac:dyDescent="0.2">
      <c r="A219" s="1066"/>
      <c r="B219" s="47">
        <v>8</v>
      </c>
      <c r="C219" s="47">
        <f t="shared" ref="C219:H219" si="214">I84</f>
        <v>10</v>
      </c>
      <c r="D219" s="47">
        <f t="shared" si="214"/>
        <v>9.9999999999999995E-7</v>
      </c>
      <c r="E219" s="47">
        <f t="shared" si="214"/>
        <v>9.9999999999999995E-7</v>
      </c>
      <c r="F219" s="47">
        <f t="shared" si="214"/>
        <v>0</v>
      </c>
      <c r="G219" s="47">
        <f t="shared" si="214"/>
        <v>0</v>
      </c>
      <c r="H219" s="47">
        <f t="shared" si="214"/>
        <v>0.17</v>
      </c>
      <c r="J219" s="1066"/>
      <c r="K219" s="47">
        <v>8</v>
      </c>
      <c r="L219" s="47">
        <f t="shared" ref="L219:Q219" si="215">I90</f>
        <v>0.1</v>
      </c>
      <c r="M219" s="47">
        <f t="shared" si="215"/>
        <v>-1E-3</v>
      </c>
      <c r="N219" s="47">
        <f t="shared" si="215"/>
        <v>-1E-3</v>
      </c>
      <c r="O219" s="47">
        <f t="shared" si="215"/>
        <v>0</v>
      </c>
      <c r="P219" s="47">
        <f t="shared" si="215"/>
        <v>0</v>
      </c>
      <c r="Q219" s="47">
        <f t="shared" si="215"/>
        <v>1.2000000000000001E-3</v>
      </c>
    </row>
    <row r="220" spans="1:17" x14ac:dyDescent="0.2">
      <c r="A220" s="1066"/>
      <c r="B220" s="47">
        <v>9</v>
      </c>
      <c r="C220" s="47">
        <f t="shared" ref="C220:H220" si="216">P84</f>
        <v>10</v>
      </c>
      <c r="D220" s="47">
        <f t="shared" si="216"/>
        <v>9.9999999999999995E-7</v>
      </c>
      <c r="E220" s="47" t="str">
        <f t="shared" si="216"/>
        <v>-</v>
      </c>
      <c r="F220" s="47">
        <f t="shared" si="216"/>
        <v>0</v>
      </c>
      <c r="G220" s="47">
        <f t="shared" si="216"/>
        <v>0</v>
      </c>
      <c r="H220" s="47">
        <f t="shared" si="216"/>
        <v>0</v>
      </c>
      <c r="J220" s="1066"/>
      <c r="K220" s="47">
        <v>9</v>
      </c>
      <c r="L220" s="47">
        <f t="shared" ref="L220:Q220" si="217">P90</f>
        <v>1E-3</v>
      </c>
      <c r="M220" s="47">
        <f t="shared" si="217"/>
        <v>-1E-3</v>
      </c>
      <c r="N220" s="47" t="str">
        <f t="shared" si="217"/>
        <v>-</v>
      </c>
      <c r="O220" s="47">
        <f t="shared" si="217"/>
        <v>0</v>
      </c>
      <c r="P220" s="47">
        <f t="shared" si="217"/>
        <v>0</v>
      </c>
      <c r="Q220" s="47">
        <f t="shared" si="217"/>
        <v>1.2E-5</v>
      </c>
    </row>
    <row r="221" spans="1:17" x14ac:dyDescent="0.2">
      <c r="A221" s="1066"/>
      <c r="B221" s="47">
        <v>10</v>
      </c>
      <c r="C221" s="47">
        <f>B115</f>
        <v>10</v>
      </c>
      <c r="D221" s="47">
        <f t="shared" ref="D221:F221" si="218">C115</f>
        <v>9.9999999999999995E-7</v>
      </c>
      <c r="E221" s="47" t="str">
        <f t="shared" si="218"/>
        <v>-</v>
      </c>
      <c r="F221" s="47">
        <f t="shared" si="218"/>
        <v>0</v>
      </c>
      <c r="G221" s="47">
        <f>F115</f>
        <v>0</v>
      </c>
      <c r="H221" s="47" t="str">
        <f>G115</f>
        <v>-</v>
      </c>
      <c r="J221" s="1066"/>
      <c r="K221" s="47">
        <v>10</v>
      </c>
      <c r="L221" s="47">
        <f t="shared" ref="L221:Q221" si="219">B121</f>
        <v>0</v>
      </c>
      <c r="M221" s="47">
        <f t="shared" si="219"/>
        <v>9.9999999999999995E-7</v>
      </c>
      <c r="N221" s="47" t="str">
        <f t="shared" si="219"/>
        <v>-</v>
      </c>
      <c r="O221" s="47">
        <f t="shared" si="219"/>
        <v>0</v>
      </c>
      <c r="P221" s="47">
        <f t="shared" si="219"/>
        <v>0</v>
      </c>
      <c r="Q221" s="47" t="str">
        <f t="shared" si="219"/>
        <v>-</v>
      </c>
    </row>
    <row r="222" spans="1:17" x14ac:dyDescent="0.2">
      <c r="A222" s="1066"/>
      <c r="B222" s="47">
        <v>11</v>
      </c>
      <c r="C222" s="47">
        <f>I115</f>
        <v>10</v>
      </c>
      <c r="D222" s="47">
        <f t="shared" ref="D222:F222" si="220">J115</f>
        <v>9.9999999999999995E-7</v>
      </c>
      <c r="E222" s="47" t="str">
        <f t="shared" si="220"/>
        <v>-</v>
      </c>
      <c r="F222" s="47">
        <f t="shared" si="220"/>
        <v>0</v>
      </c>
      <c r="G222" s="47">
        <f>M115</f>
        <v>0</v>
      </c>
      <c r="H222" s="47" t="str">
        <f>N115</f>
        <v>-</v>
      </c>
      <c r="J222" s="1066"/>
      <c r="K222" s="47">
        <v>11</v>
      </c>
      <c r="L222" s="47">
        <f t="shared" ref="L222:Q222" si="221">I121</f>
        <v>0.01</v>
      </c>
      <c r="M222" s="47">
        <f t="shared" si="221"/>
        <v>9.9999999999999995E-7</v>
      </c>
      <c r="N222" s="47" t="str">
        <f t="shared" si="221"/>
        <v>-</v>
      </c>
      <c r="O222" s="47">
        <f t="shared" si="221"/>
        <v>0</v>
      </c>
      <c r="P222" s="47">
        <f t="shared" si="221"/>
        <v>0</v>
      </c>
      <c r="Q222" s="47" t="str">
        <f t="shared" si="221"/>
        <v>-</v>
      </c>
    </row>
    <row r="223" spans="1:17" x14ac:dyDescent="0.2">
      <c r="A223" s="1066"/>
      <c r="B223" s="47">
        <v>12</v>
      </c>
      <c r="C223" s="47">
        <f>P115</f>
        <v>10</v>
      </c>
      <c r="D223" s="47">
        <f t="shared" ref="D223:F223" si="222">Q115</f>
        <v>9.9999999999999995E-7</v>
      </c>
      <c r="E223" s="47" t="str">
        <f t="shared" si="222"/>
        <v>-</v>
      </c>
      <c r="F223" s="47">
        <f t="shared" si="222"/>
        <v>0</v>
      </c>
      <c r="G223" s="47">
        <f>T115</f>
        <v>0</v>
      </c>
      <c r="H223" s="47" t="str">
        <f>U115</f>
        <v>-</v>
      </c>
      <c r="J223" s="1066"/>
      <c r="K223" s="47">
        <v>12</v>
      </c>
      <c r="L223" s="47">
        <f t="shared" ref="L223:Q223" si="223">P121</f>
        <v>0.01</v>
      </c>
      <c r="M223" s="47">
        <f t="shared" si="223"/>
        <v>9.9999999999999995E-7</v>
      </c>
      <c r="N223" s="47" t="str">
        <f t="shared" si="223"/>
        <v>-</v>
      </c>
      <c r="O223" s="47">
        <f t="shared" si="223"/>
        <v>0</v>
      </c>
      <c r="P223" s="47">
        <f t="shared" si="223"/>
        <v>0</v>
      </c>
      <c r="Q223" s="47" t="str">
        <f t="shared" si="223"/>
        <v>-</v>
      </c>
    </row>
    <row r="224" spans="1:17" s="116" customFormat="1" x14ac:dyDescent="0.2">
      <c r="A224" s="236"/>
      <c r="B224" s="231"/>
      <c r="C224" s="231"/>
      <c r="D224" s="231"/>
      <c r="E224" s="231"/>
      <c r="F224" s="232"/>
      <c r="G224" s="231"/>
      <c r="H224" s="231"/>
      <c r="J224" s="236"/>
      <c r="K224" s="231"/>
      <c r="L224" s="231"/>
      <c r="M224" s="231"/>
      <c r="N224" s="231"/>
      <c r="O224" s="232"/>
      <c r="P224" s="231"/>
      <c r="Q224" s="231"/>
    </row>
    <row r="225" spans="1:17" x14ac:dyDescent="0.2">
      <c r="A225" s="1066" t="s">
        <v>43</v>
      </c>
      <c r="B225" s="47">
        <v>1</v>
      </c>
      <c r="C225" s="47">
        <f t="shared" ref="C225:H225" si="224">B23</f>
        <v>20</v>
      </c>
      <c r="D225" s="47">
        <f t="shared" si="224"/>
        <v>9.9999999999999995E-7</v>
      </c>
      <c r="E225" s="47">
        <f t="shared" si="224"/>
        <v>9.9999999999999995E-7</v>
      </c>
      <c r="F225" s="47">
        <f t="shared" si="224"/>
        <v>0</v>
      </c>
      <c r="G225" s="47">
        <f t="shared" si="224"/>
        <v>0</v>
      </c>
      <c r="H225" s="47">
        <f t="shared" si="224"/>
        <v>0</v>
      </c>
      <c r="J225" s="1066" t="s">
        <v>43</v>
      </c>
      <c r="K225" s="47">
        <v>1</v>
      </c>
      <c r="L225" s="47">
        <f t="shared" ref="L225:Q225" si="225">B29</f>
        <v>0.1</v>
      </c>
      <c r="M225" s="47">
        <f t="shared" si="225"/>
        <v>-1E-3</v>
      </c>
      <c r="N225" s="47">
        <f t="shared" si="225"/>
        <v>2E-3</v>
      </c>
      <c r="O225" s="47">
        <f t="shared" si="225"/>
        <v>0</v>
      </c>
      <c r="P225" s="47">
        <f t="shared" si="225"/>
        <v>1.5E-3</v>
      </c>
      <c r="Q225" s="47">
        <f t="shared" si="225"/>
        <v>1.2000000000000001E-3</v>
      </c>
    </row>
    <row r="226" spans="1:17" x14ac:dyDescent="0.2">
      <c r="A226" s="1066"/>
      <c r="B226" s="47">
        <v>2</v>
      </c>
      <c r="C226" s="47">
        <f t="shared" ref="C226:H226" si="226">I23</f>
        <v>20</v>
      </c>
      <c r="D226" s="47">
        <f t="shared" si="226"/>
        <v>0.2</v>
      </c>
      <c r="E226" s="47">
        <f t="shared" si="226"/>
        <v>0.1</v>
      </c>
      <c r="F226" s="47">
        <f t="shared" si="226"/>
        <v>0</v>
      </c>
      <c r="G226" s="47">
        <f t="shared" si="226"/>
        <v>0.05</v>
      </c>
      <c r="H226" s="47">
        <f t="shared" si="226"/>
        <v>0.11799999999999999</v>
      </c>
      <c r="J226" s="1066"/>
      <c r="K226" s="47">
        <v>2</v>
      </c>
      <c r="L226" s="47">
        <f t="shared" ref="L226:Q226" si="227">I29</f>
        <v>0.1</v>
      </c>
      <c r="M226" s="47">
        <f t="shared" si="227"/>
        <v>6.0000000000000001E-3</v>
      </c>
      <c r="N226" s="47">
        <f t="shared" si="227"/>
        <v>5.0000000000000001E-3</v>
      </c>
      <c r="O226" s="47">
        <f t="shared" si="227"/>
        <v>0</v>
      </c>
      <c r="P226" s="47">
        <f t="shared" si="227"/>
        <v>5.0000000000000001E-4</v>
      </c>
      <c r="Q226" s="47">
        <f t="shared" si="227"/>
        <v>1.2000000000000001E-3</v>
      </c>
    </row>
    <row r="227" spans="1:17" x14ac:dyDescent="0.2">
      <c r="A227" s="1066"/>
      <c r="B227" s="47">
        <v>3</v>
      </c>
      <c r="C227" s="47">
        <f t="shared" ref="C227:H227" si="228">P23</f>
        <v>10</v>
      </c>
      <c r="D227" s="47">
        <f t="shared" si="228"/>
        <v>9.9999999999999995E-7</v>
      </c>
      <c r="E227" s="47">
        <f t="shared" si="228"/>
        <v>9.9999999999999995E-7</v>
      </c>
      <c r="F227" s="47">
        <f t="shared" si="228"/>
        <v>9.9999999999999995E-7</v>
      </c>
      <c r="G227" s="47">
        <f t="shared" si="228"/>
        <v>0</v>
      </c>
      <c r="H227" s="47">
        <f t="shared" si="228"/>
        <v>0.17</v>
      </c>
      <c r="J227" s="1066"/>
      <c r="K227" s="47">
        <v>3</v>
      </c>
      <c r="L227" s="47">
        <f t="shared" ref="L227:Q227" si="229">P29</f>
        <v>0.5</v>
      </c>
      <c r="M227" s="47">
        <f t="shared" si="229"/>
        <v>-2E-3</v>
      </c>
      <c r="N227" s="47">
        <f t="shared" si="229"/>
        <v>-1E-3</v>
      </c>
      <c r="O227" s="47">
        <f t="shared" si="229"/>
        <v>9.9999999999999995E-7</v>
      </c>
      <c r="P227" s="47">
        <f t="shared" si="229"/>
        <v>1.0005000000000001E-3</v>
      </c>
      <c r="Q227" s="47">
        <f t="shared" si="229"/>
        <v>6.0000000000000001E-3</v>
      </c>
    </row>
    <row r="228" spans="1:17" x14ac:dyDescent="0.2">
      <c r="A228" s="1066"/>
      <c r="B228" s="47">
        <v>4</v>
      </c>
      <c r="C228" s="47">
        <f t="shared" ref="C228:H228" si="230">B54</f>
        <v>20</v>
      </c>
      <c r="D228" s="47">
        <f t="shared" si="230"/>
        <v>0.1</v>
      </c>
      <c r="E228" s="47">
        <f t="shared" si="230"/>
        <v>0.2</v>
      </c>
      <c r="F228" s="47">
        <f t="shared" si="230"/>
        <v>0</v>
      </c>
      <c r="G228" s="47">
        <f t="shared" si="230"/>
        <v>0.05</v>
      </c>
      <c r="H228" s="47">
        <f t="shared" si="230"/>
        <v>0.34</v>
      </c>
      <c r="J228" s="1066"/>
      <c r="K228" s="47">
        <v>4</v>
      </c>
      <c r="L228" s="47">
        <f t="shared" ref="L228:Q228" si="231">B60</f>
        <v>0.1</v>
      </c>
      <c r="M228" s="47">
        <f t="shared" si="231"/>
        <v>-2E-3</v>
      </c>
      <c r="N228" s="47">
        <f t="shared" si="231"/>
        <v>9.9999999999999995E-7</v>
      </c>
      <c r="O228" s="47">
        <f t="shared" si="231"/>
        <v>0</v>
      </c>
      <c r="P228" s="47">
        <f t="shared" si="231"/>
        <v>1.0005000000000001E-3</v>
      </c>
      <c r="Q228" s="47">
        <f t="shared" si="231"/>
        <v>1.2000000000000001E-3</v>
      </c>
    </row>
    <row r="229" spans="1:17" x14ac:dyDescent="0.2">
      <c r="A229" s="1066"/>
      <c r="B229" s="47">
        <v>5</v>
      </c>
      <c r="C229" s="47">
        <f t="shared" ref="C229:H229" si="232">I54</f>
        <v>20</v>
      </c>
      <c r="D229" s="47">
        <f t="shared" si="232"/>
        <v>0.1</v>
      </c>
      <c r="E229" s="47">
        <f t="shared" si="232"/>
        <v>0.1</v>
      </c>
      <c r="F229" s="47">
        <f t="shared" si="232"/>
        <v>0</v>
      </c>
      <c r="G229" s="47">
        <f t="shared" si="232"/>
        <v>0</v>
      </c>
      <c r="H229" s="47">
        <f t="shared" si="232"/>
        <v>0.34</v>
      </c>
      <c r="J229" s="1066"/>
      <c r="K229" s="47">
        <v>5</v>
      </c>
      <c r="L229" s="47">
        <f t="shared" ref="L229:Q229" si="233">I60</f>
        <v>0.1</v>
      </c>
      <c r="M229" s="47">
        <f t="shared" si="233"/>
        <v>5.0000000000000001E-3</v>
      </c>
      <c r="N229" s="47">
        <f t="shared" si="233"/>
        <v>2E-3</v>
      </c>
      <c r="O229" s="47">
        <f t="shared" si="233"/>
        <v>0</v>
      </c>
      <c r="P229" s="47">
        <f t="shared" si="233"/>
        <v>1.5E-3</v>
      </c>
      <c r="Q229" s="47">
        <f t="shared" si="233"/>
        <v>1.2000000000000001E-3</v>
      </c>
    </row>
    <row r="230" spans="1:17" x14ac:dyDescent="0.2">
      <c r="A230" s="1066"/>
      <c r="B230" s="47">
        <v>6</v>
      </c>
      <c r="C230" s="47">
        <f t="shared" ref="C230:H230" si="234">P54</f>
        <v>20</v>
      </c>
      <c r="D230" s="47">
        <f t="shared" si="234"/>
        <v>0.1</v>
      </c>
      <c r="E230" s="47">
        <f t="shared" si="234"/>
        <v>9.9999999999999995E-7</v>
      </c>
      <c r="F230" s="47">
        <f t="shared" si="234"/>
        <v>0</v>
      </c>
      <c r="G230" s="47">
        <f t="shared" si="234"/>
        <v>4.9999500000000002E-2</v>
      </c>
      <c r="H230" s="47">
        <f t="shared" si="234"/>
        <v>0.34</v>
      </c>
      <c r="J230" s="1066"/>
      <c r="K230" s="47">
        <v>6</v>
      </c>
      <c r="L230" s="47">
        <f t="shared" ref="L230:Q230" si="235">P60</f>
        <v>0.1</v>
      </c>
      <c r="M230" s="47">
        <f t="shared" si="235"/>
        <v>-2E-3</v>
      </c>
      <c r="N230" s="47">
        <f t="shared" si="235"/>
        <v>6.0000000000000001E-3</v>
      </c>
      <c r="O230" s="47">
        <f t="shared" si="235"/>
        <v>0</v>
      </c>
      <c r="P230" s="47">
        <f t="shared" si="235"/>
        <v>4.0000000000000001E-3</v>
      </c>
      <c r="Q230" s="47">
        <f t="shared" si="235"/>
        <v>1.2000000000000001E-3</v>
      </c>
    </row>
    <row r="231" spans="1:17" x14ac:dyDescent="0.2">
      <c r="A231" s="1066"/>
      <c r="B231" s="47">
        <v>7</v>
      </c>
      <c r="C231" s="47">
        <f t="shared" ref="C231:H231" si="236">B85</f>
        <v>20</v>
      </c>
      <c r="D231" s="47">
        <f t="shared" si="236"/>
        <v>9.9999999999999995E-7</v>
      </c>
      <c r="E231" s="47">
        <f t="shared" si="236"/>
        <v>0.1</v>
      </c>
      <c r="F231" s="47">
        <f t="shared" si="236"/>
        <v>0</v>
      </c>
      <c r="G231" s="47">
        <f t="shared" si="236"/>
        <v>4.9999500000000002E-2</v>
      </c>
      <c r="H231" s="47">
        <f t="shared" si="236"/>
        <v>0.34</v>
      </c>
      <c r="J231" s="1066"/>
      <c r="K231" s="47">
        <v>7</v>
      </c>
      <c r="L231" s="47">
        <f t="shared" ref="L231:Q231" si="237">B91</f>
        <v>0.5</v>
      </c>
      <c r="M231" s="47">
        <f t="shared" si="237"/>
        <v>9.9999999999999995E-7</v>
      </c>
      <c r="N231" s="47">
        <f t="shared" si="237"/>
        <v>1E-3</v>
      </c>
      <c r="O231" s="47">
        <f t="shared" si="237"/>
        <v>0</v>
      </c>
      <c r="P231" s="47">
        <f t="shared" si="237"/>
        <v>4.9950000000000005E-4</v>
      </c>
      <c r="Q231" s="47">
        <f t="shared" si="237"/>
        <v>6.0000000000000001E-3</v>
      </c>
    </row>
    <row r="232" spans="1:17" x14ac:dyDescent="0.2">
      <c r="A232" s="1066"/>
      <c r="B232" s="47">
        <v>8</v>
      </c>
      <c r="C232" s="47">
        <f t="shared" ref="C232:H232" si="238">I85</f>
        <v>20</v>
      </c>
      <c r="D232" s="47">
        <f t="shared" si="238"/>
        <v>9.9999999999999995E-7</v>
      </c>
      <c r="E232" s="47">
        <f t="shared" si="238"/>
        <v>9.9999999999999995E-7</v>
      </c>
      <c r="F232" s="47">
        <f t="shared" si="238"/>
        <v>0</v>
      </c>
      <c r="G232" s="47">
        <f t="shared" si="238"/>
        <v>0</v>
      </c>
      <c r="H232" s="47">
        <f t="shared" si="238"/>
        <v>0.34</v>
      </c>
      <c r="J232" s="1066"/>
      <c r="K232" s="47">
        <v>8</v>
      </c>
      <c r="L232" s="47">
        <f t="shared" ref="L232:Q232" si="239">I91</f>
        <v>0.5</v>
      </c>
      <c r="M232" s="47">
        <f t="shared" si="239"/>
        <v>4.0000000000000001E-3</v>
      </c>
      <c r="N232" s="47">
        <f t="shared" si="239"/>
        <v>-3.0000000000000001E-3</v>
      </c>
      <c r="O232" s="47">
        <f t="shared" si="239"/>
        <v>0</v>
      </c>
      <c r="P232" s="47">
        <f t="shared" si="239"/>
        <v>3.5000000000000001E-3</v>
      </c>
      <c r="Q232" s="47">
        <f t="shared" si="239"/>
        <v>6.0000000000000001E-3</v>
      </c>
    </row>
    <row r="233" spans="1:17" x14ac:dyDescent="0.2">
      <c r="A233" s="1066"/>
      <c r="B233" s="47">
        <v>9</v>
      </c>
      <c r="C233" s="47">
        <f t="shared" ref="C233:H233" si="240">P85</f>
        <v>20</v>
      </c>
      <c r="D233" s="47">
        <f t="shared" si="240"/>
        <v>9.9999999999999995E-7</v>
      </c>
      <c r="E233" s="47" t="str">
        <f t="shared" si="240"/>
        <v>-</v>
      </c>
      <c r="F233" s="47">
        <f t="shared" si="240"/>
        <v>0</v>
      </c>
      <c r="G233" s="47">
        <f t="shared" si="240"/>
        <v>0</v>
      </c>
      <c r="H233" s="47">
        <f t="shared" si="240"/>
        <v>0</v>
      </c>
      <c r="J233" s="1066"/>
      <c r="K233" s="47">
        <v>9</v>
      </c>
      <c r="L233" s="47">
        <f t="shared" ref="L233:Q233" si="241">P91</f>
        <v>0.10199999999999999</v>
      </c>
      <c r="M233" s="47">
        <f t="shared" si="241"/>
        <v>-2E-3</v>
      </c>
      <c r="N233" s="47" t="str">
        <f t="shared" si="241"/>
        <v>-</v>
      </c>
      <c r="O233" s="47">
        <f t="shared" si="241"/>
        <v>0</v>
      </c>
      <c r="P233" s="47">
        <f t="shared" si="241"/>
        <v>0</v>
      </c>
      <c r="Q233" s="47">
        <f t="shared" si="241"/>
        <v>1.224E-3</v>
      </c>
    </row>
    <row r="234" spans="1:17" x14ac:dyDescent="0.2">
      <c r="A234" s="1066"/>
      <c r="B234" s="47">
        <v>10</v>
      </c>
      <c r="C234" s="47">
        <f>B116</f>
        <v>20</v>
      </c>
      <c r="D234" s="47">
        <f t="shared" ref="D234:F234" si="242">C116</f>
        <v>0.1</v>
      </c>
      <c r="E234" s="47" t="str">
        <f t="shared" si="242"/>
        <v>-</v>
      </c>
      <c r="F234" s="47">
        <f t="shared" si="242"/>
        <v>0</v>
      </c>
      <c r="G234" s="47">
        <f>F116</f>
        <v>0</v>
      </c>
      <c r="H234" s="47" t="str">
        <f>G116</f>
        <v>-</v>
      </c>
      <c r="J234" s="1066"/>
      <c r="K234" s="47">
        <v>10</v>
      </c>
      <c r="L234" s="47">
        <f t="shared" ref="L234:Q234" si="243">B122</f>
        <v>0.1</v>
      </c>
      <c r="M234" s="47">
        <f t="shared" si="243"/>
        <v>-2E-3</v>
      </c>
      <c r="N234" s="47" t="str">
        <f t="shared" si="243"/>
        <v>-</v>
      </c>
      <c r="O234" s="47">
        <f t="shared" si="243"/>
        <v>0</v>
      </c>
      <c r="P234" s="47">
        <f t="shared" si="243"/>
        <v>0</v>
      </c>
      <c r="Q234" s="47" t="str">
        <f t="shared" si="243"/>
        <v>-</v>
      </c>
    </row>
    <row r="235" spans="1:17" x14ac:dyDescent="0.2">
      <c r="A235" s="1066"/>
      <c r="B235" s="47">
        <v>11</v>
      </c>
      <c r="C235" s="47">
        <f>I116</f>
        <v>20</v>
      </c>
      <c r="D235" s="47">
        <f t="shared" ref="D235:F235" si="244">J116</f>
        <v>9.9999999999999995E-7</v>
      </c>
      <c r="E235" s="47" t="str">
        <f t="shared" si="244"/>
        <v>-</v>
      </c>
      <c r="F235" s="47">
        <f t="shared" si="244"/>
        <v>0</v>
      </c>
      <c r="G235" s="47">
        <f>M116</f>
        <v>0</v>
      </c>
      <c r="H235" s="47" t="str">
        <f>N116</f>
        <v>-</v>
      </c>
      <c r="J235" s="1066"/>
      <c r="K235" s="47">
        <v>11</v>
      </c>
      <c r="L235" s="47">
        <f t="shared" ref="L235:Q235" si="245">I122</f>
        <v>0.1</v>
      </c>
      <c r="M235" s="47">
        <f t="shared" si="245"/>
        <v>9.9999999999999995E-7</v>
      </c>
      <c r="N235" s="47" t="str">
        <f t="shared" si="245"/>
        <v>-</v>
      </c>
      <c r="O235" s="47">
        <f t="shared" si="245"/>
        <v>0</v>
      </c>
      <c r="P235" s="47">
        <f t="shared" si="245"/>
        <v>0</v>
      </c>
      <c r="Q235" s="47" t="str">
        <f t="shared" si="245"/>
        <v>-</v>
      </c>
    </row>
    <row r="236" spans="1:17" x14ac:dyDescent="0.2">
      <c r="A236" s="1066"/>
      <c r="B236" s="47">
        <v>12</v>
      </c>
      <c r="C236" s="47">
        <f>P116</f>
        <v>20</v>
      </c>
      <c r="D236" s="47">
        <f t="shared" ref="D236:F236" si="246">Q116</f>
        <v>9.9999999999999995E-7</v>
      </c>
      <c r="E236" s="47" t="str">
        <f t="shared" si="246"/>
        <v>-</v>
      </c>
      <c r="F236" s="47">
        <f t="shared" si="246"/>
        <v>0</v>
      </c>
      <c r="G236" s="47">
        <f>T116</f>
        <v>0</v>
      </c>
      <c r="H236" s="47" t="str">
        <f>U116</f>
        <v>-</v>
      </c>
      <c r="J236" s="1066"/>
      <c r="K236" s="47">
        <v>12</v>
      </c>
      <c r="L236" s="47">
        <f t="shared" ref="L236:Q236" si="247">P122</f>
        <v>0.1</v>
      </c>
      <c r="M236" s="47">
        <f t="shared" si="247"/>
        <v>9.9999999999999995E-7</v>
      </c>
      <c r="N236" s="47" t="str">
        <f t="shared" si="247"/>
        <v>-</v>
      </c>
      <c r="O236" s="47">
        <f t="shared" si="247"/>
        <v>0</v>
      </c>
      <c r="P236" s="47">
        <f t="shared" si="247"/>
        <v>0</v>
      </c>
      <c r="Q236" s="47" t="str">
        <f t="shared" si="247"/>
        <v>-</v>
      </c>
    </row>
    <row r="237" spans="1:17" s="116" customFormat="1" x14ac:dyDescent="0.2">
      <c r="A237" s="236"/>
      <c r="B237" s="231"/>
      <c r="C237" s="231"/>
      <c r="D237" s="231"/>
      <c r="E237" s="231"/>
      <c r="F237" s="232"/>
      <c r="G237" s="231"/>
      <c r="H237" s="231"/>
      <c r="J237" s="236"/>
      <c r="K237" s="231"/>
      <c r="L237" s="231"/>
      <c r="M237" s="231"/>
      <c r="N237" s="231"/>
      <c r="O237" s="232"/>
      <c r="P237" s="231"/>
      <c r="Q237" s="231"/>
    </row>
    <row r="238" spans="1:17" x14ac:dyDescent="0.2">
      <c r="A238" s="1066" t="s">
        <v>44</v>
      </c>
      <c r="B238" s="47">
        <v>1</v>
      </c>
      <c r="C238" s="47">
        <f t="shared" ref="C238:H238" si="248">B24</f>
        <v>50</v>
      </c>
      <c r="D238" s="47">
        <f t="shared" si="248"/>
        <v>9.9999999999999995E-7</v>
      </c>
      <c r="E238" s="47">
        <f t="shared" si="248"/>
        <v>9.9999999999999995E-7</v>
      </c>
      <c r="F238" s="47">
        <f t="shared" si="248"/>
        <v>0</v>
      </c>
      <c r="G238" s="47">
        <f t="shared" si="248"/>
        <v>0</v>
      </c>
      <c r="H238" s="47">
        <f t="shared" si="248"/>
        <v>0</v>
      </c>
      <c r="J238" s="1066" t="s">
        <v>44</v>
      </c>
      <c r="K238" s="47">
        <v>1</v>
      </c>
      <c r="L238" s="47">
        <f t="shared" ref="L238:Q238" si="249">B30</f>
        <v>1</v>
      </c>
      <c r="M238" s="47">
        <f t="shared" si="249"/>
        <v>4.0000000000000001E-3</v>
      </c>
      <c r="N238" s="47">
        <f t="shared" si="249"/>
        <v>1.2E-2</v>
      </c>
      <c r="O238" s="47">
        <f t="shared" si="249"/>
        <v>0</v>
      </c>
      <c r="P238" s="47">
        <f t="shared" si="249"/>
        <v>4.0000000000000001E-3</v>
      </c>
      <c r="Q238" s="47">
        <f t="shared" si="249"/>
        <v>1.2E-2</v>
      </c>
    </row>
    <row r="239" spans="1:17" x14ac:dyDescent="0.2">
      <c r="A239" s="1066"/>
      <c r="B239" s="47">
        <v>2</v>
      </c>
      <c r="C239" s="47">
        <f t="shared" ref="C239:H239" si="250">I24</f>
        <v>50</v>
      </c>
      <c r="D239" s="47">
        <f t="shared" si="250"/>
        <v>0.3</v>
      </c>
      <c r="E239" s="47">
        <f t="shared" si="250"/>
        <v>0.1</v>
      </c>
      <c r="F239" s="47">
        <f t="shared" si="250"/>
        <v>0</v>
      </c>
      <c r="G239" s="47">
        <f t="shared" si="250"/>
        <v>9.9999999999999992E-2</v>
      </c>
      <c r="H239" s="47">
        <f t="shared" si="250"/>
        <v>0.29499999999999998</v>
      </c>
      <c r="J239" s="1066"/>
      <c r="K239" s="47">
        <v>2</v>
      </c>
      <c r="L239" s="47">
        <f t="shared" ref="L239:Q239" si="251">I30</f>
        <v>1</v>
      </c>
      <c r="M239" s="47">
        <f t="shared" si="251"/>
        <v>4.4999999999999998E-2</v>
      </c>
      <c r="N239" s="47">
        <f t="shared" si="251"/>
        <v>5.5E-2</v>
      </c>
      <c r="O239" s="47">
        <f t="shared" si="251"/>
        <v>0</v>
      </c>
      <c r="P239" s="47">
        <f t="shared" si="251"/>
        <v>5.000000000000001E-3</v>
      </c>
      <c r="Q239" s="47">
        <f t="shared" si="251"/>
        <v>1.2E-2</v>
      </c>
    </row>
    <row r="240" spans="1:17" x14ac:dyDescent="0.2">
      <c r="A240" s="1066"/>
      <c r="B240" s="47">
        <v>3</v>
      </c>
      <c r="C240" s="47">
        <f t="shared" ref="C240:H240" si="252">P24</f>
        <v>20</v>
      </c>
      <c r="D240" s="47">
        <f t="shared" si="252"/>
        <v>9.9999999999999995E-7</v>
      </c>
      <c r="E240" s="47">
        <f t="shared" si="252"/>
        <v>0.4</v>
      </c>
      <c r="F240" s="47">
        <f t="shared" si="252"/>
        <v>0.3</v>
      </c>
      <c r="G240" s="47">
        <f t="shared" si="252"/>
        <v>0.19999950000000002</v>
      </c>
      <c r="H240" s="47">
        <f t="shared" si="252"/>
        <v>0.34</v>
      </c>
      <c r="J240" s="1066"/>
      <c r="K240" s="47">
        <v>3</v>
      </c>
      <c r="L240" s="47">
        <f t="shared" ref="L240:Q240" si="253">P30</f>
        <v>1</v>
      </c>
      <c r="M240" s="47">
        <f t="shared" si="253"/>
        <v>-1.2E-2</v>
      </c>
      <c r="N240" s="47">
        <f t="shared" si="253"/>
        <v>5.0000000000000001E-3</v>
      </c>
      <c r="O240" s="47">
        <f t="shared" si="253"/>
        <v>9.9999999999999995E-7</v>
      </c>
      <c r="P240" s="47">
        <f t="shared" si="253"/>
        <v>8.5000000000000006E-3</v>
      </c>
      <c r="Q240" s="47">
        <f t="shared" si="253"/>
        <v>1.2E-2</v>
      </c>
    </row>
    <row r="241" spans="1:17" x14ac:dyDescent="0.2">
      <c r="A241" s="1066"/>
      <c r="B241" s="47">
        <v>4</v>
      </c>
      <c r="C241" s="47">
        <f t="shared" ref="C241:H241" si="254">B55</f>
        <v>50</v>
      </c>
      <c r="D241" s="47">
        <f t="shared" si="254"/>
        <v>0.4</v>
      </c>
      <c r="E241" s="47">
        <f t="shared" si="254"/>
        <v>0.5</v>
      </c>
      <c r="F241" s="47">
        <f t="shared" si="254"/>
        <v>0</v>
      </c>
      <c r="G241" s="47">
        <f t="shared" si="254"/>
        <v>4.9999999999999989E-2</v>
      </c>
      <c r="H241" s="47">
        <f t="shared" si="254"/>
        <v>0.85000000000000009</v>
      </c>
      <c r="J241" s="1066"/>
      <c r="K241" s="47">
        <v>4</v>
      </c>
      <c r="L241" s="47">
        <f t="shared" ref="L241:Q241" si="255">B61</f>
        <v>1</v>
      </c>
      <c r="M241" s="47">
        <f t="shared" si="255"/>
        <v>-8.0000000000000002E-3</v>
      </c>
      <c r="N241" s="47">
        <f t="shared" si="255"/>
        <v>-1E-3</v>
      </c>
      <c r="O241" s="47">
        <f t="shared" si="255"/>
        <v>0</v>
      </c>
      <c r="P241" s="47">
        <f t="shared" si="255"/>
        <v>3.5000000000000001E-3</v>
      </c>
      <c r="Q241" s="47">
        <f t="shared" si="255"/>
        <v>1.2E-2</v>
      </c>
    </row>
    <row r="242" spans="1:17" x14ac:dyDescent="0.2">
      <c r="A242" s="1066"/>
      <c r="B242" s="47">
        <v>5</v>
      </c>
      <c r="C242" s="47">
        <f t="shared" ref="C242:H242" si="256">I55</f>
        <v>50</v>
      </c>
      <c r="D242" s="47">
        <f t="shared" si="256"/>
        <v>0.6</v>
      </c>
      <c r="E242" s="47">
        <f t="shared" si="256"/>
        <v>0.4</v>
      </c>
      <c r="F242" s="47">
        <f t="shared" si="256"/>
        <v>0</v>
      </c>
      <c r="G242" s="47">
        <f t="shared" si="256"/>
        <v>9.9999999999999978E-2</v>
      </c>
      <c r="H242" s="47">
        <f t="shared" si="256"/>
        <v>0.85000000000000009</v>
      </c>
      <c r="J242" s="1066"/>
      <c r="K242" s="47">
        <v>5</v>
      </c>
      <c r="L242" s="47">
        <f t="shared" ref="L242:Q242" si="257">I61</f>
        <v>1</v>
      </c>
      <c r="M242" s="47">
        <f t="shared" si="257"/>
        <v>1.7999999999999999E-2</v>
      </c>
      <c r="N242" s="47">
        <f t="shared" si="257"/>
        <v>1.2E-2</v>
      </c>
      <c r="O242" s="47">
        <f t="shared" si="257"/>
        <v>0</v>
      </c>
      <c r="P242" s="47">
        <f t="shared" si="257"/>
        <v>2.9999999999999992E-3</v>
      </c>
      <c r="Q242" s="47">
        <f t="shared" si="257"/>
        <v>1.2E-2</v>
      </c>
    </row>
    <row r="243" spans="1:17" x14ac:dyDescent="0.2">
      <c r="A243" s="1066"/>
      <c r="B243" s="47">
        <v>6</v>
      </c>
      <c r="C243" s="47">
        <f t="shared" ref="C243:H243" si="258">P55</f>
        <v>50</v>
      </c>
      <c r="D243" s="47">
        <f t="shared" si="258"/>
        <v>0.3</v>
      </c>
      <c r="E243" s="47">
        <f t="shared" si="258"/>
        <v>0.2</v>
      </c>
      <c r="F243" s="47">
        <f t="shared" si="258"/>
        <v>0</v>
      </c>
      <c r="G243" s="47">
        <f t="shared" si="258"/>
        <v>4.9999999999999989E-2</v>
      </c>
      <c r="H243" s="47">
        <f t="shared" si="258"/>
        <v>0.85000000000000009</v>
      </c>
      <c r="J243" s="1066"/>
      <c r="K243" s="47">
        <v>6</v>
      </c>
      <c r="L243" s="47">
        <f t="shared" ref="L243:Q243" si="259">P61</f>
        <v>1</v>
      </c>
      <c r="M243" s="47">
        <f t="shared" si="259"/>
        <v>-1E-3</v>
      </c>
      <c r="N243" s="47">
        <f t="shared" si="259"/>
        <v>8.0000000000000002E-3</v>
      </c>
      <c r="O243" s="47">
        <f t="shared" si="259"/>
        <v>0</v>
      </c>
      <c r="P243" s="47">
        <f t="shared" si="259"/>
        <v>4.5000000000000005E-3</v>
      </c>
      <c r="Q243" s="47">
        <f t="shared" si="259"/>
        <v>1.2E-2</v>
      </c>
    </row>
    <row r="244" spans="1:17" x14ac:dyDescent="0.2">
      <c r="A244" s="1066"/>
      <c r="B244" s="47">
        <v>7</v>
      </c>
      <c r="C244" s="47">
        <f t="shared" ref="C244:H244" si="260">B86</f>
        <v>50</v>
      </c>
      <c r="D244" s="47">
        <f t="shared" si="260"/>
        <v>9.9999999999999995E-7</v>
      </c>
      <c r="E244" s="47">
        <f t="shared" si="260"/>
        <v>0.4</v>
      </c>
      <c r="F244" s="47">
        <f t="shared" si="260"/>
        <v>0</v>
      </c>
      <c r="G244" s="47">
        <f t="shared" si="260"/>
        <v>0.19999950000000002</v>
      </c>
      <c r="H244" s="47">
        <f t="shared" si="260"/>
        <v>0.85000000000000009</v>
      </c>
      <c r="J244" s="1066"/>
      <c r="K244" s="47">
        <v>7</v>
      </c>
      <c r="L244" s="47">
        <f t="shared" ref="L244:Q244" si="261">B92</f>
        <v>1</v>
      </c>
      <c r="M244" s="47">
        <f t="shared" si="261"/>
        <v>-2E-3</v>
      </c>
      <c r="N244" s="47">
        <f t="shared" si="261"/>
        <v>1E-3</v>
      </c>
      <c r="O244" s="47">
        <f t="shared" si="261"/>
        <v>0</v>
      </c>
      <c r="P244" s="47">
        <f t="shared" si="261"/>
        <v>1.5E-3</v>
      </c>
      <c r="Q244" s="47">
        <f t="shared" si="261"/>
        <v>1.2E-2</v>
      </c>
    </row>
    <row r="245" spans="1:17" x14ac:dyDescent="0.2">
      <c r="A245" s="1066"/>
      <c r="B245" s="47">
        <v>8</v>
      </c>
      <c r="C245" s="47">
        <f t="shared" ref="C245:H245" si="262">I86</f>
        <v>50</v>
      </c>
      <c r="D245" s="47">
        <f t="shared" si="262"/>
        <v>0.2</v>
      </c>
      <c r="E245" s="47">
        <f t="shared" si="262"/>
        <v>9.9999999999999995E-7</v>
      </c>
      <c r="F245" s="47">
        <f t="shared" si="262"/>
        <v>0</v>
      </c>
      <c r="G245" s="47">
        <f t="shared" si="262"/>
        <v>9.9999500000000005E-2</v>
      </c>
      <c r="H245" s="47">
        <f t="shared" si="262"/>
        <v>0.85000000000000009</v>
      </c>
      <c r="J245" s="1066"/>
      <c r="K245" s="47">
        <v>8</v>
      </c>
      <c r="L245" s="47">
        <f t="shared" ref="L245:Q245" si="263">I92</f>
        <v>1</v>
      </c>
      <c r="M245" s="47">
        <f t="shared" si="263"/>
        <v>5.0000000000000001E-3</v>
      </c>
      <c r="N245" s="47">
        <f t="shared" si="263"/>
        <v>1E-3</v>
      </c>
      <c r="O245" s="47">
        <f t="shared" si="263"/>
        <v>0</v>
      </c>
      <c r="P245" s="47">
        <f t="shared" si="263"/>
        <v>2E-3</v>
      </c>
      <c r="Q245" s="47">
        <f t="shared" si="263"/>
        <v>1.2E-2</v>
      </c>
    </row>
    <row r="246" spans="1:17" x14ac:dyDescent="0.2">
      <c r="A246" s="1066"/>
      <c r="B246" s="47">
        <v>9</v>
      </c>
      <c r="C246" s="47">
        <f t="shared" ref="C246:H246" si="264">P86</f>
        <v>50</v>
      </c>
      <c r="D246" s="47">
        <f t="shared" si="264"/>
        <v>9.9999999999999995E-7</v>
      </c>
      <c r="E246" s="47" t="str">
        <f t="shared" si="264"/>
        <v>-</v>
      </c>
      <c r="F246" s="47">
        <f t="shared" si="264"/>
        <v>0</v>
      </c>
      <c r="G246" s="47">
        <f t="shared" si="264"/>
        <v>0</v>
      </c>
      <c r="H246" s="47">
        <f t="shared" si="264"/>
        <v>0</v>
      </c>
      <c r="J246" s="1066"/>
      <c r="K246" s="47">
        <v>9</v>
      </c>
      <c r="L246" s="47">
        <f t="shared" ref="L246:Q246" si="265">P92</f>
        <v>0.5</v>
      </c>
      <c r="M246" s="47">
        <f t="shared" si="265"/>
        <v>9.9999999999999995E-7</v>
      </c>
      <c r="N246" s="47" t="str">
        <f t="shared" si="265"/>
        <v>-</v>
      </c>
      <c r="O246" s="47">
        <f t="shared" si="265"/>
        <v>0</v>
      </c>
      <c r="P246" s="47">
        <f t="shared" si="265"/>
        <v>0</v>
      </c>
      <c r="Q246" s="47">
        <f t="shared" si="265"/>
        <v>6.0000000000000001E-3</v>
      </c>
    </row>
    <row r="247" spans="1:17" x14ac:dyDescent="0.2">
      <c r="A247" s="1066"/>
      <c r="B247" s="47">
        <v>10</v>
      </c>
      <c r="C247" s="47">
        <f>B117</f>
        <v>50</v>
      </c>
      <c r="D247" s="47">
        <f t="shared" ref="D247:F247" si="266">C117</f>
        <v>0.4</v>
      </c>
      <c r="E247" s="47" t="str">
        <f t="shared" si="266"/>
        <v>-</v>
      </c>
      <c r="F247" s="47">
        <f t="shared" si="266"/>
        <v>0</v>
      </c>
      <c r="G247" s="47">
        <f>F117</f>
        <v>0</v>
      </c>
      <c r="H247" s="47" t="str">
        <f>G117</f>
        <v>-</v>
      </c>
      <c r="J247" s="1066"/>
      <c r="K247" s="47">
        <v>10</v>
      </c>
      <c r="L247" s="47">
        <f t="shared" ref="L247:Q247" si="267">B123</f>
        <v>1</v>
      </c>
      <c r="M247" s="47">
        <f t="shared" si="267"/>
        <v>-8.0000000000000002E-3</v>
      </c>
      <c r="N247" s="47" t="str">
        <f t="shared" si="267"/>
        <v>-</v>
      </c>
      <c r="O247" s="47">
        <f t="shared" si="267"/>
        <v>0</v>
      </c>
      <c r="P247" s="47">
        <f t="shared" si="267"/>
        <v>0</v>
      </c>
      <c r="Q247" s="47" t="str">
        <f t="shared" si="267"/>
        <v>-</v>
      </c>
    </row>
    <row r="248" spans="1:17" x14ac:dyDescent="0.2">
      <c r="A248" s="1066"/>
      <c r="B248" s="47">
        <v>11</v>
      </c>
      <c r="C248" s="47">
        <f>I117</f>
        <v>50</v>
      </c>
      <c r="D248" s="47">
        <f t="shared" ref="D248:F248" si="268">J117</f>
        <v>9.9999999999999995E-7</v>
      </c>
      <c r="E248" s="47" t="str">
        <f t="shared" si="268"/>
        <v>-</v>
      </c>
      <c r="F248" s="47">
        <f t="shared" si="268"/>
        <v>0</v>
      </c>
      <c r="G248" s="47">
        <f>M117</f>
        <v>0</v>
      </c>
      <c r="H248" s="47" t="str">
        <f>N117</f>
        <v>-</v>
      </c>
      <c r="J248" s="1066"/>
      <c r="K248" s="47">
        <v>11</v>
      </c>
      <c r="L248" s="47">
        <f t="shared" ref="L248:Q248" si="269">I123</f>
        <v>1</v>
      </c>
      <c r="M248" s="47">
        <f t="shared" si="269"/>
        <v>9.9999999999999995E-7</v>
      </c>
      <c r="N248" s="47" t="str">
        <f t="shared" si="269"/>
        <v>-</v>
      </c>
      <c r="O248" s="47">
        <f t="shared" si="269"/>
        <v>0</v>
      </c>
      <c r="P248" s="47">
        <f t="shared" si="269"/>
        <v>0</v>
      </c>
      <c r="Q248" s="47" t="str">
        <f t="shared" si="269"/>
        <v>-</v>
      </c>
    </row>
    <row r="249" spans="1:17" x14ac:dyDescent="0.2">
      <c r="A249" s="1066"/>
      <c r="B249" s="47">
        <v>12</v>
      </c>
      <c r="C249" s="47">
        <f>P117</f>
        <v>50</v>
      </c>
      <c r="D249" s="47">
        <f t="shared" ref="D249:F249" si="270">Q117</f>
        <v>9.9999999999999995E-7</v>
      </c>
      <c r="E249" s="47" t="str">
        <f t="shared" si="270"/>
        <v>-</v>
      </c>
      <c r="F249" s="47">
        <f t="shared" si="270"/>
        <v>0</v>
      </c>
      <c r="G249" s="47">
        <f>T117</f>
        <v>0</v>
      </c>
      <c r="H249" s="47" t="str">
        <f>U117</f>
        <v>-</v>
      </c>
      <c r="J249" s="1066"/>
      <c r="K249" s="47">
        <v>12</v>
      </c>
      <c r="L249" s="47">
        <f t="shared" ref="L249:Q249" si="271">P123</f>
        <v>1</v>
      </c>
      <c r="M249" s="47">
        <f t="shared" si="271"/>
        <v>9.9999999999999995E-7</v>
      </c>
      <c r="N249" s="47" t="str">
        <f t="shared" si="271"/>
        <v>-</v>
      </c>
      <c r="O249" s="47">
        <f t="shared" si="271"/>
        <v>0</v>
      </c>
      <c r="P249" s="47">
        <f t="shared" si="271"/>
        <v>0</v>
      </c>
      <c r="Q249" s="47" t="str">
        <f t="shared" si="271"/>
        <v>-</v>
      </c>
    </row>
    <row r="250" spans="1:17" s="116" customFormat="1" x14ac:dyDescent="0.2">
      <c r="A250" s="236"/>
      <c r="B250" s="231"/>
      <c r="C250" s="231"/>
      <c r="D250" s="231"/>
      <c r="E250" s="231"/>
      <c r="F250" s="232"/>
      <c r="G250" s="231"/>
      <c r="H250" s="231"/>
      <c r="J250" s="236"/>
      <c r="K250" s="231"/>
      <c r="L250" s="231"/>
      <c r="M250" s="231"/>
      <c r="N250" s="231"/>
      <c r="O250" s="232"/>
      <c r="P250" s="231"/>
      <c r="Q250" s="231"/>
    </row>
    <row r="251" spans="1:17" x14ac:dyDescent="0.2">
      <c r="A251" s="1066" t="s">
        <v>45</v>
      </c>
      <c r="B251" s="47">
        <v>1</v>
      </c>
      <c r="C251" s="47">
        <f t="shared" ref="C251:H251" si="272">B25</f>
        <v>100</v>
      </c>
      <c r="D251" s="47">
        <f t="shared" si="272"/>
        <v>9.9999999999999995E-7</v>
      </c>
      <c r="E251" s="47">
        <f t="shared" si="272"/>
        <v>9.9999999999999995E-7</v>
      </c>
      <c r="F251" s="47">
        <f t="shared" si="272"/>
        <v>0</v>
      </c>
      <c r="G251" s="47">
        <f t="shared" si="272"/>
        <v>0</v>
      </c>
      <c r="H251" s="47">
        <f t="shared" si="272"/>
        <v>0</v>
      </c>
      <c r="J251" s="1066" t="s">
        <v>45</v>
      </c>
      <c r="K251" s="47">
        <v>1</v>
      </c>
      <c r="L251" s="47">
        <f t="shared" ref="L251:Q251" si="273">B31</f>
        <v>2</v>
      </c>
      <c r="M251" s="47">
        <f t="shared" si="273"/>
        <v>7.0000000000000001E-3</v>
      </c>
      <c r="N251" s="47">
        <f t="shared" si="273"/>
        <v>9.9999999999999995E-7</v>
      </c>
      <c r="O251" s="47">
        <f t="shared" si="273"/>
        <v>0</v>
      </c>
      <c r="P251" s="47">
        <f t="shared" si="273"/>
        <v>3.4995E-3</v>
      </c>
      <c r="Q251" s="47">
        <f t="shared" si="273"/>
        <v>2.4E-2</v>
      </c>
    </row>
    <row r="252" spans="1:17" x14ac:dyDescent="0.2">
      <c r="A252" s="1066"/>
      <c r="B252" s="47">
        <v>2</v>
      </c>
      <c r="C252" s="47">
        <f t="shared" ref="C252:H252" si="274">I25</f>
        <v>100</v>
      </c>
      <c r="D252" s="47">
        <f t="shared" si="274"/>
        <v>0.3</v>
      </c>
      <c r="E252" s="47">
        <f t="shared" si="274"/>
        <v>9.9999999999999995E-7</v>
      </c>
      <c r="F252" s="47">
        <f t="shared" si="274"/>
        <v>0</v>
      </c>
      <c r="G252" s="47">
        <f t="shared" si="274"/>
        <v>0.14999950000000001</v>
      </c>
      <c r="H252" s="47">
        <f t="shared" si="274"/>
        <v>0.59</v>
      </c>
      <c r="J252" s="1066"/>
      <c r="K252" s="47">
        <v>2</v>
      </c>
      <c r="L252" s="47">
        <f t="shared" ref="L252:Q252" si="275">I31</f>
        <v>2</v>
      </c>
      <c r="M252" s="47">
        <f t="shared" si="275"/>
        <v>9.9999999999999995E-7</v>
      </c>
      <c r="N252" s="47">
        <f t="shared" si="275"/>
        <v>9.9999999999999995E-7</v>
      </c>
      <c r="O252" s="47">
        <f t="shared" si="275"/>
        <v>0</v>
      </c>
      <c r="P252" s="47">
        <f t="shared" si="275"/>
        <v>0</v>
      </c>
      <c r="Q252" s="47">
        <f t="shared" si="275"/>
        <v>0</v>
      </c>
    </row>
    <row r="253" spans="1:17" x14ac:dyDescent="0.2">
      <c r="A253" s="1066"/>
      <c r="B253" s="47">
        <v>3</v>
      </c>
      <c r="C253" s="47">
        <f t="shared" ref="C253:H253" si="276">P25</f>
        <v>50</v>
      </c>
      <c r="D253" s="47">
        <f t="shared" si="276"/>
        <v>0.1</v>
      </c>
      <c r="E253" s="47">
        <f t="shared" si="276"/>
        <v>1.1000000000000001</v>
      </c>
      <c r="F253" s="47">
        <f t="shared" si="276"/>
        <v>0.6</v>
      </c>
      <c r="G253" s="47">
        <f t="shared" si="276"/>
        <v>0.5</v>
      </c>
      <c r="H253" s="47">
        <f t="shared" si="276"/>
        <v>0.85000000000000009</v>
      </c>
      <c r="J253" s="1066"/>
      <c r="K253" s="47">
        <v>3</v>
      </c>
      <c r="L253" s="47">
        <f t="shared" ref="L253:Q253" si="277">P31</f>
        <v>2</v>
      </c>
      <c r="M253" s="47">
        <f t="shared" si="277"/>
        <v>-8.0000000000000002E-3</v>
      </c>
      <c r="N253" s="47">
        <f t="shared" si="277"/>
        <v>1.4E-2</v>
      </c>
      <c r="O253" s="47">
        <f t="shared" si="277"/>
        <v>9.9999999999999995E-7</v>
      </c>
      <c r="P253" s="47">
        <f t="shared" si="277"/>
        <v>1.0999999999999999E-2</v>
      </c>
      <c r="Q253" s="47">
        <f t="shared" si="277"/>
        <v>2.4E-2</v>
      </c>
    </row>
    <row r="254" spans="1:17" x14ac:dyDescent="0.2">
      <c r="A254" s="1066"/>
      <c r="B254" s="47">
        <v>4</v>
      </c>
      <c r="C254" s="47">
        <f t="shared" ref="C254:H254" si="278">B56</f>
        <v>100</v>
      </c>
      <c r="D254" s="47">
        <f t="shared" si="278"/>
        <v>1.4</v>
      </c>
      <c r="E254" s="47">
        <f t="shared" si="278"/>
        <v>1</v>
      </c>
      <c r="F254" s="47">
        <f t="shared" si="278"/>
        <v>0</v>
      </c>
      <c r="G254" s="47">
        <f t="shared" si="278"/>
        <v>0.19999999999999996</v>
      </c>
      <c r="H254" s="47">
        <f t="shared" si="278"/>
        <v>1.7000000000000002</v>
      </c>
      <c r="J254" s="1066"/>
      <c r="K254" s="47">
        <v>4</v>
      </c>
      <c r="L254" s="47">
        <f t="shared" ref="L254:Q254" si="279">B62</f>
        <v>2</v>
      </c>
      <c r="M254" s="47">
        <f t="shared" si="279"/>
        <v>-7.0000000000000001E-3</v>
      </c>
      <c r="N254" s="47">
        <f t="shared" si="279"/>
        <v>9.9999999999999995E-7</v>
      </c>
      <c r="O254" s="47">
        <f t="shared" si="279"/>
        <v>0</v>
      </c>
      <c r="P254" s="47">
        <f t="shared" si="279"/>
        <v>3.5005000000000001E-3</v>
      </c>
      <c r="Q254" s="47">
        <f t="shared" si="279"/>
        <v>2.4E-2</v>
      </c>
    </row>
    <row r="255" spans="1:17" x14ac:dyDescent="0.2">
      <c r="A255" s="1066"/>
      <c r="B255" s="47">
        <v>5</v>
      </c>
      <c r="C255" s="47">
        <f t="shared" ref="C255:H255" si="280">I56</f>
        <v>100</v>
      </c>
      <c r="D255" s="47">
        <f t="shared" si="280"/>
        <v>1.5</v>
      </c>
      <c r="E255" s="47">
        <f t="shared" si="280"/>
        <v>0.8</v>
      </c>
      <c r="F255" s="47">
        <f t="shared" si="280"/>
        <v>0</v>
      </c>
      <c r="G255" s="47">
        <f t="shared" si="280"/>
        <v>0.35</v>
      </c>
      <c r="H255" s="47">
        <f t="shared" si="280"/>
        <v>1.7000000000000002</v>
      </c>
      <c r="J255" s="1066"/>
      <c r="K255" s="47">
        <v>5</v>
      </c>
      <c r="L255" s="47">
        <f t="shared" ref="L255:Q255" si="281">I62</f>
        <v>2</v>
      </c>
      <c r="M255" s="47">
        <f t="shared" si="281"/>
        <v>0.113</v>
      </c>
      <c r="N255" s="47">
        <f t="shared" si="281"/>
        <v>9.9999999999999995E-7</v>
      </c>
      <c r="O255" s="47">
        <f t="shared" si="281"/>
        <v>0</v>
      </c>
      <c r="P255" s="47">
        <f t="shared" si="281"/>
        <v>5.6499500000000001E-2</v>
      </c>
      <c r="Q255" s="47">
        <f t="shared" si="281"/>
        <v>2.4E-2</v>
      </c>
    </row>
    <row r="256" spans="1:17" x14ac:dyDescent="0.2">
      <c r="A256" s="1066"/>
      <c r="B256" s="47">
        <v>6</v>
      </c>
      <c r="C256" s="47">
        <f t="shared" ref="C256:H256" si="282">P56</f>
        <v>100</v>
      </c>
      <c r="D256" s="47">
        <f t="shared" si="282"/>
        <v>0.6</v>
      </c>
      <c r="E256" s="47">
        <f t="shared" si="282"/>
        <v>0.7</v>
      </c>
      <c r="F256" s="47">
        <f t="shared" si="282"/>
        <v>0</v>
      </c>
      <c r="G256" s="47">
        <f t="shared" si="282"/>
        <v>4.9999999999999989E-2</v>
      </c>
      <c r="H256" s="47">
        <f t="shared" si="282"/>
        <v>1.7000000000000002</v>
      </c>
      <c r="J256" s="1066"/>
      <c r="K256" s="47">
        <v>6</v>
      </c>
      <c r="L256" s="47">
        <f t="shared" ref="L256:Q256" si="283">P62</f>
        <v>2</v>
      </c>
      <c r="M256" s="47">
        <f t="shared" si="283"/>
        <v>9.9999999999999995E-7</v>
      </c>
      <c r="N256" s="47">
        <f t="shared" si="283"/>
        <v>9.9999999999999995E-7</v>
      </c>
      <c r="O256" s="47">
        <f t="shared" si="283"/>
        <v>0</v>
      </c>
      <c r="P256" s="47">
        <f t="shared" si="283"/>
        <v>0</v>
      </c>
      <c r="Q256" s="47">
        <f t="shared" si="283"/>
        <v>0</v>
      </c>
    </row>
    <row r="257" spans="1:20" x14ac:dyDescent="0.2">
      <c r="A257" s="1066"/>
      <c r="B257" s="47">
        <v>7</v>
      </c>
      <c r="C257" s="47">
        <f t="shared" ref="C257:H257" si="284">B87</f>
        <v>100</v>
      </c>
      <c r="D257" s="47">
        <f t="shared" si="284"/>
        <v>9.9999999999999995E-7</v>
      </c>
      <c r="E257" s="47">
        <f t="shared" si="284"/>
        <v>1.4</v>
      </c>
      <c r="F257" s="47">
        <f t="shared" si="284"/>
        <v>0</v>
      </c>
      <c r="G257" s="47">
        <f t="shared" si="284"/>
        <v>0.6999995</v>
      </c>
      <c r="H257" s="47">
        <f t="shared" si="284"/>
        <v>1.7000000000000002</v>
      </c>
      <c r="J257" s="1066"/>
      <c r="K257" s="47">
        <v>7</v>
      </c>
      <c r="L257" s="47">
        <f t="shared" ref="L257:Q257" si="285">B93</f>
        <v>2</v>
      </c>
      <c r="M257" s="47">
        <f t="shared" si="285"/>
        <v>9.9999999999999995E-7</v>
      </c>
      <c r="N257" s="47">
        <f t="shared" si="285"/>
        <v>9.9999999999999995E-7</v>
      </c>
      <c r="O257" s="47">
        <f t="shared" si="285"/>
        <v>0</v>
      </c>
      <c r="P257" s="47">
        <f t="shared" si="285"/>
        <v>0</v>
      </c>
      <c r="Q257" s="47">
        <f t="shared" si="285"/>
        <v>2.4E-2</v>
      </c>
    </row>
    <row r="258" spans="1:20" x14ac:dyDescent="0.2">
      <c r="A258" s="1066"/>
      <c r="B258" s="47">
        <v>8</v>
      </c>
      <c r="C258" s="47">
        <f t="shared" ref="C258:H258" si="286">I87</f>
        <v>100</v>
      </c>
      <c r="D258" s="47">
        <f t="shared" si="286"/>
        <v>0.4</v>
      </c>
      <c r="E258" s="47">
        <f t="shared" si="286"/>
        <v>9.9999999999999995E-7</v>
      </c>
      <c r="F258" s="47">
        <f t="shared" si="286"/>
        <v>0</v>
      </c>
      <c r="G258" s="47">
        <f t="shared" si="286"/>
        <v>0.19999950000000002</v>
      </c>
      <c r="H258" s="47">
        <f t="shared" si="286"/>
        <v>1.7000000000000002</v>
      </c>
      <c r="J258" s="1066"/>
      <c r="K258" s="47">
        <v>8</v>
      </c>
      <c r="L258" s="47">
        <f t="shared" ref="L258:Q258" si="287">I93</f>
        <v>2</v>
      </c>
      <c r="M258" s="47">
        <f t="shared" si="287"/>
        <v>5.0000000000000001E-3</v>
      </c>
      <c r="N258" s="47">
        <f t="shared" si="287"/>
        <v>-1E-3</v>
      </c>
      <c r="O258" s="47">
        <f t="shared" si="287"/>
        <v>0</v>
      </c>
      <c r="P258" s="47">
        <f t="shared" si="287"/>
        <v>3.0000000000000001E-3</v>
      </c>
      <c r="Q258" s="47">
        <f t="shared" si="287"/>
        <v>2.4E-2</v>
      </c>
    </row>
    <row r="259" spans="1:20" x14ac:dyDescent="0.2">
      <c r="A259" s="1066"/>
      <c r="B259" s="47">
        <v>9</v>
      </c>
      <c r="C259" s="47">
        <f t="shared" ref="C259:H259" si="288">P87</f>
        <v>100</v>
      </c>
      <c r="D259" s="47">
        <f t="shared" si="288"/>
        <v>9.9999999999999995E-7</v>
      </c>
      <c r="E259" s="47" t="str">
        <f t="shared" si="288"/>
        <v>-</v>
      </c>
      <c r="F259" s="47">
        <f t="shared" si="288"/>
        <v>0</v>
      </c>
      <c r="G259" s="47">
        <f t="shared" si="288"/>
        <v>0</v>
      </c>
      <c r="H259" s="47">
        <f t="shared" si="288"/>
        <v>0</v>
      </c>
      <c r="J259" s="1066"/>
      <c r="K259" s="47">
        <v>9</v>
      </c>
      <c r="L259" s="47">
        <f t="shared" ref="L259:Q259" si="289">P93</f>
        <v>1</v>
      </c>
      <c r="M259" s="47">
        <f t="shared" si="289"/>
        <v>-1E-3</v>
      </c>
      <c r="N259" s="47" t="str">
        <f t="shared" si="289"/>
        <v>-</v>
      </c>
      <c r="O259" s="47">
        <f t="shared" si="289"/>
        <v>0</v>
      </c>
      <c r="P259" s="47">
        <f t="shared" si="289"/>
        <v>0</v>
      </c>
      <c r="Q259" s="47">
        <f t="shared" si="289"/>
        <v>1.2E-2</v>
      </c>
    </row>
    <row r="260" spans="1:20" x14ac:dyDescent="0.2">
      <c r="A260" s="1066"/>
      <c r="B260" s="47">
        <v>10</v>
      </c>
      <c r="C260" s="47">
        <f>B118</f>
        <v>100</v>
      </c>
      <c r="D260" s="47">
        <f t="shared" ref="D260:F260" si="290">C118</f>
        <v>1.4</v>
      </c>
      <c r="E260" s="47" t="str">
        <f t="shared" si="290"/>
        <v>-</v>
      </c>
      <c r="F260" s="47">
        <f t="shared" si="290"/>
        <v>0</v>
      </c>
      <c r="G260" s="47">
        <f>F118</f>
        <v>0</v>
      </c>
      <c r="H260" s="47" t="str">
        <f>G118</f>
        <v>-</v>
      </c>
      <c r="J260" s="1066"/>
      <c r="K260" s="47">
        <v>10</v>
      </c>
      <c r="L260" s="47">
        <f t="shared" ref="L260:Q260" si="291">B124</f>
        <v>2</v>
      </c>
      <c r="M260" s="47">
        <f t="shared" si="291"/>
        <v>-7.0000000000000001E-3</v>
      </c>
      <c r="N260" s="47" t="str">
        <f t="shared" si="291"/>
        <v>-</v>
      </c>
      <c r="O260" s="47">
        <f t="shared" si="291"/>
        <v>0</v>
      </c>
      <c r="P260" s="47">
        <f t="shared" si="291"/>
        <v>0</v>
      </c>
      <c r="Q260" s="47" t="str">
        <f t="shared" si="291"/>
        <v>-</v>
      </c>
    </row>
    <row r="261" spans="1:20" x14ac:dyDescent="0.2">
      <c r="A261" s="1066"/>
      <c r="B261" s="47">
        <v>11</v>
      </c>
      <c r="C261" s="47">
        <f>I118</f>
        <v>100</v>
      </c>
      <c r="D261" s="47">
        <f t="shared" ref="D261:F261" si="292">J118</f>
        <v>9.9999999999999995E-7</v>
      </c>
      <c r="E261" s="47" t="str">
        <f t="shared" si="292"/>
        <v>-</v>
      </c>
      <c r="F261" s="47">
        <f t="shared" si="292"/>
        <v>0</v>
      </c>
      <c r="G261" s="47">
        <f>M118</f>
        <v>0</v>
      </c>
      <c r="H261" s="47" t="str">
        <f>N118</f>
        <v>-</v>
      </c>
      <c r="J261" s="1066"/>
      <c r="K261" s="47">
        <v>11</v>
      </c>
      <c r="L261" s="47">
        <f t="shared" ref="L261:Q261" si="293">I124</f>
        <v>2</v>
      </c>
      <c r="M261" s="47">
        <f t="shared" si="293"/>
        <v>9.9999999999999995E-7</v>
      </c>
      <c r="N261" s="47" t="str">
        <f t="shared" si="293"/>
        <v>-</v>
      </c>
      <c r="O261" s="47">
        <f t="shared" si="293"/>
        <v>0</v>
      </c>
      <c r="P261" s="47">
        <f t="shared" si="293"/>
        <v>0</v>
      </c>
      <c r="Q261" s="47" t="str">
        <f t="shared" si="293"/>
        <v>-</v>
      </c>
    </row>
    <row r="262" spans="1:20" x14ac:dyDescent="0.2">
      <c r="A262" s="1066"/>
      <c r="B262" s="47">
        <v>12</v>
      </c>
      <c r="C262" s="47">
        <f>P118</f>
        <v>100</v>
      </c>
      <c r="D262" s="47">
        <f t="shared" ref="D262:F262" si="294">Q118</f>
        <v>9.9999999999999995E-7</v>
      </c>
      <c r="E262" s="47" t="str">
        <f t="shared" si="294"/>
        <v>-</v>
      </c>
      <c r="F262" s="47">
        <f t="shared" si="294"/>
        <v>0</v>
      </c>
      <c r="G262" s="47">
        <f>T118</f>
        <v>0</v>
      </c>
      <c r="H262" s="47" t="str">
        <f>U118</f>
        <v>-</v>
      </c>
      <c r="J262" s="1066"/>
      <c r="K262" s="47">
        <v>12</v>
      </c>
      <c r="L262" s="47">
        <f t="shared" ref="L262:Q262" si="295">P124</f>
        <v>2</v>
      </c>
      <c r="M262" s="47">
        <f t="shared" si="295"/>
        <v>9.9999999999999995E-7</v>
      </c>
      <c r="N262" s="47" t="str">
        <f t="shared" si="295"/>
        <v>-</v>
      </c>
      <c r="O262" s="47">
        <f t="shared" si="295"/>
        <v>0</v>
      </c>
      <c r="P262" s="47">
        <f t="shared" si="295"/>
        <v>0</v>
      </c>
      <c r="Q262" s="47" t="str">
        <f t="shared" si="295"/>
        <v>-</v>
      </c>
    </row>
    <row r="263" spans="1:20" s="116" customFormat="1" x14ac:dyDescent="0.2">
      <c r="A263" s="237"/>
      <c r="B263" s="210"/>
      <c r="C263" s="210"/>
      <c r="D263" s="210"/>
      <c r="E263" s="210"/>
      <c r="F263" s="210"/>
      <c r="G263" s="210"/>
      <c r="I263" s="237"/>
      <c r="J263" s="210"/>
      <c r="K263" s="210"/>
      <c r="L263" s="210"/>
      <c r="M263" s="210"/>
      <c r="N263" s="210"/>
      <c r="O263" s="210"/>
    </row>
    <row r="264" spans="1:20" ht="13.5" thickBot="1" x14ac:dyDescent="0.25">
      <c r="A264" s="109"/>
      <c r="B264" s="219"/>
      <c r="C264" s="219"/>
    </row>
    <row r="265" spans="1:20" ht="43.5" customHeight="1" x14ac:dyDescent="0.2">
      <c r="A265" s="238">
        <f>A311</f>
        <v>9</v>
      </c>
      <c r="B265" s="1067" t="str">
        <f>A298</f>
        <v>Electrical Safety Analyzer, Merek : Fluke, Model : ESA 615, SN : 4670010</v>
      </c>
      <c r="C265" s="1067"/>
      <c r="D265" s="1067"/>
      <c r="E265" s="1067"/>
      <c r="F265" s="1067"/>
      <c r="H265" s="239" t="s">
        <v>318</v>
      </c>
      <c r="I265" s="239" t="s">
        <v>319</v>
      </c>
      <c r="J265" s="239" t="s">
        <v>320</v>
      </c>
      <c r="K265" s="239" t="s">
        <v>321</v>
      </c>
      <c r="L265" s="240"/>
      <c r="M265" s="1068" t="s">
        <v>159</v>
      </c>
      <c r="N265" s="1071" t="s">
        <v>322</v>
      </c>
      <c r="O265" s="1073" t="s">
        <v>323</v>
      </c>
      <c r="Q265" s="241"/>
      <c r="R265" s="241"/>
      <c r="S265" s="241"/>
      <c r="T265" s="241"/>
    </row>
    <row r="266" spans="1:20" ht="14.45" customHeight="1" x14ac:dyDescent="0.2">
      <c r="A266" s="1075" t="s">
        <v>293</v>
      </c>
      <c r="B266" s="1075"/>
      <c r="C266" s="1075"/>
      <c r="D266" s="1075"/>
      <c r="E266" s="1075"/>
      <c r="F266" s="1075"/>
      <c r="H266" s="242">
        <f>FORECAST(M268,B269:B274,A269:A274)</f>
        <v>-0.39502543255338124</v>
      </c>
      <c r="I266" s="242" t="e">
        <f>FORECAST(M269,B285:B288,A285:A288)</f>
        <v>#VALUE!</v>
      </c>
      <c r="J266" s="242">
        <f>FORECAST(M270,B291:B294,A291:A294)</f>
        <v>-1.1934843311781379E-3</v>
      </c>
      <c r="K266" s="242">
        <f>FORECAST(M271,B277:B282,A277:A282)</f>
        <v>1.982775490358909</v>
      </c>
      <c r="L266" s="116"/>
      <c r="M266" s="1069"/>
      <c r="N266" s="1072"/>
      <c r="O266" s="1074"/>
      <c r="Q266" s="241"/>
      <c r="R266" s="241"/>
      <c r="S266" s="241"/>
      <c r="T266" s="241"/>
    </row>
    <row r="267" spans="1:20" ht="13.5" thickBot="1" x14ac:dyDescent="0.25">
      <c r="A267" s="1076" t="str">
        <f>B4</f>
        <v>Setting VAC</v>
      </c>
      <c r="B267" s="1076"/>
      <c r="C267" s="1076"/>
      <c r="D267" s="1076"/>
      <c r="E267" s="1076" t="s">
        <v>295</v>
      </c>
      <c r="F267" s="1076" t="s">
        <v>224</v>
      </c>
      <c r="H267" s="241"/>
      <c r="I267" s="241"/>
      <c r="J267" s="241"/>
      <c r="K267" s="241"/>
      <c r="L267" s="116"/>
      <c r="M267" s="1070"/>
      <c r="N267" s="1072"/>
      <c r="O267" s="1074"/>
      <c r="Q267" s="241"/>
      <c r="R267" s="241"/>
      <c r="S267" s="241"/>
      <c r="T267" s="241"/>
    </row>
    <row r="268" spans="1:20" ht="42" x14ac:dyDescent="0.2">
      <c r="A268" s="168" t="s">
        <v>296</v>
      </c>
      <c r="B268" s="243">
        <f>VLOOKUP(B265,A299:L310,9,FALSE)</f>
        <v>2020</v>
      </c>
      <c r="C268" s="243" t="str">
        <f>VLOOKUP(B265,A299:L310,10,FALSE)</f>
        <v>-</v>
      </c>
      <c r="D268" s="243">
        <f>VLOOKUP(B265,A299:L310,11,FALSE)</f>
        <v>2016</v>
      </c>
      <c r="E268" s="1076"/>
      <c r="F268" s="1076"/>
      <c r="H268" s="239" t="s">
        <v>324</v>
      </c>
      <c r="I268" s="239" t="s">
        <v>325</v>
      </c>
      <c r="J268" s="241"/>
      <c r="K268" s="241"/>
      <c r="L268" s="116"/>
      <c r="M268" s="244">
        <f>ID!F16</f>
        <v>231.8</v>
      </c>
      <c r="N268" s="245">
        <f>M268+H266</f>
        <v>231.40497456744663</v>
      </c>
      <c r="O268" s="371">
        <f>IFERROR(N268,"-")</f>
        <v>231.40497456744663</v>
      </c>
      <c r="Q268" s="241"/>
      <c r="R268" s="241"/>
      <c r="S268" s="241"/>
      <c r="T268" s="241"/>
    </row>
    <row r="269" spans="1:20" ht="15.75" x14ac:dyDescent="0.2">
      <c r="A269" s="481">
        <f>VLOOKUP($A265,$B131:$H142,2,(FALSE))</f>
        <v>149.83000000000001</v>
      </c>
      <c r="B269" s="476">
        <f>VLOOKUP($A$265,$B$131:$H$142,3,(FALSE))</f>
        <v>-0.17</v>
      </c>
      <c r="C269" s="476" t="str">
        <f>VLOOKUP($A$265,$B$131:$H$142,4,(FALSE))</f>
        <v>-</v>
      </c>
      <c r="D269" s="476">
        <f>VLOOKUP($A$265,$B$131:$H$142,5,(FALSE))</f>
        <v>0</v>
      </c>
      <c r="E269" s="476">
        <f>VLOOKUP($A$265,$B$131:$H$142,6,(FALSE))</f>
        <v>0</v>
      </c>
      <c r="F269" s="476">
        <f>VLOOKUP($A$265,$B$131:$H$142,7,(FALSE))</f>
        <v>1.7979600000000002</v>
      </c>
      <c r="H269" s="246">
        <f>FORECAST(M272,B277:B282,A277:A282)</f>
        <v>1.9573731207437359</v>
      </c>
      <c r="I269" s="246">
        <f>FORECAST(N268,F269:F274,A269:A274)</f>
        <v>2.7768596948093593</v>
      </c>
      <c r="J269" s="247"/>
      <c r="K269" s="247"/>
      <c r="L269" s="116"/>
      <c r="M269" s="248" t="str">
        <f>ID!I24</f>
        <v>OL</v>
      </c>
      <c r="N269" s="373" t="e">
        <f>M269+I266</f>
        <v>#VALUE!</v>
      </c>
      <c r="O269" s="341" t="str">
        <f>IF(M269="OL","OL",IF(M269="OR","OR",IF(M269="NC","NC",IFERROR(N269,"-"))))</f>
        <v>OL</v>
      </c>
      <c r="R269" s="249"/>
    </row>
    <row r="270" spans="1:20" ht="13.5" thickBot="1" x14ac:dyDescent="0.25">
      <c r="A270" s="482">
        <f>VLOOKUP($A$265,$B$144:$H$155,2,(FALSE))</f>
        <v>179.78</v>
      </c>
      <c r="B270" s="477">
        <f>VLOOKUP($A$265,$B$144:$H$155,3,(FALSE))</f>
        <v>-0.22</v>
      </c>
      <c r="C270" s="477" t="str">
        <f>VLOOKUP($A$265,$B$144:$H$155,4,(FALSE))</f>
        <v>-</v>
      </c>
      <c r="D270" s="477">
        <f>VLOOKUP($A$265,$B$144:$H$155,5,(FALSE))</f>
        <v>0</v>
      </c>
      <c r="E270" s="477">
        <f>VLOOKUP($A$265,$B$144:$H$155,6,(FALSE))</f>
        <v>0</v>
      </c>
      <c r="F270" s="477">
        <f>VLOOKUP($A$265,$B$144:$H$155,7,(FALSE))</f>
        <v>2.1573600000000002</v>
      </c>
      <c r="H270" s="241"/>
      <c r="I270" s="241"/>
      <c r="J270" s="241"/>
      <c r="K270" s="241"/>
      <c r="L270" s="116"/>
      <c r="M270" s="370">
        <f>ID!I25</f>
        <v>0.1</v>
      </c>
      <c r="N270" s="483">
        <f>M270+J266</f>
        <v>9.880651566882187E-2</v>
      </c>
      <c r="O270" s="341">
        <f t="shared" ref="O270:O272" si="296">IF(M270="OL","OL",IF(M270="OR","OR",IF(M270="NC","NC",IFERROR(N270,"-"))))</f>
        <v>9.880651566882187E-2</v>
      </c>
    </row>
    <row r="271" spans="1:20" x14ac:dyDescent="0.2">
      <c r="A271" s="482">
        <f>VLOOKUP($A$265,$B$157:$H$168,2,(FALSE))</f>
        <v>199.67</v>
      </c>
      <c r="B271" s="477">
        <f>VLOOKUP($A$265,$B$157:$H$168,3,(FALSE))</f>
        <v>-0.33</v>
      </c>
      <c r="C271" s="477" t="str">
        <f>VLOOKUP($A$265,$B$157:$H$168,4,(FALSE))</f>
        <v>-</v>
      </c>
      <c r="D271" s="477">
        <f>VLOOKUP($A$265,$B$157:$H$168,5,(FALSE))</f>
        <v>0</v>
      </c>
      <c r="E271" s="477">
        <f>VLOOKUP($A$265,$B$157:$H$168,6,(FALSE))</f>
        <v>0</v>
      </c>
      <c r="F271" s="477">
        <f>VLOOKUP($A$265,$B$157:$H$168,7,(FALSE))</f>
        <v>2.3960399999999997</v>
      </c>
      <c r="H271" s="1059" t="s">
        <v>260</v>
      </c>
      <c r="I271" s="1060"/>
      <c r="J271" s="1061"/>
      <c r="K271" s="241"/>
      <c r="L271" s="250" t="s">
        <v>326</v>
      </c>
      <c r="M271" s="248">
        <f>ID!I26</f>
        <v>39.799999999999997</v>
      </c>
      <c r="N271" s="392">
        <f>M271+K266</f>
        <v>41.782775490358908</v>
      </c>
      <c r="O271" s="484">
        <f t="shared" si="296"/>
        <v>41.782775490358908</v>
      </c>
    </row>
    <row r="272" spans="1:20" ht="16.5" thickBot="1" x14ac:dyDescent="0.25">
      <c r="A272" s="482">
        <f>VLOOKUP($A$265,$B$170:$H$181,2,(FALSE))</f>
        <v>219.61</v>
      </c>
      <c r="B272" s="477">
        <f>VLOOKUP($A$265,$B$170:$H$181,3,(FALSE))</f>
        <v>-0.39</v>
      </c>
      <c r="C272" s="477" t="str">
        <f>VLOOKUP($A$265,$B$170:$H$181,4,(FALSE))</f>
        <v>-</v>
      </c>
      <c r="D272" s="477">
        <f>VLOOKUP($A$265,$B$170:$H$181,5,(FALSE))</f>
        <v>0</v>
      </c>
      <c r="E272" s="477">
        <f>VLOOKUP($A$265,$B$170:$H$181,6,(FALSE))</f>
        <v>0</v>
      </c>
      <c r="F272" s="477">
        <f>VLOOKUP($A$265,$B$170:$H$181,7,(FALSE))</f>
        <v>2.6353200000000001</v>
      </c>
      <c r="H272" s="193" t="str">
        <f>TEXT(O268,"0.0")</f>
        <v>231.4</v>
      </c>
      <c r="I272" s="191" t="str">
        <f>TEXT(I269,"0.0")</f>
        <v>2.8</v>
      </c>
      <c r="J272" s="192" t="s">
        <v>327</v>
      </c>
      <c r="K272" s="241"/>
      <c r="L272" s="250" t="s">
        <v>328</v>
      </c>
      <c r="M272" s="251">
        <f>ID!R23</f>
        <v>11</v>
      </c>
      <c r="N272" s="372">
        <f>M272+H269</f>
        <v>12.957373120743735</v>
      </c>
      <c r="O272" s="341">
        <f t="shared" si="296"/>
        <v>12.957373120743735</v>
      </c>
    </row>
    <row r="273" spans="1:16" ht="15.75" customHeight="1" thickBot="1" x14ac:dyDescent="0.25">
      <c r="A273" s="482">
        <f>VLOOKUP($A$265,$B$183:$H$194,2,(FALSE))</f>
        <v>229.61</v>
      </c>
      <c r="B273" s="477">
        <f>VLOOKUP($A$265,$B$183:$H$194,3,(FALSE))</f>
        <v>-0.39</v>
      </c>
      <c r="C273" s="477" t="str">
        <f>VLOOKUP($A$265,$B$183:$H$194,4,(FALSE))</f>
        <v>-</v>
      </c>
      <c r="D273" s="477">
        <f>VLOOKUP($A$265,$B$183:$H$194,5,(FALSE))</f>
        <v>0</v>
      </c>
      <c r="E273" s="477">
        <f>VLOOKUP($A$265,$B$183:$H$194,6,(FALSE))</f>
        <v>0</v>
      </c>
      <c r="F273" s="477">
        <f>VLOOKUP($A$265,$B$183:$H$194,7,(FALSE))</f>
        <v>2.7553200000000002</v>
      </c>
      <c r="H273" s="195" t="s">
        <v>267</v>
      </c>
      <c r="I273" s="196" t="s">
        <v>268</v>
      </c>
      <c r="J273" s="197" t="s">
        <v>269</v>
      </c>
      <c r="K273" s="247"/>
      <c r="L273" s="116"/>
      <c r="M273" s="252"/>
      <c r="N273" s="253"/>
      <c r="O273" s="254"/>
    </row>
    <row r="274" spans="1:16" ht="18.75" x14ac:dyDescent="0.2">
      <c r="A274" s="482">
        <f>VLOOKUP($A$265,$B$196:$H$207,2,(FALSE))</f>
        <v>239.61</v>
      </c>
      <c r="B274" s="477">
        <f>VLOOKUP($A$265,$B$196:$H$207,3,(FALSE))</f>
        <v>-0.39</v>
      </c>
      <c r="C274" s="477" t="str">
        <f>VLOOKUP($A$265,$B$196:$H$207,4,(FALSE))</f>
        <v>-</v>
      </c>
      <c r="D274" s="477">
        <f>VLOOKUP($A$265,$B$196:$H$207,5,(FALSE))</f>
        <v>0</v>
      </c>
      <c r="E274" s="477">
        <f>VLOOKUP($A$265,$B$196:$H$207,6,(FALSE))</f>
        <v>0</v>
      </c>
      <c r="F274" s="477">
        <f>VLOOKUP($A$265,$B$196:$H$207,7,(FALSE))</f>
        <v>2.8753200000000003</v>
      </c>
      <c r="H274" s="1062" t="str">
        <f>H273&amp;H272&amp;I273&amp;I272&amp;J273&amp;J272</f>
        <v>( 231.4 ± 2.8 ) Volt</v>
      </c>
      <c r="I274" s="1063"/>
      <c r="J274" s="1064"/>
      <c r="K274" s="241"/>
      <c r="L274" s="116"/>
      <c r="M274" s="252"/>
      <c r="N274" s="253"/>
      <c r="O274" s="254"/>
    </row>
    <row r="275" spans="1:16" ht="12.95" customHeight="1" x14ac:dyDescent="0.2">
      <c r="A275" s="1053" t="str">
        <f>B12</f>
        <v>Current Leakage</v>
      </c>
      <c r="B275" s="1053"/>
      <c r="C275" s="1053"/>
      <c r="D275" s="1053"/>
      <c r="E275" s="478" t="s">
        <v>295</v>
      </c>
      <c r="F275" s="478" t="s">
        <v>224</v>
      </c>
      <c r="H275" s="241"/>
      <c r="I275" s="241"/>
      <c r="J275" s="241"/>
      <c r="K275" s="241"/>
      <c r="L275" s="116"/>
      <c r="M275" s="252"/>
      <c r="N275" s="253"/>
      <c r="O275" s="254"/>
    </row>
    <row r="276" spans="1:16" ht="15" x14ac:dyDescent="0.2">
      <c r="A276" s="479" t="s">
        <v>298</v>
      </c>
      <c r="B276" s="478">
        <f>B268</f>
        <v>2020</v>
      </c>
      <c r="C276" s="478" t="str">
        <f>C268</f>
        <v>-</v>
      </c>
      <c r="D276" s="478">
        <f>D268</f>
        <v>2016</v>
      </c>
      <c r="E276" s="478"/>
      <c r="F276" s="478"/>
      <c r="H276" s="241"/>
      <c r="I276" s="241"/>
      <c r="J276" s="241"/>
      <c r="K276" s="241"/>
      <c r="L276" s="116"/>
      <c r="M276" s="252"/>
      <c r="N276" s="253"/>
      <c r="O276" s="254"/>
    </row>
    <row r="277" spans="1:16" ht="15.75" customHeight="1" x14ac:dyDescent="0.2">
      <c r="A277" s="481">
        <f>VLOOKUP($A$265,$K$131:$Q$142,2,(FALSE))</f>
        <v>0</v>
      </c>
      <c r="B277" s="477">
        <f>VLOOKUP($A$265,$K$131:$Q$142,3,(FALSE))</f>
        <v>9.9999999999999995E-7</v>
      </c>
      <c r="C277" s="477" t="str">
        <f>VLOOKUP($A$265,$K$131:$Q$142,4,(FALSE))</f>
        <v>-</v>
      </c>
      <c r="D277" s="477">
        <f>VLOOKUP($A$265,$K$131:$Q$142,5,(FALSE))</f>
        <v>0</v>
      </c>
      <c r="E277" s="477">
        <f>VLOOKUP($A$265,$K$131:$Q$142,6,(FALSE))</f>
        <v>0</v>
      </c>
      <c r="F277" s="477">
        <f>VLOOKUP($A$265,$K$131:$Q$142,7,(FALSE))</f>
        <v>0.12</v>
      </c>
      <c r="H277" s="1065"/>
      <c r="I277" s="1065"/>
      <c r="J277" s="1065"/>
      <c r="K277" s="1065"/>
      <c r="L277" s="116"/>
      <c r="M277" s="255"/>
      <c r="N277" s="255"/>
      <c r="O277" s="256"/>
    </row>
    <row r="278" spans="1:16" x14ac:dyDescent="0.2">
      <c r="A278" s="482">
        <f>VLOOKUP($A$265,$K$144:$Q$155,2,(FALSE))</f>
        <v>20.8</v>
      </c>
      <c r="B278" s="477">
        <f>VLOOKUP($A$265,$K$144:$Q$155,3,(FALSE))</f>
        <v>0.8</v>
      </c>
      <c r="C278" s="477" t="str">
        <f>VLOOKUP($A$265,$K$144:$Q$155,4,(FALSE))</f>
        <v>-</v>
      </c>
      <c r="D278" s="477">
        <f>VLOOKUP($A$265,$K$144:$Q$155,5,(FALSE))</f>
        <v>0</v>
      </c>
      <c r="E278" s="477">
        <f>VLOOKUP($A$265,$K$144:$Q$155,6,(FALSE))</f>
        <v>0</v>
      </c>
      <c r="F278" s="477">
        <f>VLOOKUP($A$265,$K$144:$Q$155,7,(FALSE))</f>
        <v>0.12272</v>
      </c>
      <c r="H278" s="241"/>
      <c r="I278" s="241"/>
      <c r="J278" s="241"/>
      <c r="K278" s="241"/>
      <c r="L278" s="116"/>
      <c r="M278" s="257"/>
      <c r="N278" s="257"/>
      <c r="O278" s="254"/>
    </row>
    <row r="279" spans="1:16" x14ac:dyDescent="0.2">
      <c r="A279" s="482">
        <f>VLOOKUP($A$265,$K$157:$Q$168,2,(FALSE))</f>
        <v>51.7</v>
      </c>
      <c r="B279" s="477">
        <f>VLOOKUP($A$265,$K$157:$Q$168,3,(FALSE))</f>
        <v>1.7</v>
      </c>
      <c r="C279" s="477" t="str">
        <f>VLOOKUP($A$265,$K$157:$Q$168,4,(FALSE))</f>
        <v>-</v>
      </c>
      <c r="D279" s="477">
        <f>VLOOKUP($A$265,$K$157:$Q$168,5,(FALSE))</f>
        <v>0</v>
      </c>
      <c r="E279" s="477">
        <f>VLOOKUP($A$265,$K$157:$Q$168,6,(FALSE))</f>
        <v>0</v>
      </c>
      <c r="F279" s="477">
        <f>VLOOKUP($A$265,$K$157:$Q$168,7,(FALSE))</f>
        <v>0.30503000000000002</v>
      </c>
      <c r="H279" s="241"/>
      <c r="I279" s="241"/>
      <c r="J279" s="241"/>
      <c r="K279" s="241"/>
      <c r="L279" s="116"/>
      <c r="M279" s="116"/>
      <c r="N279" s="116"/>
      <c r="O279" s="258"/>
    </row>
    <row r="280" spans="1:16" x14ac:dyDescent="0.2">
      <c r="A280" s="482">
        <f>VLOOKUP($A$265,$K$170:$Q$181,2,(FALSE))</f>
        <v>103.4</v>
      </c>
      <c r="B280" s="477">
        <f>VLOOKUP($A$265,$K$170:$Q$181,3,(FALSE))</f>
        <v>3.4</v>
      </c>
      <c r="C280" s="477" t="str">
        <f>VLOOKUP($A$265,$K$170:$Q$181,4,(FALSE))</f>
        <v>-</v>
      </c>
      <c r="D280" s="477">
        <f>VLOOKUP($A$265,$K$170:$Q$181,5,(FALSE))</f>
        <v>0</v>
      </c>
      <c r="E280" s="477">
        <f>VLOOKUP($A$265,$K$170:$Q$181,6,(FALSE))</f>
        <v>0</v>
      </c>
      <c r="F280" s="477">
        <f>VLOOKUP($A$265,$K$170:$Q$181,7,(FALSE))</f>
        <v>0.61006000000000005</v>
      </c>
      <c r="H280" s="241"/>
      <c r="I280" s="241"/>
      <c r="J280" s="241"/>
      <c r="K280" s="241"/>
      <c r="L280" s="116"/>
      <c r="M280" s="116"/>
      <c r="N280" s="116"/>
      <c r="O280" s="258"/>
    </row>
    <row r="281" spans="1:16" ht="16.5" customHeight="1" x14ac:dyDescent="0.2">
      <c r="A281" s="482">
        <f>VLOOKUP($A$265,$K$183:$Q$194,2,(FALSE))</f>
        <v>507.2</v>
      </c>
      <c r="B281" s="477">
        <f>VLOOKUP($A$265,$K$183:$Q$194,3,(FALSE))</f>
        <v>7.2</v>
      </c>
      <c r="C281" s="477" t="str">
        <f>VLOOKUP($A$265,$K$183:$Q$194,4,(FALSE))</f>
        <v>-</v>
      </c>
      <c r="D281" s="477">
        <f>VLOOKUP($A$265,$K$183:$Q$194,5,(FALSE))</f>
        <v>0</v>
      </c>
      <c r="E281" s="477">
        <f>VLOOKUP($A$265,$K$183:$Q$194,6,(FALSE))</f>
        <v>0</v>
      </c>
      <c r="F281" s="477">
        <f>VLOOKUP($A$265,$K$183:$Q$194,7,(FALSE))</f>
        <v>2.99248</v>
      </c>
      <c r="H281" s="1065"/>
      <c r="I281" s="1065"/>
      <c r="J281" s="1065"/>
      <c r="K281" s="1065"/>
      <c r="L281" s="116"/>
      <c r="M281" s="25"/>
      <c r="N281" s="25"/>
      <c r="O281" s="259"/>
      <c r="P281" s="260"/>
    </row>
    <row r="282" spans="1:16" x14ac:dyDescent="0.2">
      <c r="A282" s="482">
        <f>VLOOKUP($A$265,$K$196:$Q$207,2,(FALSE))</f>
        <v>920</v>
      </c>
      <c r="B282" s="477">
        <f>VLOOKUP($A$265,$K$196:$Q$207,3,(FALSE))</f>
        <v>9.9999999999999995E-7</v>
      </c>
      <c r="C282" s="477" t="str">
        <f>VLOOKUP($A$265,$K$196:$Q$207,4,(FALSE))</f>
        <v>-</v>
      </c>
      <c r="D282" s="477">
        <f>VLOOKUP($A$265,$K$196:$Q$207,5,(FALSE))</f>
        <v>0</v>
      </c>
      <c r="E282" s="477">
        <f>VLOOKUP($A$265,$K$196:$Q$207,6,(FALSE))</f>
        <v>0</v>
      </c>
      <c r="F282" s="477">
        <f>VLOOKUP($A$265,$K$196:$Q$207,7,(FALSE))</f>
        <v>2.99</v>
      </c>
      <c r="H282" s="241"/>
      <c r="I282" s="241"/>
      <c r="J282" s="241"/>
      <c r="K282" s="241"/>
      <c r="L282" s="116"/>
      <c r="M282" s="241"/>
      <c r="N282" s="241"/>
      <c r="O282" s="261"/>
      <c r="P282" s="262"/>
    </row>
    <row r="283" spans="1:16" x14ac:dyDescent="0.2">
      <c r="A283" s="1053" t="str">
        <f>B20</f>
        <v>Main-PE</v>
      </c>
      <c r="B283" s="1053"/>
      <c r="C283" s="1053"/>
      <c r="D283" s="1053"/>
      <c r="E283" s="478" t="s">
        <v>295</v>
      </c>
      <c r="F283" s="478" t="s">
        <v>224</v>
      </c>
      <c r="H283" s="241"/>
      <c r="I283" s="241"/>
      <c r="J283" s="241"/>
      <c r="K283" s="241"/>
      <c r="L283" s="116"/>
      <c r="M283" s="241"/>
      <c r="N283" s="241"/>
      <c r="O283" s="261"/>
      <c r="P283" s="262"/>
    </row>
    <row r="284" spans="1:16" ht="15" x14ac:dyDescent="0.2">
      <c r="A284" s="479" t="s">
        <v>300</v>
      </c>
      <c r="B284" s="478">
        <f>B276</f>
        <v>2020</v>
      </c>
      <c r="C284" s="478" t="str">
        <f>C276</f>
        <v>-</v>
      </c>
      <c r="D284" s="478">
        <f>D276</f>
        <v>2016</v>
      </c>
      <c r="E284" s="478"/>
      <c r="F284" s="478"/>
      <c r="H284" s="241"/>
      <c r="I284" s="241"/>
      <c r="J284" s="241"/>
      <c r="K284" s="241"/>
      <c r="L284" s="116"/>
      <c r="M284" s="241"/>
      <c r="N284" s="241"/>
      <c r="O284" s="261"/>
      <c r="P284" s="262"/>
    </row>
    <row r="285" spans="1:16" ht="15.75" customHeight="1" x14ac:dyDescent="0.2">
      <c r="A285" s="482">
        <f>VLOOKUP($A$265,$B$212:$H$223,2,(FALSE))</f>
        <v>10</v>
      </c>
      <c r="B285" s="477">
        <f>VLOOKUP($A$265,$B$212:$H$223,3,(FALSE))</f>
        <v>9.9999999999999995E-7</v>
      </c>
      <c r="C285" s="477" t="str">
        <f>VLOOKUP($A$265,$B$212:$H$223,4,(FALSE))</f>
        <v>-</v>
      </c>
      <c r="D285" s="477">
        <f>VLOOKUP($A$265,$B$212:$H$223,5,(FALSE))</f>
        <v>0</v>
      </c>
      <c r="E285" s="477">
        <f>VLOOKUP($A$265,$B$212:$H$223,6,(FALSE))</f>
        <v>0</v>
      </c>
      <c r="F285" s="477">
        <f>VLOOKUP($A$265,$B$212:$H$223,7,(FALSE))</f>
        <v>0</v>
      </c>
      <c r="H285" s="1052"/>
      <c r="I285" s="1052"/>
      <c r="J285" s="1052"/>
      <c r="K285" s="1052"/>
      <c r="L285" s="116"/>
      <c r="M285" s="116"/>
      <c r="N285" s="116"/>
      <c r="O285" s="258"/>
    </row>
    <row r="286" spans="1:16" x14ac:dyDescent="0.2">
      <c r="A286" s="482">
        <f>VLOOKUP($A$265,$B$225:$H$236,2,(FALSE))</f>
        <v>20</v>
      </c>
      <c r="B286" s="477">
        <f>VLOOKUP($A$265,$B$225:$H$236,3,(FALSE))</f>
        <v>9.9999999999999995E-7</v>
      </c>
      <c r="C286" s="477" t="str">
        <f>VLOOKUP($A$265,$B$225:$H$236,4,(FALSE))</f>
        <v>-</v>
      </c>
      <c r="D286" s="477">
        <f>VLOOKUP($A$265,$B$225:$H$236,5,(FALSE))</f>
        <v>0</v>
      </c>
      <c r="E286" s="477">
        <f>VLOOKUP($A$265,$B$225:$H$236,6,(FALSE))</f>
        <v>0</v>
      </c>
      <c r="F286" s="477">
        <f>VLOOKUP($A$265,$B$225:$H$236,7,(FALSE))</f>
        <v>0</v>
      </c>
      <c r="H286" s="263"/>
      <c r="I286" s="263"/>
      <c r="J286" s="263"/>
      <c r="K286" s="263"/>
      <c r="L286" s="116"/>
      <c r="M286" s="116"/>
      <c r="N286" s="116"/>
      <c r="O286" s="258"/>
    </row>
    <row r="287" spans="1:16" x14ac:dyDescent="0.2">
      <c r="A287" s="482">
        <f>VLOOKUP($A$265,$B$238:$H$249,2,(FALSE))</f>
        <v>50</v>
      </c>
      <c r="B287" s="477">
        <f>VLOOKUP($A$265,$B$238:$H$249,3,(FALSE))</f>
        <v>9.9999999999999995E-7</v>
      </c>
      <c r="C287" s="477" t="str">
        <f>VLOOKUP($A$265,$B$238:$H$249,4,(FALSE))</f>
        <v>-</v>
      </c>
      <c r="D287" s="477">
        <f>VLOOKUP($A$265,$B$238:$H$249,5,(FALSE))</f>
        <v>0</v>
      </c>
      <c r="E287" s="477">
        <f>VLOOKUP($A$265,$B$238:$H$249,6,(FALSE))</f>
        <v>0</v>
      </c>
      <c r="F287" s="477">
        <f>VLOOKUP($A$265,$B$238:$H$249,7,(FALSE))</f>
        <v>0</v>
      </c>
      <c r="H287" s="263"/>
      <c r="I287" s="263"/>
      <c r="J287" s="263"/>
      <c r="K287" s="263"/>
      <c r="L287" s="116"/>
      <c r="M287" s="116"/>
      <c r="N287" s="116"/>
      <c r="O287" s="258"/>
    </row>
    <row r="288" spans="1:16" x14ac:dyDescent="0.2">
      <c r="A288" s="482">
        <f>VLOOKUP($A$265,$B$251:$H$262,2,(FALSE))</f>
        <v>100</v>
      </c>
      <c r="B288" s="477">
        <f>VLOOKUP($A$265,$B$251:$H$262,3,(FALSE))</f>
        <v>9.9999999999999995E-7</v>
      </c>
      <c r="C288" s="477" t="str">
        <f>VLOOKUP($A$265,$B$251:$H$262,4,(FALSE))</f>
        <v>-</v>
      </c>
      <c r="D288" s="477">
        <f>VLOOKUP($A$265,$B$251:$H$262,5,(FALSE))</f>
        <v>0</v>
      </c>
      <c r="E288" s="477">
        <f>VLOOKUP($A$265,$B$251:$H$262,6,(FALSE))</f>
        <v>0</v>
      </c>
      <c r="F288" s="477">
        <f>VLOOKUP($A$265,$B$251:$H$262,7,(FALSE))</f>
        <v>0</v>
      </c>
      <c r="H288" s="263"/>
      <c r="I288" s="263"/>
      <c r="J288" s="263"/>
      <c r="K288" s="263"/>
      <c r="L288" s="116"/>
      <c r="M288" s="116"/>
      <c r="N288" s="116"/>
      <c r="O288" s="258"/>
    </row>
    <row r="289" spans="1:25" ht="15.75" customHeight="1" x14ac:dyDescent="0.2">
      <c r="A289" s="1053" t="str">
        <f>B26</f>
        <v>Resistance</v>
      </c>
      <c r="B289" s="1053"/>
      <c r="C289" s="1053"/>
      <c r="D289" s="1053"/>
      <c r="E289" s="478" t="s">
        <v>295</v>
      </c>
      <c r="F289" s="478" t="s">
        <v>224</v>
      </c>
      <c r="H289" s="1052"/>
      <c r="I289" s="1052"/>
      <c r="J289" s="1052"/>
      <c r="K289" s="1052"/>
      <c r="L289" s="116"/>
      <c r="M289" s="116"/>
      <c r="N289" s="116"/>
      <c r="O289" s="258"/>
    </row>
    <row r="290" spans="1:25" ht="15" x14ac:dyDescent="0.2">
      <c r="A290" s="479" t="s">
        <v>302</v>
      </c>
      <c r="B290" s="478">
        <f>B284</f>
        <v>2020</v>
      </c>
      <c r="C290" s="478" t="str">
        <f>C284</f>
        <v>-</v>
      </c>
      <c r="D290" s="478">
        <f>D284</f>
        <v>2016</v>
      </c>
      <c r="E290" s="478"/>
      <c r="F290" s="478"/>
      <c r="H290" s="263"/>
      <c r="I290" s="263"/>
      <c r="J290" s="263"/>
      <c r="K290" s="263"/>
      <c r="L290" s="116"/>
      <c r="M290" s="116"/>
      <c r="N290" s="116"/>
      <c r="O290" s="258"/>
    </row>
    <row r="291" spans="1:25" ht="15" x14ac:dyDescent="0.2">
      <c r="A291" s="480">
        <f>VLOOKUP($A$265,$K$212:$Q$223,2,(FALSE))</f>
        <v>1E-3</v>
      </c>
      <c r="B291" s="476">
        <f>VLOOKUP($A$265,$K$212:$Q$223,3,(FALSE))</f>
        <v>-1E-3</v>
      </c>
      <c r="C291" s="476" t="str">
        <f>VLOOKUP($A$265,$K$212:$Q$223,4,(FALSE))</f>
        <v>-</v>
      </c>
      <c r="D291" s="476">
        <f>VLOOKUP($A$265,$K$212:$Q$223,5,(FALSE))</f>
        <v>0</v>
      </c>
      <c r="E291" s="476">
        <f>VLOOKUP($A$265,$K$212:$Q$223,6,(FALSE))</f>
        <v>0</v>
      </c>
      <c r="F291" s="476">
        <f>VLOOKUP($A$265,$K$212:$Q$223,7,(FALSE))</f>
        <v>1.2E-5</v>
      </c>
      <c r="H291" s="263"/>
      <c r="I291" s="263"/>
      <c r="J291" s="263"/>
      <c r="K291" s="263"/>
      <c r="L291" s="116"/>
      <c r="M291" s="116"/>
      <c r="N291" s="116"/>
      <c r="O291" s="258"/>
    </row>
    <row r="292" spans="1:25" ht="15" x14ac:dyDescent="0.2">
      <c r="A292" s="480">
        <f>VLOOKUP($A$265,$K$225:$Q$236,2,(FALSE))</f>
        <v>0.10199999999999999</v>
      </c>
      <c r="B292" s="476">
        <f>VLOOKUP($A$265,$K$225:$Q$236,3,(FALSE))</f>
        <v>-2E-3</v>
      </c>
      <c r="C292" s="476" t="str">
        <f>VLOOKUP($A$265,$K$225:$Q$236,4,(FALSE))</f>
        <v>-</v>
      </c>
      <c r="D292" s="476">
        <f>VLOOKUP($A$265,$K$225:$Q$236,5,(FALSE))</f>
        <v>0</v>
      </c>
      <c r="E292" s="476">
        <f>VLOOKUP($A$265,$K$225:$Q$236,6,(FALSE))</f>
        <v>0</v>
      </c>
      <c r="F292" s="476">
        <f>VLOOKUP($A$265,$K$225:$Q$236,7,(FALSE))</f>
        <v>1.224E-3</v>
      </c>
      <c r="H292" s="263"/>
      <c r="I292" s="263"/>
      <c r="J292" s="263"/>
      <c r="K292" s="263"/>
      <c r="L292" s="116"/>
      <c r="M292" s="116"/>
      <c r="N292" s="116"/>
      <c r="O292" s="258"/>
    </row>
    <row r="293" spans="1:25" ht="15.75" customHeight="1" x14ac:dyDescent="0.2">
      <c r="A293" s="480">
        <f>VLOOKUP($A$265,$K$238:$Q$249,2,(FALSE))</f>
        <v>0.5</v>
      </c>
      <c r="B293" s="476">
        <f>VLOOKUP($A$265,$K$238:$Q$249,3,(FALSE))</f>
        <v>9.9999999999999995E-7</v>
      </c>
      <c r="C293" s="476" t="str">
        <f>VLOOKUP($A$265,$K$238:$Q$249,4,(FALSE))</f>
        <v>-</v>
      </c>
      <c r="D293" s="476">
        <f>VLOOKUP($A$265,$K$238:$Q$249,5,(FALSE))</f>
        <v>0</v>
      </c>
      <c r="E293" s="476">
        <f>VLOOKUP($A$265,$K$238:$Q$249,6,(FALSE))</f>
        <v>0</v>
      </c>
      <c r="F293" s="476">
        <f>VLOOKUP($A$265,$K$238:$Q$249,7,(FALSE))</f>
        <v>6.0000000000000001E-3</v>
      </c>
      <c r="H293" s="1052"/>
      <c r="I293" s="1052"/>
      <c r="J293" s="1052"/>
      <c r="K293" s="1052"/>
      <c r="L293" s="116"/>
      <c r="M293" s="116"/>
      <c r="N293" s="116"/>
      <c r="O293" s="258"/>
    </row>
    <row r="294" spans="1:25" ht="15" x14ac:dyDescent="0.2">
      <c r="A294" s="480">
        <f>VLOOKUP($A$265,$K$251:$Q$262,2,(FALSE))</f>
        <v>1</v>
      </c>
      <c r="B294" s="476">
        <f>VLOOKUP($A$265,$K$251:$Q$262,3,(FALSE))</f>
        <v>-1E-3</v>
      </c>
      <c r="C294" s="476" t="str">
        <f>VLOOKUP($A$265,$K$251:$Q$262,4,(FALSE))</f>
        <v>-</v>
      </c>
      <c r="D294" s="476">
        <f>VLOOKUP($A$265,$K$251:$Q$262,5,(FALSE))</f>
        <v>0</v>
      </c>
      <c r="E294" s="476">
        <f>VLOOKUP($A$265,$K$251:$Q$262,6,(FALSE))</f>
        <v>0</v>
      </c>
      <c r="F294" s="476">
        <f>VLOOKUP($A$265,$K$251:$Q$262,7,(FALSE))</f>
        <v>1.2E-2</v>
      </c>
      <c r="H294" s="263"/>
      <c r="I294" s="263"/>
      <c r="J294" s="263"/>
      <c r="K294" s="263"/>
      <c r="L294" s="116"/>
      <c r="M294" s="116"/>
      <c r="N294" s="116"/>
      <c r="O294" s="258"/>
    </row>
    <row r="297" spans="1:25" ht="13.5" thickBot="1" x14ac:dyDescent="0.25"/>
    <row r="298" spans="1:25" ht="15" thickBot="1" x14ac:dyDescent="0.25">
      <c r="A298" s="1054" t="str">
        <f>ID!B43</f>
        <v>Electrical Safety Analyzer, Merek : Fluke, Model : ESA 615, SN : 4670010</v>
      </c>
      <c r="B298" s="1055"/>
      <c r="C298" s="1055"/>
      <c r="D298" s="1055"/>
      <c r="E298" s="1055"/>
      <c r="F298" s="1055"/>
      <c r="G298" s="1055"/>
      <c r="H298" s="1055"/>
      <c r="I298" s="1055"/>
      <c r="J298" s="1055"/>
      <c r="K298" s="1055"/>
      <c r="L298" s="1055"/>
      <c r="N298" s="1056">
        <f>A311</f>
        <v>9</v>
      </c>
      <c r="O298" s="1057"/>
      <c r="P298" s="1057"/>
      <c r="Q298" s="1057"/>
      <c r="R298" s="1057"/>
      <c r="S298" s="1057"/>
      <c r="T298" s="1057"/>
      <c r="U298" s="1057"/>
      <c r="V298" s="1057"/>
      <c r="W298" s="1057"/>
      <c r="X298" s="1057"/>
      <c r="Y298" s="1058"/>
    </row>
    <row r="299" spans="1:25" ht="15" x14ac:dyDescent="0.25">
      <c r="A299" s="383" t="s">
        <v>109</v>
      </c>
      <c r="B299" s="384"/>
      <c r="C299" s="385"/>
      <c r="D299" s="386"/>
      <c r="E299" s="386"/>
      <c r="F299" s="386"/>
      <c r="G299" s="386"/>
      <c r="H299" s="386"/>
      <c r="I299" s="387">
        <f>C5</f>
        <v>2020</v>
      </c>
      <c r="J299" s="387">
        <f>D5</f>
        <v>2019</v>
      </c>
      <c r="K299" s="387">
        <f>E5</f>
        <v>2016</v>
      </c>
      <c r="L299" s="388">
        <v>1</v>
      </c>
      <c r="N299" s="380">
        <v>1</v>
      </c>
      <c r="O299" s="374" t="s">
        <v>329</v>
      </c>
      <c r="P299" s="381"/>
      <c r="Q299" s="381"/>
      <c r="R299" s="381"/>
      <c r="S299" s="381"/>
      <c r="T299" s="381"/>
      <c r="U299" s="381"/>
      <c r="V299" s="381"/>
      <c r="W299" s="381"/>
      <c r="X299" s="381"/>
      <c r="Y299" s="382"/>
    </row>
    <row r="300" spans="1:25" ht="15" x14ac:dyDescent="0.25">
      <c r="A300" s="264" t="s">
        <v>330</v>
      </c>
      <c r="B300" s="265"/>
      <c r="C300" s="266"/>
      <c r="D300" s="267"/>
      <c r="E300" s="267"/>
      <c r="F300" s="267"/>
      <c r="G300" s="267"/>
      <c r="H300" s="267"/>
      <c r="I300" s="268">
        <f>J5</f>
        <v>2019</v>
      </c>
      <c r="J300" s="268">
        <f>K5</f>
        <v>2017</v>
      </c>
      <c r="K300" s="268">
        <f>L5</f>
        <v>2016</v>
      </c>
      <c r="L300" s="269">
        <v>2</v>
      </c>
      <c r="N300" s="270">
        <v>2</v>
      </c>
      <c r="O300" s="271" t="s">
        <v>329</v>
      </c>
      <c r="P300" s="272"/>
      <c r="Q300" s="272"/>
      <c r="R300" s="272"/>
      <c r="S300" s="272"/>
      <c r="T300" s="272"/>
      <c r="U300" s="272"/>
      <c r="V300" s="272"/>
      <c r="W300" s="272"/>
      <c r="X300" s="272"/>
      <c r="Y300" s="273"/>
    </row>
    <row r="301" spans="1:25" ht="15" x14ac:dyDescent="0.25">
      <c r="A301" s="264" t="s">
        <v>331</v>
      </c>
      <c r="B301" s="265"/>
      <c r="C301" s="266"/>
      <c r="D301" s="267"/>
      <c r="E301" s="267"/>
      <c r="F301" s="267"/>
      <c r="G301" s="267"/>
      <c r="H301" s="267"/>
      <c r="I301" s="268">
        <f>Q5</f>
        <v>2022</v>
      </c>
      <c r="J301" s="268">
        <f>R5</f>
        <v>2021</v>
      </c>
      <c r="K301" s="268">
        <f>S5</f>
        <v>2018</v>
      </c>
      <c r="L301" s="269">
        <v>3</v>
      </c>
      <c r="N301" s="270">
        <v>3</v>
      </c>
      <c r="O301" s="271" t="s">
        <v>329</v>
      </c>
      <c r="P301" s="272"/>
      <c r="Q301" s="272"/>
      <c r="R301" s="272"/>
      <c r="S301" s="272"/>
      <c r="T301" s="272"/>
      <c r="U301" s="272"/>
      <c r="V301" s="272"/>
      <c r="W301" s="272"/>
      <c r="X301" s="272"/>
      <c r="Y301" s="273"/>
    </row>
    <row r="302" spans="1:25" ht="15" x14ac:dyDescent="0.25">
      <c r="A302" s="264" t="s">
        <v>332</v>
      </c>
      <c r="B302" s="265"/>
      <c r="C302" s="266"/>
      <c r="D302" s="267"/>
      <c r="E302" s="267"/>
      <c r="F302" s="267"/>
      <c r="G302" s="267"/>
      <c r="H302" s="267"/>
      <c r="I302" s="268">
        <f>C36</f>
        <v>2021</v>
      </c>
      <c r="J302" s="268">
        <f>D36</f>
        <v>2019</v>
      </c>
      <c r="K302" s="268">
        <f>E36</f>
        <v>2016</v>
      </c>
      <c r="L302" s="269">
        <v>4</v>
      </c>
      <c r="N302" s="270">
        <v>4</v>
      </c>
      <c r="O302" s="271" t="s">
        <v>329</v>
      </c>
      <c r="P302" s="272"/>
      <c r="Q302" s="272"/>
      <c r="R302" s="272"/>
      <c r="S302" s="272"/>
      <c r="T302" s="272"/>
      <c r="U302" s="272"/>
      <c r="V302" s="272"/>
      <c r="W302" s="272"/>
      <c r="X302" s="272"/>
      <c r="Y302" s="273"/>
    </row>
    <row r="303" spans="1:25" ht="15" x14ac:dyDescent="0.25">
      <c r="A303" s="264" t="s">
        <v>333</v>
      </c>
      <c r="B303" s="266"/>
      <c r="C303" s="266"/>
      <c r="D303" s="267"/>
      <c r="E303" s="267"/>
      <c r="F303" s="267"/>
      <c r="G303" s="267"/>
      <c r="H303" s="267"/>
      <c r="I303" s="268">
        <f>J36</f>
        <v>2021</v>
      </c>
      <c r="J303" s="268">
        <f>K36</f>
        <v>2019</v>
      </c>
      <c r="K303" s="268">
        <f>L36</f>
        <v>2016</v>
      </c>
      <c r="L303" s="269">
        <v>5</v>
      </c>
      <c r="N303" s="270">
        <v>5</v>
      </c>
      <c r="O303" s="271" t="s">
        <v>329</v>
      </c>
      <c r="P303" s="272"/>
      <c r="Q303" s="272"/>
      <c r="R303" s="272"/>
      <c r="S303" s="272"/>
      <c r="T303" s="272"/>
      <c r="U303" s="272"/>
      <c r="V303" s="272"/>
      <c r="W303" s="272"/>
      <c r="X303" s="272"/>
      <c r="Y303" s="273"/>
    </row>
    <row r="304" spans="1:25" ht="15" x14ac:dyDescent="0.25">
      <c r="A304" s="264" t="s">
        <v>334</v>
      </c>
      <c r="B304" s="266"/>
      <c r="C304" s="266"/>
      <c r="D304" s="267"/>
      <c r="E304" s="267"/>
      <c r="F304" s="267"/>
      <c r="G304" s="267"/>
      <c r="H304" s="267"/>
      <c r="I304" s="268">
        <f>Q36</f>
        <v>2019</v>
      </c>
      <c r="J304" s="268">
        <f>R36</f>
        <v>2018</v>
      </c>
      <c r="K304" s="268">
        <f>S36</f>
        <v>2016</v>
      </c>
      <c r="L304" s="269">
        <v>6</v>
      </c>
      <c r="N304" s="270">
        <v>6</v>
      </c>
      <c r="O304" s="271" t="s">
        <v>329</v>
      </c>
      <c r="P304" s="272"/>
      <c r="Q304" s="272"/>
      <c r="R304" s="272"/>
      <c r="S304" s="272"/>
      <c r="T304" s="272"/>
      <c r="U304" s="272"/>
      <c r="V304" s="272"/>
      <c r="W304" s="272"/>
      <c r="X304" s="272"/>
      <c r="Y304" s="273"/>
    </row>
    <row r="305" spans="1:25" ht="15" x14ac:dyDescent="0.25">
      <c r="A305" s="264" t="s">
        <v>335</v>
      </c>
      <c r="B305" s="266"/>
      <c r="C305" s="266"/>
      <c r="D305" s="267"/>
      <c r="E305" s="267"/>
      <c r="F305" s="267"/>
      <c r="G305" s="267"/>
      <c r="H305" s="267"/>
      <c r="I305" s="268">
        <f>C67</f>
        <v>2020</v>
      </c>
      <c r="J305" s="268">
        <f>D67</f>
        <v>2018</v>
      </c>
      <c r="K305" s="268">
        <f>E67</f>
        <v>2016</v>
      </c>
      <c r="L305" s="269">
        <v>7</v>
      </c>
      <c r="N305" s="270">
        <v>7</v>
      </c>
      <c r="O305" s="271" t="s">
        <v>329</v>
      </c>
      <c r="P305" s="272"/>
      <c r="Q305" s="272"/>
      <c r="R305" s="272"/>
      <c r="S305" s="272"/>
      <c r="T305" s="272"/>
      <c r="U305" s="272"/>
      <c r="V305" s="272"/>
      <c r="W305" s="272"/>
      <c r="X305" s="272"/>
      <c r="Y305" s="273"/>
    </row>
    <row r="306" spans="1:25" ht="15" x14ac:dyDescent="0.25">
      <c r="A306" s="264" t="s">
        <v>336</v>
      </c>
      <c r="B306" s="266"/>
      <c r="C306" s="266"/>
      <c r="D306" s="267"/>
      <c r="E306" s="267"/>
      <c r="F306" s="267"/>
      <c r="G306" s="267"/>
      <c r="H306" s="267"/>
      <c r="I306" s="268">
        <f>J67</f>
        <v>2022</v>
      </c>
      <c r="J306" s="268">
        <f>K67</f>
        <v>2020</v>
      </c>
      <c r="K306" s="268">
        <f>L67</f>
        <v>2016</v>
      </c>
      <c r="L306" s="269">
        <v>8</v>
      </c>
      <c r="N306" s="270">
        <v>8</v>
      </c>
      <c r="O306" s="271" t="s">
        <v>329</v>
      </c>
      <c r="P306" s="272"/>
      <c r="Q306" s="272"/>
      <c r="R306" s="272"/>
      <c r="S306" s="272"/>
      <c r="T306" s="272"/>
      <c r="U306" s="272"/>
      <c r="V306" s="272"/>
      <c r="W306" s="272"/>
      <c r="X306" s="272"/>
      <c r="Y306" s="273"/>
    </row>
    <row r="307" spans="1:25" ht="15" x14ac:dyDescent="0.25">
      <c r="A307" s="264" t="s">
        <v>337</v>
      </c>
      <c r="B307" s="266"/>
      <c r="C307" s="266"/>
      <c r="D307" s="267"/>
      <c r="E307" s="267"/>
      <c r="F307" s="267"/>
      <c r="G307" s="267"/>
      <c r="H307" s="267"/>
      <c r="I307" s="268">
        <f>Q67</f>
        <v>2020</v>
      </c>
      <c r="J307" s="268" t="str">
        <f>R67</f>
        <v>-</v>
      </c>
      <c r="K307" s="268">
        <f>S67</f>
        <v>2016</v>
      </c>
      <c r="L307" s="269">
        <v>9</v>
      </c>
      <c r="N307" s="270">
        <v>9</v>
      </c>
      <c r="O307" s="271" t="s">
        <v>329</v>
      </c>
      <c r="P307" s="272"/>
      <c r="Q307" s="272"/>
      <c r="R307" s="272"/>
      <c r="S307" s="272"/>
      <c r="T307" s="272"/>
      <c r="U307" s="272"/>
      <c r="V307" s="272"/>
      <c r="W307" s="272"/>
      <c r="X307" s="272"/>
      <c r="Y307" s="273"/>
    </row>
    <row r="308" spans="1:25" ht="15" x14ac:dyDescent="0.25">
      <c r="A308" s="264" t="s">
        <v>338</v>
      </c>
      <c r="B308" s="274"/>
      <c r="C308" s="274"/>
      <c r="D308" s="275"/>
      <c r="E308" s="275"/>
      <c r="F308" s="275"/>
      <c r="G308" s="275"/>
      <c r="H308" s="275"/>
      <c r="I308" s="268">
        <f>C98</f>
        <v>2021</v>
      </c>
      <c r="J308" s="268" t="str">
        <f>D98</f>
        <v>-</v>
      </c>
      <c r="K308" s="268">
        <f>E98</f>
        <v>2016</v>
      </c>
      <c r="L308" s="269">
        <v>10</v>
      </c>
      <c r="N308" s="270">
        <v>10</v>
      </c>
      <c r="O308" s="375" t="s">
        <v>329</v>
      </c>
      <c r="P308" s="375"/>
      <c r="Q308" s="375"/>
      <c r="R308" s="375"/>
      <c r="S308" s="375"/>
      <c r="T308" s="375"/>
      <c r="U308" s="375"/>
      <c r="V308" s="375"/>
      <c r="W308" s="375"/>
      <c r="X308" s="375"/>
      <c r="Y308" s="376"/>
    </row>
    <row r="309" spans="1:25" ht="15" x14ac:dyDescent="0.25">
      <c r="A309" s="264" t="s">
        <v>339</v>
      </c>
      <c r="B309" s="274"/>
      <c r="C309" s="274"/>
      <c r="D309" s="275"/>
      <c r="E309" s="275"/>
      <c r="F309" s="275"/>
      <c r="G309" s="275"/>
      <c r="H309" s="275"/>
      <c r="I309" s="268" t="str">
        <f>J98</f>
        <v>-</v>
      </c>
      <c r="J309" s="268" t="str">
        <f>K98</f>
        <v>-</v>
      </c>
      <c r="K309" s="268">
        <f>L98</f>
        <v>2016</v>
      </c>
      <c r="L309" s="269">
        <v>11</v>
      </c>
      <c r="N309" s="270">
        <v>11</v>
      </c>
      <c r="O309" s="375" t="s">
        <v>329</v>
      </c>
      <c r="P309" s="375"/>
      <c r="Q309" s="375"/>
      <c r="R309" s="375"/>
      <c r="S309" s="375"/>
      <c r="T309" s="375"/>
      <c r="U309" s="375"/>
      <c r="V309" s="375"/>
      <c r="W309" s="375"/>
      <c r="X309" s="375"/>
      <c r="Y309" s="376"/>
    </row>
    <row r="310" spans="1:25" ht="15.75" thickBot="1" x14ac:dyDescent="0.3">
      <c r="A310" s="389" t="s">
        <v>340</v>
      </c>
      <c r="B310" s="274"/>
      <c r="C310" s="274"/>
      <c r="D310" s="275"/>
      <c r="E310" s="275"/>
      <c r="F310" s="275"/>
      <c r="G310" s="275"/>
      <c r="H310" s="275"/>
      <c r="I310" s="390" t="str">
        <f>Q98</f>
        <v>-</v>
      </c>
      <c r="J310" s="390" t="str">
        <f>R98</f>
        <v>-</v>
      </c>
      <c r="K310" s="390">
        <f>S98</f>
        <v>2016</v>
      </c>
      <c r="L310" s="391">
        <v>12</v>
      </c>
      <c r="N310" s="377">
        <v>12</v>
      </c>
      <c r="O310" s="378" t="s">
        <v>329</v>
      </c>
      <c r="P310" s="378"/>
      <c r="Q310" s="378"/>
      <c r="R310" s="378"/>
      <c r="S310" s="378"/>
      <c r="T310" s="378"/>
      <c r="U310" s="378"/>
      <c r="V310" s="378"/>
      <c r="W310" s="378"/>
      <c r="X310" s="378"/>
      <c r="Y310" s="379"/>
    </row>
    <row r="311" spans="1:25" ht="13.5" thickBot="1" x14ac:dyDescent="0.25">
      <c r="A311" s="1049">
        <f>VLOOKUP(A298,A299:L310,12,(FALSE))</f>
        <v>9</v>
      </c>
      <c r="B311" s="1050"/>
      <c r="C311" s="1050"/>
      <c r="D311" s="1050"/>
      <c r="E311" s="1050"/>
      <c r="F311" s="1050"/>
      <c r="G311" s="1050"/>
      <c r="H311" s="1050"/>
      <c r="I311" s="1050"/>
      <c r="J311" s="1050"/>
      <c r="K311" s="1050"/>
      <c r="L311" s="1051"/>
      <c r="N311" s="276" t="str">
        <f>VLOOKUP(N298,N299:Y310,2,FALSE)</f>
        <v>Hasil pengukuran keselamatan listrik tertelusur ke Satuan Internasional ( SI ) melalui PT. Kaliman (LK-032-IDN)</v>
      </c>
      <c r="O311" s="277"/>
      <c r="P311" s="277"/>
      <c r="Q311" s="278"/>
      <c r="R311" s="278"/>
      <c r="S311" s="278"/>
      <c r="T311" s="278"/>
      <c r="U311" s="278"/>
      <c r="V311" s="278"/>
      <c r="W311" s="278"/>
      <c r="X311" s="278"/>
      <c r="Y311" s="279"/>
    </row>
  </sheetData>
  <sheetProtection formatCells="0" formatColumns="0" formatRows="0" insertColumns="0" insertRows="0" insertHyperlinks="0" deleteColumns="0" deleteRows="0" sort="0" autoFilter="0" pivotTables="0"/>
  <mergeCells count="240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A298:L298"/>
    <mergeCell ref="N298:Y298"/>
    <mergeCell ref="H271:J271"/>
    <mergeCell ref="H274:J274"/>
    <mergeCell ref="A275:D275"/>
    <mergeCell ref="H277:K277"/>
    <mergeCell ref="H281:K281"/>
    <mergeCell ref="A283:D28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0000"/>
  </sheetPr>
  <dimension ref="A1:AN162"/>
  <sheetViews>
    <sheetView view="pageBreakPreview" topLeftCell="AB90" zoomScale="83" zoomScaleNormal="80" zoomScaleSheetLayoutView="115" workbookViewId="0">
      <selection activeCell="AM103" sqref="AM103"/>
    </sheetView>
  </sheetViews>
  <sheetFormatPr defaultRowHeight="12.75" x14ac:dyDescent="0.2"/>
  <cols>
    <col min="1" max="1" width="9.28515625" customWidth="1"/>
    <col min="2" max="2" width="12.5703125" customWidth="1"/>
    <col min="3" max="3" width="9.85546875" customWidth="1"/>
    <col min="4" max="5" width="10" customWidth="1"/>
    <col min="6" max="6" width="11.5703125" customWidth="1"/>
    <col min="7" max="7" width="12.5703125" bestFit="1" customWidth="1"/>
    <col min="8" max="8" width="10.28515625" bestFit="1" customWidth="1"/>
    <col min="9" max="9" width="11.5703125" customWidth="1"/>
    <col min="10" max="10" width="11.42578125" customWidth="1"/>
    <col min="11" max="11" width="12.28515625" customWidth="1"/>
    <col min="13" max="13" width="11.7109375" bestFit="1" customWidth="1"/>
    <col min="14" max="14" width="11.42578125" customWidth="1"/>
    <col min="16" max="16" width="10.5703125" bestFit="1" customWidth="1"/>
    <col min="17" max="17" width="9.5703125" bestFit="1" customWidth="1"/>
    <col min="21" max="21" width="9.5703125" bestFit="1" customWidth="1"/>
    <col min="22" max="22" width="10.85546875" customWidth="1"/>
    <col min="23" max="23" width="11.140625" bestFit="1" customWidth="1"/>
    <col min="24" max="25" width="10.5703125" bestFit="1" customWidth="1"/>
    <col min="28" max="28" width="8.7109375" customWidth="1"/>
    <col min="29" max="29" width="11" bestFit="1" customWidth="1"/>
    <col min="30" max="31" width="10.5703125" bestFit="1" customWidth="1"/>
    <col min="33" max="33" width="8.85546875" customWidth="1"/>
    <col min="34" max="34" width="11.5703125" bestFit="1" customWidth="1"/>
    <col min="35" max="35" width="11" customWidth="1"/>
    <col min="36" max="37" width="11.5703125" bestFit="1" customWidth="1"/>
  </cols>
  <sheetData>
    <row r="1" spans="1:38" ht="16.5" thickBot="1" x14ac:dyDescent="0.25">
      <c r="A1" s="1100" t="s">
        <v>341</v>
      </c>
      <c r="B1" s="1101"/>
      <c r="C1" s="1101"/>
      <c r="D1" s="1101"/>
      <c r="E1" s="1101"/>
      <c r="F1" s="1102"/>
      <c r="G1" s="1101"/>
      <c r="H1" s="1101"/>
      <c r="I1" s="1101"/>
      <c r="J1" s="1101"/>
      <c r="K1" s="1101"/>
      <c r="L1" s="1102"/>
      <c r="M1" s="1101"/>
      <c r="N1" s="1101"/>
      <c r="O1" s="1101"/>
      <c r="P1" s="1101"/>
      <c r="Q1" s="1101"/>
      <c r="R1" s="1103"/>
      <c r="U1" s="1104" t="s">
        <v>342</v>
      </c>
      <c r="V1" s="1105"/>
      <c r="W1" s="1105"/>
      <c r="X1" s="1105"/>
      <c r="Y1" s="1105"/>
      <c r="Z1" s="1106"/>
      <c r="AA1" s="1105"/>
      <c r="AB1" s="1105"/>
      <c r="AC1" s="1105"/>
      <c r="AD1" s="1105"/>
      <c r="AE1" s="1105"/>
      <c r="AF1" s="1106"/>
      <c r="AG1" s="1105"/>
      <c r="AH1" s="1105"/>
      <c r="AI1" s="1105"/>
      <c r="AJ1" s="1105"/>
      <c r="AK1" s="1105"/>
      <c r="AL1" s="1107"/>
    </row>
    <row r="2" spans="1:38" ht="13.5" x14ac:dyDescent="0.2">
      <c r="A2" s="1108" t="s">
        <v>343</v>
      </c>
      <c r="B2" s="1108"/>
      <c r="C2" s="1108"/>
      <c r="D2" s="1112" t="s">
        <v>227</v>
      </c>
      <c r="E2" s="1109" t="s">
        <v>344</v>
      </c>
      <c r="F2" s="296"/>
      <c r="G2" s="1110" t="s">
        <v>345</v>
      </c>
      <c r="H2" s="1110"/>
      <c r="I2" s="1110"/>
      <c r="J2" s="1112" t="s">
        <v>227</v>
      </c>
      <c r="K2" s="1109" t="s">
        <v>344</v>
      </c>
      <c r="L2" s="298"/>
      <c r="M2" s="1108" t="s">
        <v>346</v>
      </c>
      <c r="N2" s="1108"/>
      <c r="O2" s="1108"/>
      <c r="P2" s="1114" t="s">
        <v>227</v>
      </c>
      <c r="Q2" s="1109" t="s">
        <v>344</v>
      </c>
      <c r="R2" s="349"/>
      <c r="U2" s="1111" t="s">
        <v>343</v>
      </c>
      <c r="V2" s="1111"/>
      <c r="W2" s="1111"/>
      <c r="X2" s="345" t="s">
        <v>227</v>
      </c>
      <c r="Y2" s="1109" t="s">
        <v>347</v>
      </c>
      <c r="Z2" s="296"/>
      <c r="AA2" s="1113" t="s">
        <v>345</v>
      </c>
      <c r="AB2" s="1113"/>
      <c r="AC2" s="1113"/>
      <c r="AD2" s="345" t="s">
        <v>227</v>
      </c>
      <c r="AE2" s="1109" t="s">
        <v>347</v>
      </c>
      <c r="AF2" s="298"/>
      <c r="AG2" s="1111" t="s">
        <v>346</v>
      </c>
      <c r="AH2" s="1111"/>
      <c r="AI2" s="1111"/>
      <c r="AJ2" s="345" t="s">
        <v>227</v>
      </c>
      <c r="AK2" s="1109" t="s">
        <v>347</v>
      </c>
      <c r="AL2" s="299"/>
    </row>
    <row r="3" spans="1:38" ht="25.5" x14ac:dyDescent="0.2">
      <c r="A3" s="409" t="s">
        <v>348</v>
      </c>
      <c r="B3" s="1112" t="s">
        <v>226</v>
      </c>
      <c r="C3" s="1112"/>
      <c r="D3" s="1112"/>
      <c r="E3" s="1109"/>
      <c r="F3" s="296"/>
      <c r="G3" s="409" t="s">
        <v>348</v>
      </c>
      <c r="H3" s="1112" t="s">
        <v>226</v>
      </c>
      <c r="I3" s="1112"/>
      <c r="J3" s="1112"/>
      <c r="K3" s="1109"/>
      <c r="L3" s="298"/>
      <c r="M3" s="409" t="s">
        <v>348</v>
      </c>
      <c r="N3" s="1112" t="s">
        <v>226</v>
      </c>
      <c r="O3" s="1112"/>
      <c r="P3" s="1115"/>
      <c r="Q3" s="1109"/>
      <c r="R3" s="349"/>
      <c r="U3" s="409" t="s">
        <v>349</v>
      </c>
      <c r="V3" s="1112" t="s">
        <v>226</v>
      </c>
      <c r="W3" s="1112"/>
      <c r="X3" s="345"/>
      <c r="Y3" s="1109"/>
      <c r="Z3" s="296"/>
      <c r="AA3" s="409" t="s">
        <v>349</v>
      </c>
      <c r="AB3" s="1112" t="s">
        <v>226</v>
      </c>
      <c r="AC3" s="1112"/>
      <c r="AD3" s="345"/>
      <c r="AE3" s="1109"/>
      <c r="AF3" s="298"/>
      <c r="AG3" s="409" t="s">
        <v>349</v>
      </c>
      <c r="AH3" s="1112" t="s">
        <v>226</v>
      </c>
      <c r="AI3" s="1112"/>
      <c r="AJ3" s="345"/>
      <c r="AK3" s="1109"/>
      <c r="AL3" s="299"/>
    </row>
    <row r="4" spans="1:38" ht="15" x14ac:dyDescent="0.2">
      <c r="A4" s="353" t="s">
        <v>350</v>
      </c>
      <c r="B4" s="416">
        <v>2018</v>
      </c>
      <c r="C4" s="416">
        <v>2015</v>
      </c>
      <c r="D4" s="1112"/>
      <c r="E4" s="1109"/>
      <c r="F4" s="296"/>
      <c r="G4" s="353" t="s">
        <v>350</v>
      </c>
      <c r="H4" s="411">
        <v>2020</v>
      </c>
      <c r="I4" s="411">
        <v>2017</v>
      </c>
      <c r="J4" s="1112"/>
      <c r="K4" s="1109"/>
      <c r="L4" s="298"/>
      <c r="M4" s="353" t="s">
        <v>350</v>
      </c>
      <c r="N4" s="411">
        <f>B4</f>
        <v>2018</v>
      </c>
      <c r="O4" s="419" t="s">
        <v>103</v>
      </c>
      <c r="P4" s="1116"/>
      <c r="Q4" s="1109"/>
      <c r="R4" s="349"/>
      <c r="U4" s="353" t="s">
        <v>150</v>
      </c>
      <c r="V4" s="302">
        <v>2018</v>
      </c>
      <c r="W4" s="302">
        <v>2015</v>
      </c>
      <c r="X4" s="345"/>
      <c r="Y4" s="1109"/>
      <c r="Z4" s="296"/>
      <c r="AA4" s="353" t="s">
        <v>150</v>
      </c>
      <c r="AB4" s="345">
        <v>2020</v>
      </c>
      <c r="AC4" s="345">
        <v>2017</v>
      </c>
      <c r="AD4" s="345"/>
      <c r="AE4" s="1109"/>
      <c r="AF4" s="298"/>
      <c r="AG4" s="353" t="s">
        <v>150</v>
      </c>
      <c r="AH4" s="345">
        <f>V4</f>
        <v>2018</v>
      </c>
      <c r="AI4" s="303" t="s">
        <v>103</v>
      </c>
      <c r="AJ4" s="345"/>
      <c r="AK4" s="1109"/>
      <c r="AL4" s="299"/>
    </row>
    <row r="5" spans="1:38" x14ac:dyDescent="0.2">
      <c r="A5" s="410">
        <v>9.9999999999999995E-7</v>
      </c>
      <c r="B5" s="412">
        <v>9.9999999999999995E-7</v>
      </c>
      <c r="C5" s="413" t="s">
        <v>103</v>
      </c>
      <c r="D5" s="404">
        <v>9.9999999999999995E-7</v>
      </c>
      <c r="E5" s="414">
        <v>1.9E-2</v>
      </c>
      <c r="F5" s="296"/>
      <c r="G5" s="410">
        <v>9.9999999999999995E-7</v>
      </c>
      <c r="H5" s="412">
        <v>9.9999999999999995E-7</v>
      </c>
      <c r="I5" s="412">
        <v>9.9999999999999995E-7</v>
      </c>
      <c r="J5" s="404">
        <v>9.9999999999999995E-7</v>
      </c>
      <c r="K5" s="414">
        <v>0.23142599999999999</v>
      </c>
      <c r="L5" s="298"/>
      <c r="M5" s="410">
        <v>9.9999999999999995E-7</v>
      </c>
      <c r="N5" s="412">
        <v>9.9999999999999995E-7</v>
      </c>
      <c r="O5" s="413" t="s">
        <v>103</v>
      </c>
      <c r="P5" s="404">
        <v>9.9999999999999995E-7</v>
      </c>
      <c r="Q5" s="414">
        <v>2.2852000000000001E-2</v>
      </c>
      <c r="R5" s="349"/>
      <c r="U5" s="914">
        <v>1.0000000000000001E-5</v>
      </c>
      <c r="V5" s="915">
        <v>1.0000000000000001E-5</v>
      </c>
      <c r="W5" s="915">
        <v>1.0000000000000001E-5</v>
      </c>
      <c r="X5" s="405">
        <v>9.9999999999999995E-7</v>
      </c>
      <c r="Y5" s="915">
        <v>0.10197100000000001</v>
      </c>
      <c r="Z5" s="296"/>
      <c r="AA5" s="410">
        <v>1.0000000000000001E-5</v>
      </c>
      <c r="AB5" s="916">
        <v>1.0000000000000001E-5</v>
      </c>
      <c r="AC5" s="916">
        <v>1.0000000000000001E-5</v>
      </c>
      <c r="AD5" s="916">
        <v>9.9999999999999995E-7</v>
      </c>
      <c r="AE5" s="915">
        <v>3.85E-2</v>
      </c>
      <c r="AF5" s="298"/>
      <c r="AG5" s="410">
        <v>1.0000000000000001E-5</v>
      </c>
      <c r="AH5" s="916">
        <v>1.0000000000000001E-5</v>
      </c>
      <c r="AI5" s="403" t="s">
        <v>103</v>
      </c>
      <c r="AJ5" s="916">
        <v>9.9999999999999995E-7</v>
      </c>
      <c r="AK5" s="915">
        <v>0.18240000000000001</v>
      </c>
      <c r="AL5" s="299"/>
    </row>
    <row r="6" spans="1:38" x14ac:dyDescent="0.2">
      <c r="A6" s="410">
        <v>10.02</v>
      </c>
      <c r="B6" s="412">
        <v>0.02</v>
      </c>
      <c r="C6" s="413" t="s">
        <v>103</v>
      </c>
      <c r="D6" s="405">
        <f>0.5*(MAX(B6:C6)-MIN(B6:C6))</f>
        <v>0</v>
      </c>
      <c r="E6" s="414">
        <v>1.9E-2</v>
      </c>
      <c r="F6" s="296"/>
      <c r="G6" s="410">
        <v>19.8</v>
      </c>
      <c r="H6" s="412">
        <v>-0.16</v>
      </c>
      <c r="I6" s="412">
        <v>-0.03</v>
      </c>
      <c r="J6" s="405">
        <f>0.5*(MAX(H6:I6)-MIN(H6:I6))</f>
        <v>6.5000000000000002E-2</v>
      </c>
      <c r="K6" s="414">
        <v>0.23142599999999999</v>
      </c>
      <c r="L6" s="298"/>
      <c r="M6" s="410">
        <v>1.97</v>
      </c>
      <c r="N6" s="412">
        <v>-0.01</v>
      </c>
      <c r="O6" s="414" t="s">
        <v>103</v>
      </c>
      <c r="P6" s="405">
        <f>0.5*(MAX(N6:O6)-MIN(N6:O6))</f>
        <v>0</v>
      </c>
      <c r="Q6" s="414">
        <v>2.2852000000000001E-2</v>
      </c>
      <c r="R6" s="349"/>
      <c r="U6" s="914">
        <v>50.856299999999997</v>
      </c>
      <c r="V6" s="915">
        <v>-3.0500000000000002E-3</v>
      </c>
      <c r="W6" s="915">
        <v>-8.9999999999999993E-3</v>
      </c>
      <c r="X6" s="915">
        <f>0.5*(MAX(V6:W6)-MIN(V6:W6))</f>
        <v>2.9749999999999993E-3</v>
      </c>
      <c r="Y6" s="915">
        <v>0.10197100000000001</v>
      </c>
      <c r="Z6" s="296"/>
      <c r="AA6" s="410">
        <v>76.570490432510496</v>
      </c>
      <c r="AB6" s="916">
        <v>9.1774459168010997E-2</v>
      </c>
      <c r="AC6" s="916">
        <v>1.0000000000000001E-5</v>
      </c>
      <c r="AD6" s="915">
        <f>0.5*(MAX(AB6:AC6)-MIN(AB6:AC6))</f>
        <v>4.58822295840055E-2</v>
      </c>
      <c r="AE6" s="915">
        <v>3.85E-2</v>
      </c>
      <c r="AF6" s="298"/>
      <c r="AG6" s="410">
        <v>76.499110297000001</v>
      </c>
      <c r="AH6" s="916">
        <v>2.0394320000000001E-2</v>
      </c>
      <c r="AI6" s="406" t="s">
        <v>103</v>
      </c>
      <c r="AJ6" s="915">
        <f>0.5*(MAX(AH6:AI6)-MIN(AH6:AI6))</f>
        <v>0</v>
      </c>
      <c r="AK6" s="915">
        <v>0.18240000000000001</v>
      </c>
      <c r="AL6" s="299"/>
    </row>
    <row r="7" spans="1:38" x14ac:dyDescent="0.2">
      <c r="A7" s="410">
        <v>19.96</v>
      </c>
      <c r="B7" s="412">
        <v>0.06</v>
      </c>
      <c r="C7" s="414" t="s">
        <v>103</v>
      </c>
      <c r="D7" s="405">
        <f>0.5*(MAX(B7:C7)-MIN(B7:C7))</f>
        <v>0</v>
      </c>
      <c r="E7" s="414">
        <v>1.9E-2</v>
      </c>
      <c r="F7" s="296"/>
      <c r="G7" s="410">
        <v>86.66</v>
      </c>
      <c r="H7" s="412">
        <v>-0.39</v>
      </c>
      <c r="I7" s="412">
        <v>-0.38</v>
      </c>
      <c r="J7" s="405">
        <f>0.5*(MAX(H7:I7)-MIN(H7:I7))</f>
        <v>5.0000000000000044E-3</v>
      </c>
      <c r="K7" s="414">
        <v>6.5861600000000006E-2</v>
      </c>
      <c r="L7" s="298"/>
      <c r="M7" s="410">
        <v>7.97</v>
      </c>
      <c r="N7" s="412">
        <v>0.02</v>
      </c>
      <c r="O7" s="414" t="s">
        <v>103</v>
      </c>
      <c r="P7" s="405">
        <f>0.5*(MAX(N7:O7)-MIN(N7:O7))</f>
        <v>0</v>
      </c>
      <c r="Q7" s="414">
        <v>9.2452000000000006E-2</v>
      </c>
      <c r="R7" s="349"/>
      <c r="U7" s="914">
        <v>101.706495</v>
      </c>
      <c r="V7" s="915">
        <v>1.0000000000000001E-5</v>
      </c>
      <c r="W7" s="915">
        <v>-6.0000000000000001E-3</v>
      </c>
      <c r="X7" s="915">
        <f>0.5*(MAX(V7:W7)-MIN(V7:W7))</f>
        <v>3.0049999999999999E-3</v>
      </c>
      <c r="Y7" s="915">
        <v>0.10197100000000001</v>
      </c>
      <c r="Z7" s="296"/>
      <c r="AA7" s="415">
        <v>152.94723478455501</v>
      </c>
      <c r="AB7" s="918">
        <v>-1.0197162129778999E-2</v>
      </c>
      <c r="AC7" s="917">
        <v>7.0999999999999994E-2</v>
      </c>
      <c r="AD7" s="915">
        <f t="shared" ref="AD7:AD10" si="0">0.5*(MAX(AB7:AC7)-MIN(AB7:AC7))</f>
        <v>4.0598581064889498E-2</v>
      </c>
      <c r="AE7" s="915">
        <v>7.6499999999999999E-2</v>
      </c>
      <c r="AF7" s="298"/>
      <c r="AG7" s="410">
        <v>152.92684</v>
      </c>
      <c r="AH7" s="916">
        <v>-3.0591E-2</v>
      </c>
      <c r="AI7" s="406" t="s">
        <v>103</v>
      </c>
      <c r="AJ7" s="915">
        <f>0.5*(MAX(AH7:AI7)-MIN(AH7:AI7))</f>
        <v>0</v>
      </c>
      <c r="AK7" s="915">
        <v>0.36720000000000003</v>
      </c>
      <c r="AL7" s="299"/>
    </row>
    <row r="8" spans="1:38" x14ac:dyDescent="0.2">
      <c r="A8" s="410">
        <v>30.1</v>
      </c>
      <c r="B8" s="412">
        <v>0.1</v>
      </c>
      <c r="C8" s="413" t="s">
        <v>103</v>
      </c>
      <c r="D8" s="405">
        <f t="shared" ref="D8:D10" si="1">0.5*(MAX(B8:C8)-MIN(B8:C8))</f>
        <v>0</v>
      </c>
      <c r="E8" s="414">
        <v>1.9E-2</v>
      </c>
      <c r="F8" s="296"/>
      <c r="G8" s="410">
        <v>154.82</v>
      </c>
      <c r="H8" s="412">
        <v>-0.66</v>
      </c>
      <c r="I8" s="412">
        <v>0.24</v>
      </c>
      <c r="J8" s="405">
        <f t="shared" ref="J8:J9" si="2">0.5*(MAX(H8:I8)-MIN(H8:I8))</f>
        <v>0.45</v>
      </c>
      <c r="K8" s="414">
        <v>1.1766319999999999</v>
      </c>
      <c r="L8" s="298"/>
      <c r="M8" s="410">
        <v>19.829999999999998</v>
      </c>
      <c r="N8" s="412">
        <v>0.09</v>
      </c>
      <c r="O8" s="413" t="s">
        <v>103</v>
      </c>
      <c r="P8" s="405">
        <f t="shared" ref="P8:P10" si="3">0.5*(MAX(N8:O8)-MIN(N8:O8))</f>
        <v>0</v>
      </c>
      <c r="Q8" s="414">
        <v>0.148725</v>
      </c>
      <c r="R8" s="349"/>
      <c r="U8" s="914">
        <v>152.55668299999999</v>
      </c>
      <c r="V8" s="915">
        <v>-7.1380000000000002E-3</v>
      </c>
      <c r="W8" s="915">
        <v>-3.0000000000000001E-3</v>
      </c>
      <c r="X8" s="915">
        <f t="shared" ref="X8:X10" si="4">0.5*(MAX(V8:W8)-MIN(V8:W8))</f>
        <v>2.0690000000000001E-3</v>
      </c>
      <c r="Y8" s="915">
        <v>0.10197100000000001</v>
      </c>
      <c r="Z8" s="296"/>
      <c r="AA8" s="415" t="s">
        <v>103</v>
      </c>
      <c r="AB8" s="403" t="s">
        <v>103</v>
      </c>
      <c r="AC8" s="403" t="s">
        <v>103</v>
      </c>
      <c r="AD8" s="915">
        <f t="shared" si="0"/>
        <v>0</v>
      </c>
      <c r="AE8" s="405" t="s">
        <v>103</v>
      </c>
      <c r="AF8" s="298"/>
      <c r="AG8" s="415" t="s">
        <v>103</v>
      </c>
      <c r="AH8" s="403" t="s">
        <v>103</v>
      </c>
      <c r="AI8" s="403" t="s">
        <v>103</v>
      </c>
      <c r="AJ8" s="915">
        <f t="shared" ref="AJ8:AJ10" si="5">0.5*(MAX(AH8:AI8)-MIN(AH8:AI8))</f>
        <v>0</v>
      </c>
      <c r="AK8" s="405" t="s">
        <v>103</v>
      </c>
      <c r="AL8" s="299"/>
    </row>
    <row r="9" spans="1:38" x14ac:dyDescent="0.2">
      <c r="A9" s="410">
        <v>51.11</v>
      </c>
      <c r="B9" s="412">
        <v>0.11</v>
      </c>
      <c r="C9" s="413">
        <v>0.31</v>
      </c>
      <c r="D9" s="405">
        <f t="shared" si="1"/>
        <v>0.1</v>
      </c>
      <c r="E9" s="414">
        <v>1.9E-2</v>
      </c>
      <c r="F9" s="296"/>
      <c r="G9" s="415">
        <v>245.23</v>
      </c>
      <c r="H9" s="413">
        <v>-1.3</v>
      </c>
      <c r="I9" s="413">
        <v>-1.78</v>
      </c>
      <c r="J9" s="405">
        <f t="shared" si="2"/>
        <v>0.24</v>
      </c>
      <c r="K9" s="414">
        <v>1.863748</v>
      </c>
      <c r="L9" s="298"/>
      <c r="M9" s="410">
        <v>50.7</v>
      </c>
      <c r="N9" s="412">
        <v>0.06</v>
      </c>
      <c r="O9" s="413" t="s">
        <v>103</v>
      </c>
      <c r="P9" s="405">
        <f t="shared" si="3"/>
        <v>0</v>
      </c>
      <c r="Q9" s="414">
        <v>0.38024999999999998</v>
      </c>
      <c r="R9" s="349"/>
      <c r="U9" s="914">
        <v>203.406871</v>
      </c>
      <c r="V9" s="915">
        <v>-4.0788600000000001E-3</v>
      </c>
      <c r="W9" s="915">
        <v>1.0000000000000001E-5</v>
      </c>
      <c r="X9" s="915">
        <f t="shared" si="4"/>
        <v>2.0444299999999999E-3</v>
      </c>
      <c r="Y9" s="915">
        <v>0.10197100000000001</v>
      </c>
      <c r="Z9" s="296"/>
      <c r="AA9" s="415" t="s">
        <v>103</v>
      </c>
      <c r="AB9" s="403" t="s">
        <v>103</v>
      </c>
      <c r="AC9" s="403" t="s">
        <v>103</v>
      </c>
      <c r="AD9" s="915">
        <f t="shared" si="0"/>
        <v>0</v>
      </c>
      <c r="AE9" s="405" t="s">
        <v>103</v>
      </c>
      <c r="AF9" s="298"/>
      <c r="AG9" s="415" t="s">
        <v>103</v>
      </c>
      <c r="AH9" s="403" t="s">
        <v>103</v>
      </c>
      <c r="AI9" s="403" t="s">
        <v>103</v>
      </c>
      <c r="AJ9" s="915">
        <f t="shared" si="5"/>
        <v>0</v>
      </c>
      <c r="AK9" s="405" t="s">
        <v>103</v>
      </c>
      <c r="AL9" s="299"/>
    </row>
    <row r="10" spans="1:38" x14ac:dyDescent="0.2">
      <c r="A10" s="410">
        <v>103.4</v>
      </c>
      <c r="B10" s="412">
        <v>0.11</v>
      </c>
      <c r="C10" s="413">
        <v>0.42</v>
      </c>
      <c r="D10" s="405">
        <f t="shared" si="1"/>
        <v>0.155</v>
      </c>
      <c r="E10" s="414">
        <v>1.9E-2</v>
      </c>
      <c r="F10" s="296"/>
      <c r="G10" s="415" t="s">
        <v>103</v>
      </c>
      <c r="H10" s="413" t="s">
        <v>103</v>
      </c>
      <c r="I10" s="413" t="s">
        <v>103</v>
      </c>
      <c r="J10" s="421" t="s">
        <v>103</v>
      </c>
      <c r="K10" s="413" t="s">
        <v>103</v>
      </c>
      <c r="L10" s="298"/>
      <c r="M10" s="410">
        <v>77.42</v>
      </c>
      <c r="N10" s="412">
        <v>0.23</v>
      </c>
      <c r="O10" s="413" t="s">
        <v>103</v>
      </c>
      <c r="P10" s="405">
        <f t="shared" si="3"/>
        <v>0</v>
      </c>
      <c r="Q10" s="414">
        <v>0.58065</v>
      </c>
      <c r="R10" s="349"/>
      <c r="U10" s="405" t="s">
        <v>103</v>
      </c>
      <c r="V10" s="405" t="s">
        <v>103</v>
      </c>
      <c r="W10" s="405" t="s">
        <v>103</v>
      </c>
      <c r="X10" s="405">
        <f t="shared" si="4"/>
        <v>0</v>
      </c>
      <c r="Y10" s="405" t="s">
        <v>103</v>
      </c>
      <c r="Z10" s="296"/>
      <c r="AA10" s="415" t="s">
        <v>103</v>
      </c>
      <c r="AB10" s="403" t="s">
        <v>103</v>
      </c>
      <c r="AC10" s="403" t="s">
        <v>103</v>
      </c>
      <c r="AD10" s="915">
        <f t="shared" si="0"/>
        <v>0</v>
      </c>
      <c r="AE10" s="405" t="s">
        <v>103</v>
      </c>
      <c r="AF10" s="298"/>
      <c r="AG10" s="415" t="s">
        <v>103</v>
      </c>
      <c r="AH10" s="403" t="s">
        <v>103</v>
      </c>
      <c r="AI10" s="403" t="s">
        <v>103</v>
      </c>
      <c r="AJ10" s="915">
        <f t="shared" si="5"/>
        <v>0</v>
      </c>
      <c r="AK10" s="405" t="s">
        <v>103</v>
      </c>
      <c r="AL10" s="299"/>
    </row>
    <row r="11" spans="1:38" ht="13.5" thickBot="1" x14ac:dyDescent="0.25">
      <c r="A11" s="313"/>
      <c r="G11" s="296"/>
      <c r="H11" s="296"/>
      <c r="I11" s="296"/>
      <c r="J11" s="296"/>
      <c r="K11" s="296"/>
      <c r="L11" s="298"/>
      <c r="M11" s="298"/>
      <c r="N11" s="296"/>
      <c r="O11" s="296"/>
      <c r="P11" s="296"/>
      <c r="Q11" s="314"/>
      <c r="R11" s="349"/>
      <c r="U11" s="313"/>
      <c r="AA11" s="296"/>
      <c r="AB11" s="296"/>
      <c r="AC11" s="296"/>
      <c r="AD11" s="296"/>
      <c r="AE11" s="296"/>
      <c r="AF11" s="298"/>
      <c r="AG11" s="298"/>
      <c r="AH11" s="296"/>
      <c r="AI11" s="296"/>
      <c r="AJ11" s="296"/>
      <c r="AK11" s="405"/>
      <c r="AL11" s="299"/>
    </row>
    <row r="12" spans="1:38" ht="13.5" x14ac:dyDescent="0.2">
      <c r="A12" s="1108" t="s">
        <v>351</v>
      </c>
      <c r="B12" s="1108"/>
      <c r="C12" s="1108"/>
      <c r="D12" s="1112" t="s">
        <v>227</v>
      </c>
      <c r="E12" s="1109" t="s">
        <v>344</v>
      </c>
      <c r="F12" s="296"/>
      <c r="G12" s="1110" t="s">
        <v>352</v>
      </c>
      <c r="H12" s="1110"/>
      <c r="I12" s="1110"/>
      <c r="J12" s="1112" t="s">
        <v>227</v>
      </c>
      <c r="K12" s="1109" t="s">
        <v>344</v>
      </c>
      <c r="L12" s="298"/>
      <c r="M12" s="1108" t="s">
        <v>353</v>
      </c>
      <c r="N12" s="1108"/>
      <c r="O12" s="1108"/>
      <c r="P12" s="1114" t="s">
        <v>227</v>
      </c>
      <c r="Q12" s="1109" t="s">
        <v>344</v>
      </c>
      <c r="R12" s="349"/>
      <c r="U12" s="1111" t="s">
        <v>351</v>
      </c>
      <c r="V12" s="1111"/>
      <c r="W12" s="1111"/>
      <c r="X12" s="345" t="s">
        <v>227</v>
      </c>
      <c r="Y12" s="1109" t="s">
        <v>347</v>
      </c>
      <c r="Z12" s="296"/>
      <c r="AA12" s="1113" t="s">
        <v>352</v>
      </c>
      <c r="AB12" s="1113"/>
      <c r="AC12" s="1113"/>
      <c r="AD12" s="345" t="s">
        <v>227</v>
      </c>
      <c r="AE12" s="1109" t="s">
        <v>347</v>
      </c>
      <c r="AF12" s="298"/>
      <c r="AG12" s="1123" t="s">
        <v>353</v>
      </c>
      <c r="AH12" s="1124"/>
      <c r="AI12" s="1124"/>
      <c r="AJ12" s="297" t="s">
        <v>227</v>
      </c>
      <c r="AK12" s="1117" t="s">
        <v>347</v>
      </c>
      <c r="AL12" s="299"/>
    </row>
    <row r="13" spans="1:38" ht="25.5" x14ac:dyDescent="0.2">
      <c r="A13" s="409" t="s">
        <v>348</v>
      </c>
      <c r="B13" s="1112" t="s">
        <v>226</v>
      </c>
      <c r="C13" s="1112"/>
      <c r="D13" s="1112"/>
      <c r="E13" s="1109"/>
      <c r="F13" s="296"/>
      <c r="G13" s="409" t="s">
        <v>348</v>
      </c>
      <c r="H13" s="1112" t="s">
        <v>226</v>
      </c>
      <c r="I13" s="1112"/>
      <c r="J13" s="1112"/>
      <c r="K13" s="1109"/>
      <c r="L13" s="298"/>
      <c r="M13" s="409" t="s">
        <v>348</v>
      </c>
      <c r="N13" s="1112" t="s">
        <v>226</v>
      </c>
      <c r="O13" s="1112"/>
      <c r="P13" s="1115"/>
      <c r="Q13" s="1109"/>
      <c r="R13" s="349"/>
      <c r="U13" s="409" t="s">
        <v>349</v>
      </c>
      <c r="V13" s="1112" t="s">
        <v>226</v>
      </c>
      <c r="W13" s="1112"/>
      <c r="X13" s="345"/>
      <c r="Y13" s="1109"/>
      <c r="Z13" s="296"/>
      <c r="AA13" s="409" t="s">
        <v>349</v>
      </c>
      <c r="AB13" s="1112" t="s">
        <v>226</v>
      </c>
      <c r="AC13" s="1112"/>
      <c r="AD13" s="345"/>
      <c r="AE13" s="1109"/>
      <c r="AF13" s="298"/>
      <c r="AG13" s="300" t="s">
        <v>349</v>
      </c>
      <c r="AH13" s="1112" t="s">
        <v>226</v>
      </c>
      <c r="AI13" s="1112"/>
      <c r="AJ13" s="345"/>
      <c r="AK13" s="1118"/>
      <c r="AL13" s="299"/>
    </row>
    <row r="14" spans="1:38" ht="15" x14ac:dyDescent="0.2">
      <c r="A14" s="353" t="s">
        <v>350</v>
      </c>
      <c r="B14" s="411">
        <v>2018</v>
      </c>
      <c r="C14" s="411">
        <v>2017</v>
      </c>
      <c r="D14" s="1112"/>
      <c r="E14" s="1109"/>
      <c r="F14" s="296"/>
      <c r="G14" s="353" t="s">
        <v>350</v>
      </c>
      <c r="H14" s="411">
        <f>B4</f>
        <v>2018</v>
      </c>
      <c r="I14" s="419" t="s">
        <v>103</v>
      </c>
      <c r="J14" s="1112"/>
      <c r="K14" s="1109"/>
      <c r="L14" s="298"/>
      <c r="M14" s="353" t="s">
        <v>350</v>
      </c>
      <c r="N14" s="411">
        <f>B4</f>
        <v>2018</v>
      </c>
      <c r="O14" s="419" t="s">
        <v>103</v>
      </c>
      <c r="P14" s="1116"/>
      <c r="Q14" s="1109"/>
      <c r="R14" s="349"/>
      <c r="U14" s="353" t="s">
        <v>150</v>
      </c>
      <c r="V14" s="345">
        <v>2018</v>
      </c>
      <c r="W14" s="345">
        <v>2017</v>
      </c>
      <c r="X14" s="345"/>
      <c r="Y14" s="1109"/>
      <c r="Z14" s="296"/>
      <c r="AA14" s="353" t="s">
        <v>150</v>
      </c>
      <c r="AB14" s="345">
        <f>V4</f>
        <v>2018</v>
      </c>
      <c r="AC14" s="303" t="s">
        <v>103</v>
      </c>
      <c r="AD14" s="345"/>
      <c r="AE14" s="1109"/>
      <c r="AF14" s="298"/>
      <c r="AG14" s="301" t="s">
        <v>150</v>
      </c>
      <c r="AH14" s="345">
        <f>V4</f>
        <v>2018</v>
      </c>
      <c r="AI14" s="303" t="s">
        <v>103</v>
      </c>
      <c r="AJ14" s="345"/>
      <c r="AK14" s="1118"/>
      <c r="AL14" s="299"/>
    </row>
    <row r="15" spans="1:38" x14ac:dyDescent="0.2">
      <c r="A15" s="410">
        <v>9.9999999999999995E-7</v>
      </c>
      <c r="B15" s="412">
        <v>9.9999999999999995E-7</v>
      </c>
      <c r="C15" s="412">
        <v>9.9999999999999995E-7</v>
      </c>
      <c r="D15" s="404">
        <v>9.9999999999999995E-7</v>
      </c>
      <c r="E15" s="414">
        <v>0.02</v>
      </c>
      <c r="F15" s="296"/>
      <c r="G15" s="410">
        <v>9.9999999999999995E-7</v>
      </c>
      <c r="H15" s="412">
        <v>9.9999999999999995E-7</v>
      </c>
      <c r="I15" s="413" t="s">
        <v>103</v>
      </c>
      <c r="J15" s="404">
        <v>9.9999999999999995E-7</v>
      </c>
      <c r="K15" s="414">
        <v>1.7000000000000001E-2</v>
      </c>
      <c r="L15" s="298"/>
      <c r="M15" s="410">
        <v>9.9999999999999995E-7</v>
      </c>
      <c r="N15" s="412">
        <v>9.9999999999999995E-7</v>
      </c>
      <c r="O15" s="413" t="s">
        <v>103</v>
      </c>
      <c r="P15" s="404">
        <v>9.9999999999999995E-7</v>
      </c>
      <c r="Q15" s="414">
        <v>2.3432000000000001E-2</v>
      </c>
      <c r="R15" s="349"/>
      <c r="U15" s="410">
        <v>1.0000000000000001E-5</v>
      </c>
      <c r="V15" s="916">
        <v>1.0000000000000001E-5</v>
      </c>
      <c r="W15" s="916">
        <v>1.0000000000000001E-5</v>
      </c>
      <c r="X15" s="916">
        <v>9.9999999999999995E-7</v>
      </c>
      <c r="Y15" s="915">
        <v>2.1752160421755198</v>
      </c>
      <c r="Z15" s="296"/>
      <c r="AA15" s="410">
        <v>1.0000000000000001E-5</v>
      </c>
      <c r="AB15" s="916">
        <v>1.0000000000000001E-5</v>
      </c>
      <c r="AC15" s="403" t="s">
        <v>103</v>
      </c>
      <c r="AD15" s="916">
        <v>9.9999999999999995E-7</v>
      </c>
      <c r="AE15" s="915">
        <v>0.27</v>
      </c>
      <c r="AF15" s="298"/>
      <c r="AG15" s="410">
        <v>1.0000000000000001E-5</v>
      </c>
      <c r="AH15" s="916">
        <v>1.0000000000000001E-5</v>
      </c>
      <c r="AI15" s="403" t="s">
        <v>103</v>
      </c>
      <c r="AJ15" s="916">
        <v>9.9999999999999995E-7</v>
      </c>
      <c r="AK15" s="915">
        <v>0.18240000000000001</v>
      </c>
      <c r="AL15" s="299"/>
    </row>
    <row r="16" spans="1:38" x14ac:dyDescent="0.2">
      <c r="A16" s="410">
        <v>101.63</v>
      </c>
      <c r="B16" s="412">
        <v>1.63</v>
      </c>
      <c r="C16" s="414">
        <v>1.64</v>
      </c>
      <c r="D16" s="405">
        <f>0.5*(MAX(B16:C16)-MIN(B16:C16))</f>
        <v>5.0000000000000044E-3</v>
      </c>
      <c r="E16" s="414">
        <v>0.02</v>
      </c>
      <c r="F16" s="296"/>
      <c r="G16" s="410">
        <v>50.52</v>
      </c>
      <c r="H16" s="412">
        <v>0.32</v>
      </c>
      <c r="I16" s="414" t="s">
        <v>103</v>
      </c>
      <c r="J16" s="405">
        <f>0.5*(MAX(H16:I16)-MIN(H16:I16))</f>
        <v>0</v>
      </c>
      <c r="K16" s="414">
        <v>1.7000000000000001E-2</v>
      </c>
      <c r="L16" s="298"/>
      <c r="M16" s="410">
        <v>2.02</v>
      </c>
      <c r="N16" s="412">
        <v>0.01</v>
      </c>
      <c r="O16" s="414" t="s">
        <v>103</v>
      </c>
      <c r="P16" s="405">
        <f>0.5*(MAX(N16:O16)-MIN(N16:O16))</f>
        <v>0</v>
      </c>
      <c r="Q16" s="414">
        <v>2.3432000000000001E-2</v>
      </c>
      <c r="R16" s="349"/>
      <c r="U16" s="410">
        <v>1752.75245</v>
      </c>
      <c r="V16" s="916">
        <v>-2.1092080000000002</v>
      </c>
      <c r="W16" s="917">
        <v>-2.1092</v>
      </c>
      <c r="X16" s="915">
        <f>0.5*(MAX(V16:W16)-MIN(V16:W16))</f>
        <v>4.0000000001150227E-6</v>
      </c>
      <c r="Y16" s="915">
        <v>2.1752160421755198</v>
      </c>
      <c r="Z16" s="296"/>
      <c r="AA16" s="410">
        <v>35.590134999999997</v>
      </c>
      <c r="AB16" s="916">
        <v>-2.0394300000000001E-3</v>
      </c>
      <c r="AC16" s="406" t="s">
        <v>103</v>
      </c>
      <c r="AD16" s="915">
        <f>0.5*(MAX(AB16:AC16)-MIN(AB16:AC16))</f>
        <v>0</v>
      </c>
      <c r="AE16" s="915">
        <v>0.27</v>
      </c>
      <c r="AF16" s="298"/>
      <c r="AG16" s="304">
        <v>76.478715969999996</v>
      </c>
      <c r="AH16" s="916">
        <v>1.0000000000000001E-5</v>
      </c>
      <c r="AI16" s="406" t="s">
        <v>103</v>
      </c>
      <c r="AJ16" s="915">
        <f>0.5*(MAX(AH16:AI16)-MIN(AH16:AI16))</f>
        <v>0</v>
      </c>
      <c r="AK16" s="915">
        <v>0.18240000000000001</v>
      </c>
      <c r="AL16" s="299"/>
    </row>
    <row r="17" spans="1:38" x14ac:dyDescent="0.2">
      <c r="A17" s="410">
        <v>202.58</v>
      </c>
      <c r="B17" s="412">
        <v>2.48</v>
      </c>
      <c r="C17" s="414">
        <v>2.66</v>
      </c>
      <c r="D17" s="405">
        <f>0.5*(MAX(B17:C17)-MIN(B17:C17))</f>
        <v>9.000000000000008E-2</v>
      </c>
      <c r="E17" s="414">
        <v>0.02</v>
      </c>
      <c r="F17" s="296"/>
      <c r="G17" s="410">
        <v>100</v>
      </c>
      <c r="H17" s="412">
        <v>0.5</v>
      </c>
      <c r="I17" s="414" t="s">
        <v>103</v>
      </c>
      <c r="J17" s="405">
        <f>0.5*(MAX(H17:I17)-MIN(H17:I17))</f>
        <v>0</v>
      </c>
      <c r="K17" s="414">
        <v>1.7000000000000001E-2</v>
      </c>
      <c r="L17" s="298"/>
      <c r="M17" s="410">
        <v>8.14</v>
      </c>
      <c r="N17" s="412">
        <v>0.05</v>
      </c>
      <c r="O17" s="414" t="s">
        <v>103</v>
      </c>
      <c r="P17" s="405">
        <f>0.5*(MAX(N17:O17)-MIN(N17:O17))</f>
        <v>0</v>
      </c>
      <c r="Q17" s="414">
        <v>9.4423999999999994E-2</v>
      </c>
      <c r="R17" s="349"/>
      <c r="U17" s="410">
        <v>3505.5048999999999</v>
      </c>
      <c r="V17" s="916">
        <v>-4.2184169999999996</v>
      </c>
      <c r="W17" s="917">
        <v>-4.2184100000000004</v>
      </c>
      <c r="X17" s="915">
        <f>0.5*(MAX(V17:W17)-MIN(V17:W17))</f>
        <v>3.4999999996010445E-6</v>
      </c>
      <c r="Y17" s="915">
        <v>2.1752160421755198</v>
      </c>
      <c r="Z17" s="296"/>
      <c r="AA17" s="410">
        <v>76.267634000000001</v>
      </c>
      <c r="AB17" s="916">
        <v>7.1380000000000002E-3</v>
      </c>
      <c r="AC17" s="406" t="s">
        <v>103</v>
      </c>
      <c r="AD17" s="915">
        <f>0.5*(MAX(AB17:AC17)-MIN(AB17:AC17))</f>
        <v>0</v>
      </c>
      <c r="AE17" s="915">
        <v>0.56999999999999995</v>
      </c>
      <c r="AF17" s="298"/>
      <c r="AG17" s="304">
        <v>152.95743100000001</v>
      </c>
      <c r="AH17" s="916">
        <v>1.0000000000000001E-5</v>
      </c>
      <c r="AI17" s="406" t="s">
        <v>103</v>
      </c>
      <c r="AJ17" s="915">
        <f>0.5*(MAX(AH17:AI17)-MIN(AH17:AI17))</f>
        <v>0</v>
      </c>
      <c r="AK17" s="915">
        <v>0.36720000000000003</v>
      </c>
      <c r="AL17" s="299"/>
    </row>
    <row r="18" spans="1:38" x14ac:dyDescent="0.2">
      <c r="A18" s="410">
        <v>302.32</v>
      </c>
      <c r="B18" s="412">
        <v>3.32</v>
      </c>
      <c r="C18" s="413">
        <v>3.24</v>
      </c>
      <c r="D18" s="405">
        <f t="shared" ref="D18:D20" si="6">0.5*(MAX(B18:C18)-MIN(B18:C18))</f>
        <v>3.9999999999999813E-2</v>
      </c>
      <c r="E18" s="414">
        <v>0.02</v>
      </c>
      <c r="F18" s="296"/>
      <c r="G18" s="410">
        <v>150.59</v>
      </c>
      <c r="H18" s="412">
        <v>0.49</v>
      </c>
      <c r="I18" s="413" t="s">
        <v>103</v>
      </c>
      <c r="J18" s="405">
        <f t="shared" ref="J18:J20" si="7">0.5*(MAX(H18:I18)-MIN(H18:I18))</f>
        <v>0</v>
      </c>
      <c r="K18" s="414">
        <v>1.7000000000000001E-2</v>
      </c>
      <c r="L18" s="298"/>
      <c r="M18" s="410">
        <v>19.71</v>
      </c>
      <c r="N18" s="412">
        <v>0.18</v>
      </c>
      <c r="O18" s="413" t="s">
        <v>103</v>
      </c>
      <c r="P18" s="405">
        <f t="shared" ref="P18:P20" si="8">0.5*(MAX(N18:O18)-MIN(N18:O18))</f>
        <v>0</v>
      </c>
      <c r="Q18" s="414">
        <v>0.14782500000000001</v>
      </c>
      <c r="R18" s="349"/>
      <c r="U18" s="410">
        <v>5258.2573700000003</v>
      </c>
      <c r="V18" s="916">
        <v>-6.3276262000000001</v>
      </c>
      <c r="W18" s="918">
        <v>-6.3276260000000004</v>
      </c>
      <c r="X18" s="915">
        <f t="shared" ref="X18:X20" si="9">0.5*(MAX(V18:W18)-MIN(V18:W18))</f>
        <v>9.9999999836342113E-8</v>
      </c>
      <c r="Y18" s="915">
        <v>2.1752160421755198</v>
      </c>
      <c r="Z18" s="296"/>
      <c r="AA18" s="410">
        <v>111.864907</v>
      </c>
      <c r="AB18" s="916">
        <v>8.1577000000000004E-3</v>
      </c>
      <c r="AC18" s="403" t="s">
        <v>103</v>
      </c>
      <c r="AD18" s="915">
        <f t="shared" ref="AD18:AD20" si="10">0.5*(MAX(AB18:AC18)-MIN(AB18:AC18))</f>
        <v>0</v>
      </c>
      <c r="AE18" s="915">
        <v>0.84</v>
      </c>
      <c r="AF18" s="298"/>
      <c r="AG18" s="308" t="s">
        <v>103</v>
      </c>
      <c r="AH18" s="403" t="s">
        <v>103</v>
      </c>
      <c r="AI18" s="403" t="s">
        <v>103</v>
      </c>
      <c r="AJ18" s="915">
        <f t="shared" ref="AJ18:AJ20" si="11">0.5*(MAX(AH18:AI18)-MIN(AH18:AI18))</f>
        <v>0</v>
      </c>
      <c r="AK18" s="405" t="s">
        <v>103</v>
      </c>
      <c r="AL18" s="299"/>
    </row>
    <row r="19" spans="1:38" x14ac:dyDescent="0.2">
      <c r="A19" s="415" t="s">
        <v>103</v>
      </c>
      <c r="B19" s="413" t="s">
        <v>103</v>
      </c>
      <c r="C19" s="413" t="s">
        <v>103</v>
      </c>
      <c r="D19" s="405">
        <f t="shared" si="6"/>
        <v>0</v>
      </c>
      <c r="E19" s="414">
        <v>0.02</v>
      </c>
      <c r="F19" s="296"/>
      <c r="G19" s="410">
        <v>200.82</v>
      </c>
      <c r="H19" s="412">
        <v>0.52</v>
      </c>
      <c r="I19" s="413" t="s">
        <v>103</v>
      </c>
      <c r="J19" s="405">
        <f t="shared" si="7"/>
        <v>0</v>
      </c>
      <c r="K19" s="414">
        <v>1.7000000000000001E-2</v>
      </c>
      <c r="L19" s="298"/>
      <c r="M19" s="410">
        <v>50.06</v>
      </c>
      <c r="N19" s="412">
        <v>-0.28000000000000003</v>
      </c>
      <c r="O19" s="413" t="s">
        <v>103</v>
      </c>
      <c r="P19" s="405">
        <f t="shared" si="8"/>
        <v>0</v>
      </c>
      <c r="Q19" s="414">
        <v>0.37545000000000001</v>
      </c>
      <c r="R19" s="349"/>
      <c r="U19" s="415">
        <v>7011.00983</v>
      </c>
      <c r="V19" s="918">
        <v>-1.4061391000000001</v>
      </c>
      <c r="W19" s="918">
        <v>-1.406139</v>
      </c>
      <c r="X19" s="915">
        <f t="shared" si="9"/>
        <v>5.0000000029193359E-8</v>
      </c>
      <c r="Y19" s="915">
        <v>2.1752160421755198</v>
      </c>
      <c r="Z19" s="296"/>
      <c r="AA19" s="410">
        <v>152.5444468</v>
      </c>
      <c r="AB19" s="916">
        <v>5.0985809999999996E-3</v>
      </c>
      <c r="AC19" s="403" t="s">
        <v>103</v>
      </c>
      <c r="AD19" s="915">
        <f t="shared" si="10"/>
        <v>0</v>
      </c>
      <c r="AE19" s="915">
        <v>1.1475</v>
      </c>
      <c r="AF19" s="298"/>
      <c r="AG19" s="308" t="s">
        <v>103</v>
      </c>
      <c r="AH19" s="403" t="s">
        <v>103</v>
      </c>
      <c r="AI19" s="403" t="s">
        <v>103</v>
      </c>
      <c r="AJ19" s="915">
        <f t="shared" si="11"/>
        <v>0</v>
      </c>
      <c r="AK19" s="405" t="s">
        <v>103</v>
      </c>
      <c r="AL19" s="299"/>
    </row>
    <row r="20" spans="1:38" ht="13.5" thickBot="1" x14ac:dyDescent="0.25">
      <c r="A20" s="415" t="s">
        <v>103</v>
      </c>
      <c r="B20" s="413" t="s">
        <v>103</v>
      </c>
      <c r="C20" s="413" t="s">
        <v>103</v>
      </c>
      <c r="D20" s="405">
        <f t="shared" si="6"/>
        <v>0</v>
      </c>
      <c r="E20" s="414">
        <v>0.02</v>
      </c>
      <c r="F20" s="296"/>
      <c r="G20" s="410">
        <v>251.02</v>
      </c>
      <c r="H20" s="412">
        <v>0.62</v>
      </c>
      <c r="I20" s="413" t="s">
        <v>103</v>
      </c>
      <c r="J20" s="405">
        <f t="shared" si="7"/>
        <v>0</v>
      </c>
      <c r="K20" s="414">
        <v>1.7000000000000001E-2</v>
      </c>
      <c r="L20" s="298"/>
      <c r="M20" s="410">
        <v>80.13</v>
      </c>
      <c r="N20" s="412">
        <v>0.39</v>
      </c>
      <c r="O20" s="413" t="s">
        <v>103</v>
      </c>
      <c r="P20" s="405">
        <f t="shared" si="8"/>
        <v>0</v>
      </c>
      <c r="Q20" s="414">
        <v>0.60097500000000004</v>
      </c>
      <c r="R20" s="349"/>
      <c r="U20" s="415" t="s">
        <v>103</v>
      </c>
      <c r="V20" s="403" t="s">
        <v>103</v>
      </c>
      <c r="W20" s="403" t="s">
        <v>103</v>
      </c>
      <c r="X20" s="915">
        <f t="shared" si="9"/>
        <v>0</v>
      </c>
      <c r="Y20" s="405" t="s">
        <v>103</v>
      </c>
      <c r="Z20" s="296"/>
      <c r="AA20" s="415" t="s">
        <v>103</v>
      </c>
      <c r="AB20" s="403" t="s">
        <v>103</v>
      </c>
      <c r="AC20" s="403" t="s">
        <v>103</v>
      </c>
      <c r="AD20" s="915">
        <f t="shared" si="10"/>
        <v>0</v>
      </c>
      <c r="AE20" s="405" t="s">
        <v>103</v>
      </c>
      <c r="AF20" s="298"/>
      <c r="AG20" s="310" t="s">
        <v>103</v>
      </c>
      <c r="AH20" s="407" t="s">
        <v>103</v>
      </c>
      <c r="AI20" s="407" t="s">
        <v>103</v>
      </c>
      <c r="AJ20" s="919">
        <f t="shared" si="11"/>
        <v>0</v>
      </c>
      <c r="AK20" s="405" t="s">
        <v>103</v>
      </c>
      <c r="AL20" s="299"/>
    </row>
    <row r="21" spans="1:38" ht="13.5" thickBot="1" x14ac:dyDescent="0.25">
      <c r="A21" s="350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422"/>
      <c r="N21" s="422"/>
      <c r="O21" s="422"/>
      <c r="P21" s="422"/>
      <c r="Q21" s="423"/>
      <c r="R21" s="349"/>
      <c r="U21" s="315"/>
      <c r="V21" s="316"/>
      <c r="W21" s="316"/>
      <c r="X21" s="316"/>
      <c r="Y21" s="316"/>
      <c r="Z21" s="316"/>
      <c r="AA21" s="316"/>
      <c r="AB21" s="316"/>
      <c r="AC21" s="316"/>
      <c r="AD21" s="316"/>
      <c r="AE21" s="316"/>
      <c r="AF21" s="316"/>
      <c r="AG21" s="317"/>
      <c r="AH21" s="317"/>
      <c r="AI21" s="317"/>
      <c r="AJ21" s="317"/>
      <c r="AK21" s="318"/>
      <c r="AL21" s="299"/>
    </row>
    <row r="22" spans="1:38" ht="14.25" thickBot="1" x14ac:dyDescent="0.25">
      <c r="A22" s="319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352"/>
      <c r="M22" s="1108" t="s">
        <v>354</v>
      </c>
      <c r="N22" s="1108"/>
      <c r="O22" s="1108"/>
      <c r="P22" s="1114" t="s">
        <v>227</v>
      </c>
      <c r="Q22" s="1109" t="s">
        <v>344</v>
      </c>
      <c r="R22" s="349"/>
      <c r="U22" s="319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320"/>
      <c r="AG22" s="1123" t="s">
        <v>354</v>
      </c>
      <c r="AH22" s="1124"/>
      <c r="AI22" s="1124"/>
      <c r="AJ22" s="297" t="s">
        <v>227</v>
      </c>
      <c r="AK22" s="1117" t="s">
        <v>347</v>
      </c>
      <c r="AL22" s="299"/>
    </row>
    <row r="23" spans="1:38" ht="25.5" customHeight="1" x14ac:dyDescent="0.2">
      <c r="A23" s="1119" t="s">
        <v>40</v>
      </c>
      <c r="B23" s="1120" t="s">
        <v>250</v>
      </c>
      <c r="C23" s="1121" t="s">
        <v>348</v>
      </c>
      <c r="D23" s="1122" t="s">
        <v>226</v>
      </c>
      <c r="E23" s="1122"/>
      <c r="F23" s="544" t="s">
        <v>227</v>
      </c>
      <c r="G23" s="1121" t="s">
        <v>347</v>
      </c>
      <c r="H23" s="296"/>
      <c r="I23" s="296"/>
      <c r="J23" s="296"/>
      <c r="K23" s="296"/>
      <c r="L23" s="352"/>
      <c r="M23" s="409" t="s">
        <v>348</v>
      </c>
      <c r="N23" s="1112" t="s">
        <v>226</v>
      </c>
      <c r="O23" s="1112"/>
      <c r="P23" s="1115"/>
      <c r="Q23" s="1109"/>
      <c r="R23" s="349"/>
      <c r="U23" s="1125" t="s">
        <v>40</v>
      </c>
      <c r="V23" s="1127" t="s">
        <v>250</v>
      </c>
      <c r="W23" s="1129" t="s">
        <v>355</v>
      </c>
      <c r="X23" s="1131" t="s">
        <v>226</v>
      </c>
      <c r="Y23" s="1132"/>
      <c r="Z23" s="321" t="s">
        <v>227</v>
      </c>
      <c r="AA23" s="1135" t="s">
        <v>347</v>
      </c>
      <c r="AB23" s="296"/>
      <c r="AC23" s="296"/>
      <c r="AD23" s="296"/>
      <c r="AE23" s="296"/>
      <c r="AF23" s="320"/>
      <c r="AG23" s="300" t="s">
        <v>349</v>
      </c>
      <c r="AH23" s="1112" t="s">
        <v>226</v>
      </c>
      <c r="AI23" s="1112"/>
      <c r="AJ23" s="345"/>
      <c r="AK23" s="1118"/>
      <c r="AL23" s="299"/>
    </row>
    <row r="24" spans="1:38" ht="15" x14ac:dyDescent="0.2">
      <c r="A24" s="1119"/>
      <c r="B24" s="1120"/>
      <c r="C24" s="1121"/>
      <c r="D24" s="1122"/>
      <c r="E24" s="1122"/>
      <c r="F24" s="544"/>
      <c r="G24" s="1121"/>
      <c r="H24" s="296"/>
      <c r="I24" s="296"/>
      <c r="J24" s="296"/>
      <c r="K24" s="296"/>
      <c r="L24" s="352"/>
      <c r="M24" s="353" t="s">
        <v>350</v>
      </c>
      <c r="N24" s="411">
        <v>2019</v>
      </c>
      <c r="O24" s="419" t="s">
        <v>103</v>
      </c>
      <c r="P24" s="1116"/>
      <c r="Q24" s="1109"/>
      <c r="R24" s="349"/>
      <c r="U24" s="1126"/>
      <c r="V24" s="1128"/>
      <c r="W24" s="1130"/>
      <c r="X24" s="1133"/>
      <c r="Y24" s="1134"/>
      <c r="Z24" s="322"/>
      <c r="AA24" s="1136"/>
      <c r="AB24" s="296"/>
      <c r="AC24" s="296"/>
      <c r="AD24" s="296"/>
      <c r="AE24" s="296"/>
      <c r="AF24" s="320"/>
      <c r="AG24" s="301" t="s">
        <v>150</v>
      </c>
      <c r="AH24" s="345">
        <v>2019</v>
      </c>
      <c r="AI24" s="303" t="s">
        <v>103</v>
      </c>
      <c r="AJ24" s="345"/>
      <c r="AK24" s="1118"/>
      <c r="AL24" s="299"/>
    </row>
    <row r="25" spans="1:38" ht="15" x14ac:dyDescent="0.2">
      <c r="A25" s="1119"/>
      <c r="B25" s="1120"/>
      <c r="C25" s="545" t="s">
        <v>350</v>
      </c>
      <c r="D25" s="544"/>
      <c r="E25" s="544"/>
      <c r="F25" s="544"/>
      <c r="G25" s="1121"/>
      <c r="H25" s="296"/>
      <c r="I25" s="296"/>
      <c r="J25" s="296"/>
      <c r="K25" s="296"/>
      <c r="L25" s="352"/>
      <c r="M25" s="410">
        <v>9.9999999999999995E-7</v>
      </c>
      <c r="N25" s="412">
        <v>9.9999999999999995E-7</v>
      </c>
      <c r="O25" s="413" t="s">
        <v>103</v>
      </c>
      <c r="P25" s="404">
        <v>9.9999999999999995E-7</v>
      </c>
      <c r="Q25" s="414">
        <v>0.1482</v>
      </c>
      <c r="R25" s="349"/>
      <c r="U25" s="1126"/>
      <c r="V25" s="1128"/>
      <c r="W25" s="323" t="s">
        <v>150</v>
      </c>
      <c r="X25" s="324"/>
      <c r="Y25" s="324"/>
      <c r="Z25" s="322"/>
      <c r="AA25" s="1136"/>
      <c r="AB25" s="296"/>
      <c r="AC25" s="296"/>
      <c r="AD25" s="296"/>
      <c r="AE25" s="296"/>
      <c r="AF25" s="320"/>
      <c r="AG25" s="410">
        <v>1.0000000000000001E-5</v>
      </c>
      <c r="AH25" s="916">
        <v>1.0000000000000001E-5</v>
      </c>
      <c r="AI25" s="403" t="s">
        <v>103</v>
      </c>
      <c r="AJ25" s="916">
        <v>9.9999999999999995E-7</v>
      </c>
      <c r="AK25" s="915">
        <v>3.85E-2</v>
      </c>
      <c r="AL25" s="299"/>
    </row>
    <row r="26" spans="1:38" x14ac:dyDescent="0.2">
      <c r="A26" s="1137">
        <v>1</v>
      </c>
      <c r="B26" s="339">
        <v>1</v>
      </c>
      <c r="C26" s="328">
        <f>A5</f>
        <v>9.9999999999999995E-7</v>
      </c>
      <c r="D26" s="329">
        <f t="shared" ref="D26:G26" si="12">B5</f>
        <v>9.9999999999999995E-7</v>
      </c>
      <c r="E26" s="329" t="str">
        <f t="shared" si="12"/>
        <v>-</v>
      </c>
      <c r="F26" s="329">
        <f t="shared" si="12"/>
        <v>9.9999999999999995E-7</v>
      </c>
      <c r="G26" s="330">
        <f t="shared" si="12"/>
        <v>1.9E-2</v>
      </c>
      <c r="H26" s="296"/>
      <c r="I26" s="296"/>
      <c r="J26" s="296"/>
      <c r="K26" s="296"/>
      <c r="L26" s="352"/>
      <c r="M26" s="410">
        <v>19.760000000000002</v>
      </c>
      <c r="N26" s="412">
        <v>-0.06</v>
      </c>
      <c r="O26" s="414" t="s">
        <v>103</v>
      </c>
      <c r="P26" s="405">
        <f>0.5*(MAX(N26:O26)-MIN(N26:O26))</f>
        <v>0</v>
      </c>
      <c r="Q26" s="414">
        <v>0.1482</v>
      </c>
      <c r="R26" s="349"/>
      <c r="U26" s="1138">
        <v>1</v>
      </c>
      <c r="V26" s="325">
        <v>1</v>
      </c>
      <c r="W26" s="326">
        <f>U5</f>
        <v>1.0000000000000001E-5</v>
      </c>
      <c r="X26" s="327">
        <f t="shared" ref="X26:AA26" si="13">V5</f>
        <v>1.0000000000000001E-5</v>
      </c>
      <c r="Y26" s="327">
        <f t="shared" si="13"/>
        <v>1.0000000000000001E-5</v>
      </c>
      <c r="Z26" s="327">
        <f t="shared" si="13"/>
        <v>9.9999999999999995E-7</v>
      </c>
      <c r="AA26" s="327">
        <f t="shared" si="13"/>
        <v>0.10197100000000001</v>
      </c>
      <c r="AB26" s="296"/>
      <c r="AC26" s="296"/>
      <c r="AD26" s="296"/>
      <c r="AE26" s="296"/>
      <c r="AF26" s="320"/>
      <c r="AG26" s="304">
        <v>76.580686999999998</v>
      </c>
      <c r="AH26" s="916">
        <v>0.1019716</v>
      </c>
      <c r="AI26" s="406" t="s">
        <v>103</v>
      </c>
      <c r="AJ26" s="915">
        <f>0.5*(MAX(AH26:AI26)-MIN(AH26:AI26))</f>
        <v>0</v>
      </c>
      <c r="AK26" s="915">
        <v>3.85E-2</v>
      </c>
      <c r="AL26" s="299"/>
    </row>
    <row r="27" spans="1:38" x14ac:dyDescent="0.2">
      <c r="A27" s="1137"/>
      <c r="B27" s="339">
        <v>2</v>
      </c>
      <c r="C27" s="328">
        <f>A15</f>
        <v>9.9999999999999995E-7</v>
      </c>
      <c r="D27" s="329">
        <f t="shared" ref="D27:G27" si="14">B15</f>
        <v>9.9999999999999995E-7</v>
      </c>
      <c r="E27" s="329">
        <f t="shared" si="14"/>
        <v>9.9999999999999995E-7</v>
      </c>
      <c r="F27" s="329">
        <f t="shared" si="14"/>
        <v>9.9999999999999995E-7</v>
      </c>
      <c r="G27" s="330">
        <f t="shared" si="14"/>
        <v>0.02</v>
      </c>
      <c r="H27" s="296"/>
      <c r="I27" s="296"/>
      <c r="J27" s="296"/>
      <c r="K27" s="296"/>
      <c r="L27" s="352"/>
      <c r="M27" s="410">
        <v>90.96</v>
      </c>
      <c r="N27" s="412">
        <v>-0.2</v>
      </c>
      <c r="O27" s="414" t="s">
        <v>103</v>
      </c>
      <c r="P27" s="405">
        <f>0.5*(MAX(N27:O27)-MIN(N27:O27))</f>
        <v>0</v>
      </c>
      <c r="Q27" s="414">
        <v>0.6825</v>
      </c>
      <c r="R27" s="349"/>
      <c r="U27" s="1139"/>
      <c r="V27" s="325">
        <v>2</v>
      </c>
      <c r="W27" s="326">
        <f>U15</f>
        <v>1.0000000000000001E-5</v>
      </c>
      <c r="X27" s="327">
        <f t="shared" ref="X27:AA27" si="15">V15</f>
        <v>1.0000000000000001E-5</v>
      </c>
      <c r="Y27" s="327">
        <f t="shared" si="15"/>
        <v>1.0000000000000001E-5</v>
      </c>
      <c r="Z27" s="327">
        <f t="shared" si="15"/>
        <v>9.9999999999999995E-7</v>
      </c>
      <c r="AA27" s="327">
        <f t="shared" si="15"/>
        <v>2.1752160421755198</v>
      </c>
      <c r="AB27" s="296"/>
      <c r="AC27" s="296"/>
      <c r="AD27" s="296"/>
      <c r="AE27" s="296"/>
      <c r="AF27" s="320"/>
      <c r="AG27" s="304">
        <v>152.988023</v>
      </c>
      <c r="AH27" s="916">
        <v>3.0591400000000001E-2</v>
      </c>
      <c r="AI27" s="406" t="s">
        <v>103</v>
      </c>
      <c r="AJ27" s="915">
        <f>0.5*(MAX(AH27:AI27)-MIN(AH27:AI27))</f>
        <v>0</v>
      </c>
      <c r="AK27" s="915">
        <v>7.6499999999999999E-2</v>
      </c>
      <c r="AL27" s="299"/>
    </row>
    <row r="28" spans="1:38" x14ac:dyDescent="0.2">
      <c r="A28" s="1137"/>
      <c r="B28" s="339">
        <v>3</v>
      </c>
      <c r="C28" s="328">
        <f>G5</f>
        <v>9.9999999999999995E-7</v>
      </c>
      <c r="D28" s="329">
        <f t="shared" ref="D28:G28" si="16">H5</f>
        <v>9.9999999999999995E-7</v>
      </c>
      <c r="E28" s="329">
        <f t="shared" si="16"/>
        <v>9.9999999999999995E-7</v>
      </c>
      <c r="F28" s="329">
        <f t="shared" si="16"/>
        <v>9.9999999999999995E-7</v>
      </c>
      <c r="G28" s="330">
        <f t="shared" si="16"/>
        <v>0.23142599999999999</v>
      </c>
      <c r="H28" s="296"/>
      <c r="I28" s="296"/>
      <c r="J28" s="296"/>
      <c r="K28" s="296"/>
      <c r="L28" s="352"/>
      <c r="M28" s="410">
        <v>161.02000000000001</v>
      </c>
      <c r="N28" s="412">
        <v>-0.61</v>
      </c>
      <c r="O28" s="413" t="s">
        <v>103</v>
      </c>
      <c r="P28" s="405">
        <f t="shared" ref="P28:P30" si="17">0.5*(MAX(N28:O28)-MIN(N28:O28))</f>
        <v>0</v>
      </c>
      <c r="Q28" s="414">
        <v>1.2075</v>
      </c>
      <c r="R28" s="349"/>
      <c r="U28" s="1139"/>
      <c r="V28" s="325">
        <v>3</v>
      </c>
      <c r="W28" s="326">
        <f>AA5</f>
        <v>1.0000000000000001E-5</v>
      </c>
      <c r="X28" s="327">
        <f t="shared" ref="X28:AA28" si="18">AB5</f>
        <v>1.0000000000000001E-5</v>
      </c>
      <c r="Y28" s="327">
        <f t="shared" si="18"/>
        <v>1.0000000000000001E-5</v>
      </c>
      <c r="Z28" s="327">
        <f t="shared" si="18"/>
        <v>9.9999999999999995E-7</v>
      </c>
      <c r="AA28" s="327">
        <f t="shared" si="18"/>
        <v>3.85E-2</v>
      </c>
      <c r="AB28" s="296"/>
      <c r="AC28" s="296"/>
      <c r="AD28" s="296"/>
      <c r="AE28" s="296"/>
      <c r="AF28" s="320"/>
      <c r="AG28" s="308" t="s">
        <v>103</v>
      </c>
      <c r="AH28" s="403" t="s">
        <v>103</v>
      </c>
      <c r="AI28" s="403" t="s">
        <v>103</v>
      </c>
      <c r="AJ28" s="915">
        <f t="shared" ref="AJ28:AJ30" si="19">0.5*(MAX(AH28:AI28)-MIN(AH28:AI28))</f>
        <v>0</v>
      </c>
      <c r="AK28" s="405" t="s">
        <v>103</v>
      </c>
      <c r="AL28" s="299"/>
    </row>
    <row r="29" spans="1:38" x14ac:dyDescent="0.2">
      <c r="A29" s="1137"/>
      <c r="B29" s="339">
        <v>4</v>
      </c>
      <c r="C29" s="328">
        <f>G15</f>
        <v>9.9999999999999995E-7</v>
      </c>
      <c r="D29" s="329">
        <f t="shared" ref="D29:G29" si="20">H15</f>
        <v>9.9999999999999995E-7</v>
      </c>
      <c r="E29" s="329" t="str">
        <f t="shared" si="20"/>
        <v>-</v>
      </c>
      <c r="F29" s="329">
        <f t="shared" si="20"/>
        <v>9.9999999999999995E-7</v>
      </c>
      <c r="G29" s="330">
        <f t="shared" si="20"/>
        <v>1.7000000000000001E-2</v>
      </c>
      <c r="H29" s="296"/>
      <c r="I29" s="296"/>
      <c r="J29" s="296"/>
      <c r="K29" s="296"/>
      <c r="L29" s="352"/>
      <c r="M29" s="410">
        <v>249.1</v>
      </c>
      <c r="N29" s="412">
        <v>-0.4</v>
      </c>
      <c r="O29" s="413" t="s">
        <v>103</v>
      </c>
      <c r="P29" s="405">
        <f t="shared" si="17"/>
        <v>0</v>
      </c>
      <c r="Q29" s="414">
        <v>1.8674999999999999</v>
      </c>
      <c r="R29" s="349"/>
      <c r="U29" s="1139"/>
      <c r="V29" s="325">
        <v>4</v>
      </c>
      <c r="W29" s="326">
        <f>AA15</f>
        <v>1.0000000000000001E-5</v>
      </c>
      <c r="X29" s="327">
        <f t="shared" ref="X29:AA29" si="21">AB15</f>
        <v>1.0000000000000001E-5</v>
      </c>
      <c r="Y29" s="327" t="str">
        <f t="shared" si="21"/>
        <v>-</v>
      </c>
      <c r="Z29" s="327">
        <f t="shared" si="21"/>
        <v>9.9999999999999995E-7</v>
      </c>
      <c r="AA29" s="327">
        <f t="shared" si="21"/>
        <v>0.27</v>
      </c>
      <c r="AB29" s="296"/>
      <c r="AC29" s="296"/>
      <c r="AD29" s="296"/>
      <c r="AE29" s="296"/>
      <c r="AF29" s="320"/>
      <c r="AG29" s="308" t="s">
        <v>103</v>
      </c>
      <c r="AH29" s="403" t="s">
        <v>103</v>
      </c>
      <c r="AI29" s="403" t="s">
        <v>103</v>
      </c>
      <c r="AJ29" s="915">
        <f t="shared" si="19"/>
        <v>0</v>
      </c>
      <c r="AK29" s="405" t="s">
        <v>103</v>
      </c>
      <c r="AL29" s="299"/>
    </row>
    <row r="30" spans="1:38" ht="13.5" thickBot="1" x14ac:dyDescent="0.25">
      <c r="A30" s="1137"/>
      <c r="B30" s="339">
        <v>5</v>
      </c>
      <c r="C30" s="328">
        <f>M5</f>
        <v>9.9999999999999995E-7</v>
      </c>
      <c r="D30" s="329">
        <f t="shared" ref="D30:G30" si="22">N5</f>
        <v>9.9999999999999995E-7</v>
      </c>
      <c r="E30" s="329" t="str">
        <f t="shared" si="22"/>
        <v>-</v>
      </c>
      <c r="F30" s="329">
        <f t="shared" si="22"/>
        <v>9.9999999999999995E-7</v>
      </c>
      <c r="G30" s="330">
        <f t="shared" si="22"/>
        <v>2.2852000000000001E-2</v>
      </c>
      <c r="H30" s="296"/>
      <c r="I30" s="296"/>
      <c r="J30" s="296"/>
      <c r="K30" s="296"/>
      <c r="L30" s="352"/>
      <c r="M30" s="415" t="s">
        <v>103</v>
      </c>
      <c r="N30" s="413" t="s">
        <v>103</v>
      </c>
      <c r="O30" s="413" t="s">
        <v>103</v>
      </c>
      <c r="P30" s="405">
        <f t="shared" si="17"/>
        <v>0</v>
      </c>
      <c r="Q30" s="413" t="s">
        <v>103</v>
      </c>
      <c r="R30" s="349"/>
      <c r="U30" s="1139"/>
      <c r="V30" s="325">
        <v>5</v>
      </c>
      <c r="W30" s="326">
        <f>AG5</f>
        <v>1.0000000000000001E-5</v>
      </c>
      <c r="X30" s="327">
        <f t="shared" ref="X30:AA30" si="23">AH5</f>
        <v>1.0000000000000001E-5</v>
      </c>
      <c r="Y30" s="327" t="str">
        <f t="shared" si="23"/>
        <v>-</v>
      </c>
      <c r="Z30" s="327">
        <f t="shared" si="23"/>
        <v>9.9999999999999995E-7</v>
      </c>
      <c r="AA30" s="327">
        <f t="shared" si="23"/>
        <v>0.18240000000000001</v>
      </c>
      <c r="AB30" s="296"/>
      <c r="AC30" s="296"/>
      <c r="AD30" s="296"/>
      <c r="AE30" s="296"/>
      <c r="AF30" s="320"/>
      <c r="AG30" s="310" t="s">
        <v>103</v>
      </c>
      <c r="AH30" s="407" t="s">
        <v>103</v>
      </c>
      <c r="AI30" s="407" t="s">
        <v>103</v>
      </c>
      <c r="AJ30" s="919">
        <f t="shared" si="19"/>
        <v>0</v>
      </c>
      <c r="AK30" s="405" t="s">
        <v>103</v>
      </c>
      <c r="AL30" s="299"/>
    </row>
    <row r="31" spans="1:38" ht="13.5" thickBot="1" x14ac:dyDescent="0.25">
      <c r="A31" s="1137"/>
      <c r="B31" s="339">
        <v>6</v>
      </c>
      <c r="C31" s="328">
        <f>M15</f>
        <v>9.9999999999999995E-7</v>
      </c>
      <c r="D31" s="329">
        <f t="shared" ref="D31:G31" si="24">N15</f>
        <v>9.9999999999999995E-7</v>
      </c>
      <c r="E31" s="329" t="str">
        <f t="shared" si="24"/>
        <v>-</v>
      </c>
      <c r="F31" s="329">
        <f t="shared" si="24"/>
        <v>9.9999999999999995E-7</v>
      </c>
      <c r="G31" s="330">
        <f t="shared" si="24"/>
        <v>2.3432000000000001E-2</v>
      </c>
      <c r="H31" s="296"/>
      <c r="I31" s="296"/>
      <c r="J31" s="296"/>
      <c r="K31" s="296"/>
      <c r="L31" s="352"/>
      <c r="M31" s="298"/>
      <c r="N31" s="296"/>
      <c r="O31" s="296"/>
      <c r="P31" s="296"/>
      <c r="Q31" s="314"/>
      <c r="R31" s="349"/>
      <c r="U31" s="1139"/>
      <c r="V31" s="325">
        <v>6</v>
      </c>
      <c r="W31" s="326">
        <f>AG15</f>
        <v>1.0000000000000001E-5</v>
      </c>
      <c r="X31" s="327">
        <f t="shared" ref="X31:AA31" si="25">AH15</f>
        <v>1.0000000000000001E-5</v>
      </c>
      <c r="Y31" s="327" t="str">
        <f t="shared" si="25"/>
        <v>-</v>
      </c>
      <c r="Z31" s="327">
        <f t="shared" si="25"/>
        <v>9.9999999999999995E-7</v>
      </c>
      <c r="AA31" s="327">
        <f t="shared" si="25"/>
        <v>0.18240000000000001</v>
      </c>
      <c r="AB31" s="296"/>
      <c r="AC31" s="296"/>
      <c r="AD31" s="296"/>
      <c r="AE31" s="296"/>
      <c r="AF31" s="320"/>
      <c r="AG31" s="298"/>
      <c r="AH31" s="296"/>
      <c r="AI31" s="296"/>
      <c r="AJ31" s="296"/>
      <c r="AK31" s="314"/>
      <c r="AL31" s="299"/>
    </row>
    <row r="32" spans="1:38" ht="13.5" customHeight="1" x14ac:dyDescent="0.2">
      <c r="A32" s="1137"/>
      <c r="B32" s="339">
        <v>7</v>
      </c>
      <c r="C32" s="328">
        <f>M25</f>
        <v>9.9999999999999995E-7</v>
      </c>
      <c r="D32" s="329">
        <f t="shared" ref="D32:G32" si="26">N25</f>
        <v>9.9999999999999995E-7</v>
      </c>
      <c r="E32" s="329" t="str">
        <f t="shared" si="26"/>
        <v>-</v>
      </c>
      <c r="F32" s="329">
        <f t="shared" si="26"/>
        <v>9.9999999999999995E-7</v>
      </c>
      <c r="G32" s="330">
        <f t="shared" si="26"/>
        <v>0.1482</v>
      </c>
      <c r="H32" s="296"/>
      <c r="I32" s="296"/>
      <c r="J32" s="296"/>
      <c r="K32" s="296"/>
      <c r="L32" s="352"/>
      <c r="M32" s="1108" t="s">
        <v>356</v>
      </c>
      <c r="N32" s="1108"/>
      <c r="O32" s="1108"/>
      <c r="P32" s="1112" t="s">
        <v>227</v>
      </c>
      <c r="Q32" s="1109" t="s">
        <v>344</v>
      </c>
      <c r="R32" s="349"/>
      <c r="U32" s="1139"/>
      <c r="V32" s="325">
        <v>7</v>
      </c>
      <c r="W32" s="326">
        <f>AG25</f>
        <v>1.0000000000000001E-5</v>
      </c>
      <c r="X32" s="327">
        <f t="shared" ref="X32:AA32" si="27">AH25</f>
        <v>1.0000000000000001E-5</v>
      </c>
      <c r="Y32" s="327" t="str">
        <f t="shared" si="27"/>
        <v>-</v>
      </c>
      <c r="Z32" s="327">
        <f t="shared" si="27"/>
        <v>9.9999999999999995E-7</v>
      </c>
      <c r="AA32" s="327">
        <f t="shared" si="27"/>
        <v>3.85E-2</v>
      </c>
      <c r="AB32" s="296"/>
      <c r="AC32" s="296"/>
      <c r="AD32" s="296"/>
      <c r="AE32" s="296"/>
      <c r="AF32" s="320"/>
      <c r="AG32" s="1123" t="s">
        <v>356</v>
      </c>
      <c r="AH32" s="1124"/>
      <c r="AI32" s="1124"/>
      <c r="AJ32" s="297" t="s">
        <v>227</v>
      </c>
      <c r="AK32" s="1141" t="s">
        <v>347</v>
      </c>
      <c r="AL32" s="299"/>
    </row>
    <row r="33" spans="1:38" ht="25.5" x14ac:dyDescent="0.2">
      <c r="A33" s="1137"/>
      <c r="B33" s="339">
        <v>8</v>
      </c>
      <c r="C33" s="328">
        <f>M35</f>
        <v>9.9999999999999995E-7</v>
      </c>
      <c r="D33" s="329">
        <f>N35</f>
        <v>9.9999999999999995E-7</v>
      </c>
      <c r="E33" s="329" t="str">
        <f>O35</f>
        <v>-</v>
      </c>
      <c r="F33" s="329">
        <f>P35</f>
        <v>9.9999999999999995E-7</v>
      </c>
      <c r="G33" s="330">
        <f>Q35</f>
        <v>0.1482</v>
      </c>
      <c r="H33" s="296"/>
      <c r="I33" s="296"/>
      <c r="J33" s="296"/>
      <c r="K33" s="296"/>
      <c r="L33" s="352"/>
      <c r="M33" s="409" t="s">
        <v>348</v>
      </c>
      <c r="N33" s="1112" t="s">
        <v>226</v>
      </c>
      <c r="O33" s="1112"/>
      <c r="P33" s="1112"/>
      <c r="Q33" s="1109"/>
      <c r="R33" s="349"/>
      <c r="U33" s="1139"/>
      <c r="V33" s="325">
        <v>8</v>
      </c>
      <c r="W33" s="328">
        <f>AG35</f>
        <v>1.0000000000000001E-5</v>
      </c>
      <c r="X33" s="329">
        <f>AH35</f>
        <v>1.0000000000000001E-5</v>
      </c>
      <c r="Y33" s="329" t="str">
        <f>AI35</f>
        <v>-</v>
      </c>
      <c r="Z33" s="329">
        <f>AJ35</f>
        <v>9.9999999999999995E-7</v>
      </c>
      <c r="AA33" s="327">
        <f>AK35</f>
        <v>3.85E-2</v>
      </c>
      <c r="AB33" s="296"/>
      <c r="AC33" s="296"/>
      <c r="AD33" s="296"/>
      <c r="AE33" s="296"/>
      <c r="AF33" s="320"/>
      <c r="AG33" s="300" t="s">
        <v>349</v>
      </c>
      <c r="AH33" s="1112" t="s">
        <v>226</v>
      </c>
      <c r="AI33" s="1112"/>
      <c r="AJ33" s="345"/>
      <c r="AK33" s="1142"/>
      <c r="AL33" s="299"/>
    </row>
    <row r="34" spans="1:38" ht="15" x14ac:dyDescent="0.2">
      <c r="A34" s="1137"/>
      <c r="B34" s="339">
        <v>9</v>
      </c>
      <c r="C34" s="328">
        <f>M45</f>
        <v>9.9999999999999995E-7</v>
      </c>
      <c r="D34" s="330">
        <f t="shared" ref="D34:G34" si="28">N45</f>
        <v>9.9999999999999995E-7</v>
      </c>
      <c r="E34" s="330" t="str">
        <f t="shared" si="28"/>
        <v>-</v>
      </c>
      <c r="F34" s="330">
        <f t="shared" si="28"/>
        <v>9.9999999999999995E-7</v>
      </c>
      <c r="G34" s="330">
        <f t="shared" si="28"/>
        <v>9.9999999999999995E-7</v>
      </c>
      <c r="H34" s="296"/>
      <c r="I34" s="296"/>
      <c r="J34" s="296"/>
      <c r="K34" s="296"/>
      <c r="L34" s="352"/>
      <c r="M34" s="353" t="s">
        <v>350</v>
      </c>
      <c r="N34" s="411">
        <v>2019</v>
      </c>
      <c r="O34" s="419" t="s">
        <v>103</v>
      </c>
      <c r="P34" s="1112"/>
      <c r="Q34" s="1109"/>
      <c r="R34" s="349"/>
      <c r="U34" s="1139"/>
      <c r="V34" s="325">
        <v>9</v>
      </c>
      <c r="W34" s="328">
        <f>AG45</f>
        <v>1.0000000000000001E-5</v>
      </c>
      <c r="X34" s="329">
        <f t="shared" ref="X34:AA34" si="29">AH45</f>
        <v>1.0000000000000001E-5</v>
      </c>
      <c r="Y34" s="329" t="str">
        <f t="shared" si="29"/>
        <v>-</v>
      </c>
      <c r="Z34" s="329">
        <f t="shared" si="29"/>
        <v>9.9999999999999995E-7</v>
      </c>
      <c r="AA34" s="327">
        <f t="shared" si="29"/>
        <v>3.7569999999999999E-2</v>
      </c>
      <c r="AB34" s="296"/>
      <c r="AC34" s="296"/>
      <c r="AD34" s="296"/>
      <c r="AE34" s="296"/>
      <c r="AF34" s="320"/>
      <c r="AG34" s="301" t="s">
        <v>150</v>
      </c>
      <c r="AH34" s="345">
        <v>2019</v>
      </c>
      <c r="AI34" s="303" t="s">
        <v>103</v>
      </c>
      <c r="AJ34" s="345"/>
      <c r="AK34" s="331"/>
      <c r="AL34" s="299"/>
    </row>
    <row r="35" spans="1:38" x14ac:dyDescent="0.2">
      <c r="A35" s="1137"/>
      <c r="B35" s="339">
        <v>10</v>
      </c>
      <c r="C35" s="328">
        <f>M55</f>
        <v>0</v>
      </c>
      <c r="D35" s="330" t="str">
        <f t="shared" ref="D35:G35" si="30">N55</f>
        <v>-</v>
      </c>
      <c r="E35" s="330" t="str">
        <f t="shared" si="30"/>
        <v>-</v>
      </c>
      <c r="F35" s="330">
        <f t="shared" si="30"/>
        <v>0</v>
      </c>
      <c r="G35" s="330" t="str">
        <f t="shared" si="30"/>
        <v>-</v>
      </c>
      <c r="H35" s="296"/>
      <c r="I35" s="296"/>
      <c r="J35" s="296"/>
      <c r="K35" s="296"/>
      <c r="L35" s="352"/>
      <c r="M35" s="410">
        <v>9.9999999999999995E-7</v>
      </c>
      <c r="N35" s="412">
        <v>9.9999999999999995E-7</v>
      </c>
      <c r="O35" s="413" t="s">
        <v>103</v>
      </c>
      <c r="P35" s="404">
        <v>9.9999999999999995E-7</v>
      </c>
      <c r="Q35" s="414">
        <v>0.1482</v>
      </c>
      <c r="R35" s="349"/>
      <c r="U35" s="1139"/>
      <c r="V35" s="325">
        <v>10</v>
      </c>
      <c r="W35" s="328">
        <f>AG55</f>
        <v>1.0000000000000001E-5</v>
      </c>
      <c r="X35" s="329" t="str">
        <f t="shared" ref="X35:AA35" si="31">AH55</f>
        <v>-</v>
      </c>
      <c r="Y35" s="329" t="str">
        <f t="shared" si="31"/>
        <v>-</v>
      </c>
      <c r="Z35" s="329">
        <f t="shared" si="31"/>
        <v>0</v>
      </c>
      <c r="AA35" s="327" t="str">
        <f t="shared" si="31"/>
        <v>-</v>
      </c>
      <c r="AB35" s="296"/>
      <c r="AC35" s="296"/>
      <c r="AD35" s="296"/>
      <c r="AE35" s="296"/>
      <c r="AF35" s="320"/>
      <c r="AG35" s="410">
        <v>1.0000000000000001E-5</v>
      </c>
      <c r="AH35" s="916">
        <v>1.0000000000000001E-5</v>
      </c>
      <c r="AI35" s="403" t="s">
        <v>103</v>
      </c>
      <c r="AJ35" s="916">
        <v>9.9999999999999995E-7</v>
      </c>
      <c r="AK35" s="915">
        <v>3.85E-2</v>
      </c>
      <c r="AL35" s="299"/>
    </row>
    <row r="36" spans="1:38" x14ac:dyDescent="0.2">
      <c r="A36" s="1137"/>
      <c r="B36" s="339">
        <v>11</v>
      </c>
      <c r="C36" s="328">
        <f>M65</f>
        <v>0</v>
      </c>
      <c r="D36" s="330" t="str">
        <f t="shared" ref="D36:G36" si="32">N65</f>
        <v>-</v>
      </c>
      <c r="E36" s="330" t="str">
        <f t="shared" si="32"/>
        <v>-</v>
      </c>
      <c r="F36" s="330">
        <f t="shared" si="32"/>
        <v>0</v>
      </c>
      <c r="G36" s="330" t="str">
        <f t="shared" si="32"/>
        <v>-</v>
      </c>
      <c r="H36" s="296"/>
      <c r="I36" s="296"/>
      <c r="J36" s="296"/>
      <c r="K36" s="296"/>
      <c r="L36" s="352"/>
      <c r="M36" s="410">
        <v>19.760000000000002</v>
      </c>
      <c r="N36" s="412">
        <v>-0.14000000000000001</v>
      </c>
      <c r="O36" s="414" t="s">
        <v>103</v>
      </c>
      <c r="P36" s="405">
        <f>0.5*(MAX(N36:O36)-MIN(N36:O36))</f>
        <v>0</v>
      </c>
      <c r="Q36" s="414">
        <v>0.1482</v>
      </c>
      <c r="R36" s="349"/>
      <c r="U36" s="1140"/>
      <c r="V36" s="325">
        <v>11</v>
      </c>
      <c r="W36" s="328">
        <f>AG65</f>
        <v>1.0000000000000001E-5</v>
      </c>
      <c r="X36" s="329" t="str">
        <f t="shared" ref="X36:AA36" si="33">AH65</f>
        <v>-</v>
      </c>
      <c r="Y36" s="329" t="str">
        <f t="shared" si="33"/>
        <v>-</v>
      </c>
      <c r="Z36" s="329">
        <f t="shared" si="33"/>
        <v>0</v>
      </c>
      <c r="AA36" s="327" t="str">
        <f t="shared" si="33"/>
        <v>-</v>
      </c>
      <c r="AB36" s="296"/>
      <c r="AC36" s="296"/>
      <c r="AD36" s="296"/>
      <c r="AE36" s="296"/>
      <c r="AF36" s="320"/>
      <c r="AG36" s="304">
        <v>76.560293000000001</v>
      </c>
      <c r="AH36" s="916">
        <v>8.1577297038231994E-2</v>
      </c>
      <c r="AI36" s="406" t="s">
        <v>103</v>
      </c>
      <c r="AJ36" s="915">
        <f>0.5*(MAX(AH36:AI36)-MIN(AH36:AI36))</f>
        <v>0</v>
      </c>
      <c r="AK36" s="915">
        <v>3.85E-2</v>
      </c>
      <c r="AL36" s="299"/>
    </row>
    <row r="37" spans="1:38" x14ac:dyDescent="0.2">
      <c r="A37" s="1137">
        <v>2</v>
      </c>
      <c r="B37" s="339">
        <v>1</v>
      </c>
      <c r="C37" s="332">
        <f>A6</f>
        <v>10.02</v>
      </c>
      <c r="D37" s="333">
        <f t="shared" ref="D37:G37" si="34">B6</f>
        <v>0.02</v>
      </c>
      <c r="E37" s="333" t="str">
        <f t="shared" si="34"/>
        <v>-</v>
      </c>
      <c r="F37" s="333">
        <f t="shared" si="34"/>
        <v>0</v>
      </c>
      <c r="G37" s="334">
        <f t="shared" si="34"/>
        <v>1.9E-2</v>
      </c>
      <c r="H37" s="296"/>
      <c r="I37" s="296"/>
      <c r="J37" s="296"/>
      <c r="K37" s="296"/>
      <c r="L37" s="352"/>
      <c r="M37" s="410">
        <v>90.96</v>
      </c>
      <c r="N37" s="412">
        <v>-0.21</v>
      </c>
      <c r="O37" s="414" t="s">
        <v>103</v>
      </c>
      <c r="P37" s="405">
        <f>0.5*(MAX(N37:O37)-MIN(N37:O37))</f>
        <v>0</v>
      </c>
      <c r="Q37" s="414">
        <v>0.68220000000000003</v>
      </c>
      <c r="R37" s="349"/>
      <c r="U37" s="1138">
        <v>2</v>
      </c>
      <c r="V37" s="325">
        <v>1</v>
      </c>
      <c r="W37" s="332">
        <f>U6</f>
        <v>50.856299999999997</v>
      </c>
      <c r="X37" s="333">
        <f t="shared" ref="X37:AA37" si="35">V6</f>
        <v>-3.0500000000000002E-3</v>
      </c>
      <c r="Y37" s="333">
        <f t="shared" si="35"/>
        <v>-8.9999999999999993E-3</v>
      </c>
      <c r="Z37" s="333">
        <f t="shared" si="35"/>
        <v>2.9749999999999993E-3</v>
      </c>
      <c r="AA37" s="333">
        <f t="shared" si="35"/>
        <v>0.10197100000000001</v>
      </c>
      <c r="AB37" s="296"/>
      <c r="AC37" s="296"/>
      <c r="AD37" s="296"/>
      <c r="AE37" s="296"/>
      <c r="AF37" s="320"/>
      <c r="AG37" s="304">
        <v>152.99822</v>
      </c>
      <c r="AH37" s="916">
        <v>4.0788648519115997E-2</v>
      </c>
      <c r="AI37" s="406" t="s">
        <v>103</v>
      </c>
      <c r="AJ37" s="915">
        <f>0.5*(MAX(AH37:AI37)-MIN(AH37:AI37))</f>
        <v>0</v>
      </c>
      <c r="AK37" s="915">
        <v>7.6499999999999999E-2</v>
      </c>
      <c r="AL37" s="299"/>
    </row>
    <row r="38" spans="1:38" x14ac:dyDescent="0.2">
      <c r="A38" s="1137"/>
      <c r="B38" s="339">
        <v>2</v>
      </c>
      <c r="C38" s="332">
        <f>A16</f>
        <v>101.63</v>
      </c>
      <c r="D38" s="333">
        <f t="shared" ref="D38:G38" si="36">B16</f>
        <v>1.63</v>
      </c>
      <c r="E38" s="333">
        <f t="shared" si="36"/>
        <v>1.64</v>
      </c>
      <c r="F38" s="333">
        <f t="shared" si="36"/>
        <v>5.0000000000000044E-3</v>
      </c>
      <c r="G38" s="334">
        <f t="shared" si="36"/>
        <v>0.02</v>
      </c>
      <c r="H38" s="296"/>
      <c r="I38" s="296"/>
      <c r="J38" s="296"/>
      <c r="K38" s="296"/>
      <c r="L38" s="352"/>
      <c r="M38" s="410">
        <v>161.02000000000001</v>
      </c>
      <c r="N38" s="412">
        <v>-0.12</v>
      </c>
      <c r="O38" s="413" t="s">
        <v>103</v>
      </c>
      <c r="P38" s="405">
        <f t="shared" ref="P38:P40" si="37">0.5*(MAX(N38:O38)-MIN(N38:O38))</f>
        <v>0</v>
      </c>
      <c r="Q38" s="414">
        <v>1.2076499999999999</v>
      </c>
      <c r="R38" s="349"/>
      <c r="U38" s="1139"/>
      <c r="V38" s="325">
        <v>2</v>
      </c>
      <c r="W38" s="332">
        <f>U16</f>
        <v>1752.75245</v>
      </c>
      <c r="X38" s="333">
        <f t="shared" ref="X38:AA38" si="38">V16</f>
        <v>-2.1092080000000002</v>
      </c>
      <c r="Y38" s="333">
        <f t="shared" si="38"/>
        <v>-2.1092</v>
      </c>
      <c r="Z38" s="333">
        <f t="shared" si="38"/>
        <v>4.0000000001150227E-6</v>
      </c>
      <c r="AA38" s="333">
        <f t="shared" si="38"/>
        <v>2.1752160421755198</v>
      </c>
      <c r="AB38" s="296"/>
      <c r="AC38" s="296"/>
      <c r="AD38" s="296"/>
      <c r="AE38" s="296"/>
      <c r="AF38" s="320"/>
      <c r="AG38" s="308" t="s">
        <v>103</v>
      </c>
      <c r="AH38" s="403" t="s">
        <v>103</v>
      </c>
      <c r="AI38" s="403" t="s">
        <v>103</v>
      </c>
      <c r="AJ38" s="915">
        <f t="shared" ref="AJ38:AJ40" si="39">0.5*(MAX(AH38:AI38)-MIN(AH38:AI38))</f>
        <v>0</v>
      </c>
      <c r="AK38" s="405" t="s">
        <v>103</v>
      </c>
      <c r="AL38" s="299"/>
    </row>
    <row r="39" spans="1:38" x14ac:dyDescent="0.2">
      <c r="A39" s="1137"/>
      <c r="B39" s="339">
        <v>3</v>
      </c>
      <c r="C39" s="332">
        <f>G6</f>
        <v>19.8</v>
      </c>
      <c r="D39" s="333">
        <f t="shared" ref="D39:G39" si="40">H6</f>
        <v>-0.16</v>
      </c>
      <c r="E39" s="333">
        <f t="shared" si="40"/>
        <v>-0.03</v>
      </c>
      <c r="F39" s="333">
        <f t="shared" si="40"/>
        <v>6.5000000000000002E-2</v>
      </c>
      <c r="G39" s="334">
        <f t="shared" si="40"/>
        <v>0.23142599999999999</v>
      </c>
      <c r="H39" s="296"/>
      <c r="I39" s="296"/>
      <c r="J39" s="296"/>
      <c r="K39" s="296"/>
      <c r="L39" s="352"/>
      <c r="M39" s="410">
        <v>249.1</v>
      </c>
      <c r="N39" s="412">
        <v>-0.77</v>
      </c>
      <c r="O39" s="413" t="s">
        <v>103</v>
      </c>
      <c r="P39" s="405">
        <f t="shared" si="37"/>
        <v>0</v>
      </c>
      <c r="Q39" s="414">
        <v>1.86825</v>
      </c>
      <c r="R39" s="349"/>
      <c r="U39" s="1139"/>
      <c r="V39" s="325">
        <v>3</v>
      </c>
      <c r="W39" s="332">
        <f>AA6</f>
        <v>76.570490432510496</v>
      </c>
      <c r="X39" s="333">
        <f t="shared" ref="X39:AA39" si="41">AB6</f>
        <v>9.1774459168010997E-2</v>
      </c>
      <c r="Y39" s="333">
        <f t="shared" si="41"/>
        <v>1.0000000000000001E-5</v>
      </c>
      <c r="Z39" s="333">
        <f t="shared" si="41"/>
        <v>4.58822295840055E-2</v>
      </c>
      <c r="AA39" s="333">
        <f t="shared" si="41"/>
        <v>3.85E-2</v>
      </c>
      <c r="AB39" s="296"/>
      <c r="AC39" s="296"/>
      <c r="AD39" s="296"/>
      <c r="AE39" s="296"/>
      <c r="AF39" s="320"/>
      <c r="AG39" s="308" t="s">
        <v>103</v>
      </c>
      <c r="AH39" s="403" t="s">
        <v>103</v>
      </c>
      <c r="AI39" s="403" t="s">
        <v>103</v>
      </c>
      <c r="AJ39" s="915">
        <f t="shared" si="39"/>
        <v>0</v>
      </c>
      <c r="AK39" s="405" t="s">
        <v>103</v>
      </c>
      <c r="AL39" s="299"/>
    </row>
    <row r="40" spans="1:38" ht="13.5" thickBot="1" x14ac:dyDescent="0.25">
      <c r="A40" s="1137"/>
      <c r="B40" s="339">
        <v>4</v>
      </c>
      <c r="C40" s="332">
        <f>G16</f>
        <v>50.52</v>
      </c>
      <c r="D40" s="333">
        <f t="shared" ref="D40:G40" si="42">H16</f>
        <v>0.32</v>
      </c>
      <c r="E40" s="333" t="str">
        <f t="shared" si="42"/>
        <v>-</v>
      </c>
      <c r="F40" s="333">
        <f t="shared" si="42"/>
        <v>0</v>
      </c>
      <c r="G40" s="334">
        <f t="shared" si="42"/>
        <v>1.7000000000000001E-2</v>
      </c>
      <c r="H40" s="296"/>
      <c r="I40" s="296"/>
      <c r="J40" s="296"/>
      <c r="K40" s="296"/>
      <c r="L40" s="352"/>
      <c r="M40" s="415" t="s">
        <v>103</v>
      </c>
      <c r="N40" s="413" t="s">
        <v>103</v>
      </c>
      <c r="O40" s="413" t="s">
        <v>103</v>
      </c>
      <c r="P40" s="405">
        <f t="shared" si="37"/>
        <v>0</v>
      </c>
      <c r="Q40" s="414">
        <v>0</v>
      </c>
      <c r="R40" s="349"/>
      <c r="U40" s="1139"/>
      <c r="V40" s="325">
        <v>4</v>
      </c>
      <c r="W40" s="332">
        <f>AA16</f>
        <v>35.590134999999997</v>
      </c>
      <c r="X40" s="333">
        <f t="shared" ref="X40:AA40" si="43">AB16</f>
        <v>-2.0394300000000001E-3</v>
      </c>
      <c r="Y40" s="333" t="str">
        <f t="shared" si="43"/>
        <v>-</v>
      </c>
      <c r="Z40" s="333">
        <f t="shared" si="43"/>
        <v>0</v>
      </c>
      <c r="AA40" s="333">
        <f t="shared" si="43"/>
        <v>0.27</v>
      </c>
      <c r="AB40" s="296"/>
      <c r="AC40" s="296"/>
      <c r="AD40" s="296"/>
      <c r="AE40" s="296"/>
      <c r="AF40" s="320"/>
      <c r="AG40" s="310" t="s">
        <v>103</v>
      </c>
      <c r="AH40" s="407" t="s">
        <v>103</v>
      </c>
      <c r="AI40" s="407" t="s">
        <v>103</v>
      </c>
      <c r="AJ40" s="919">
        <f t="shared" si="39"/>
        <v>0</v>
      </c>
      <c r="AK40" s="405" t="s">
        <v>103</v>
      </c>
      <c r="AL40" s="299"/>
    </row>
    <row r="41" spans="1:38" ht="13.5" thickBot="1" x14ac:dyDescent="0.25">
      <c r="A41" s="1137"/>
      <c r="B41" s="339">
        <v>5</v>
      </c>
      <c r="C41" s="332">
        <f>M6</f>
        <v>1.97</v>
      </c>
      <c r="D41" s="333">
        <f t="shared" ref="D41:G41" si="44">N6</f>
        <v>-0.01</v>
      </c>
      <c r="E41" s="333" t="str">
        <f t="shared" si="44"/>
        <v>-</v>
      </c>
      <c r="F41" s="333">
        <f t="shared" si="44"/>
        <v>0</v>
      </c>
      <c r="G41" s="334">
        <f t="shared" si="44"/>
        <v>2.2852000000000001E-2</v>
      </c>
      <c r="H41" s="296"/>
      <c r="I41" s="296"/>
      <c r="J41" s="296"/>
      <c r="K41" s="296"/>
      <c r="L41" s="352"/>
      <c r="R41" s="349"/>
      <c r="U41" s="1139"/>
      <c r="V41" s="325">
        <v>5</v>
      </c>
      <c r="W41" s="332">
        <f>AG6</f>
        <v>76.499110297000001</v>
      </c>
      <c r="X41" s="333">
        <f t="shared" ref="X41:AA41" si="45">AH6</f>
        <v>2.0394320000000001E-2</v>
      </c>
      <c r="Y41" s="333" t="str">
        <f t="shared" si="45"/>
        <v>-</v>
      </c>
      <c r="Z41" s="333">
        <f t="shared" si="45"/>
        <v>0</v>
      </c>
      <c r="AA41" s="333">
        <f t="shared" si="45"/>
        <v>0.18240000000000001</v>
      </c>
      <c r="AB41" s="296"/>
      <c r="AC41" s="296"/>
      <c r="AD41" s="296"/>
      <c r="AE41" s="296"/>
      <c r="AF41" s="320"/>
      <c r="AL41" s="299"/>
    </row>
    <row r="42" spans="1:38" ht="13.5" customHeight="1" x14ac:dyDescent="0.2">
      <c r="A42" s="1137"/>
      <c r="B42" s="339">
        <v>6</v>
      </c>
      <c r="C42" s="332">
        <f>M16</f>
        <v>2.02</v>
      </c>
      <c r="D42" s="333">
        <f t="shared" ref="D42:G42" si="46">N16</f>
        <v>0.01</v>
      </c>
      <c r="E42" s="333" t="str">
        <f t="shared" si="46"/>
        <v>-</v>
      </c>
      <c r="F42" s="333">
        <f t="shared" si="46"/>
        <v>0</v>
      </c>
      <c r="G42" s="334">
        <f t="shared" si="46"/>
        <v>2.3432000000000001E-2</v>
      </c>
      <c r="H42" s="296"/>
      <c r="I42" s="296"/>
      <c r="J42" s="296"/>
      <c r="K42" s="296"/>
      <c r="L42" s="352"/>
      <c r="M42" s="1108" t="s">
        <v>357</v>
      </c>
      <c r="N42" s="1108"/>
      <c r="O42" s="1108"/>
      <c r="P42" s="1112" t="s">
        <v>227</v>
      </c>
      <c r="Q42" s="1109" t="s">
        <v>344</v>
      </c>
      <c r="R42" s="349"/>
      <c r="U42" s="1139"/>
      <c r="V42" s="325">
        <v>6</v>
      </c>
      <c r="W42" s="332">
        <f>AG16</f>
        <v>76.478715969999996</v>
      </c>
      <c r="X42" s="333">
        <f t="shared" ref="X42:AA42" si="47">AH16</f>
        <v>1.0000000000000001E-5</v>
      </c>
      <c r="Y42" s="333" t="str">
        <f t="shared" si="47"/>
        <v>-</v>
      </c>
      <c r="Z42" s="333">
        <f t="shared" si="47"/>
        <v>0</v>
      </c>
      <c r="AA42" s="333">
        <f t="shared" si="47"/>
        <v>0.18240000000000001</v>
      </c>
      <c r="AB42" s="296"/>
      <c r="AC42" s="296"/>
      <c r="AD42" s="296"/>
      <c r="AE42" s="296"/>
      <c r="AF42" s="320"/>
      <c r="AG42" s="1123" t="str">
        <f>M42</f>
        <v>9. KOREKSI RIGEL BA200651</v>
      </c>
      <c r="AH42" s="1124"/>
      <c r="AI42" s="1124"/>
      <c r="AJ42" s="297" t="s">
        <v>227</v>
      </c>
      <c r="AK42" s="1141" t="s">
        <v>347</v>
      </c>
      <c r="AL42" s="299"/>
    </row>
    <row r="43" spans="1:38" ht="25.5" x14ac:dyDescent="0.2">
      <c r="A43" s="1137"/>
      <c r="B43" s="339">
        <v>7</v>
      </c>
      <c r="C43" s="332">
        <f>M26</f>
        <v>19.760000000000002</v>
      </c>
      <c r="D43" s="333">
        <f t="shared" ref="D43:G43" si="48">N26</f>
        <v>-0.06</v>
      </c>
      <c r="E43" s="333" t="str">
        <f t="shared" si="48"/>
        <v>-</v>
      </c>
      <c r="F43" s="333">
        <f t="shared" si="48"/>
        <v>0</v>
      </c>
      <c r="G43" s="334">
        <f t="shared" si="48"/>
        <v>0.1482</v>
      </c>
      <c r="H43" s="296"/>
      <c r="I43" s="296"/>
      <c r="J43" s="296"/>
      <c r="K43" s="296"/>
      <c r="L43" s="352"/>
      <c r="M43" s="409" t="s">
        <v>348</v>
      </c>
      <c r="N43" s="1112" t="s">
        <v>226</v>
      </c>
      <c r="O43" s="1112"/>
      <c r="P43" s="1112"/>
      <c r="Q43" s="1109"/>
      <c r="R43" s="349"/>
      <c r="U43" s="1139"/>
      <c r="V43" s="325">
        <v>7</v>
      </c>
      <c r="W43" s="332">
        <f>AG26</f>
        <v>76.580686999999998</v>
      </c>
      <c r="X43" s="333">
        <f t="shared" ref="X43:AA43" si="49">AH26</f>
        <v>0.1019716</v>
      </c>
      <c r="Y43" s="333" t="str">
        <f t="shared" si="49"/>
        <v>-</v>
      </c>
      <c r="Z43" s="333">
        <f t="shared" si="49"/>
        <v>0</v>
      </c>
      <c r="AA43" s="333">
        <f t="shared" si="49"/>
        <v>3.85E-2</v>
      </c>
      <c r="AB43" s="296"/>
      <c r="AC43" s="296"/>
      <c r="AD43" s="296"/>
      <c r="AE43" s="296"/>
      <c r="AF43" s="320"/>
      <c r="AG43" s="300" t="s">
        <v>349</v>
      </c>
      <c r="AH43" s="1112" t="s">
        <v>226</v>
      </c>
      <c r="AI43" s="1112"/>
      <c r="AJ43" s="345"/>
      <c r="AK43" s="1142"/>
      <c r="AL43" s="299"/>
    </row>
    <row r="44" spans="1:38" ht="15" x14ac:dyDescent="0.2">
      <c r="A44" s="1137"/>
      <c r="B44" s="339">
        <v>8</v>
      </c>
      <c r="C44" s="335">
        <f>M36</f>
        <v>19.760000000000002</v>
      </c>
      <c r="D44" s="336">
        <f>N36</f>
        <v>-0.14000000000000001</v>
      </c>
      <c r="E44" s="336" t="str">
        <f>O36</f>
        <v>-</v>
      </c>
      <c r="F44" s="336">
        <f>P36</f>
        <v>0</v>
      </c>
      <c r="G44" s="337">
        <f>Q36</f>
        <v>0.1482</v>
      </c>
      <c r="H44" s="296"/>
      <c r="I44" s="296"/>
      <c r="J44" s="296"/>
      <c r="K44" s="296"/>
      <c r="L44" s="352"/>
      <c r="M44" s="353" t="s">
        <v>350</v>
      </c>
      <c r="N44" s="411">
        <v>2020</v>
      </c>
      <c r="O44" s="419" t="s">
        <v>103</v>
      </c>
      <c r="P44" s="1112"/>
      <c r="Q44" s="1109"/>
      <c r="R44" s="349"/>
      <c r="U44" s="1139"/>
      <c r="V44" s="325">
        <v>8</v>
      </c>
      <c r="W44" s="335">
        <f>AG36</f>
        <v>76.560293000000001</v>
      </c>
      <c r="X44" s="336">
        <f>AH36</f>
        <v>8.1577297038231994E-2</v>
      </c>
      <c r="Y44" s="336" t="str">
        <f>AI36</f>
        <v>-</v>
      </c>
      <c r="Z44" s="336">
        <f>AJ36</f>
        <v>0</v>
      </c>
      <c r="AA44" s="333">
        <f>AK36</f>
        <v>3.85E-2</v>
      </c>
      <c r="AB44" s="296"/>
      <c r="AC44" s="296"/>
      <c r="AD44" s="296"/>
      <c r="AE44" s="296"/>
      <c r="AF44" s="320"/>
      <c r="AG44" s="301" t="s">
        <v>150</v>
      </c>
      <c r="AH44" s="345">
        <v>2020</v>
      </c>
      <c r="AI44" s="303" t="s">
        <v>103</v>
      </c>
      <c r="AJ44" s="345"/>
      <c r="AK44" s="331"/>
      <c r="AL44" s="299"/>
    </row>
    <row r="45" spans="1:38" x14ac:dyDescent="0.2">
      <c r="A45" s="1137"/>
      <c r="B45" s="339">
        <v>9</v>
      </c>
      <c r="C45" s="335">
        <f>M46</f>
        <v>1.04</v>
      </c>
      <c r="D45" s="337">
        <f t="shared" ref="D45:G45" si="50">N46</f>
        <v>0.01</v>
      </c>
      <c r="E45" s="337" t="str">
        <f t="shared" si="50"/>
        <v>-</v>
      </c>
      <c r="F45" s="337">
        <f t="shared" si="50"/>
        <v>0</v>
      </c>
      <c r="G45" s="337">
        <f t="shared" si="50"/>
        <v>1.2285000000000001E-2</v>
      </c>
      <c r="H45" s="296"/>
      <c r="I45" s="296"/>
      <c r="J45" s="296"/>
      <c r="K45" s="296"/>
      <c r="L45" s="352"/>
      <c r="M45" s="410">
        <v>9.9999999999999995E-7</v>
      </c>
      <c r="N45" s="412">
        <v>9.9999999999999995E-7</v>
      </c>
      <c r="O45" s="413" t="s">
        <v>103</v>
      </c>
      <c r="P45" s="404">
        <v>9.9999999999999995E-7</v>
      </c>
      <c r="Q45" s="412">
        <v>9.9999999999999995E-7</v>
      </c>
      <c r="R45" s="349"/>
      <c r="U45" s="1139"/>
      <c r="V45" s="325">
        <v>9</v>
      </c>
      <c r="W45" s="335">
        <f>AG46</f>
        <v>75.14</v>
      </c>
      <c r="X45" s="336">
        <f t="shared" ref="X45:AA45" si="51">AH46</f>
        <v>0.14000000000000001</v>
      </c>
      <c r="Y45" s="336" t="str">
        <f t="shared" si="51"/>
        <v>-</v>
      </c>
      <c r="Z45" s="336">
        <f t="shared" si="51"/>
        <v>0</v>
      </c>
      <c r="AA45" s="333">
        <f t="shared" si="51"/>
        <v>3.7569999999999999E-2</v>
      </c>
      <c r="AB45" s="296"/>
      <c r="AC45" s="296"/>
      <c r="AD45" s="296"/>
      <c r="AE45" s="296"/>
      <c r="AF45" s="320"/>
      <c r="AG45" s="410">
        <v>1.0000000000000001E-5</v>
      </c>
      <c r="AH45" s="916">
        <v>1.0000000000000001E-5</v>
      </c>
      <c r="AI45" s="403" t="s">
        <v>103</v>
      </c>
      <c r="AJ45" s="916">
        <v>9.9999999999999995E-7</v>
      </c>
      <c r="AK45" s="915">
        <v>3.7569999999999999E-2</v>
      </c>
      <c r="AL45" s="299"/>
    </row>
    <row r="46" spans="1:38" x14ac:dyDescent="0.2">
      <c r="A46" s="1137"/>
      <c r="B46" s="339">
        <v>10</v>
      </c>
      <c r="C46" s="335">
        <f>M56</f>
        <v>0</v>
      </c>
      <c r="D46" s="337" t="str">
        <f t="shared" ref="D46:G46" si="52">N56</f>
        <v>-</v>
      </c>
      <c r="E46" s="337" t="str">
        <f t="shared" si="52"/>
        <v>-</v>
      </c>
      <c r="F46" s="337">
        <f t="shared" si="52"/>
        <v>0</v>
      </c>
      <c r="G46" s="337" t="str">
        <f t="shared" si="52"/>
        <v>-</v>
      </c>
      <c r="H46" s="296"/>
      <c r="I46" s="296"/>
      <c r="J46" s="296"/>
      <c r="K46" s="296"/>
      <c r="L46" s="352"/>
      <c r="M46" s="426">
        <v>1.04</v>
      </c>
      <c r="N46" s="412">
        <v>0.01</v>
      </c>
      <c r="O46" s="414" t="s">
        <v>103</v>
      </c>
      <c r="P46" s="425">
        <f>0.5*(MAX(N46:O46)-MIN(N46:O46))</f>
        <v>0</v>
      </c>
      <c r="Q46" s="414">
        <v>1.2285000000000001E-2</v>
      </c>
      <c r="R46" s="349"/>
      <c r="U46" s="1139"/>
      <c r="V46" s="325">
        <v>10</v>
      </c>
      <c r="W46" s="335">
        <f>AG56</f>
        <v>1.0000000000000001E-5</v>
      </c>
      <c r="X46" s="336" t="str">
        <f t="shared" ref="X46:AA46" si="53">AH56</f>
        <v>-</v>
      </c>
      <c r="Y46" s="336" t="str">
        <f t="shared" si="53"/>
        <v>-</v>
      </c>
      <c r="Z46" s="336">
        <f t="shared" si="53"/>
        <v>0</v>
      </c>
      <c r="AA46" s="333" t="str">
        <f t="shared" si="53"/>
        <v>-</v>
      </c>
      <c r="AB46" s="296"/>
      <c r="AC46" s="296"/>
      <c r="AD46" s="296"/>
      <c r="AE46" s="296"/>
      <c r="AF46" s="320"/>
      <c r="AG46" s="304">
        <v>75.14</v>
      </c>
      <c r="AH46" s="916">
        <v>0.14000000000000001</v>
      </c>
      <c r="AI46" s="406" t="s">
        <v>103</v>
      </c>
      <c r="AJ46" s="915">
        <f>0.5*(MAX(AH46:AI46)-MIN(AH46:AI46))</f>
        <v>0</v>
      </c>
      <c r="AK46" s="915">
        <v>3.7569999999999999E-2</v>
      </c>
      <c r="AL46" s="299"/>
    </row>
    <row r="47" spans="1:38" x14ac:dyDescent="0.2">
      <c r="A47" s="1137"/>
      <c r="B47" s="339">
        <v>11</v>
      </c>
      <c r="C47" s="335">
        <f>M66</f>
        <v>0</v>
      </c>
      <c r="D47" s="337" t="str">
        <f t="shared" ref="D47:G47" si="54">N66</f>
        <v>-</v>
      </c>
      <c r="E47" s="337" t="str">
        <f t="shared" si="54"/>
        <v>-</v>
      </c>
      <c r="F47" s="337">
        <f t="shared" si="54"/>
        <v>0</v>
      </c>
      <c r="G47" s="337" t="str">
        <f t="shared" si="54"/>
        <v>-</v>
      </c>
      <c r="H47" s="296"/>
      <c r="I47" s="296"/>
      <c r="J47" s="296"/>
      <c r="K47" s="296"/>
      <c r="L47" s="352"/>
      <c r="M47" s="426">
        <v>8.2100000000000009</v>
      </c>
      <c r="N47" s="412">
        <v>0.02</v>
      </c>
      <c r="O47" s="414" t="s">
        <v>103</v>
      </c>
      <c r="P47" s="425">
        <f>0.5*(MAX(N47:O47)-MIN(N47:O47))</f>
        <v>0</v>
      </c>
      <c r="Q47" s="414">
        <v>9.6291000000000002E-2</v>
      </c>
      <c r="R47" s="349"/>
      <c r="U47" s="1140"/>
      <c r="V47" s="325">
        <v>11</v>
      </c>
      <c r="W47" s="335">
        <f>AG66</f>
        <v>1.0000000000000001E-5</v>
      </c>
      <c r="X47" s="336" t="str">
        <f t="shared" ref="X47:AA47" si="55">AH66</f>
        <v>-</v>
      </c>
      <c r="Y47" s="336" t="str">
        <f t="shared" si="55"/>
        <v>-</v>
      </c>
      <c r="Z47" s="336">
        <f t="shared" si="55"/>
        <v>0</v>
      </c>
      <c r="AA47" s="333" t="str">
        <f t="shared" si="55"/>
        <v>-</v>
      </c>
      <c r="AB47" s="296"/>
      <c r="AC47" s="296"/>
      <c r="AD47" s="296"/>
      <c r="AE47" s="296"/>
      <c r="AF47" s="320"/>
      <c r="AG47" s="304">
        <v>150.08000000000001</v>
      </c>
      <c r="AH47" s="916">
        <v>0.08</v>
      </c>
      <c r="AI47" s="406" t="s">
        <v>103</v>
      </c>
      <c r="AJ47" s="915">
        <f>0.5*(MAX(AH47:AI47)-MIN(AH47:AI47))</f>
        <v>0</v>
      </c>
      <c r="AK47" s="915">
        <v>7.5039999999999996E-2</v>
      </c>
      <c r="AL47" s="299"/>
    </row>
    <row r="48" spans="1:38" x14ac:dyDescent="0.2">
      <c r="A48" s="1137">
        <v>3</v>
      </c>
      <c r="B48" s="339">
        <v>1</v>
      </c>
      <c r="C48" s="332">
        <f>A7</f>
        <v>19.96</v>
      </c>
      <c r="D48" s="333">
        <f t="shared" ref="D48:G48" si="56">B7</f>
        <v>0.06</v>
      </c>
      <c r="E48" s="333" t="str">
        <f t="shared" si="56"/>
        <v>-</v>
      </c>
      <c r="F48" s="333">
        <f t="shared" si="56"/>
        <v>0</v>
      </c>
      <c r="G48" s="334">
        <f t="shared" si="56"/>
        <v>1.9E-2</v>
      </c>
      <c r="H48" s="296"/>
      <c r="I48" s="296"/>
      <c r="J48" s="296"/>
      <c r="K48" s="296"/>
      <c r="L48" s="296"/>
      <c r="M48" s="426">
        <v>17.920000000000002</v>
      </c>
      <c r="N48" s="412">
        <v>7.0000000000000007E-2</v>
      </c>
      <c r="O48" s="413" t="s">
        <v>103</v>
      </c>
      <c r="P48" s="425">
        <f t="shared" ref="P48:P50" si="57">0.5*(MAX(N48:O48)-MIN(N48:O48))</f>
        <v>0</v>
      </c>
      <c r="Q48" s="414">
        <v>0.210483</v>
      </c>
      <c r="U48" s="1138">
        <v>3</v>
      </c>
      <c r="V48" s="325">
        <v>1</v>
      </c>
      <c r="W48" s="332">
        <f>U7</f>
        <v>101.706495</v>
      </c>
      <c r="X48" s="333">
        <f t="shared" ref="X48:AA48" si="58">V7</f>
        <v>1.0000000000000001E-5</v>
      </c>
      <c r="Y48" s="333">
        <f t="shared" si="58"/>
        <v>-6.0000000000000001E-3</v>
      </c>
      <c r="Z48" s="333">
        <f t="shared" si="58"/>
        <v>3.0049999999999999E-3</v>
      </c>
      <c r="AA48" s="333">
        <f t="shared" si="58"/>
        <v>0.10197100000000001</v>
      </c>
      <c r="AB48" s="296"/>
      <c r="AC48" s="296"/>
      <c r="AD48" s="296"/>
      <c r="AE48" s="296"/>
      <c r="AF48" s="296"/>
      <c r="AG48" s="308" t="s">
        <v>103</v>
      </c>
      <c r="AH48" s="403" t="s">
        <v>103</v>
      </c>
      <c r="AI48" s="403" t="s">
        <v>103</v>
      </c>
      <c r="AJ48" s="915">
        <f t="shared" ref="AJ48:AJ50" si="59">0.5*(MAX(AH48:AI48)-MIN(AH48:AI48))</f>
        <v>0</v>
      </c>
      <c r="AK48" s="405" t="s">
        <v>103</v>
      </c>
    </row>
    <row r="49" spans="1:37" x14ac:dyDescent="0.2">
      <c r="A49" s="1137"/>
      <c r="B49" s="339">
        <v>2</v>
      </c>
      <c r="C49" s="332">
        <f>A17</f>
        <v>202.58</v>
      </c>
      <c r="D49" s="333">
        <f t="shared" ref="D49:G49" si="60">B17</f>
        <v>2.48</v>
      </c>
      <c r="E49" s="333">
        <f t="shared" si="60"/>
        <v>2.66</v>
      </c>
      <c r="F49" s="333">
        <f t="shared" si="60"/>
        <v>9.000000000000008E-2</v>
      </c>
      <c r="G49" s="334">
        <f t="shared" si="60"/>
        <v>0.02</v>
      </c>
      <c r="H49" s="296"/>
      <c r="I49" s="296"/>
      <c r="J49" s="296"/>
      <c r="K49" s="296"/>
      <c r="L49" s="296"/>
      <c r="M49" s="426">
        <v>19.93</v>
      </c>
      <c r="N49" s="412">
        <v>0.02</v>
      </c>
      <c r="O49" s="413" t="s">
        <v>103</v>
      </c>
      <c r="P49" s="425">
        <f t="shared" si="57"/>
        <v>0</v>
      </c>
      <c r="Q49" s="414">
        <v>0.23341500000000001</v>
      </c>
      <c r="U49" s="1139"/>
      <c r="V49" s="325">
        <v>2</v>
      </c>
      <c r="W49" s="332">
        <f>U17</f>
        <v>3505.5048999999999</v>
      </c>
      <c r="X49" s="333">
        <f t="shared" ref="X49:AA49" si="61">V17</f>
        <v>-4.2184169999999996</v>
      </c>
      <c r="Y49" s="333">
        <f t="shared" si="61"/>
        <v>-4.2184100000000004</v>
      </c>
      <c r="Z49" s="333">
        <f t="shared" si="61"/>
        <v>3.4999999996010445E-6</v>
      </c>
      <c r="AA49" s="333">
        <f t="shared" si="61"/>
        <v>2.1752160421755198</v>
      </c>
      <c r="AB49" s="296"/>
      <c r="AC49" s="296"/>
      <c r="AD49" s="296"/>
      <c r="AE49" s="296"/>
      <c r="AF49" s="296"/>
      <c r="AG49" s="308" t="s">
        <v>103</v>
      </c>
      <c r="AH49" s="403" t="s">
        <v>103</v>
      </c>
      <c r="AI49" s="403" t="s">
        <v>103</v>
      </c>
      <c r="AJ49" s="915">
        <f t="shared" si="59"/>
        <v>0</v>
      </c>
      <c r="AK49" s="405" t="s">
        <v>103</v>
      </c>
    </row>
    <row r="50" spans="1:37" ht="13.5" thickBot="1" x14ac:dyDescent="0.25">
      <c r="A50" s="1137"/>
      <c r="B50" s="339">
        <v>3</v>
      </c>
      <c r="C50" s="332">
        <f>G7</f>
        <v>86.66</v>
      </c>
      <c r="D50" s="333">
        <f t="shared" ref="D50:G50" si="62">H7</f>
        <v>-0.39</v>
      </c>
      <c r="E50" s="333">
        <f t="shared" si="62"/>
        <v>-0.38</v>
      </c>
      <c r="F50" s="333">
        <f t="shared" si="62"/>
        <v>5.0000000000000044E-3</v>
      </c>
      <c r="G50" s="334">
        <f t="shared" si="62"/>
        <v>6.5861600000000006E-2</v>
      </c>
      <c r="H50" s="296"/>
      <c r="I50" s="296"/>
      <c r="J50" s="296"/>
      <c r="K50" s="296"/>
      <c r="L50" s="296"/>
      <c r="M50" s="426">
        <v>90.96</v>
      </c>
      <c r="N50" s="412">
        <v>0.09</v>
      </c>
      <c r="O50" s="413" t="s">
        <v>103</v>
      </c>
      <c r="P50" s="425">
        <f t="shared" si="57"/>
        <v>0</v>
      </c>
      <c r="Q50" s="414">
        <v>1.065285</v>
      </c>
      <c r="U50" s="1139"/>
      <c r="V50" s="325">
        <v>3</v>
      </c>
      <c r="W50" s="332">
        <f>AA7</f>
        <v>152.94723478455501</v>
      </c>
      <c r="X50" s="333">
        <f t="shared" ref="X50:AA50" si="63">AB7</f>
        <v>-1.0197162129778999E-2</v>
      </c>
      <c r="Y50" s="333">
        <f t="shared" si="63"/>
        <v>7.0999999999999994E-2</v>
      </c>
      <c r="Z50" s="333">
        <f t="shared" si="63"/>
        <v>4.0598581064889498E-2</v>
      </c>
      <c r="AA50" s="333">
        <f t="shared" si="63"/>
        <v>7.6499999999999999E-2</v>
      </c>
      <c r="AB50" s="296"/>
      <c r="AC50" s="296"/>
      <c r="AD50" s="296"/>
      <c r="AE50" s="296"/>
      <c r="AF50" s="296"/>
      <c r="AG50" s="310" t="s">
        <v>103</v>
      </c>
      <c r="AH50" s="407" t="s">
        <v>103</v>
      </c>
      <c r="AI50" s="407" t="s">
        <v>103</v>
      </c>
      <c r="AJ50" s="919">
        <f t="shared" si="59"/>
        <v>0</v>
      </c>
      <c r="AK50" s="405" t="s">
        <v>103</v>
      </c>
    </row>
    <row r="51" spans="1:37" ht="13.5" thickBot="1" x14ac:dyDescent="0.25">
      <c r="A51" s="1137"/>
      <c r="B51" s="339">
        <v>4</v>
      </c>
      <c r="C51" s="332">
        <f>G17</f>
        <v>100</v>
      </c>
      <c r="D51" s="333">
        <f t="shared" ref="D51:G51" si="64">H17</f>
        <v>0.5</v>
      </c>
      <c r="E51" s="333" t="str">
        <f t="shared" si="64"/>
        <v>-</v>
      </c>
      <c r="F51" s="333">
        <f t="shared" si="64"/>
        <v>0</v>
      </c>
      <c r="G51" s="334">
        <f t="shared" si="64"/>
        <v>1.7000000000000001E-2</v>
      </c>
      <c r="H51" s="296"/>
      <c r="I51" s="296"/>
      <c r="J51" s="296"/>
      <c r="K51" s="296"/>
      <c r="L51" s="296"/>
      <c r="U51" s="1139"/>
      <c r="V51" s="325">
        <v>4</v>
      </c>
      <c r="W51" s="332">
        <f>AA17</f>
        <v>76.267634000000001</v>
      </c>
      <c r="X51" s="333">
        <f t="shared" ref="X51:AA51" si="65">AB17</f>
        <v>7.1380000000000002E-3</v>
      </c>
      <c r="Y51" s="333" t="str">
        <f t="shared" si="65"/>
        <v>-</v>
      </c>
      <c r="Z51" s="333">
        <f t="shared" si="65"/>
        <v>0</v>
      </c>
      <c r="AA51" s="333">
        <f t="shared" si="65"/>
        <v>0.56999999999999995</v>
      </c>
      <c r="AB51" s="296"/>
      <c r="AC51" s="296"/>
      <c r="AD51" s="296"/>
      <c r="AE51" s="296"/>
      <c r="AF51" s="296"/>
    </row>
    <row r="52" spans="1:37" x14ac:dyDescent="0.2">
      <c r="A52" s="1137"/>
      <c r="B52" s="339">
        <v>5</v>
      </c>
      <c r="C52" s="332">
        <f>M7</f>
        <v>7.97</v>
      </c>
      <c r="D52" s="333">
        <f t="shared" ref="D52:G52" si="66">N7</f>
        <v>0.02</v>
      </c>
      <c r="E52" s="333" t="str">
        <f t="shared" si="66"/>
        <v>-</v>
      </c>
      <c r="F52" s="333">
        <f t="shared" si="66"/>
        <v>0</v>
      </c>
      <c r="G52" s="334">
        <f t="shared" si="66"/>
        <v>9.2452000000000006E-2</v>
      </c>
      <c r="H52" s="296"/>
      <c r="I52" s="296"/>
      <c r="J52" s="296"/>
      <c r="K52" s="296"/>
      <c r="L52" s="296"/>
      <c r="M52" s="1145" t="s">
        <v>358</v>
      </c>
      <c r="N52" s="1146"/>
      <c r="O52" s="1146"/>
      <c r="P52" s="1148" t="s">
        <v>227</v>
      </c>
      <c r="Q52" s="1141" t="s">
        <v>344</v>
      </c>
      <c r="U52" s="1139"/>
      <c r="V52" s="325">
        <v>5</v>
      </c>
      <c r="W52" s="332">
        <f>AG7</f>
        <v>152.92684</v>
      </c>
      <c r="X52" s="333">
        <f t="shared" ref="X52:AA52" si="67">AH7</f>
        <v>-3.0591E-2</v>
      </c>
      <c r="Y52" s="333" t="str">
        <f t="shared" si="67"/>
        <v>-</v>
      </c>
      <c r="Z52" s="333">
        <f t="shared" si="67"/>
        <v>0</v>
      </c>
      <c r="AA52" s="333">
        <f t="shared" si="67"/>
        <v>0.36720000000000003</v>
      </c>
      <c r="AB52" s="296"/>
      <c r="AC52" s="296"/>
      <c r="AD52" s="296"/>
      <c r="AE52" s="296"/>
      <c r="AF52" s="296"/>
      <c r="AG52" s="1143" t="str">
        <f>M52</f>
        <v>10. KOREKSI VT900A 5101035-5102036</v>
      </c>
      <c r="AH52" s="1144"/>
      <c r="AI52" s="1144"/>
      <c r="AJ52" s="297" t="s">
        <v>227</v>
      </c>
      <c r="AK52" s="1141" t="s">
        <v>347</v>
      </c>
    </row>
    <row r="53" spans="1:37" ht="25.5" x14ac:dyDescent="0.2">
      <c r="A53" s="1137"/>
      <c r="B53" s="339">
        <v>6</v>
      </c>
      <c r="C53" s="332">
        <f>M17</f>
        <v>8.14</v>
      </c>
      <c r="D53" s="333">
        <f t="shared" ref="D53:G53" si="68">N17</f>
        <v>0.05</v>
      </c>
      <c r="E53" s="333" t="str">
        <f t="shared" si="68"/>
        <v>-</v>
      </c>
      <c r="F53" s="333">
        <f t="shared" si="68"/>
        <v>0</v>
      </c>
      <c r="G53" s="334">
        <f t="shared" si="68"/>
        <v>9.4423999999999994E-2</v>
      </c>
      <c r="H53" s="296"/>
      <c r="I53" s="296"/>
      <c r="J53" s="296"/>
      <c r="K53" s="296"/>
      <c r="L53" s="296"/>
      <c r="M53" s="300" t="s">
        <v>348</v>
      </c>
      <c r="N53" s="1112" t="s">
        <v>226</v>
      </c>
      <c r="O53" s="1112"/>
      <c r="P53" s="1115"/>
      <c r="Q53" s="1147"/>
      <c r="U53" s="1139"/>
      <c r="V53" s="325">
        <v>6</v>
      </c>
      <c r="W53" s="332">
        <f>AG17</f>
        <v>152.95743100000001</v>
      </c>
      <c r="X53" s="333">
        <f t="shared" ref="X53:AA53" si="69">AH17</f>
        <v>1.0000000000000001E-5</v>
      </c>
      <c r="Y53" s="333" t="str">
        <f t="shared" si="69"/>
        <v>-</v>
      </c>
      <c r="Z53" s="333">
        <f t="shared" si="69"/>
        <v>0</v>
      </c>
      <c r="AA53" s="333">
        <f t="shared" si="69"/>
        <v>0.36720000000000003</v>
      </c>
      <c r="AB53" s="296"/>
      <c r="AC53" s="296"/>
      <c r="AD53" s="296"/>
      <c r="AE53" s="296"/>
      <c r="AF53" s="296"/>
      <c r="AG53" s="300" t="s">
        <v>349</v>
      </c>
      <c r="AH53" s="1112" t="s">
        <v>226</v>
      </c>
      <c r="AI53" s="1112"/>
      <c r="AJ53" s="345"/>
      <c r="AK53" s="1142"/>
    </row>
    <row r="54" spans="1:37" ht="15" x14ac:dyDescent="0.2">
      <c r="A54" s="1137"/>
      <c r="B54" s="339">
        <v>7</v>
      </c>
      <c r="C54" s="332">
        <f>M27</f>
        <v>90.96</v>
      </c>
      <c r="D54" s="333">
        <f t="shared" ref="D54:G54" si="70">N27</f>
        <v>-0.2</v>
      </c>
      <c r="E54" s="333" t="str">
        <f t="shared" si="70"/>
        <v>-</v>
      </c>
      <c r="F54" s="333">
        <f t="shared" si="70"/>
        <v>0</v>
      </c>
      <c r="G54" s="334">
        <f t="shared" si="70"/>
        <v>0.6825</v>
      </c>
      <c r="H54" s="296"/>
      <c r="I54" s="296"/>
      <c r="J54" s="296"/>
      <c r="K54" s="296"/>
      <c r="L54" s="296"/>
      <c r="M54" s="301" t="s">
        <v>350</v>
      </c>
      <c r="N54" s="411" t="s">
        <v>103</v>
      </c>
      <c r="O54" s="419" t="s">
        <v>103</v>
      </c>
      <c r="P54" s="1116"/>
      <c r="Q54" s="1142"/>
      <c r="U54" s="1139"/>
      <c r="V54" s="325">
        <v>7</v>
      </c>
      <c r="W54" s="332">
        <f>AG27</f>
        <v>152.988023</v>
      </c>
      <c r="X54" s="333">
        <f t="shared" ref="X54:AA54" si="71">AH27</f>
        <v>3.0591400000000001E-2</v>
      </c>
      <c r="Y54" s="333" t="str">
        <f t="shared" si="71"/>
        <v>-</v>
      </c>
      <c r="Z54" s="333">
        <f t="shared" si="71"/>
        <v>0</v>
      </c>
      <c r="AA54" s="333">
        <f t="shared" si="71"/>
        <v>7.6499999999999999E-2</v>
      </c>
      <c r="AB54" s="296"/>
      <c r="AC54" s="296"/>
      <c r="AD54" s="296"/>
      <c r="AE54" s="296"/>
      <c r="AF54" s="296"/>
      <c r="AG54" s="301" t="s">
        <v>150</v>
      </c>
      <c r="AH54" s="345" t="s">
        <v>103</v>
      </c>
      <c r="AI54" s="303" t="s">
        <v>103</v>
      </c>
      <c r="AJ54" s="345"/>
      <c r="AK54" s="331"/>
    </row>
    <row r="55" spans="1:37" x14ac:dyDescent="0.2">
      <c r="A55" s="1137"/>
      <c r="B55" s="339">
        <v>8</v>
      </c>
      <c r="C55" s="335">
        <f>M37</f>
        <v>90.96</v>
      </c>
      <c r="D55" s="336">
        <f>N37</f>
        <v>-0.21</v>
      </c>
      <c r="E55" s="336" t="str">
        <f>O37</f>
        <v>-</v>
      </c>
      <c r="F55" s="336">
        <f>P37</f>
        <v>0</v>
      </c>
      <c r="G55" s="337">
        <f>Q37</f>
        <v>0.68220000000000003</v>
      </c>
      <c r="H55" s="296"/>
      <c r="I55" s="296"/>
      <c r="J55" s="296"/>
      <c r="K55" s="296"/>
      <c r="L55" s="296"/>
      <c r="M55" s="304">
        <v>0</v>
      </c>
      <c r="N55" s="414" t="s">
        <v>103</v>
      </c>
      <c r="O55" s="413" t="s">
        <v>103</v>
      </c>
      <c r="P55" s="405">
        <f>0.5*(MAX(N55:O55)-MIN(N55:O55))</f>
        <v>0</v>
      </c>
      <c r="Q55" s="417" t="s">
        <v>103</v>
      </c>
      <c r="U55" s="1139"/>
      <c r="V55" s="325">
        <v>8</v>
      </c>
      <c r="W55" s="335">
        <f>AG37</f>
        <v>152.99822</v>
      </c>
      <c r="X55" s="336">
        <f>AH37</f>
        <v>4.0788648519115997E-2</v>
      </c>
      <c r="Y55" s="336" t="str">
        <f>AI37</f>
        <v>-</v>
      </c>
      <c r="Z55" s="336">
        <f>AJ37</f>
        <v>0</v>
      </c>
      <c r="AA55" s="333">
        <f>AK37</f>
        <v>7.6499999999999999E-2</v>
      </c>
      <c r="AB55" s="296"/>
      <c r="AC55" s="296"/>
      <c r="AD55" s="296"/>
      <c r="AE55" s="296"/>
      <c r="AF55" s="296"/>
      <c r="AG55" s="304">
        <v>1.0000000000000001E-5</v>
      </c>
      <c r="AH55" s="307" t="s">
        <v>103</v>
      </c>
      <c r="AI55" s="305" t="s">
        <v>103</v>
      </c>
      <c r="AJ55" s="915">
        <f>0.5*(MAX(AH55:AI55)-MIN(AH55:AI55))</f>
        <v>0</v>
      </c>
      <c r="AK55" s="306" t="s">
        <v>103</v>
      </c>
    </row>
    <row r="56" spans="1:37" x14ac:dyDescent="0.2">
      <c r="A56" s="1137"/>
      <c r="B56" s="339">
        <v>9</v>
      </c>
      <c r="C56" s="335">
        <f>M47</f>
        <v>8.2100000000000009</v>
      </c>
      <c r="D56" s="337">
        <f t="shared" ref="D56:G56" si="72">N47</f>
        <v>0.02</v>
      </c>
      <c r="E56" s="337" t="str">
        <f t="shared" si="72"/>
        <v>-</v>
      </c>
      <c r="F56" s="337">
        <f t="shared" si="72"/>
        <v>0</v>
      </c>
      <c r="G56" s="337">
        <f t="shared" si="72"/>
        <v>9.6291000000000002E-2</v>
      </c>
      <c r="H56" s="296"/>
      <c r="I56" s="296"/>
      <c r="J56" s="296"/>
      <c r="K56" s="296"/>
      <c r="L56" s="296"/>
      <c r="M56" s="304">
        <v>0</v>
      </c>
      <c r="N56" s="414" t="s">
        <v>103</v>
      </c>
      <c r="O56" s="414" t="s">
        <v>103</v>
      </c>
      <c r="P56" s="405">
        <f>0.5*(MAX(N56:O56)-MIN(N56:O56))</f>
        <v>0</v>
      </c>
      <c r="Q56" s="417" t="s">
        <v>103</v>
      </c>
      <c r="U56" s="1139"/>
      <c r="V56" s="325">
        <v>9</v>
      </c>
      <c r="W56" s="335">
        <f>AG47</f>
        <v>150.08000000000001</v>
      </c>
      <c r="X56" s="336">
        <f t="shared" ref="X56:AA56" si="73">AH47</f>
        <v>0.08</v>
      </c>
      <c r="Y56" s="336" t="str">
        <f t="shared" si="73"/>
        <v>-</v>
      </c>
      <c r="Z56" s="336">
        <f t="shared" si="73"/>
        <v>0</v>
      </c>
      <c r="AA56" s="333">
        <f t="shared" si="73"/>
        <v>7.5039999999999996E-2</v>
      </c>
      <c r="AB56" s="296"/>
      <c r="AC56" s="296"/>
      <c r="AD56" s="296"/>
      <c r="AE56" s="296"/>
      <c r="AF56" s="296"/>
      <c r="AG56" s="304">
        <v>1.0000000000000001E-5</v>
      </c>
      <c r="AH56" s="307" t="s">
        <v>103</v>
      </c>
      <c r="AI56" s="307" t="s">
        <v>103</v>
      </c>
      <c r="AJ56" s="915">
        <f>0.5*(MAX(AH56:AI56)-MIN(AH56:AI56))</f>
        <v>0</v>
      </c>
      <c r="AK56" s="306" t="s">
        <v>103</v>
      </c>
    </row>
    <row r="57" spans="1:37" x14ac:dyDescent="0.2">
      <c r="A57" s="1137"/>
      <c r="B57" s="339">
        <v>10</v>
      </c>
      <c r="C57" s="335">
        <f>M57</f>
        <v>0</v>
      </c>
      <c r="D57" s="337" t="str">
        <f t="shared" ref="D57:G57" si="74">N57</f>
        <v>-</v>
      </c>
      <c r="E57" s="337" t="str">
        <f t="shared" si="74"/>
        <v>-</v>
      </c>
      <c r="F57" s="337">
        <f t="shared" si="74"/>
        <v>0</v>
      </c>
      <c r="G57" s="337" t="str">
        <f t="shared" si="74"/>
        <v>-</v>
      </c>
      <c r="H57" s="296"/>
      <c r="I57" s="296"/>
      <c r="J57" s="296"/>
      <c r="K57" s="296"/>
      <c r="L57" s="296"/>
      <c r="M57" s="304">
        <v>0</v>
      </c>
      <c r="N57" s="414" t="s">
        <v>103</v>
      </c>
      <c r="O57" s="414" t="s">
        <v>103</v>
      </c>
      <c r="P57" s="405">
        <f>0.5*(MAX(N57:O57)-MIN(N57:O57))</f>
        <v>0</v>
      </c>
      <c r="Q57" s="417" t="s">
        <v>103</v>
      </c>
      <c r="U57" s="1139"/>
      <c r="V57" s="325">
        <v>10</v>
      </c>
      <c r="W57" s="335">
        <f>AG57</f>
        <v>1.0000000000000001E-5</v>
      </c>
      <c r="X57" s="336" t="str">
        <f t="shared" ref="X57:AA57" si="75">AH57</f>
        <v>-</v>
      </c>
      <c r="Y57" s="336" t="str">
        <f t="shared" si="75"/>
        <v>-</v>
      </c>
      <c r="Z57" s="336">
        <f t="shared" si="75"/>
        <v>0</v>
      </c>
      <c r="AA57" s="333" t="str">
        <f t="shared" si="75"/>
        <v>-</v>
      </c>
      <c r="AB57" s="296"/>
      <c r="AC57" s="296"/>
      <c r="AD57" s="296"/>
      <c r="AE57" s="296"/>
      <c r="AF57" s="296"/>
      <c r="AG57" s="304">
        <v>1.0000000000000001E-5</v>
      </c>
      <c r="AH57" s="307" t="s">
        <v>103</v>
      </c>
      <c r="AI57" s="307" t="s">
        <v>103</v>
      </c>
      <c r="AJ57" s="915">
        <f>0.5*(MAX(AH57:AI57)-MIN(AH57:AI57))</f>
        <v>0</v>
      </c>
      <c r="AK57" s="306" t="s">
        <v>103</v>
      </c>
    </row>
    <row r="58" spans="1:37" x14ac:dyDescent="0.2">
      <c r="A58" s="1137"/>
      <c r="B58" s="339">
        <v>11</v>
      </c>
      <c r="C58" s="335">
        <f>M67</f>
        <v>0</v>
      </c>
      <c r="D58" s="337" t="str">
        <f t="shared" ref="D58:G58" si="76">N67</f>
        <v>-</v>
      </c>
      <c r="E58" s="337" t="str">
        <f t="shared" si="76"/>
        <v>-</v>
      </c>
      <c r="F58" s="337">
        <f t="shared" si="76"/>
        <v>0</v>
      </c>
      <c r="G58" s="337" t="str">
        <f t="shared" si="76"/>
        <v>-</v>
      </c>
      <c r="H58" s="296"/>
      <c r="I58" s="296"/>
      <c r="J58" s="296"/>
      <c r="K58" s="296"/>
      <c r="L58" s="296"/>
      <c r="M58" s="304">
        <v>0</v>
      </c>
      <c r="N58" s="414" t="s">
        <v>103</v>
      </c>
      <c r="O58" s="413" t="s">
        <v>103</v>
      </c>
      <c r="P58" s="405">
        <f t="shared" ref="P58:P60" si="77">0.5*(MAX(N58:O58)-MIN(N58:O58))</f>
        <v>0</v>
      </c>
      <c r="Q58" s="417" t="s">
        <v>103</v>
      </c>
      <c r="U58" s="1140"/>
      <c r="V58" s="325">
        <v>11</v>
      </c>
      <c r="W58" s="335">
        <f>AG67</f>
        <v>1.0000000000000001E-5</v>
      </c>
      <c r="X58" s="336" t="str">
        <f t="shared" ref="X58:AA58" si="78">AH67</f>
        <v>-</v>
      </c>
      <c r="Y58" s="336" t="str">
        <f t="shared" si="78"/>
        <v>-</v>
      </c>
      <c r="Z58" s="336">
        <f t="shared" si="78"/>
        <v>0</v>
      </c>
      <c r="AA58" s="333" t="str">
        <f t="shared" si="78"/>
        <v>-</v>
      </c>
      <c r="AB58" s="296"/>
      <c r="AC58" s="296"/>
      <c r="AD58" s="296"/>
      <c r="AE58" s="296"/>
      <c r="AF58" s="296"/>
      <c r="AG58" s="304">
        <v>1.0000000000000001E-5</v>
      </c>
      <c r="AH58" s="305" t="s">
        <v>103</v>
      </c>
      <c r="AI58" s="305" t="s">
        <v>103</v>
      </c>
      <c r="AJ58" s="915">
        <f t="shared" ref="AJ58:AJ60" si="79">0.5*(MAX(AH58:AI58)-MIN(AH58:AI58))</f>
        <v>0</v>
      </c>
      <c r="AK58" s="309" t="s">
        <v>103</v>
      </c>
    </row>
    <row r="59" spans="1:37" x14ac:dyDescent="0.2">
      <c r="A59" s="1137">
        <v>4</v>
      </c>
      <c r="B59" s="339">
        <v>1</v>
      </c>
      <c r="C59" s="332">
        <f>A8</f>
        <v>30.1</v>
      </c>
      <c r="D59" s="333">
        <f t="shared" ref="D59:G59" si="80">B8</f>
        <v>0.1</v>
      </c>
      <c r="E59" s="333" t="str">
        <f t="shared" si="80"/>
        <v>-</v>
      </c>
      <c r="F59" s="333">
        <f t="shared" si="80"/>
        <v>0</v>
      </c>
      <c r="G59" s="334">
        <f t="shared" si="80"/>
        <v>1.9E-2</v>
      </c>
      <c r="H59" s="296"/>
      <c r="I59" s="296"/>
      <c r="J59" s="296"/>
      <c r="K59" s="296"/>
      <c r="L59" s="296"/>
      <c r="M59" s="304">
        <v>0</v>
      </c>
      <c r="N59" s="414" t="s">
        <v>103</v>
      </c>
      <c r="O59" s="413" t="s">
        <v>103</v>
      </c>
      <c r="P59" s="405">
        <f t="shared" si="77"/>
        <v>0</v>
      </c>
      <c r="Q59" s="417" t="s">
        <v>103</v>
      </c>
      <c r="U59" s="1138">
        <v>4</v>
      </c>
      <c r="V59" s="325">
        <v>1</v>
      </c>
      <c r="W59" s="332">
        <f>U8</f>
        <v>152.55668299999999</v>
      </c>
      <c r="X59" s="333">
        <f t="shared" ref="X59:AA59" si="81">V8</f>
        <v>-7.1380000000000002E-3</v>
      </c>
      <c r="Y59" s="333">
        <f t="shared" si="81"/>
        <v>-3.0000000000000001E-3</v>
      </c>
      <c r="Z59" s="333">
        <f t="shared" si="81"/>
        <v>2.0690000000000001E-3</v>
      </c>
      <c r="AA59" s="333">
        <f t="shared" si="81"/>
        <v>0.10197100000000001</v>
      </c>
      <c r="AB59" s="296"/>
      <c r="AC59" s="296"/>
      <c r="AD59" s="296"/>
      <c r="AE59" s="296"/>
      <c r="AF59" s="296"/>
      <c r="AG59" s="304">
        <v>1.0000000000000001E-5</v>
      </c>
      <c r="AH59" s="305" t="s">
        <v>103</v>
      </c>
      <c r="AI59" s="305" t="s">
        <v>103</v>
      </c>
      <c r="AJ59" s="915">
        <f t="shared" si="79"/>
        <v>0</v>
      </c>
      <c r="AK59" s="309" t="s">
        <v>103</v>
      </c>
    </row>
    <row r="60" spans="1:37" ht="13.5" thickBot="1" x14ac:dyDescent="0.25">
      <c r="A60" s="1137"/>
      <c r="B60" s="339">
        <v>2</v>
      </c>
      <c r="C60" s="332">
        <f>A18</f>
        <v>302.32</v>
      </c>
      <c r="D60" s="333">
        <f t="shared" ref="D60:G60" si="82">B18</f>
        <v>3.32</v>
      </c>
      <c r="E60" s="333">
        <f t="shared" si="82"/>
        <v>3.24</v>
      </c>
      <c r="F60" s="333">
        <f t="shared" si="82"/>
        <v>3.9999999999999813E-2</v>
      </c>
      <c r="G60" s="334">
        <f t="shared" si="82"/>
        <v>0.02</v>
      </c>
      <c r="H60" s="296"/>
      <c r="I60" s="296"/>
      <c r="J60" s="296"/>
      <c r="K60" s="296"/>
      <c r="L60" s="296"/>
      <c r="M60" s="310">
        <v>0</v>
      </c>
      <c r="N60" s="418" t="s">
        <v>103</v>
      </c>
      <c r="O60" s="418" t="s">
        <v>103</v>
      </c>
      <c r="P60" s="408">
        <f t="shared" si="77"/>
        <v>0</v>
      </c>
      <c r="Q60" s="420" t="s">
        <v>103</v>
      </c>
      <c r="U60" s="1139"/>
      <c r="V60" s="325">
        <v>2</v>
      </c>
      <c r="W60" s="332">
        <f>U18</f>
        <v>5258.2573700000003</v>
      </c>
      <c r="X60" s="333">
        <f t="shared" ref="X60:AA60" si="83">V18</f>
        <v>-6.3276262000000001</v>
      </c>
      <c r="Y60" s="333">
        <f t="shared" si="83"/>
        <v>-6.3276260000000004</v>
      </c>
      <c r="Z60" s="333">
        <f t="shared" si="83"/>
        <v>9.9999999836342113E-8</v>
      </c>
      <c r="AA60" s="333">
        <f t="shared" si="83"/>
        <v>2.1752160421755198</v>
      </c>
      <c r="AB60" s="296"/>
      <c r="AC60" s="296"/>
      <c r="AD60" s="296"/>
      <c r="AE60" s="296"/>
      <c r="AF60" s="296"/>
      <c r="AG60" s="304">
        <v>1.0000000000000001E-5</v>
      </c>
      <c r="AH60" s="311" t="s">
        <v>103</v>
      </c>
      <c r="AI60" s="311" t="s">
        <v>103</v>
      </c>
      <c r="AJ60" s="919">
        <f t="shared" si="79"/>
        <v>0</v>
      </c>
      <c r="AK60" s="312" t="s">
        <v>103</v>
      </c>
    </row>
    <row r="61" spans="1:37" ht="13.5" thickBot="1" x14ac:dyDescent="0.25">
      <c r="A61" s="1137"/>
      <c r="B61" s="339">
        <v>3</v>
      </c>
      <c r="C61" s="332">
        <f>G8</f>
        <v>154.82</v>
      </c>
      <c r="D61" s="333">
        <f t="shared" ref="D61:G61" si="84">H8</f>
        <v>-0.66</v>
      </c>
      <c r="E61" s="333">
        <f t="shared" si="84"/>
        <v>0.24</v>
      </c>
      <c r="F61" s="333">
        <f t="shared" si="84"/>
        <v>0.45</v>
      </c>
      <c r="G61" s="334">
        <f t="shared" si="84"/>
        <v>1.1766319999999999</v>
      </c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U61" s="1139"/>
      <c r="V61" s="325">
        <v>3</v>
      </c>
      <c r="W61" s="332" t="str">
        <f>AA8</f>
        <v>-</v>
      </c>
      <c r="X61" s="333" t="str">
        <f t="shared" ref="X61:AA61" si="85">AB8</f>
        <v>-</v>
      </c>
      <c r="Y61" s="333" t="str">
        <f t="shared" si="85"/>
        <v>-</v>
      </c>
      <c r="Z61" s="333">
        <f t="shared" si="85"/>
        <v>0</v>
      </c>
      <c r="AA61" s="333" t="str">
        <f t="shared" si="85"/>
        <v>-</v>
      </c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</row>
    <row r="62" spans="1:37" ht="12.75" customHeight="1" x14ac:dyDescent="0.2">
      <c r="A62" s="1137"/>
      <c r="B62" s="339">
        <v>4</v>
      </c>
      <c r="C62" s="332">
        <f>G18</f>
        <v>150.59</v>
      </c>
      <c r="D62" s="333">
        <f t="shared" ref="D62:G62" si="86">H18</f>
        <v>0.49</v>
      </c>
      <c r="E62" s="333" t="str">
        <f t="shared" si="86"/>
        <v>-</v>
      </c>
      <c r="F62" s="333">
        <f t="shared" si="86"/>
        <v>0</v>
      </c>
      <c r="G62" s="334">
        <f t="shared" si="86"/>
        <v>1.7000000000000001E-2</v>
      </c>
      <c r="H62" s="296"/>
      <c r="I62" s="296"/>
      <c r="J62" s="296"/>
      <c r="K62" s="296"/>
      <c r="L62" s="296"/>
      <c r="M62" s="1157" t="s">
        <v>359</v>
      </c>
      <c r="N62" s="1158"/>
      <c r="O62" s="1158"/>
      <c r="P62" s="1148" t="s">
        <v>227</v>
      </c>
      <c r="Q62" s="1141" t="s">
        <v>347</v>
      </c>
      <c r="U62" s="1139"/>
      <c r="V62" s="325">
        <v>4</v>
      </c>
      <c r="W62" s="332">
        <f>AA18</f>
        <v>111.864907</v>
      </c>
      <c r="X62" s="333">
        <f t="shared" ref="X62:AA62" si="87">AB18</f>
        <v>8.1577000000000004E-3</v>
      </c>
      <c r="Y62" s="333" t="str">
        <f t="shared" si="87"/>
        <v>-</v>
      </c>
      <c r="Z62" s="333">
        <f t="shared" si="87"/>
        <v>0</v>
      </c>
      <c r="AA62" s="333">
        <f t="shared" si="87"/>
        <v>0.84</v>
      </c>
      <c r="AB62" s="296"/>
      <c r="AC62" s="296"/>
      <c r="AD62" s="296"/>
      <c r="AE62" s="296"/>
      <c r="AF62" s="296"/>
      <c r="AG62" s="1143" t="str">
        <f>M62</f>
        <v>11. KOREKSI VT900A 510175-5102038</v>
      </c>
      <c r="AH62" s="1144"/>
      <c r="AI62" s="1144"/>
      <c r="AJ62" s="297" t="s">
        <v>227</v>
      </c>
      <c r="AK62" s="1141" t="s">
        <v>347</v>
      </c>
    </row>
    <row r="63" spans="1:37" ht="25.5" x14ac:dyDescent="0.2">
      <c r="A63" s="1137"/>
      <c r="B63" s="339">
        <v>5</v>
      </c>
      <c r="C63" s="332">
        <f>M8</f>
        <v>19.829999999999998</v>
      </c>
      <c r="D63" s="333">
        <f t="shared" ref="D63:G63" si="88">N8</f>
        <v>0.09</v>
      </c>
      <c r="E63" s="333" t="str">
        <f t="shared" si="88"/>
        <v>-</v>
      </c>
      <c r="F63" s="333">
        <f t="shared" si="88"/>
        <v>0</v>
      </c>
      <c r="G63" s="334">
        <f t="shared" si="88"/>
        <v>0.148725</v>
      </c>
      <c r="H63" s="296"/>
      <c r="I63" s="296"/>
      <c r="J63" s="296"/>
      <c r="K63" s="296"/>
      <c r="L63" s="296"/>
      <c r="M63" s="300" t="s">
        <v>348</v>
      </c>
      <c r="N63" s="1112" t="s">
        <v>226</v>
      </c>
      <c r="O63" s="1112"/>
      <c r="P63" s="1115"/>
      <c r="Q63" s="1147"/>
      <c r="U63" s="1139"/>
      <c r="V63" s="325">
        <v>5</v>
      </c>
      <c r="W63" s="332" t="str">
        <f>AG8</f>
        <v>-</v>
      </c>
      <c r="X63" s="333" t="str">
        <f t="shared" ref="X63:AA63" si="89">AH8</f>
        <v>-</v>
      </c>
      <c r="Y63" s="333" t="str">
        <f t="shared" si="89"/>
        <v>-</v>
      </c>
      <c r="Z63" s="333">
        <f t="shared" si="89"/>
        <v>0</v>
      </c>
      <c r="AA63" s="333" t="str">
        <f t="shared" si="89"/>
        <v>-</v>
      </c>
      <c r="AB63" s="296"/>
      <c r="AC63" s="296"/>
      <c r="AD63" s="296"/>
      <c r="AE63" s="296"/>
      <c r="AF63" s="296"/>
      <c r="AG63" s="338" t="s">
        <v>349</v>
      </c>
      <c r="AH63" s="1112" t="s">
        <v>226</v>
      </c>
      <c r="AI63" s="1112"/>
      <c r="AJ63" s="345"/>
      <c r="AK63" s="1142"/>
    </row>
    <row r="64" spans="1:37" ht="15" x14ac:dyDescent="0.2">
      <c r="A64" s="1137"/>
      <c r="B64" s="339">
        <v>6</v>
      </c>
      <c r="C64" s="332">
        <f>M18</f>
        <v>19.71</v>
      </c>
      <c r="D64" s="333">
        <f t="shared" ref="D64:G64" si="90">N18</f>
        <v>0.18</v>
      </c>
      <c r="E64" s="333" t="str">
        <f t="shared" si="90"/>
        <v>-</v>
      </c>
      <c r="F64" s="333">
        <f t="shared" si="90"/>
        <v>0</v>
      </c>
      <c r="G64" s="334">
        <f t="shared" si="90"/>
        <v>0.14782500000000001</v>
      </c>
      <c r="H64" s="296"/>
      <c r="I64" s="296"/>
      <c r="J64" s="296"/>
      <c r="K64" s="296"/>
      <c r="L64" s="296"/>
      <c r="M64" s="301" t="s">
        <v>350</v>
      </c>
      <c r="N64" s="411" t="s">
        <v>103</v>
      </c>
      <c r="O64" s="419" t="s">
        <v>103</v>
      </c>
      <c r="P64" s="1116"/>
      <c r="Q64" s="1142"/>
      <c r="U64" s="1139"/>
      <c r="V64" s="325">
        <v>6</v>
      </c>
      <c r="W64" s="332" t="str">
        <f>AG18</f>
        <v>-</v>
      </c>
      <c r="X64" s="333" t="str">
        <f t="shared" ref="X64:AA64" si="91">AH18</f>
        <v>-</v>
      </c>
      <c r="Y64" s="333" t="str">
        <f t="shared" si="91"/>
        <v>-</v>
      </c>
      <c r="Z64" s="333">
        <f t="shared" si="91"/>
        <v>0</v>
      </c>
      <c r="AA64" s="333" t="str">
        <f t="shared" si="91"/>
        <v>-</v>
      </c>
      <c r="AB64" s="296"/>
      <c r="AC64" s="296"/>
      <c r="AD64" s="296"/>
      <c r="AE64" s="296"/>
      <c r="AF64" s="296"/>
      <c r="AG64" s="301" t="s">
        <v>150</v>
      </c>
      <c r="AH64" s="345">
        <v>2019</v>
      </c>
      <c r="AI64" s="303" t="s">
        <v>103</v>
      </c>
      <c r="AJ64" s="345"/>
      <c r="AK64" s="331"/>
    </row>
    <row r="65" spans="1:37" x14ac:dyDescent="0.2">
      <c r="A65" s="1137"/>
      <c r="B65" s="339">
        <v>7</v>
      </c>
      <c r="C65" s="332">
        <f>M28</f>
        <v>161.02000000000001</v>
      </c>
      <c r="D65" s="333">
        <f t="shared" ref="D65:G65" si="92">N28</f>
        <v>-0.61</v>
      </c>
      <c r="E65" s="333" t="str">
        <f t="shared" si="92"/>
        <v>-</v>
      </c>
      <c r="F65" s="333">
        <f t="shared" si="92"/>
        <v>0</v>
      </c>
      <c r="G65" s="334">
        <f t="shared" si="92"/>
        <v>1.2075</v>
      </c>
      <c r="H65" s="296"/>
      <c r="I65" s="296"/>
      <c r="J65" s="296"/>
      <c r="K65" s="296"/>
      <c r="L65" s="296"/>
      <c r="M65" s="304">
        <v>0</v>
      </c>
      <c r="N65" s="414" t="s">
        <v>103</v>
      </c>
      <c r="O65" s="413" t="s">
        <v>103</v>
      </c>
      <c r="P65" s="405">
        <f>0.5*(MAX(N65:O65)-MIN(N65:O65))</f>
        <v>0</v>
      </c>
      <c r="Q65" s="417" t="s">
        <v>103</v>
      </c>
      <c r="U65" s="1139"/>
      <c r="V65" s="325">
        <v>7</v>
      </c>
      <c r="W65" s="332" t="str">
        <f>AG28</f>
        <v>-</v>
      </c>
      <c r="X65" s="333" t="str">
        <f t="shared" ref="X65:AA65" si="93">AH28</f>
        <v>-</v>
      </c>
      <c r="Y65" s="333" t="str">
        <f t="shared" si="93"/>
        <v>-</v>
      </c>
      <c r="Z65" s="333">
        <f t="shared" si="93"/>
        <v>0</v>
      </c>
      <c r="AA65" s="333" t="str">
        <f t="shared" si="93"/>
        <v>-</v>
      </c>
      <c r="AB65" s="296"/>
      <c r="AC65" s="296"/>
      <c r="AD65" s="296"/>
      <c r="AE65" s="296"/>
      <c r="AF65" s="296"/>
      <c r="AG65" s="304">
        <v>1.0000000000000001E-5</v>
      </c>
      <c r="AH65" s="307" t="s">
        <v>103</v>
      </c>
      <c r="AI65" s="305" t="s">
        <v>103</v>
      </c>
      <c r="AJ65" s="915">
        <f>0.5*(MAX(AH65:AI65)-MIN(AH65:AI65))</f>
        <v>0</v>
      </c>
      <c r="AK65" s="306" t="s">
        <v>103</v>
      </c>
    </row>
    <row r="66" spans="1:37" x14ac:dyDescent="0.2">
      <c r="A66" s="1137"/>
      <c r="B66" s="339">
        <v>8</v>
      </c>
      <c r="C66" s="335">
        <f>M38</f>
        <v>161.02000000000001</v>
      </c>
      <c r="D66" s="336">
        <f>N38</f>
        <v>-0.12</v>
      </c>
      <c r="E66" s="336" t="str">
        <f>O38</f>
        <v>-</v>
      </c>
      <c r="F66" s="336">
        <f>P38</f>
        <v>0</v>
      </c>
      <c r="G66" s="337">
        <f>Q38</f>
        <v>1.2076499999999999</v>
      </c>
      <c r="H66" s="296"/>
      <c r="I66" s="296"/>
      <c r="J66" s="296"/>
      <c r="K66" s="296"/>
      <c r="L66" s="296"/>
      <c r="M66" s="304">
        <v>0</v>
      </c>
      <c r="N66" s="414" t="s">
        <v>103</v>
      </c>
      <c r="O66" s="414" t="s">
        <v>103</v>
      </c>
      <c r="P66" s="405">
        <f>0.5*(MAX(N66:O66)-MIN(N66:O66))</f>
        <v>0</v>
      </c>
      <c r="Q66" s="417" t="s">
        <v>103</v>
      </c>
      <c r="U66" s="1139"/>
      <c r="V66" s="325">
        <v>8</v>
      </c>
      <c r="W66" s="335" t="str">
        <f>AG38</f>
        <v>-</v>
      </c>
      <c r="X66" s="336" t="str">
        <f>AH38</f>
        <v>-</v>
      </c>
      <c r="Y66" s="336" t="str">
        <f>AI38</f>
        <v>-</v>
      </c>
      <c r="Z66" s="336">
        <f>AJ38</f>
        <v>0</v>
      </c>
      <c r="AA66" s="333" t="str">
        <f>AK38</f>
        <v>-</v>
      </c>
      <c r="AB66" s="296"/>
      <c r="AC66" s="296"/>
      <c r="AD66" s="296"/>
      <c r="AE66" s="296"/>
      <c r="AF66" s="296"/>
      <c r="AG66" s="304">
        <v>1.0000000000000001E-5</v>
      </c>
      <c r="AH66" s="307" t="s">
        <v>103</v>
      </c>
      <c r="AI66" s="307" t="s">
        <v>103</v>
      </c>
      <c r="AJ66" s="915">
        <f>0.5*(MAX(AH66:AI66)-MIN(AH66:AI66))</f>
        <v>0</v>
      </c>
      <c r="AK66" s="306" t="s">
        <v>103</v>
      </c>
    </row>
    <row r="67" spans="1:37" x14ac:dyDescent="0.2">
      <c r="A67" s="1137"/>
      <c r="B67" s="339">
        <v>9</v>
      </c>
      <c r="C67" s="335">
        <f>M48</f>
        <v>17.920000000000002</v>
      </c>
      <c r="D67" s="337">
        <f t="shared" ref="D67:G67" si="94">N48</f>
        <v>7.0000000000000007E-2</v>
      </c>
      <c r="E67" s="337" t="str">
        <f t="shared" si="94"/>
        <v>-</v>
      </c>
      <c r="F67" s="337">
        <f t="shared" si="94"/>
        <v>0</v>
      </c>
      <c r="G67" s="337">
        <f t="shared" si="94"/>
        <v>0.210483</v>
      </c>
      <c r="H67" s="296"/>
      <c r="I67" s="296"/>
      <c r="J67" s="296"/>
      <c r="K67" s="296"/>
      <c r="L67" s="296"/>
      <c r="M67" s="304">
        <v>0</v>
      </c>
      <c r="N67" s="414" t="s">
        <v>103</v>
      </c>
      <c r="O67" s="414" t="s">
        <v>103</v>
      </c>
      <c r="P67" s="405">
        <f>0.5*(MAX(N67:O67)-MIN(N67:O67))</f>
        <v>0</v>
      </c>
      <c r="Q67" s="417" t="s">
        <v>103</v>
      </c>
      <c r="U67" s="1139"/>
      <c r="V67" s="325">
        <v>9</v>
      </c>
      <c r="W67" s="335" t="str">
        <f>AG48</f>
        <v>-</v>
      </c>
      <c r="X67" s="336" t="str">
        <f t="shared" ref="X67:AA67" si="95">AH48</f>
        <v>-</v>
      </c>
      <c r="Y67" s="336" t="str">
        <f t="shared" si="95"/>
        <v>-</v>
      </c>
      <c r="Z67" s="336">
        <f t="shared" si="95"/>
        <v>0</v>
      </c>
      <c r="AA67" s="333" t="str">
        <f t="shared" si="95"/>
        <v>-</v>
      </c>
      <c r="AB67" s="296"/>
      <c r="AC67" s="296"/>
      <c r="AD67" s="296"/>
      <c r="AE67" s="296"/>
      <c r="AF67" s="296"/>
      <c r="AG67" s="304">
        <v>1.0000000000000001E-5</v>
      </c>
      <c r="AH67" s="307" t="s">
        <v>103</v>
      </c>
      <c r="AI67" s="307" t="s">
        <v>103</v>
      </c>
      <c r="AJ67" s="915">
        <f>0.5*(MAX(AH67:AI67)-MIN(AH67:AI67))</f>
        <v>0</v>
      </c>
      <c r="AK67" s="306" t="s">
        <v>103</v>
      </c>
    </row>
    <row r="68" spans="1:37" x14ac:dyDescent="0.2">
      <c r="A68" s="1137"/>
      <c r="B68" s="339">
        <v>10</v>
      </c>
      <c r="C68" s="335">
        <f>M58</f>
        <v>0</v>
      </c>
      <c r="D68" s="337" t="str">
        <f t="shared" ref="D68:G68" si="96">N58</f>
        <v>-</v>
      </c>
      <c r="E68" s="337" t="str">
        <f t="shared" si="96"/>
        <v>-</v>
      </c>
      <c r="F68" s="337">
        <f t="shared" si="96"/>
        <v>0</v>
      </c>
      <c r="G68" s="337" t="str">
        <f t="shared" si="96"/>
        <v>-</v>
      </c>
      <c r="H68" s="296"/>
      <c r="I68" s="296"/>
      <c r="J68" s="296"/>
      <c r="K68" s="296"/>
      <c r="L68" s="296"/>
      <c r="M68" s="304">
        <v>0</v>
      </c>
      <c r="N68" s="414" t="s">
        <v>103</v>
      </c>
      <c r="O68" s="413" t="s">
        <v>103</v>
      </c>
      <c r="P68" s="405">
        <f t="shared" ref="P68:P70" si="97">0.5*(MAX(N68:O68)-MIN(N68:O68))</f>
        <v>0</v>
      </c>
      <c r="Q68" s="417" t="s">
        <v>103</v>
      </c>
      <c r="U68" s="1139"/>
      <c r="V68" s="325">
        <v>10</v>
      </c>
      <c r="W68" s="335">
        <f>AG58</f>
        <v>1.0000000000000001E-5</v>
      </c>
      <c r="X68" s="336" t="str">
        <f t="shared" ref="X68:AA68" si="98">AH58</f>
        <v>-</v>
      </c>
      <c r="Y68" s="336" t="str">
        <f t="shared" si="98"/>
        <v>-</v>
      </c>
      <c r="Z68" s="336">
        <f t="shared" si="98"/>
        <v>0</v>
      </c>
      <c r="AA68" s="333" t="str">
        <f t="shared" si="98"/>
        <v>-</v>
      </c>
      <c r="AB68" s="296"/>
      <c r="AC68" s="296"/>
      <c r="AD68" s="296"/>
      <c r="AE68" s="296"/>
      <c r="AF68" s="296"/>
      <c r="AG68" s="304">
        <v>1.0000000000000001E-5</v>
      </c>
      <c r="AH68" s="305" t="s">
        <v>103</v>
      </c>
      <c r="AI68" s="305" t="s">
        <v>103</v>
      </c>
      <c r="AJ68" s="915">
        <f t="shared" ref="AJ68:AJ70" si="99">0.5*(MAX(AH68:AI68)-MIN(AH68:AI68))</f>
        <v>0</v>
      </c>
      <c r="AK68" s="309" t="s">
        <v>103</v>
      </c>
    </row>
    <row r="69" spans="1:37" x14ac:dyDescent="0.2">
      <c r="A69" s="1137"/>
      <c r="B69" s="339">
        <v>11</v>
      </c>
      <c r="C69" s="335">
        <f>M68</f>
        <v>0</v>
      </c>
      <c r="D69" s="337" t="str">
        <f t="shared" ref="D69:G69" si="100">N68</f>
        <v>-</v>
      </c>
      <c r="E69" s="337" t="str">
        <f t="shared" si="100"/>
        <v>-</v>
      </c>
      <c r="F69" s="337">
        <f t="shared" si="100"/>
        <v>0</v>
      </c>
      <c r="G69" s="337" t="str">
        <f t="shared" si="100"/>
        <v>-</v>
      </c>
      <c r="H69" s="296"/>
      <c r="I69" s="296"/>
      <c r="J69" s="296"/>
      <c r="K69" s="296"/>
      <c r="L69" s="296"/>
      <c r="M69" s="304">
        <v>0</v>
      </c>
      <c r="N69" s="414" t="s">
        <v>103</v>
      </c>
      <c r="O69" s="413" t="s">
        <v>103</v>
      </c>
      <c r="P69" s="405">
        <f t="shared" si="97"/>
        <v>0</v>
      </c>
      <c r="Q69" s="417" t="s">
        <v>103</v>
      </c>
      <c r="U69" s="1140"/>
      <c r="V69" s="325">
        <v>11</v>
      </c>
      <c r="W69" s="335">
        <f>AG68</f>
        <v>1.0000000000000001E-5</v>
      </c>
      <c r="X69" s="336" t="str">
        <f t="shared" ref="X69:AA69" si="101">AH68</f>
        <v>-</v>
      </c>
      <c r="Y69" s="336" t="str">
        <f t="shared" si="101"/>
        <v>-</v>
      </c>
      <c r="Z69" s="336">
        <f t="shared" si="101"/>
        <v>0</v>
      </c>
      <c r="AA69" s="333" t="str">
        <f t="shared" si="101"/>
        <v>-</v>
      </c>
      <c r="AB69" s="296"/>
      <c r="AC69" s="296"/>
      <c r="AD69" s="296"/>
      <c r="AE69" s="296"/>
      <c r="AF69" s="296"/>
      <c r="AG69" s="304">
        <v>1.0000000000000001E-5</v>
      </c>
      <c r="AH69" s="305" t="s">
        <v>103</v>
      </c>
      <c r="AI69" s="305" t="s">
        <v>103</v>
      </c>
      <c r="AJ69" s="915">
        <f t="shared" si="99"/>
        <v>0</v>
      </c>
      <c r="AK69" s="309" t="s">
        <v>103</v>
      </c>
    </row>
    <row r="70" spans="1:37" ht="13.5" thickBot="1" x14ac:dyDescent="0.25">
      <c r="A70" s="1137">
        <v>5</v>
      </c>
      <c r="B70" s="339">
        <v>1</v>
      </c>
      <c r="C70" s="332">
        <f>A9</f>
        <v>51.11</v>
      </c>
      <c r="D70" s="333">
        <f t="shared" ref="D70:G70" si="102">B9</f>
        <v>0.11</v>
      </c>
      <c r="E70" s="333">
        <f t="shared" si="102"/>
        <v>0.31</v>
      </c>
      <c r="F70" s="333">
        <f t="shared" si="102"/>
        <v>0.1</v>
      </c>
      <c r="G70" s="334">
        <f t="shared" si="102"/>
        <v>1.9E-2</v>
      </c>
      <c r="H70" s="296"/>
      <c r="I70" s="296"/>
      <c r="J70" s="296"/>
      <c r="K70" s="296"/>
      <c r="L70" s="296"/>
      <c r="M70" s="310">
        <v>0</v>
      </c>
      <c r="N70" s="418" t="s">
        <v>103</v>
      </c>
      <c r="O70" s="418" t="s">
        <v>103</v>
      </c>
      <c r="P70" s="408">
        <f t="shared" si="97"/>
        <v>0</v>
      </c>
      <c r="Q70" s="420" t="s">
        <v>103</v>
      </c>
      <c r="U70" s="1138">
        <v>5</v>
      </c>
      <c r="V70" s="339">
        <v>1</v>
      </c>
      <c r="W70" s="332">
        <f>U9</f>
        <v>203.406871</v>
      </c>
      <c r="X70" s="333">
        <f t="shared" ref="X70:AA70" si="103">V9</f>
        <v>-4.0788600000000001E-3</v>
      </c>
      <c r="Y70" s="333">
        <f t="shared" si="103"/>
        <v>1.0000000000000001E-5</v>
      </c>
      <c r="Z70" s="333">
        <f t="shared" si="103"/>
        <v>2.0444299999999999E-3</v>
      </c>
      <c r="AA70" s="333">
        <f t="shared" si="103"/>
        <v>0.10197100000000001</v>
      </c>
      <c r="AB70" s="296"/>
      <c r="AC70" s="296"/>
      <c r="AD70" s="296"/>
      <c r="AE70" s="296"/>
      <c r="AF70" s="296"/>
      <c r="AG70" s="304">
        <v>1.0000000000000001E-5</v>
      </c>
      <c r="AH70" s="311" t="s">
        <v>103</v>
      </c>
      <c r="AI70" s="311" t="s">
        <v>103</v>
      </c>
      <c r="AJ70" s="919">
        <f t="shared" si="99"/>
        <v>0</v>
      </c>
      <c r="AK70" s="312" t="s">
        <v>103</v>
      </c>
    </row>
    <row r="71" spans="1:37" x14ac:dyDescent="0.2">
      <c r="A71" s="1137"/>
      <c r="B71" s="339">
        <v>2</v>
      </c>
      <c r="C71" s="332" t="str">
        <f>A19</f>
        <v>-</v>
      </c>
      <c r="D71" s="333" t="str">
        <f t="shared" ref="D71:G71" si="104">B19</f>
        <v>-</v>
      </c>
      <c r="E71" s="333" t="str">
        <f t="shared" si="104"/>
        <v>-</v>
      </c>
      <c r="F71" s="333">
        <f t="shared" si="104"/>
        <v>0</v>
      </c>
      <c r="G71" s="334">
        <f t="shared" si="104"/>
        <v>0.02</v>
      </c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U71" s="1139"/>
      <c r="V71" s="339">
        <v>2</v>
      </c>
      <c r="W71" s="332">
        <f>U19</f>
        <v>7011.00983</v>
      </c>
      <c r="X71" s="333">
        <f t="shared" ref="X71:AA71" si="105">V19</f>
        <v>-1.4061391000000001</v>
      </c>
      <c r="Y71" s="333">
        <f t="shared" si="105"/>
        <v>-1.406139</v>
      </c>
      <c r="Z71" s="333">
        <f t="shared" si="105"/>
        <v>5.0000000029193359E-8</v>
      </c>
      <c r="AA71" s="333">
        <f t="shared" si="105"/>
        <v>2.1752160421755198</v>
      </c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</row>
    <row r="72" spans="1:37" x14ac:dyDescent="0.2">
      <c r="A72" s="1137"/>
      <c r="B72" s="339">
        <v>3</v>
      </c>
      <c r="C72" s="332">
        <f>G9</f>
        <v>245.23</v>
      </c>
      <c r="D72" s="333">
        <f t="shared" ref="D72:G72" si="106">H9</f>
        <v>-1.3</v>
      </c>
      <c r="E72" s="333">
        <f t="shared" si="106"/>
        <v>-1.78</v>
      </c>
      <c r="F72" s="333">
        <f t="shared" si="106"/>
        <v>0.24</v>
      </c>
      <c r="G72" s="334">
        <f t="shared" si="106"/>
        <v>1.863748</v>
      </c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U72" s="1139"/>
      <c r="V72" s="339">
        <v>3</v>
      </c>
      <c r="W72" s="332" t="str">
        <f>AA9</f>
        <v>-</v>
      </c>
      <c r="X72" s="333" t="str">
        <f t="shared" ref="X72:AA72" si="107">AB9</f>
        <v>-</v>
      </c>
      <c r="Y72" s="333" t="str">
        <f t="shared" si="107"/>
        <v>-</v>
      </c>
      <c r="Z72" s="333">
        <f t="shared" si="107"/>
        <v>0</v>
      </c>
      <c r="AA72" s="333" t="str">
        <f t="shared" si="107"/>
        <v>-</v>
      </c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</row>
    <row r="73" spans="1:37" x14ac:dyDescent="0.2">
      <c r="A73" s="1137"/>
      <c r="B73" s="339">
        <v>4</v>
      </c>
      <c r="C73" s="332">
        <f>G19</f>
        <v>200.82</v>
      </c>
      <c r="D73" s="333">
        <f t="shared" ref="D73:G73" si="108">H19</f>
        <v>0.52</v>
      </c>
      <c r="E73" s="333" t="str">
        <f t="shared" si="108"/>
        <v>-</v>
      </c>
      <c r="F73" s="333">
        <f t="shared" si="108"/>
        <v>0</v>
      </c>
      <c r="G73" s="334">
        <f t="shared" si="108"/>
        <v>1.7000000000000001E-2</v>
      </c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U73" s="1139"/>
      <c r="V73" s="339">
        <v>4</v>
      </c>
      <c r="W73" s="332">
        <f>AA19</f>
        <v>152.5444468</v>
      </c>
      <c r="X73" s="333">
        <f t="shared" ref="X73:AA73" si="109">AB19</f>
        <v>5.0985809999999996E-3</v>
      </c>
      <c r="Y73" s="333" t="str">
        <f t="shared" si="109"/>
        <v>-</v>
      </c>
      <c r="Z73" s="333">
        <f t="shared" si="109"/>
        <v>0</v>
      </c>
      <c r="AA73" s="333">
        <f t="shared" si="109"/>
        <v>1.1475</v>
      </c>
      <c r="AB73" s="296"/>
      <c r="AC73" s="296"/>
      <c r="AD73" s="296"/>
      <c r="AE73" s="296"/>
      <c r="AF73" s="296"/>
      <c r="AG73" s="296"/>
      <c r="AH73" s="296"/>
      <c r="AI73" s="296"/>
      <c r="AJ73" s="296"/>
      <c r="AK73" s="296"/>
    </row>
    <row r="74" spans="1:37" x14ac:dyDescent="0.2">
      <c r="A74" s="1137"/>
      <c r="B74" s="339">
        <v>5</v>
      </c>
      <c r="C74" s="332">
        <f>M9</f>
        <v>50.7</v>
      </c>
      <c r="D74" s="333">
        <f t="shared" ref="D74:G74" si="110">N9</f>
        <v>0.06</v>
      </c>
      <c r="E74" s="333" t="str">
        <f t="shared" si="110"/>
        <v>-</v>
      </c>
      <c r="F74" s="333">
        <f t="shared" si="110"/>
        <v>0</v>
      </c>
      <c r="G74" s="334">
        <f t="shared" si="110"/>
        <v>0.38024999999999998</v>
      </c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U74" s="1139"/>
      <c r="V74" s="339">
        <v>5</v>
      </c>
      <c r="W74" s="332" t="str">
        <f>AG9</f>
        <v>-</v>
      </c>
      <c r="X74" s="333" t="str">
        <f t="shared" ref="X74:AA74" si="111">AH9</f>
        <v>-</v>
      </c>
      <c r="Y74" s="333" t="str">
        <f t="shared" si="111"/>
        <v>-</v>
      </c>
      <c r="Z74" s="333">
        <f t="shared" si="111"/>
        <v>0</v>
      </c>
      <c r="AA74" s="333" t="str">
        <f t="shared" si="111"/>
        <v>-</v>
      </c>
      <c r="AB74" s="296"/>
      <c r="AC74" s="296"/>
      <c r="AD74" s="296"/>
      <c r="AE74" s="296"/>
      <c r="AF74" s="296"/>
      <c r="AG74" s="296"/>
      <c r="AH74" s="296"/>
      <c r="AI74" s="296"/>
      <c r="AJ74" s="296"/>
      <c r="AK74" s="296"/>
    </row>
    <row r="75" spans="1:37" x14ac:dyDescent="0.2">
      <c r="A75" s="1137"/>
      <c r="B75" s="339">
        <v>6</v>
      </c>
      <c r="C75" s="332">
        <f>M19</f>
        <v>50.06</v>
      </c>
      <c r="D75" s="333">
        <f t="shared" ref="D75:G75" si="112">N19</f>
        <v>-0.28000000000000003</v>
      </c>
      <c r="E75" s="333" t="str">
        <f t="shared" si="112"/>
        <v>-</v>
      </c>
      <c r="F75" s="333">
        <f t="shared" si="112"/>
        <v>0</v>
      </c>
      <c r="G75" s="334">
        <f t="shared" si="112"/>
        <v>0.37545000000000001</v>
      </c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U75" s="1139"/>
      <c r="V75" s="339">
        <v>6</v>
      </c>
      <c r="W75" s="332" t="str">
        <f>AG19</f>
        <v>-</v>
      </c>
      <c r="X75" s="333" t="str">
        <f t="shared" ref="X75:AA75" si="113">AH19</f>
        <v>-</v>
      </c>
      <c r="Y75" s="333" t="str">
        <f t="shared" si="113"/>
        <v>-</v>
      </c>
      <c r="Z75" s="333">
        <f t="shared" si="113"/>
        <v>0</v>
      </c>
      <c r="AA75" s="333" t="str">
        <f t="shared" si="113"/>
        <v>-</v>
      </c>
      <c r="AB75" s="296"/>
      <c r="AC75" s="296"/>
      <c r="AD75" s="296"/>
      <c r="AE75" s="296"/>
      <c r="AF75" s="296"/>
      <c r="AG75" s="296"/>
      <c r="AH75" s="296"/>
      <c r="AI75" s="296"/>
      <c r="AJ75" s="296"/>
      <c r="AK75" s="296"/>
    </row>
    <row r="76" spans="1:37" x14ac:dyDescent="0.2">
      <c r="A76" s="1137"/>
      <c r="B76" s="339">
        <v>7</v>
      </c>
      <c r="C76" s="332">
        <f>M29</f>
        <v>249.1</v>
      </c>
      <c r="D76" s="333">
        <f t="shared" ref="D76:G76" si="114">N29</f>
        <v>-0.4</v>
      </c>
      <c r="E76" s="333" t="str">
        <f t="shared" si="114"/>
        <v>-</v>
      </c>
      <c r="F76" s="333">
        <f t="shared" si="114"/>
        <v>0</v>
      </c>
      <c r="G76" s="334">
        <f t="shared" si="114"/>
        <v>1.8674999999999999</v>
      </c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U76" s="1139"/>
      <c r="V76" s="339">
        <v>7</v>
      </c>
      <c r="W76" s="332" t="str">
        <f>AG29</f>
        <v>-</v>
      </c>
      <c r="X76" s="333" t="str">
        <f t="shared" ref="X76:AA76" si="115">AH29</f>
        <v>-</v>
      </c>
      <c r="Y76" s="333" t="str">
        <f t="shared" si="115"/>
        <v>-</v>
      </c>
      <c r="Z76" s="333">
        <f t="shared" si="115"/>
        <v>0</v>
      </c>
      <c r="AA76" s="333" t="str">
        <f t="shared" si="115"/>
        <v>-</v>
      </c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</row>
    <row r="77" spans="1:37" x14ac:dyDescent="0.2">
      <c r="A77" s="1137"/>
      <c r="B77" s="339">
        <v>8</v>
      </c>
      <c r="C77" s="335">
        <f>M39</f>
        <v>249.1</v>
      </c>
      <c r="D77" s="336">
        <f>N39</f>
        <v>-0.77</v>
      </c>
      <c r="E77" s="336" t="str">
        <f>O39</f>
        <v>-</v>
      </c>
      <c r="F77" s="336">
        <f>P39</f>
        <v>0</v>
      </c>
      <c r="G77" s="337">
        <f>Q39</f>
        <v>1.86825</v>
      </c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U77" s="1139"/>
      <c r="V77" s="339">
        <v>8</v>
      </c>
      <c r="W77" s="335" t="str">
        <f>AG39</f>
        <v>-</v>
      </c>
      <c r="X77" s="336" t="str">
        <f>AH39</f>
        <v>-</v>
      </c>
      <c r="Y77" s="336" t="str">
        <f>AI39</f>
        <v>-</v>
      </c>
      <c r="Z77" s="336">
        <f>AJ39</f>
        <v>0</v>
      </c>
      <c r="AA77" s="333" t="str">
        <f>AK39</f>
        <v>-</v>
      </c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</row>
    <row r="78" spans="1:37" x14ac:dyDescent="0.2">
      <c r="A78" s="1137"/>
      <c r="B78" s="339">
        <v>9</v>
      </c>
      <c r="C78" s="335">
        <f>M49</f>
        <v>19.93</v>
      </c>
      <c r="D78" s="337">
        <f t="shared" ref="D78:G78" si="116">N49</f>
        <v>0.02</v>
      </c>
      <c r="E78" s="337" t="str">
        <f t="shared" si="116"/>
        <v>-</v>
      </c>
      <c r="F78" s="337">
        <f t="shared" si="116"/>
        <v>0</v>
      </c>
      <c r="G78" s="337">
        <f t="shared" si="116"/>
        <v>0.23341500000000001</v>
      </c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U78" s="1139"/>
      <c r="V78" s="339">
        <v>9</v>
      </c>
      <c r="W78" s="335" t="str">
        <f>AG49</f>
        <v>-</v>
      </c>
      <c r="X78" s="336" t="str">
        <f t="shared" ref="X78:AA78" si="117">AH49</f>
        <v>-</v>
      </c>
      <c r="Y78" s="336" t="str">
        <f t="shared" si="117"/>
        <v>-</v>
      </c>
      <c r="Z78" s="336">
        <f t="shared" si="117"/>
        <v>0</v>
      </c>
      <c r="AA78" s="333" t="str">
        <f t="shared" si="117"/>
        <v>-</v>
      </c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</row>
    <row r="79" spans="1:37" x14ac:dyDescent="0.2">
      <c r="A79" s="1137"/>
      <c r="B79" s="339">
        <v>10</v>
      </c>
      <c r="C79" s="335">
        <f>M59</f>
        <v>0</v>
      </c>
      <c r="D79" s="337" t="str">
        <f t="shared" ref="D79:G79" si="118">N59</f>
        <v>-</v>
      </c>
      <c r="E79" s="337" t="str">
        <f t="shared" si="118"/>
        <v>-</v>
      </c>
      <c r="F79" s="337">
        <f t="shared" si="118"/>
        <v>0</v>
      </c>
      <c r="G79" s="337" t="str">
        <f t="shared" si="118"/>
        <v>-</v>
      </c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U79" s="1139"/>
      <c r="V79" s="339">
        <v>10</v>
      </c>
      <c r="W79" s="335">
        <f>AG59</f>
        <v>1.0000000000000001E-5</v>
      </c>
      <c r="X79" s="336" t="str">
        <f t="shared" ref="X79:AA79" si="119">AH59</f>
        <v>-</v>
      </c>
      <c r="Y79" s="336" t="str">
        <f t="shared" si="119"/>
        <v>-</v>
      </c>
      <c r="Z79" s="336">
        <f t="shared" si="119"/>
        <v>0</v>
      </c>
      <c r="AA79" s="333" t="str">
        <f t="shared" si="119"/>
        <v>-</v>
      </c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</row>
    <row r="80" spans="1:37" x14ac:dyDescent="0.2">
      <c r="A80" s="1137"/>
      <c r="B80" s="339">
        <v>11</v>
      </c>
      <c r="C80" s="335">
        <f>M69</f>
        <v>0</v>
      </c>
      <c r="D80" s="337" t="str">
        <f t="shared" ref="D80:G80" si="120">N69</f>
        <v>-</v>
      </c>
      <c r="E80" s="337" t="str">
        <f t="shared" si="120"/>
        <v>-</v>
      </c>
      <c r="F80" s="337">
        <f t="shared" si="120"/>
        <v>0</v>
      </c>
      <c r="G80" s="337" t="str">
        <f t="shared" si="120"/>
        <v>-</v>
      </c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U80" s="1140"/>
      <c r="V80" s="339">
        <v>11</v>
      </c>
      <c r="W80" s="335">
        <f>AG69</f>
        <v>1.0000000000000001E-5</v>
      </c>
      <c r="X80" s="336" t="str">
        <f t="shared" ref="X80:AA80" si="121">AH69</f>
        <v>-</v>
      </c>
      <c r="Y80" s="336" t="str">
        <f t="shared" si="121"/>
        <v>-</v>
      </c>
      <c r="Z80" s="336">
        <f t="shared" si="121"/>
        <v>0</v>
      </c>
      <c r="AA80" s="333" t="str">
        <f t="shared" si="121"/>
        <v>-</v>
      </c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</row>
    <row r="81" spans="1:40" x14ac:dyDescent="0.2">
      <c r="A81" s="1137">
        <v>6</v>
      </c>
      <c r="B81" s="339">
        <v>1</v>
      </c>
      <c r="C81" s="332">
        <f>A10</f>
        <v>103.4</v>
      </c>
      <c r="D81" s="333">
        <f t="shared" ref="D81:G81" si="122">B10</f>
        <v>0.11</v>
      </c>
      <c r="E81" s="333">
        <f t="shared" si="122"/>
        <v>0.42</v>
      </c>
      <c r="F81" s="333">
        <f t="shared" si="122"/>
        <v>0.155</v>
      </c>
      <c r="G81" s="334">
        <f t="shared" si="122"/>
        <v>1.9E-2</v>
      </c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U81" s="1138">
        <v>6</v>
      </c>
      <c r="V81" s="339">
        <v>1</v>
      </c>
      <c r="W81" s="332" t="str">
        <f>U10</f>
        <v>-</v>
      </c>
      <c r="X81" s="333" t="str">
        <f t="shared" ref="X81:AA81" si="123">V10</f>
        <v>-</v>
      </c>
      <c r="Y81" s="333" t="str">
        <f t="shared" si="123"/>
        <v>-</v>
      </c>
      <c r="Z81" s="333">
        <f t="shared" si="123"/>
        <v>0</v>
      </c>
      <c r="AA81" s="333" t="str">
        <f t="shared" si="123"/>
        <v>-</v>
      </c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</row>
    <row r="82" spans="1:40" x14ac:dyDescent="0.2">
      <c r="A82" s="1137"/>
      <c r="B82" s="339">
        <v>2</v>
      </c>
      <c r="C82" s="332" t="str">
        <f>A20</f>
        <v>-</v>
      </c>
      <c r="D82" s="333" t="str">
        <f t="shared" ref="D82:G82" si="124">B20</f>
        <v>-</v>
      </c>
      <c r="E82" s="333" t="str">
        <f t="shared" si="124"/>
        <v>-</v>
      </c>
      <c r="F82" s="333">
        <f t="shared" si="124"/>
        <v>0</v>
      </c>
      <c r="G82" s="334">
        <f t="shared" si="124"/>
        <v>0.02</v>
      </c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U82" s="1139"/>
      <c r="V82" s="339">
        <v>2</v>
      </c>
      <c r="W82" s="332" t="str">
        <f>U20</f>
        <v>-</v>
      </c>
      <c r="X82" s="333" t="str">
        <f t="shared" ref="X82:AA82" si="125">V20</f>
        <v>-</v>
      </c>
      <c r="Y82" s="333" t="str">
        <f t="shared" si="125"/>
        <v>-</v>
      </c>
      <c r="Z82" s="333">
        <f t="shared" si="125"/>
        <v>0</v>
      </c>
      <c r="AA82" s="333" t="str">
        <f t="shared" si="125"/>
        <v>-</v>
      </c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</row>
    <row r="83" spans="1:40" x14ac:dyDescent="0.2">
      <c r="A83" s="1137"/>
      <c r="B83" s="339">
        <v>3</v>
      </c>
      <c r="C83" s="332" t="str">
        <f>G10</f>
        <v>-</v>
      </c>
      <c r="D83" s="333" t="str">
        <f t="shared" ref="D83:G83" si="126">H10</f>
        <v>-</v>
      </c>
      <c r="E83" s="333" t="str">
        <f t="shared" si="126"/>
        <v>-</v>
      </c>
      <c r="F83" s="333" t="str">
        <f t="shared" si="126"/>
        <v>-</v>
      </c>
      <c r="G83" s="334" t="str">
        <f t="shared" si="126"/>
        <v>-</v>
      </c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U83" s="1139"/>
      <c r="V83" s="339">
        <v>3</v>
      </c>
      <c r="W83" s="332" t="str">
        <f>AA10</f>
        <v>-</v>
      </c>
      <c r="X83" s="333" t="str">
        <f t="shared" ref="X83:AA83" si="127">AB10</f>
        <v>-</v>
      </c>
      <c r="Y83" s="333" t="str">
        <f t="shared" si="127"/>
        <v>-</v>
      </c>
      <c r="Z83" s="333">
        <f t="shared" si="127"/>
        <v>0</v>
      </c>
      <c r="AA83" s="333" t="str">
        <f t="shared" si="127"/>
        <v>-</v>
      </c>
      <c r="AB83" s="296"/>
      <c r="AC83" s="296"/>
      <c r="AD83" s="296"/>
      <c r="AE83" s="296"/>
      <c r="AF83" s="296"/>
      <c r="AG83" s="296"/>
      <c r="AH83" s="296"/>
      <c r="AI83" s="296"/>
      <c r="AJ83" s="296"/>
      <c r="AK83" s="296"/>
    </row>
    <row r="84" spans="1:40" x14ac:dyDescent="0.2">
      <c r="A84" s="1137"/>
      <c r="B84" s="339">
        <v>4</v>
      </c>
      <c r="C84" s="332">
        <f>G20</f>
        <v>251.02</v>
      </c>
      <c r="D84" s="333">
        <f t="shared" ref="D84:G84" si="128">H20</f>
        <v>0.62</v>
      </c>
      <c r="E84" s="333" t="str">
        <f t="shared" si="128"/>
        <v>-</v>
      </c>
      <c r="F84" s="333">
        <f t="shared" si="128"/>
        <v>0</v>
      </c>
      <c r="G84" s="334">
        <f t="shared" si="128"/>
        <v>1.7000000000000001E-2</v>
      </c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U84" s="1139"/>
      <c r="V84" s="339">
        <v>4</v>
      </c>
      <c r="W84" s="332" t="str">
        <f>AA20</f>
        <v>-</v>
      </c>
      <c r="X84" s="333" t="str">
        <f t="shared" ref="X84:AA84" si="129">AB20</f>
        <v>-</v>
      </c>
      <c r="Y84" s="333" t="str">
        <f t="shared" si="129"/>
        <v>-</v>
      </c>
      <c r="Z84" s="333">
        <f t="shared" si="129"/>
        <v>0</v>
      </c>
      <c r="AA84" s="333" t="str">
        <f t="shared" si="129"/>
        <v>-</v>
      </c>
      <c r="AB84" s="296"/>
      <c r="AC84" s="296"/>
      <c r="AD84" s="296"/>
      <c r="AE84" s="296"/>
      <c r="AF84" s="296"/>
      <c r="AG84" s="296"/>
      <c r="AH84" s="296"/>
      <c r="AI84" s="296"/>
      <c r="AJ84" s="296"/>
      <c r="AK84" s="296"/>
    </row>
    <row r="85" spans="1:40" x14ac:dyDescent="0.2">
      <c r="A85" s="1137"/>
      <c r="B85" s="339">
        <v>5</v>
      </c>
      <c r="C85" s="332">
        <f>M10</f>
        <v>77.42</v>
      </c>
      <c r="D85" s="333">
        <f t="shared" ref="D85:G85" si="130">N10</f>
        <v>0.23</v>
      </c>
      <c r="E85" s="333" t="str">
        <f t="shared" si="130"/>
        <v>-</v>
      </c>
      <c r="F85" s="333">
        <f t="shared" si="130"/>
        <v>0</v>
      </c>
      <c r="G85" s="334">
        <f t="shared" si="130"/>
        <v>0.58065</v>
      </c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U85" s="1139"/>
      <c r="V85" s="339">
        <v>5</v>
      </c>
      <c r="W85" s="332" t="str">
        <f>AG10</f>
        <v>-</v>
      </c>
      <c r="X85" s="333" t="str">
        <f t="shared" ref="X85:AA85" si="131">AH10</f>
        <v>-</v>
      </c>
      <c r="Y85" s="333" t="str">
        <f t="shared" si="131"/>
        <v>-</v>
      </c>
      <c r="Z85" s="333">
        <f t="shared" si="131"/>
        <v>0</v>
      </c>
      <c r="AA85" s="333" t="str">
        <f t="shared" si="131"/>
        <v>-</v>
      </c>
      <c r="AB85" s="296"/>
      <c r="AC85" s="296"/>
      <c r="AD85" s="296"/>
      <c r="AE85" s="296"/>
      <c r="AF85" s="296"/>
      <c r="AG85" s="296"/>
      <c r="AH85" s="296"/>
      <c r="AI85" s="296"/>
      <c r="AJ85" s="296"/>
      <c r="AK85" s="296"/>
    </row>
    <row r="86" spans="1:40" x14ac:dyDescent="0.2">
      <c r="A86" s="1137"/>
      <c r="B86" s="339">
        <v>6</v>
      </c>
      <c r="C86" s="332">
        <f>M20</f>
        <v>80.13</v>
      </c>
      <c r="D86" s="333">
        <f t="shared" ref="D86:G86" si="132">N20</f>
        <v>0.39</v>
      </c>
      <c r="E86" s="333" t="str">
        <f t="shared" si="132"/>
        <v>-</v>
      </c>
      <c r="F86" s="333">
        <f t="shared" si="132"/>
        <v>0</v>
      </c>
      <c r="G86" s="334">
        <f t="shared" si="132"/>
        <v>0.60097500000000004</v>
      </c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U86" s="1139"/>
      <c r="V86" s="339">
        <v>6</v>
      </c>
      <c r="W86" s="332" t="str">
        <f>AG20</f>
        <v>-</v>
      </c>
      <c r="X86" s="333" t="str">
        <f t="shared" ref="X86:AA86" si="133">AH20</f>
        <v>-</v>
      </c>
      <c r="Y86" s="333" t="str">
        <f t="shared" si="133"/>
        <v>-</v>
      </c>
      <c r="Z86" s="333">
        <f t="shared" si="133"/>
        <v>0</v>
      </c>
      <c r="AA86" s="333" t="str">
        <f t="shared" si="133"/>
        <v>-</v>
      </c>
      <c r="AB86" s="296"/>
      <c r="AC86" s="296"/>
      <c r="AD86" s="296"/>
      <c r="AE86" s="296"/>
      <c r="AF86" s="296"/>
      <c r="AG86" s="296"/>
      <c r="AH86" s="296"/>
      <c r="AI86" s="296"/>
      <c r="AJ86" s="296"/>
      <c r="AK86" s="296"/>
    </row>
    <row r="87" spans="1:40" x14ac:dyDescent="0.2">
      <c r="A87" s="1137"/>
      <c r="B87" s="339">
        <v>7</v>
      </c>
      <c r="C87" s="332" t="str">
        <f>M30</f>
        <v>-</v>
      </c>
      <c r="D87" s="333" t="str">
        <f t="shared" ref="D87:G87" si="134">N30</f>
        <v>-</v>
      </c>
      <c r="E87" s="333" t="str">
        <f t="shared" si="134"/>
        <v>-</v>
      </c>
      <c r="F87" s="333">
        <f t="shared" si="134"/>
        <v>0</v>
      </c>
      <c r="G87" s="334" t="str">
        <f t="shared" si="134"/>
        <v>-</v>
      </c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U87" s="1139"/>
      <c r="V87" s="339">
        <v>7</v>
      </c>
      <c r="W87" s="332" t="str">
        <f>AG30</f>
        <v>-</v>
      </c>
      <c r="X87" s="333" t="str">
        <f t="shared" ref="X87:AA87" si="135">AH30</f>
        <v>-</v>
      </c>
      <c r="Y87" s="333" t="str">
        <f t="shared" si="135"/>
        <v>-</v>
      </c>
      <c r="Z87" s="333">
        <f t="shared" si="135"/>
        <v>0</v>
      </c>
      <c r="AA87" s="333" t="str">
        <f t="shared" si="135"/>
        <v>-</v>
      </c>
      <c r="AB87" s="296"/>
      <c r="AC87" s="296"/>
      <c r="AD87" s="296"/>
      <c r="AE87" s="296"/>
      <c r="AF87" s="296"/>
      <c r="AG87" s="296"/>
      <c r="AH87" s="296"/>
      <c r="AI87" s="296"/>
      <c r="AJ87" s="296"/>
      <c r="AK87" s="296"/>
    </row>
    <row r="88" spans="1:40" x14ac:dyDescent="0.2">
      <c r="A88" s="1137"/>
      <c r="B88" s="339">
        <v>8</v>
      </c>
      <c r="C88" s="335" t="str">
        <f>M40</f>
        <v>-</v>
      </c>
      <c r="D88" s="336" t="str">
        <f>N40</f>
        <v>-</v>
      </c>
      <c r="E88" s="336" t="str">
        <f>O40</f>
        <v>-</v>
      </c>
      <c r="F88" s="336">
        <f>P40</f>
        <v>0</v>
      </c>
      <c r="G88" s="337">
        <f>Q40</f>
        <v>0</v>
      </c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U88" s="1139"/>
      <c r="V88" s="339">
        <v>8</v>
      </c>
      <c r="W88" s="335" t="str">
        <f>AG40</f>
        <v>-</v>
      </c>
      <c r="X88" s="336" t="str">
        <f>AH40</f>
        <v>-</v>
      </c>
      <c r="Y88" s="336" t="str">
        <f>AI40</f>
        <v>-</v>
      </c>
      <c r="Z88" s="336">
        <f>AJ40</f>
        <v>0</v>
      </c>
      <c r="AA88" s="333" t="str">
        <f>AK40</f>
        <v>-</v>
      </c>
      <c r="AB88" s="296"/>
      <c r="AC88" s="296"/>
      <c r="AD88" s="296"/>
      <c r="AE88" s="296"/>
      <c r="AF88" s="296"/>
      <c r="AG88" s="296"/>
      <c r="AH88" s="296"/>
      <c r="AI88" s="296"/>
      <c r="AJ88" s="296"/>
      <c r="AK88" s="296"/>
    </row>
    <row r="89" spans="1:40" x14ac:dyDescent="0.2">
      <c r="A89" s="1137"/>
      <c r="B89" s="339">
        <v>9</v>
      </c>
      <c r="C89" s="335">
        <f>M50</f>
        <v>90.96</v>
      </c>
      <c r="D89" s="337">
        <f t="shared" ref="D89:G89" si="136">N50</f>
        <v>0.09</v>
      </c>
      <c r="E89" s="337" t="str">
        <f t="shared" si="136"/>
        <v>-</v>
      </c>
      <c r="F89" s="337">
        <f t="shared" si="136"/>
        <v>0</v>
      </c>
      <c r="G89" s="337">
        <f t="shared" si="136"/>
        <v>1.065285</v>
      </c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U89" s="1139"/>
      <c r="V89" s="339">
        <v>9</v>
      </c>
      <c r="W89" s="335" t="str">
        <f>AG50</f>
        <v>-</v>
      </c>
      <c r="X89" s="336" t="str">
        <f t="shared" ref="X89:AA89" si="137">AH50</f>
        <v>-</v>
      </c>
      <c r="Y89" s="336" t="str">
        <f t="shared" si="137"/>
        <v>-</v>
      </c>
      <c r="Z89" s="336">
        <f t="shared" si="137"/>
        <v>0</v>
      </c>
      <c r="AA89" s="333" t="str">
        <f t="shared" si="137"/>
        <v>-</v>
      </c>
      <c r="AB89" s="296"/>
      <c r="AC89" s="296"/>
      <c r="AD89" s="296"/>
      <c r="AE89" s="296"/>
      <c r="AF89" s="296"/>
      <c r="AG89" s="296"/>
      <c r="AH89" s="296"/>
      <c r="AI89" s="296"/>
      <c r="AJ89" s="296"/>
      <c r="AK89" s="296"/>
    </row>
    <row r="90" spans="1:40" x14ac:dyDescent="0.2">
      <c r="A90" s="1137"/>
      <c r="B90" s="339">
        <v>10</v>
      </c>
      <c r="C90" s="335">
        <f>M60</f>
        <v>0</v>
      </c>
      <c r="D90" s="337" t="str">
        <f t="shared" ref="D90:G90" si="138">N60</f>
        <v>-</v>
      </c>
      <c r="E90" s="337" t="str">
        <f t="shared" si="138"/>
        <v>-</v>
      </c>
      <c r="F90" s="337">
        <f t="shared" si="138"/>
        <v>0</v>
      </c>
      <c r="G90" s="337" t="str">
        <f t="shared" si="138"/>
        <v>-</v>
      </c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U90" s="1139"/>
      <c r="V90" s="339">
        <v>10</v>
      </c>
      <c r="W90" s="335">
        <f>AG60</f>
        <v>1.0000000000000001E-5</v>
      </c>
      <c r="X90" s="336" t="str">
        <f t="shared" ref="X90:AA90" si="139">AH60</f>
        <v>-</v>
      </c>
      <c r="Y90" s="336" t="str">
        <f t="shared" si="139"/>
        <v>-</v>
      </c>
      <c r="Z90" s="336">
        <f t="shared" si="139"/>
        <v>0</v>
      </c>
      <c r="AA90" s="333" t="str">
        <f t="shared" si="139"/>
        <v>-</v>
      </c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</row>
    <row r="91" spans="1:40" x14ac:dyDescent="0.2">
      <c r="A91" s="1137"/>
      <c r="B91" s="339">
        <v>11</v>
      </c>
      <c r="C91" s="335">
        <f>M70</f>
        <v>0</v>
      </c>
      <c r="D91" s="337" t="str">
        <f t="shared" ref="D91:G91" si="140">N70</f>
        <v>-</v>
      </c>
      <c r="E91" s="337" t="str">
        <f t="shared" si="140"/>
        <v>-</v>
      </c>
      <c r="F91" s="337">
        <f t="shared" si="140"/>
        <v>0</v>
      </c>
      <c r="G91" s="337" t="str">
        <f t="shared" si="140"/>
        <v>-</v>
      </c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U91" s="1140"/>
      <c r="V91" s="339">
        <v>11</v>
      </c>
      <c r="W91" s="335">
        <f>AG70</f>
        <v>1.0000000000000001E-5</v>
      </c>
      <c r="X91" s="336" t="str">
        <f t="shared" ref="X91:AA91" si="141">AH70</f>
        <v>-</v>
      </c>
      <c r="Y91" s="336" t="str">
        <f t="shared" si="141"/>
        <v>-</v>
      </c>
      <c r="Z91" s="336">
        <f t="shared" si="141"/>
        <v>0</v>
      </c>
      <c r="AA91" s="333" t="str">
        <f t="shared" si="141"/>
        <v>-</v>
      </c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</row>
    <row r="92" spans="1:40" ht="13.5" thickBot="1" x14ac:dyDescent="0.25">
      <c r="A92" s="319"/>
      <c r="B92" s="296"/>
      <c r="C92" s="296"/>
      <c r="D92" s="296"/>
      <c r="E92" s="296"/>
      <c r="F92" s="296"/>
      <c r="G92" s="296"/>
      <c r="H92" s="296"/>
      <c r="I92" s="296"/>
      <c r="J92" s="296"/>
      <c r="P92" s="296"/>
      <c r="Q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</row>
    <row r="93" spans="1:40" ht="33.75" customHeight="1" x14ac:dyDescent="0.2">
      <c r="A93" s="393">
        <f>A121</f>
        <v>1</v>
      </c>
      <c r="B93" s="1149" t="str">
        <f>A109</f>
        <v>Flow Analyzer, Merek : Fluke, Model : VT305, SN : BF100519</v>
      </c>
      <c r="C93" s="1150"/>
      <c r="D93" s="1150"/>
      <c r="E93" s="1151"/>
      <c r="F93" s="340"/>
      <c r="Q93" s="296"/>
      <c r="U93" s="486">
        <f>A93</f>
        <v>1</v>
      </c>
      <c r="V93" s="1152" t="str">
        <f>B93</f>
        <v>Flow Analyzer, Merek : Fluke, Model : VT305, SN : BF100519</v>
      </c>
      <c r="W93" s="1153"/>
      <c r="X93" s="1153"/>
      <c r="Y93" s="1154"/>
      <c r="Z93" s="340"/>
      <c r="AA93" s="298"/>
      <c r="AB93" s="298"/>
      <c r="AC93" s="298"/>
      <c r="AD93" s="298"/>
      <c r="AE93" s="298"/>
      <c r="AF93" s="298"/>
      <c r="AG93" s="298"/>
      <c r="AH93" s="298"/>
      <c r="AI93" s="296"/>
      <c r="AJ93" s="296"/>
      <c r="AK93" s="296"/>
    </row>
    <row r="94" spans="1:40" ht="27" x14ac:dyDescent="0.2">
      <c r="A94" s="394" t="s">
        <v>348</v>
      </c>
      <c r="B94" s="1171" t="s">
        <v>226</v>
      </c>
      <c r="C94" s="1172"/>
      <c r="D94" s="1155" t="s">
        <v>227</v>
      </c>
      <c r="E94" s="1173" t="s">
        <v>344</v>
      </c>
      <c r="F94" s="296"/>
      <c r="Q94" s="296"/>
      <c r="U94" s="487" t="s">
        <v>355</v>
      </c>
      <c r="V94" s="1175" t="s">
        <v>226</v>
      </c>
      <c r="W94" s="1176"/>
      <c r="X94" s="488" t="s">
        <v>227</v>
      </c>
      <c r="Y94" s="1177" t="s">
        <v>344</v>
      </c>
      <c r="Z94" s="296"/>
      <c r="AA94" s="1179" t="s">
        <v>434</v>
      </c>
      <c r="AB94" s="1179"/>
      <c r="AC94" s="1179"/>
      <c r="AD94" s="298"/>
      <c r="AE94" s="1179" t="s">
        <v>434</v>
      </c>
      <c r="AF94" s="1179"/>
      <c r="AG94" s="298"/>
      <c r="AH94" s="1179" t="s">
        <v>434</v>
      </c>
      <c r="AI94" s="1179"/>
      <c r="AJ94" s="296"/>
      <c r="AK94" s="296"/>
    </row>
    <row r="95" spans="1:40" ht="25.5" x14ac:dyDescent="0.2">
      <c r="A95" s="395" t="s">
        <v>350</v>
      </c>
      <c r="B95" s="396">
        <f>VLOOKUP(B93,A110:J120,9,FALSE)</f>
        <v>2018</v>
      </c>
      <c r="C95" s="396">
        <f>VLOOKUP(B93,A110:J120,10,FALSE)</f>
        <v>2015</v>
      </c>
      <c r="D95" s="1156"/>
      <c r="E95" s="1174"/>
      <c r="F95" s="296"/>
      <c r="Q95" s="296"/>
      <c r="U95" s="489" t="s">
        <v>150</v>
      </c>
      <c r="V95" s="490">
        <f>B95</f>
        <v>2018</v>
      </c>
      <c r="W95" s="490">
        <f>C95</f>
        <v>2015</v>
      </c>
      <c r="X95" s="491"/>
      <c r="Y95" s="1178"/>
      <c r="Z95" s="296"/>
      <c r="AA95" s="1179" t="s">
        <v>436</v>
      </c>
      <c r="AB95" s="1179"/>
      <c r="AC95" s="651" t="s">
        <v>435</v>
      </c>
      <c r="AD95" s="298"/>
      <c r="AE95" s="1180" t="s">
        <v>227</v>
      </c>
      <c r="AF95" s="1181"/>
      <c r="AG95" s="298"/>
      <c r="AH95" s="1180" t="s">
        <v>224</v>
      </c>
      <c r="AI95" s="1181"/>
      <c r="AJ95" s="296"/>
      <c r="AK95" s="296"/>
    </row>
    <row r="96" spans="1:40" x14ac:dyDescent="0.2">
      <c r="A96" s="397">
        <f>VLOOKUP(A93,B26:G36,2)</f>
        <v>9.9999999999999995E-7</v>
      </c>
      <c r="B96" s="399">
        <f>VLOOKUP(A93,B26:G36,3,FALSE)</f>
        <v>9.9999999999999995E-7</v>
      </c>
      <c r="C96" s="399" t="str">
        <f>VLOOKUP(A93,B26:G36,4,FALSE)</f>
        <v>-</v>
      </c>
      <c r="D96" s="399">
        <f>VLOOKUP(A93,B26:G36,5,FALSE)</f>
        <v>9.9999999999999995E-7</v>
      </c>
      <c r="E96" s="400">
        <f>VLOOKUP(A93,B26:G36,6,FALSE)</f>
        <v>1.9E-2</v>
      </c>
      <c r="F96" s="296"/>
      <c r="Q96" s="296"/>
      <c r="U96" s="492">
        <f>VLOOKUP(U93,V26:AA36,2)</f>
        <v>1.0000000000000001E-5</v>
      </c>
      <c r="V96" s="493">
        <f>VLOOKUP(U93,V26:AA36,3,FALSE)</f>
        <v>1.0000000000000001E-5</v>
      </c>
      <c r="W96" s="493">
        <f>VLOOKUP(U93,V26:AA36,4,FALSE)</f>
        <v>1.0000000000000001E-5</v>
      </c>
      <c r="X96" s="493">
        <f>VLOOKUP(U93,V26:AA36,5,FALSE)</f>
        <v>9.9999999999999995E-7</v>
      </c>
      <c r="Y96" s="493">
        <f>VLOOKUP(U93,V26:AA36,6,FALSE)</f>
        <v>0.10197100000000001</v>
      </c>
      <c r="Z96" s="296"/>
      <c r="AA96" s="649">
        <f>D104</f>
        <v>13.6</v>
      </c>
      <c r="AB96" s="650">
        <f>FORECAST(AA96,V96:V101,U96:U101)</f>
        <v>-7.2420208716550459E-4</v>
      </c>
      <c r="AC96" s="652">
        <f>AB96*0.980665</f>
        <v>-7.1019963981015961E-4</v>
      </c>
      <c r="AD96" s="298"/>
      <c r="AE96" s="341">
        <f>E104</f>
        <v>13.599289800360189</v>
      </c>
      <c r="AF96" s="653">
        <f>FORECAST(AE96,X96:X101,U96:U101)</f>
        <v>1.4677362868313457E-3</v>
      </c>
      <c r="AG96" s="298"/>
      <c r="AH96" s="341">
        <f>E104</f>
        <v>13.599289800360189</v>
      </c>
      <c r="AI96" s="1250" t="s">
        <v>103</v>
      </c>
      <c r="AJ96" s="296"/>
      <c r="AK96" s="1253"/>
      <c r="AL96" s="1251">
        <f>IF(AK97&lt;=U97,U96,IF(AK97&lt;=U98,U97,IF(AK97&lt;=U99,U98,IF(AK97&lt;=U100,U99,IF(AK97&lt;=U101,U100)))))</f>
        <v>1.0000000000000001E-5</v>
      </c>
      <c r="AM96" s="878"/>
      <c r="AN96" s="1252">
        <f>IF(AK97&lt;=U97,Y96,IF(AK97&lt;=U98,Y97,IF(AK97&lt;=U99,Y98,IF(AK97&lt;=U100,Y99,IF(AK97&lt;=U101,Y100)))))</f>
        <v>0.10197100000000001</v>
      </c>
    </row>
    <row r="97" spans="1:40" x14ac:dyDescent="0.2">
      <c r="A97" s="397">
        <f>VLOOKUP(A93,B37:G47,2)</f>
        <v>10.02</v>
      </c>
      <c r="B97" s="399">
        <f>VLOOKUP(A93,B37:G47,3,FALSE)</f>
        <v>0.02</v>
      </c>
      <c r="C97" s="399" t="str">
        <f>VLOOKUP(A93,B37:G47,4,FALSE)</f>
        <v>-</v>
      </c>
      <c r="D97" s="399">
        <f>VLOOKUP(A93,B37:G47,5,FALSE)</f>
        <v>0</v>
      </c>
      <c r="E97" s="400">
        <f>VLOOKUP(A93,B37:G47,6,FALSE)</f>
        <v>1.9E-2</v>
      </c>
      <c r="F97" s="296"/>
      <c r="Q97" s="296"/>
      <c r="U97" s="492">
        <f>VLOOKUP(U93,V37:AA47,2)</f>
        <v>50.856299999999997</v>
      </c>
      <c r="V97" s="493">
        <f>VLOOKUP(U93,V37:AA47,3,FALSE)</f>
        <v>-3.0500000000000002E-3</v>
      </c>
      <c r="W97" s="493">
        <f>VLOOKUP(U93,V37:AA47,4,FALSE)</f>
        <v>-8.9999999999999993E-3</v>
      </c>
      <c r="X97" s="493">
        <f>VLOOKUP(U93,V37:AA47,5,FALSE)</f>
        <v>2.9749999999999993E-3</v>
      </c>
      <c r="Y97" s="493">
        <f>VLOOKUP(U93,V37:AA47,6,FALSE)</f>
        <v>0.10197100000000001</v>
      </c>
      <c r="Z97" s="296"/>
      <c r="AA97" s="649">
        <f>D105</f>
        <v>4.8</v>
      </c>
      <c r="AB97" s="650">
        <f>FORECAST(AA97,V96:V101,U96:U101)</f>
        <v>-5.1193901991799444E-4</v>
      </c>
      <c r="AC97" s="652">
        <f t="shared" ref="AC97" si="142">AB97*0.980665</f>
        <v>-5.0204067896788E-4</v>
      </c>
      <c r="AD97" s="298"/>
      <c r="AE97" s="341">
        <f t="shared" ref="AE97" si="143">E105</f>
        <v>4.7994979593210321</v>
      </c>
      <c r="AF97" s="653">
        <f t="shared" ref="AF97" si="144">FORECAST(AE97,X97:X102,U97:U102)</f>
        <v>3.4201457874220623E-3</v>
      </c>
      <c r="AG97" s="298"/>
      <c r="AH97" s="341">
        <f t="shared" ref="AH97" si="145">E105</f>
        <v>4.7994979593210321</v>
      </c>
      <c r="AI97" s="1250" t="s">
        <v>103</v>
      </c>
      <c r="AJ97" s="296"/>
      <c r="AK97" s="1254">
        <f>E105</f>
        <v>4.7994979593210321</v>
      </c>
      <c r="AL97" s="1251"/>
      <c r="AM97" s="1251">
        <f>((AK97-AL96)/(AL98-AL96)*(AN98-AN96)+AN96)</f>
        <v>0.10197100000000001</v>
      </c>
      <c r="AN97" s="1253"/>
    </row>
    <row r="98" spans="1:40" x14ac:dyDescent="0.2">
      <c r="A98" s="397">
        <f>VLOOKUP(A93,B48:G58,2)</f>
        <v>19.96</v>
      </c>
      <c r="B98" s="399">
        <f>VLOOKUP(A93,B48:G58,3,FALSE)</f>
        <v>0.06</v>
      </c>
      <c r="C98" s="399" t="str">
        <f>VLOOKUP(A93,B48:G58,4,FALSE)</f>
        <v>-</v>
      </c>
      <c r="D98" s="399">
        <f>VLOOKUP(A93,B48:G58,5,FALSE)</f>
        <v>0</v>
      </c>
      <c r="E98" s="400">
        <f>VLOOKUP(A93,B48:G58,6,FALSE)</f>
        <v>1.9E-2</v>
      </c>
      <c r="F98" s="296"/>
      <c r="Q98" s="296"/>
      <c r="U98" s="492">
        <f>VLOOKUP(U93,V48:AA58,2)</f>
        <v>101.706495</v>
      </c>
      <c r="V98" s="493">
        <f>VLOOKUP(U93,V48:AA58,3,FALSE)</f>
        <v>1.0000000000000001E-5</v>
      </c>
      <c r="W98" s="493">
        <f>VLOOKUP(U93,V48:AA58,4,FALSE)</f>
        <v>-6.0000000000000001E-3</v>
      </c>
      <c r="X98" s="493">
        <f>VLOOKUP(U93,V48:AA58,5,FALSE)</f>
        <v>3.0049999999999999E-3</v>
      </c>
      <c r="Y98" s="493">
        <f>VLOOKUP(U93,V48:AA58,6,FALSE)</f>
        <v>0.10197100000000001</v>
      </c>
      <c r="Z98" s="296"/>
      <c r="AA98" s="869"/>
      <c r="AB98" s="870"/>
      <c r="AC98" s="871"/>
      <c r="AD98" s="298"/>
      <c r="AE98" s="344"/>
      <c r="AF98" s="872"/>
      <c r="AG98" s="298"/>
      <c r="AH98" s="344"/>
      <c r="AI98" s="343"/>
      <c r="AJ98" s="296"/>
      <c r="AK98" s="1253"/>
      <c r="AL98" s="1251">
        <f>IF(AK97&lt;=U97,U97,IF(AK97&lt;=U98,U98,IF(AK97&lt;=U99,U99,IF(AK97&lt;=U100,U100,IF(AK97&lt;=U101,U101)))))</f>
        <v>50.856299999999997</v>
      </c>
      <c r="AM98" s="878"/>
      <c r="AN98" s="1252">
        <f>IF(AK97&lt;=U97,Y97,IF(AK97&lt;=U98,Y98,IF(AK97&lt;=U99,Y99,IF(AK97&lt;=U100,Y100,IF(AK97&lt;=U101,U101)))))</f>
        <v>0.10197100000000001</v>
      </c>
    </row>
    <row r="99" spans="1:40" x14ac:dyDescent="0.2">
      <c r="A99" s="397">
        <f>VLOOKUP(A93,B59:G69,2)</f>
        <v>30.1</v>
      </c>
      <c r="B99" s="399">
        <f>VLOOKUP(A93,B59:G69,3,FALSE)</f>
        <v>0.1</v>
      </c>
      <c r="C99" s="399" t="str">
        <f>VLOOKUP(A93,B59:G69,4,FALSE)</f>
        <v>-</v>
      </c>
      <c r="D99" s="399">
        <f>VLOOKUP(A93,B59:G69,5,FALSE)</f>
        <v>0</v>
      </c>
      <c r="E99" s="400">
        <f>VLOOKUP(A93,B59:G69,6,FALSE)</f>
        <v>1.9E-2</v>
      </c>
      <c r="F99" s="296"/>
      <c r="Q99" s="296"/>
      <c r="U99" s="492">
        <f>VLOOKUP(U93,V59:AA69,2)</f>
        <v>152.55668299999999</v>
      </c>
      <c r="V99" s="493">
        <f>VLOOKUP(U93,V59:AA69,3,FALSE)</f>
        <v>-7.1380000000000002E-3</v>
      </c>
      <c r="W99" s="493">
        <f>VLOOKUP(U93,V59:AA69,4,FALSE)</f>
        <v>-3.0000000000000001E-3</v>
      </c>
      <c r="X99" s="493">
        <f>VLOOKUP(U93,V59:AA69,5,FALSE)</f>
        <v>2.0690000000000001E-3</v>
      </c>
      <c r="Y99" s="493">
        <f>VLOOKUP(U93,V59:AA69,6,FALSE)</f>
        <v>0.10197100000000001</v>
      </c>
      <c r="Z99" s="296"/>
      <c r="AA99" s="298"/>
      <c r="AB99" s="298"/>
      <c r="AC99" s="298"/>
      <c r="AD99" s="298"/>
      <c r="AE99" s="1179" t="s">
        <v>442</v>
      </c>
      <c r="AF99" s="1179"/>
      <c r="AK99" s="296"/>
    </row>
    <row r="100" spans="1:40" x14ac:dyDescent="0.2">
      <c r="A100" s="397">
        <f>VLOOKUP(A93,B70:G80,2)</f>
        <v>51.11</v>
      </c>
      <c r="B100" s="399">
        <f>VLOOKUP(A93,B70:G80,3,FALSE)</f>
        <v>0.11</v>
      </c>
      <c r="C100" s="399">
        <f>VLOOKUP(A93,B70:G80,4,FALSE)</f>
        <v>0.31</v>
      </c>
      <c r="D100" s="399">
        <f>VLOOKUP(A93,B70:G80,5,FALSE)</f>
        <v>0.1</v>
      </c>
      <c r="E100" s="400">
        <f>VLOOKUP(A93,B70:G80,6,FALSE)</f>
        <v>1.9E-2</v>
      </c>
      <c r="F100" s="296"/>
      <c r="Q100" s="296"/>
      <c r="U100" s="492">
        <f>VLOOKUP(U93,V70:AA80,2)</f>
        <v>203.406871</v>
      </c>
      <c r="V100" s="493">
        <f>VLOOKUP(U93,V70:AA80,3,FALSE)</f>
        <v>-4.0788600000000001E-3</v>
      </c>
      <c r="W100" s="493">
        <f>VLOOKUP(U93,V70:AA80,4,FALSE)</f>
        <v>1.0000000000000001E-5</v>
      </c>
      <c r="X100" s="493">
        <f>VLOOKUP(U93,V70:AA80,5,FALSE)</f>
        <v>2.0444299999999999E-3</v>
      </c>
      <c r="Y100" s="493">
        <f>VLOOKUP(U93,V70:AA80,6,FALSE)</f>
        <v>0.10197100000000001</v>
      </c>
      <c r="Z100" s="296"/>
      <c r="AA100" s="298"/>
      <c r="AB100" s="298"/>
      <c r="AC100" s="298"/>
      <c r="AD100" s="298"/>
      <c r="AE100" s="1182">
        <f>1/3*Y97</f>
        <v>3.3990333333333331E-2</v>
      </c>
      <c r="AF100" s="1182"/>
      <c r="AH100" s="878"/>
      <c r="AI100" s="1251">
        <f>IF(AH101&lt;=U97,U96,IF(AH101&lt;=U98,U97,IF(AH101&lt;=U99,U98,IF(AH101&lt;=U100,U99,IF(AH101&lt;=U101,U100)))))</f>
        <v>1.0000000000000001E-5</v>
      </c>
      <c r="AJ100" s="878"/>
      <c r="AK100" s="1252">
        <f>IF(AH101&lt;=U97,Y96,IF(AH101&lt;=U98,Y97,IF(AH101&lt;=U99,Y98,IF(AH101&lt;=U100,Y99,IF(AH101&lt;=U101,Y100)))))</f>
        <v>0.10197100000000001</v>
      </c>
    </row>
    <row r="101" spans="1:40" ht="13.5" thickBot="1" x14ac:dyDescent="0.25">
      <c r="A101" s="398">
        <f>VLOOKUP(A93,B81:G91,2)</f>
        <v>103.4</v>
      </c>
      <c r="B101" s="401">
        <f>VLOOKUP(A93,B81:G91,3,FALSE)</f>
        <v>0.11</v>
      </c>
      <c r="C101" s="401">
        <f>VLOOKUP(A93,B81:G91,4,FALSE)</f>
        <v>0.42</v>
      </c>
      <c r="D101" s="401">
        <f>VLOOKUP(A93,B81:G91,5,FALSE)</f>
        <v>0.155</v>
      </c>
      <c r="E101" s="402">
        <f>VLOOKUP(A93,B81:G91,6,FALSE)</f>
        <v>1.9E-2</v>
      </c>
      <c r="F101" s="296"/>
      <c r="P101" s="296"/>
      <c r="Q101" s="296"/>
      <c r="U101" s="494" t="str">
        <f>VLOOKUP(U93,V81:AA91,2)</f>
        <v>-</v>
      </c>
      <c r="V101" s="495" t="str">
        <f>VLOOKUP(U93,V81:AA91,3,FALSE)</f>
        <v>-</v>
      </c>
      <c r="W101" s="495" t="str">
        <f>VLOOKUP(U93,V81:AA91,4,FALSE)</f>
        <v>-</v>
      </c>
      <c r="X101" s="495">
        <f>VLOOKUP(U93,V81:AA91,5,FALSE)</f>
        <v>0</v>
      </c>
      <c r="Y101" s="493" t="str">
        <f>VLOOKUP(U93,V81:AA91,6,FALSE)</f>
        <v>-</v>
      </c>
      <c r="Z101" s="296"/>
      <c r="AA101" s="298"/>
      <c r="AB101" s="298"/>
      <c r="AC101" s="298"/>
      <c r="AD101" s="298"/>
      <c r="AE101" s="298"/>
      <c r="AF101" s="298"/>
      <c r="AH101" s="1251">
        <f>E104</f>
        <v>13.599289800360189</v>
      </c>
      <c r="AI101" s="1251"/>
      <c r="AJ101" s="1251">
        <f>((AH101-AI100)/(AI102-AI100)*(AK102-AK100)+AK100)</f>
        <v>0.10197100000000001</v>
      </c>
      <c r="AK101" s="1253"/>
    </row>
    <row r="102" spans="1:40" x14ac:dyDescent="0.2">
      <c r="A102" s="342"/>
      <c r="B102" s="343"/>
      <c r="C102" s="344"/>
      <c r="D102" s="344"/>
      <c r="E102" s="344"/>
      <c r="F102" s="344"/>
      <c r="L102" s="298"/>
      <c r="M102" s="298"/>
      <c r="N102" s="298"/>
      <c r="O102" s="296"/>
      <c r="P102" s="296"/>
      <c r="Q102" s="296"/>
      <c r="U102" s="424"/>
      <c r="V102" s="343"/>
      <c r="W102" s="344"/>
      <c r="X102" s="344"/>
      <c r="Y102" s="344"/>
      <c r="Z102" s="344"/>
      <c r="AA102" s="298"/>
      <c r="AB102" s="298"/>
      <c r="AC102" s="298"/>
      <c r="AD102" s="298"/>
      <c r="AE102" s="298"/>
      <c r="AF102" s="298"/>
      <c r="AH102" s="878"/>
      <c r="AI102" s="1251">
        <f>IF(AH101&lt;=U97,U97,IF(AH101&lt;=U98,U98,IF(AH101&lt;=U99,AH101,IF(AH101&lt;=U100,U100,IF(AH101&lt;=U101,U101)))))</f>
        <v>50.856299999999997</v>
      </c>
      <c r="AJ102" s="878"/>
      <c r="AK102" s="1252">
        <f>IF(AH101&lt;=U97,Y97,IF(AH101&lt;=U98,Y98,IF(AH101&lt;=U99,Y99,IF(AH101&lt;=U100,Y100,IF(AH101&lt;=U101,Y101)))))</f>
        <v>0.10197100000000001</v>
      </c>
    </row>
    <row r="103" spans="1:40" ht="42.95" customHeight="1" x14ac:dyDescent="0.2">
      <c r="A103" s="611" t="s">
        <v>40</v>
      </c>
      <c r="B103" s="611" t="str">
        <f>ID!C29</f>
        <v>Parameter</v>
      </c>
      <c r="C103" s="611" t="str">
        <f>ID!E29</f>
        <v>Setting Alat</v>
      </c>
      <c r="D103" s="611" t="s">
        <v>407</v>
      </c>
      <c r="E103" s="611" t="s">
        <v>254</v>
      </c>
      <c r="F103" s="611" t="s">
        <v>160</v>
      </c>
      <c r="G103" s="611" t="s">
        <v>361</v>
      </c>
      <c r="H103" s="611" t="s">
        <v>255</v>
      </c>
      <c r="I103" s="611" t="s">
        <v>408</v>
      </c>
      <c r="J103" s="611" t="s">
        <v>409</v>
      </c>
      <c r="K103" s="611" t="s">
        <v>360</v>
      </c>
      <c r="L103" s="606"/>
      <c r="M103" s="614" t="s">
        <v>410</v>
      </c>
      <c r="N103" s="614" t="s">
        <v>411</v>
      </c>
      <c r="O103" s="614" t="s">
        <v>412</v>
      </c>
      <c r="P103" s="615" t="s">
        <v>413</v>
      </c>
      <c r="Q103" s="296"/>
      <c r="U103" s="605"/>
      <c r="V103" s="606"/>
      <c r="W103" s="605"/>
      <c r="X103" s="606"/>
      <c r="Y103" s="298"/>
      <c r="Z103" s="619"/>
      <c r="AA103" s="620"/>
      <c r="AB103" s="619"/>
      <c r="AC103" s="620"/>
      <c r="AD103" s="298"/>
      <c r="AE103" s="619"/>
      <c r="AF103" s="620"/>
      <c r="AK103" s="296"/>
    </row>
    <row r="104" spans="1:40" ht="42.95" customHeight="1" x14ac:dyDescent="0.2">
      <c r="A104" s="608">
        <v>1</v>
      </c>
      <c r="B104" s="609" t="str">
        <f>ID!C31</f>
        <v>Peak Inspirasi Pressure (PIP) / (IPAP) (mbar)</v>
      </c>
      <c r="C104" s="610">
        <f>ID!E31</f>
        <v>15</v>
      </c>
      <c r="D104" s="612">
        <f>AVERAGE(ID!G31:K31)</f>
        <v>13.6</v>
      </c>
      <c r="E104" s="612">
        <f>D104+AC96</f>
        <v>13.599289800360189</v>
      </c>
      <c r="F104" s="612">
        <f>E104-C104</f>
        <v>-1.4007101996398106</v>
      </c>
      <c r="G104" s="612">
        <f>F104/C104*100</f>
        <v>-9.3380679975987366</v>
      </c>
      <c r="H104" s="648">
        <f>STDEV(ID!G31:K31)</f>
        <v>0</v>
      </c>
      <c r="I104" s="613">
        <f>0.5*0.1</f>
        <v>0.05</v>
      </c>
      <c r="J104" s="654">
        <f>AJ101</f>
        <v>0.10197100000000001</v>
      </c>
      <c r="K104" s="874">
        <f>IF(AF96&gt;0,AF96,IF(AF96&lt;=0,AE100))</f>
        <v>1.4677362868313457E-3</v>
      </c>
      <c r="L104" s="606"/>
      <c r="M104" s="617">
        <f>IFERROR(UB!J14,"-")</f>
        <v>0.11663213014696616</v>
      </c>
      <c r="N104" s="614">
        <f>MAX(M104:M106)</f>
        <v>0.11668279419582384</v>
      </c>
      <c r="O104" s="616" t="str">
        <f>IF(N104&gt;=10,"0",IF(N104&lt;1,"0.00","0.0"))</f>
        <v>0.00</v>
      </c>
      <c r="P104" s="618" t="str">
        <f>TEXT(M104,$O$104)</f>
        <v>0.12</v>
      </c>
      <c r="Q104" s="296"/>
      <c r="U104" s="605"/>
      <c r="V104" s="606"/>
      <c r="W104" s="605"/>
      <c r="X104" s="606"/>
      <c r="Y104" s="298"/>
      <c r="Z104" s="605"/>
      <c r="AA104" s="606"/>
      <c r="AB104" s="605"/>
      <c r="AC104" s="606"/>
      <c r="AD104" s="298"/>
      <c r="AE104" s="605"/>
      <c r="AF104" s="606"/>
      <c r="AK104" s="296"/>
    </row>
    <row r="105" spans="1:40" ht="42.95" customHeight="1" x14ac:dyDescent="0.2">
      <c r="A105" s="608">
        <v>2</v>
      </c>
      <c r="B105" s="609" t="str">
        <f>ID!C32</f>
        <v>Positive End Expiratory Pressure (PEEP) / (EPAP) (mbar)</v>
      </c>
      <c r="C105" s="610">
        <f>ID!E32</f>
        <v>5</v>
      </c>
      <c r="D105" s="612">
        <f>AVERAGE(ID!G32:K32)</f>
        <v>4.8</v>
      </c>
      <c r="E105" s="612">
        <f t="shared" ref="E105" si="146">D105+AC97</f>
        <v>4.7994979593210321</v>
      </c>
      <c r="F105" s="612">
        <f t="shared" ref="F105" si="147">E105-C105</f>
        <v>-0.20050204067896793</v>
      </c>
      <c r="G105" s="612">
        <f t="shared" ref="G105:G106" si="148">F105/C105*100</f>
        <v>-4.0100408135793586</v>
      </c>
      <c r="H105" s="648">
        <f>STDEV(ID!G32:K32)</f>
        <v>0</v>
      </c>
      <c r="I105" s="613">
        <f>0.5*0.1</f>
        <v>0.05</v>
      </c>
      <c r="J105" s="654">
        <f>AM97</f>
        <v>0.10197100000000001</v>
      </c>
      <c r="K105" s="874">
        <f>IF(AF97&gt;0,AF97,IF(AF97&lt;=0,AE100))</f>
        <v>3.4201457874220623E-3</v>
      </c>
      <c r="L105" s="606"/>
      <c r="M105" s="617">
        <f>IFERROR(UB!J27,"-")</f>
        <v>0.11668279419582384</v>
      </c>
      <c r="N105" s="614"/>
      <c r="O105" s="614"/>
      <c r="P105" s="618" t="str">
        <f>TEXT(M105,$O$104)</f>
        <v>0.12</v>
      </c>
      <c r="Q105" s="296"/>
      <c r="U105" s="605"/>
      <c r="V105" s="606"/>
      <c r="W105" s="605"/>
      <c r="X105" s="606"/>
      <c r="Y105" s="298"/>
      <c r="Z105" s="605"/>
      <c r="AA105" s="606"/>
      <c r="AB105" s="605"/>
      <c r="AC105" s="606"/>
      <c r="AD105" s="298"/>
      <c r="AE105" s="605"/>
      <c r="AF105" s="606"/>
      <c r="AK105" s="296"/>
    </row>
    <row r="106" spans="1:40" ht="42.95" customHeight="1" x14ac:dyDescent="0.2">
      <c r="A106" s="608">
        <v>3</v>
      </c>
      <c r="B106" s="609" t="str">
        <f>ID!C33</f>
        <v>Breath Rate (BPM)</v>
      </c>
      <c r="C106" s="610">
        <f>ID!E33</f>
        <v>12</v>
      </c>
      <c r="D106" s="612">
        <f>AVERAGE(ID!G33:K33)</f>
        <v>12</v>
      </c>
      <c r="E106" s="612" t="s">
        <v>103</v>
      </c>
      <c r="F106" s="612">
        <f>D106-C106</f>
        <v>0</v>
      </c>
      <c r="G106" s="612">
        <f t="shared" si="148"/>
        <v>0</v>
      </c>
      <c r="H106" s="648">
        <f>STDEV(ID!G33:K33)</f>
        <v>0</v>
      </c>
      <c r="I106" s="613">
        <f>0.5*0.1</f>
        <v>0.05</v>
      </c>
      <c r="J106" s="654">
        <v>9.9999999999999995E-7</v>
      </c>
      <c r="K106" s="874">
        <v>9.9999999999999995E-7</v>
      </c>
      <c r="L106" s="606"/>
      <c r="M106" s="617">
        <f>IFERROR(UB!J40,"-")</f>
        <v>5.7982691555414426E-2</v>
      </c>
      <c r="N106" s="614"/>
      <c r="O106" s="614"/>
      <c r="P106" s="618" t="str">
        <f>TEXT(M106,$O$104)</f>
        <v>0.06</v>
      </c>
      <c r="Q106" s="296"/>
      <c r="U106" s="605"/>
      <c r="V106" s="606"/>
      <c r="W106" s="605"/>
      <c r="X106" s="606"/>
      <c r="Y106" s="298"/>
      <c r="Z106" s="605"/>
      <c r="AA106" s="606"/>
      <c r="AB106" s="605"/>
      <c r="AC106" s="606"/>
      <c r="AD106" s="298"/>
      <c r="AE106" s="605"/>
      <c r="AF106" s="606"/>
      <c r="AG106" s="605"/>
      <c r="AH106" s="606"/>
      <c r="AI106" s="296"/>
      <c r="AJ106" s="296"/>
      <c r="AK106" s="296"/>
    </row>
    <row r="107" spans="1:40" x14ac:dyDescent="0.2">
      <c r="A107" s="603"/>
      <c r="B107" s="74"/>
      <c r="C107" s="74"/>
      <c r="D107" s="607"/>
      <c r="E107" s="296"/>
      <c r="F107" s="605"/>
      <c r="G107" s="606"/>
      <c r="H107" s="605"/>
      <c r="I107" s="606"/>
      <c r="J107" s="298"/>
      <c r="K107" s="605"/>
      <c r="L107" s="606"/>
      <c r="M107" s="605"/>
      <c r="N107" s="606"/>
      <c r="O107" s="296"/>
      <c r="P107" s="296"/>
      <c r="Q107" s="296"/>
      <c r="U107" s="605"/>
      <c r="V107" s="606"/>
      <c r="W107" s="605"/>
      <c r="X107" s="606"/>
      <c r="Y107" s="298"/>
      <c r="Z107" s="605"/>
      <c r="AA107" s="606"/>
      <c r="AB107" s="605"/>
      <c r="AC107" s="606"/>
      <c r="AD107" s="298"/>
      <c r="AE107" s="605"/>
      <c r="AF107" s="606"/>
      <c r="AG107" s="605"/>
      <c r="AH107" s="606"/>
      <c r="AI107" s="296"/>
      <c r="AJ107" s="296"/>
      <c r="AK107" s="296"/>
    </row>
    <row r="108" spans="1:40" ht="13.5" thickBot="1" x14ac:dyDescent="0.25"/>
    <row r="109" spans="1:40" ht="13.5" thickBot="1" x14ac:dyDescent="0.25">
      <c r="A109" s="519" t="str">
        <f>ID!B42</f>
        <v>Flow Analyzer, Merek : Fluke, Model : VT305, SN : BF100519</v>
      </c>
      <c r="B109" s="520"/>
      <c r="C109" s="520"/>
      <c r="D109" s="520"/>
      <c r="E109" s="520"/>
      <c r="F109" s="520"/>
      <c r="G109" s="520"/>
      <c r="H109" s="520"/>
      <c r="I109" s="521" t="s">
        <v>362</v>
      </c>
      <c r="J109" s="521" t="s">
        <v>363</v>
      </c>
      <c r="K109" s="522"/>
      <c r="L109" s="296"/>
      <c r="M109" s="1162">
        <f>A121</f>
        <v>1</v>
      </c>
      <c r="N109" s="1163"/>
      <c r="O109" s="1163"/>
      <c r="P109" s="1163"/>
      <c r="Q109" s="1163"/>
      <c r="R109" s="1163"/>
      <c r="S109" s="1163"/>
      <c r="T109" s="1163"/>
      <c r="U109" s="1163"/>
      <c r="V109" s="1163"/>
      <c r="W109" s="1164"/>
      <c r="Y109" s="1165">
        <f>M109</f>
        <v>1</v>
      </c>
      <c r="Z109" s="1166"/>
      <c r="AA109" s="1166"/>
      <c r="AB109" s="1166"/>
      <c r="AC109" s="1166"/>
      <c r="AD109" s="1166"/>
      <c r="AE109" s="1166"/>
      <c r="AF109" s="1166"/>
      <c r="AG109" s="1166"/>
      <c r="AH109" s="1166"/>
      <c r="AI109" s="1167"/>
    </row>
    <row r="110" spans="1:40" ht="15" x14ac:dyDescent="0.2">
      <c r="A110" s="515" t="s">
        <v>448</v>
      </c>
      <c r="B110" s="516"/>
      <c r="C110" s="516"/>
      <c r="D110" s="516"/>
      <c r="E110" s="516"/>
      <c r="F110" s="516"/>
      <c r="G110" s="516"/>
      <c r="H110" s="516"/>
      <c r="I110" s="517">
        <f>B4</f>
        <v>2018</v>
      </c>
      <c r="J110" s="517">
        <f>C4</f>
        <v>2015</v>
      </c>
      <c r="K110" s="518">
        <v>1</v>
      </c>
      <c r="L110" s="296"/>
      <c r="M110" s="366">
        <v>1</v>
      </c>
      <c r="N110" s="527" t="s">
        <v>364</v>
      </c>
      <c r="O110" s="367"/>
      <c r="P110" s="367"/>
      <c r="Q110" s="367"/>
      <c r="R110" s="367"/>
      <c r="S110" s="367"/>
      <c r="T110" s="367"/>
      <c r="U110" s="367"/>
      <c r="V110" s="367"/>
      <c r="W110" s="368"/>
      <c r="Y110" s="543">
        <v>1</v>
      </c>
      <c r="Z110" s="532" t="s">
        <v>365</v>
      </c>
      <c r="AA110" s="509"/>
      <c r="AB110" s="509"/>
      <c r="AC110" s="509"/>
      <c r="AD110" s="509"/>
      <c r="AE110" s="509"/>
      <c r="AF110" s="509"/>
      <c r="AG110" s="509"/>
      <c r="AH110" s="509"/>
      <c r="AI110" s="533"/>
    </row>
    <row r="111" spans="1:40" ht="15" x14ac:dyDescent="0.2">
      <c r="A111" s="500" t="s">
        <v>108</v>
      </c>
      <c r="B111" s="501"/>
      <c r="C111" s="501"/>
      <c r="D111" s="501"/>
      <c r="E111" s="501"/>
      <c r="F111" s="501"/>
      <c r="G111" s="501"/>
      <c r="H111" s="501"/>
      <c r="I111" s="496">
        <f>B14</f>
        <v>2018</v>
      </c>
      <c r="J111" s="496">
        <f>C14</f>
        <v>2017</v>
      </c>
      <c r="K111" s="497">
        <v>2</v>
      </c>
      <c r="L111" s="296"/>
      <c r="M111" s="354">
        <v>2</v>
      </c>
      <c r="N111" s="355" t="s">
        <v>364</v>
      </c>
      <c r="O111" s="356"/>
      <c r="P111" s="356"/>
      <c r="Q111" s="356"/>
      <c r="R111" s="356"/>
      <c r="S111" s="356"/>
      <c r="T111" s="356"/>
      <c r="U111" s="356"/>
      <c r="V111" s="356"/>
      <c r="W111" s="357"/>
      <c r="Y111" s="529">
        <v>2</v>
      </c>
      <c r="Z111" s="532" t="s">
        <v>365</v>
      </c>
      <c r="AA111" s="509"/>
      <c r="AB111" s="509"/>
      <c r="AC111" s="509"/>
      <c r="AD111" s="509"/>
      <c r="AE111" s="509"/>
      <c r="AF111" s="509"/>
      <c r="AG111" s="509"/>
      <c r="AH111" s="509"/>
      <c r="AI111" s="533"/>
    </row>
    <row r="112" spans="1:40" ht="15" x14ac:dyDescent="0.2">
      <c r="A112" s="502" t="s">
        <v>449</v>
      </c>
      <c r="B112" s="503"/>
      <c r="C112" s="503"/>
      <c r="D112" s="503"/>
      <c r="E112" s="503"/>
      <c r="F112" s="503"/>
      <c r="G112" s="503"/>
      <c r="H112" s="503"/>
      <c r="I112" s="496">
        <f>H4</f>
        <v>2020</v>
      </c>
      <c r="J112" s="496">
        <f>I4</f>
        <v>2017</v>
      </c>
      <c r="K112" s="498">
        <v>3</v>
      </c>
      <c r="L112" s="296"/>
      <c r="M112" s="354">
        <v>3</v>
      </c>
      <c r="N112" s="355" t="s">
        <v>366</v>
      </c>
      <c r="O112" s="356"/>
      <c r="P112" s="356"/>
      <c r="Q112" s="356"/>
      <c r="R112" s="356"/>
      <c r="S112" s="356"/>
      <c r="T112" s="356"/>
      <c r="U112" s="356"/>
      <c r="V112" s="356"/>
      <c r="W112" s="357"/>
      <c r="Y112" s="529">
        <v>3</v>
      </c>
      <c r="Z112" s="532" t="s">
        <v>367</v>
      </c>
      <c r="AA112" s="509"/>
      <c r="AB112" s="509"/>
      <c r="AC112" s="509"/>
      <c r="AD112" s="509"/>
      <c r="AE112" s="509"/>
      <c r="AF112" s="509"/>
      <c r="AG112" s="509"/>
      <c r="AH112" s="509"/>
      <c r="AI112" s="533"/>
    </row>
    <row r="113" spans="1:35" ht="15" x14ac:dyDescent="0.2">
      <c r="A113" s="502" t="s">
        <v>368</v>
      </c>
      <c r="B113" s="503"/>
      <c r="C113" s="503"/>
      <c r="D113" s="503"/>
      <c r="E113" s="503"/>
      <c r="F113" s="503"/>
      <c r="G113" s="503"/>
      <c r="H113" s="503"/>
      <c r="I113" s="496">
        <f>H14</f>
        <v>2018</v>
      </c>
      <c r="J113" s="496" t="str">
        <f>I14</f>
        <v>-</v>
      </c>
      <c r="K113" s="498">
        <v>4</v>
      </c>
      <c r="L113" s="296"/>
      <c r="M113" s="354">
        <v>4</v>
      </c>
      <c r="N113" s="355" t="s">
        <v>364</v>
      </c>
      <c r="O113" s="356"/>
      <c r="P113" s="356"/>
      <c r="Q113" s="356"/>
      <c r="R113" s="356"/>
      <c r="S113" s="356"/>
      <c r="T113" s="356"/>
      <c r="U113" s="356"/>
      <c r="V113" s="356"/>
      <c r="W113" s="357"/>
      <c r="Y113" s="529">
        <v>4</v>
      </c>
      <c r="Z113" s="532" t="s">
        <v>365</v>
      </c>
      <c r="AA113" s="509"/>
      <c r="AB113" s="509"/>
      <c r="AC113" s="509"/>
      <c r="AD113" s="509"/>
      <c r="AE113" s="509"/>
      <c r="AF113" s="509"/>
      <c r="AG113" s="509"/>
      <c r="AH113" s="509"/>
      <c r="AI113" s="533"/>
    </row>
    <row r="114" spans="1:35" ht="15" x14ac:dyDescent="0.2">
      <c r="A114" s="500" t="s">
        <v>369</v>
      </c>
      <c r="B114" s="503"/>
      <c r="C114" s="503"/>
      <c r="D114" s="503"/>
      <c r="E114" s="503"/>
      <c r="F114" s="503"/>
      <c r="G114" s="503"/>
      <c r="H114" s="503"/>
      <c r="I114" s="496">
        <f>N4</f>
        <v>2018</v>
      </c>
      <c r="J114" s="496" t="str">
        <f>O4</f>
        <v>-</v>
      </c>
      <c r="K114" s="498">
        <v>5</v>
      </c>
      <c r="L114" s="296"/>
      <c r="M114" s="354">
        <v>5</v>
      </c>
      <c r="N114" s="355" t="s">
        <v>370</v>
      </c>
      <c r="O114" s="356"/>
      <c r="P114" s="356"/>
      <c r="Q114" s="356"/>
      <c r="R114" s="356"/>
      <c r="S114" s="356"/>
      <c r="T114" s="356"/>
      <c r="U114" s="356"/>
      <c r="V114" s="356"/>
      <c r="W114" s="357"/>
      <c r="Y114" s="529">
        <v>5</v>
      </c>
      <c r="Z114" s="532" t="s">
        <v>371</v>
      </c>
      <c r="AA114" s="509"/>
      <c r="AB114" s="509"/>
      <c r="AC114" s="509"/>
      <c r="AD114" s="509"/>
      <c r="AE114" s="509"/>
      <c r="AF114" s="509"/>
      <c r="AG114" s="509"/>
      <c r="AH114" s="509"/>
      <c r="AI114" s="533"/>
    </row>
    <row r="115" spans="1:35" ht="15" x14ac:dyDescent="0.2">
      <c r="A115" s="500" t="s">
        <v>372</v>
      </c>
      <c r="B115" s="503"/>
      <c r="C115" s="503"/>
      <c r="D115" s="503"/>
      <c r="E115" s="503"/>
      <c r="F115" s="503"/>
      <c r="G115" s="503"/>
      <c r="H115" s="503"/>
      <c r="I115" s="496">
        <f>N14</f>
        <v>2018</v>
      </c>
      <c r="J115" s="496" t="str">
        <f>O14</f>
        <v>-</v>
      </c>
      <c r="K115" s="497">
        <v>6</v>
      </c>
      <c r="L115" s="296"/>
      <c r="M115" s="354">
        <v>6</v>
      </c>
      <c r="N115" s="355" t="s">
        <v>370</v>
      </c>
      <c r="O115" s="358"/>
      <c r="P115" s="358"/>
      <c r="Q115" s="358"/>
      <c r="R115" s="358"/>
      <c r="S115" s="358"/>
      <c r="T115" s="358"/>
      <c r="U115" s="358"/>
      <c r="V115" s="358"/>
      <c r="W115" s="359"/>
      <c r="Y115" s="529">
        <v>6</v>
      </c>
      <c r="Z115" s="532" t="s">
        <v>371</v>
      </c>
      <c r="AA115" s="509"/>
      <c r="AB115" s="509"/>
      <c r="AC115" s="509"/>
      <c r="AD115" s="509"/>
      <c r="AE115" s="509"/>
      <c r="AF115" s="509"/>
      <c r="AG115" s="509"/>
      <c r="AH115" s="509"/>
      <c r="AI115" s="533"/>
    </row>
    <row r="116" spans="1:35" ht="15" x14ac:dyDescent="0.2">
      <c r="A116" s="502" t="s">
        <v>450</v>
      </c>
      <c r="B116" s="503"/>
      <c r="C116" s="503"/>
      <c r="D116" s="503"/>
      <c r="E116" s="503"/>
      <c r="F116" s="503"/>
      <c r="G116" s="503"/>
      <c r="H116" s="503"/>
      <c r="I116" s="496">
        <f>N24</f>
        <v>2019</v>
      </c>
      <c r="J116" s="496" t="str">
        <f>O24</f>
        <v>-</v>
      </c>
      <c r="K116" s="498">
        <v>7</v>
      </c>
      <c r="L116" s="296"/>
      <c r="M116" s="354">
        <v>7</v>
      </c>
      <c r="N116" s="355" t="s">
        <v>373</v>
      </c>
      <c r="O116" s="358"/>
      <c r="P116" s="358"/>
      <c r="Q116" s="358"/>
      <c r="R116" s="358"/>
      <c r="S116" s="358"/>
      <c r="T116" s="358"/>
      <c r="U116" s="358"/>
      <c r="V116" s="358"/>
      <c r="W116" s="359"/>
      <c r="Y116" s="529">
        <v>7</v>
      </c>
      <c r="Z116" s="532" t="s">
        <v>374</v>
      </c>
      <c r="AA116" s="534"/>
      <c r="AB116" s="534"/>
      <c r="AC116" s="534"/>
      <c r="AD116" s="534"/>
      <c r="AE116" s="534"/>
      <c r="AF116" s="534"/>
      <c r="AG116" s="534"/>
      <c r="AH116" s="534"/>
      <c r="AI116" s="535"/>
    </row>
    <row r="117" spans="1:35" ht="15" x14ac:dyDescent="0.2">
      <c r="A117" s="502" t="s">
        <v>375</v>
      </c>
      <c r="B117" s="503"/>
      <c r="C117" s="503"/>
      <c r="D117" s="503"/>
      <c r="E117" s="503"/>
      <c r="F117" s="503"/>
      <c r="G117" s="503"/>
      <c r="H117" s="503"/>
      <c r="I117" s="496">
        <f>N34</f>
        <v>2019</v>
      </c>
      <c r="J117" s="496" t="str">
        <f>O34</f>
        <v>-</v>
      </c>
      <c r="K117" s="497">
        <v>8</v>
      </c>
      <c r="L117" s="296"/>
      <c r="M117" s="354">
        <v>8</v>
      </c>
      <c r="N117" s="355" t="s">
        <v>373</v>
      </c>
      <c r="O117" s="358"/>
      <c r="P117" s="358"/>
      <c r="Q117" s="358"/>
      <c r="R117" s="358"/>
      <c r="S117" s="358"/>
      <c r="T117" s="358"/>
      <c r="U117" s="358"/>
      <c r="V117" s="358"/>
      <c r="W117" s="359"/>
      <c r="Y117" s="529">
        <v>8</v>
      </c>
      <c r="Z117" s="532" t="s">
        <v>374</v>
      </c>
      <c r="AA117" s="534"/>
      <c r="AB117" s="534"/>
      <c r="AC117" s="534"/>
      <c r="AD117" s="534"/>
      <c r="AE117" s="534"/>
      <c r="AF117" s="534"/>
      <c r="AG117" s="534"/>
      <c r="AH117" s="534"/>
      <c r="AI117" s="535"/>
    </row>
    <row r="118" spans="1:35" ht="15" x14ac:dyDescent="0.2">
      <c r="A118" s="502" t="s">
        <v>376</v>
      </c>
      <c r="B118" s="503"/>
      <c r="C118" s="503"/>
      <c r="D118" s="503"/>
      <c r="E118" s="503"/>
      <c r="F118" s="503"/>
      <c r="G118" s="503"/>
      <c r="H118" s="503"/>
      <c r="I118" s="499">
        <f>N44</f>
        <v>2020</v>
      </c>
      <c r="J118" s="499" t="str">
        <f>O44</f>
        <v>-</v>
      </c>
      <c r="K118" s="498">
        <v>9</v>
      </c>
      <c r="L118" s="296"/>
      <c r="M118" s="354">
        <v>9</v>
      </c>
      <c r="N118" s="355" t="s">
        <v>373</v>
      </c>
      <c r="O118" s="358"/>
      <c r="P118" s="358"/>
      <c r="Q118" s="358"/>
      <c r="R118" s="358"/>
      <c r="S118" s="358"/>
      <c r="T118" s="358"/>
      <c r="U118" s="358"/>
      <c r="V118" s="358"/>
      <c r="W118" s="359"/>
      <c r="Y118" s="529">
        <v>9</v>
      </c>
      <c r="Z118" s="532" t="s">
        <v>374</v>
      </c>
      <c r="AA118" s="534"/>
      <c r="AB118" s="534"/>
      <c r="AC118" s="534"/>
      <c r="AD118" s="534"/>
      <c r="AE118" s="534"/>
      <c r="AF118" s="534"/>
      <c r="AG118" s="534"/>
      <c r="AH118" s="534"/>
      <c r="AI118" s="535"/>
    </row>
    <row r="119" spans="1:35" ht="15" x14ac:dyDescent="0.2">
      <c r="A119" s="500" t="s">
        <v>396</v>
      </c>
      <c r="B119" s="503"/>
      <c r="C119" s="503"/>
      <c r="D119" s="503"/>
      <c r="E119" s="503"/>
      <c r="F119" s="503"/>
      <c r="G119" s="503"/>
      <c r="H119" s="503"/>
      <c r="I119" s="499" t="str">
        <f>N54</f>
        <v>-</v>
      </c>
      <c r="J119" s="499" t="str">
        <f>O54</f>
        <v>-</v>
      </c>
      <c r="K119" s="497">
        <v>10</v>
      </c>
      <c r="L119" s="296"/>
      <c r="M119" s="354">
        <v>10</v>
      </c>
      <c r="N119" s="355" t="s">
        <v>370</v>
      </c>
      <c r="O119" s="358"/>
      <c r="P119" s="358"/>
      <c r="Q119" s="358"/>
      <c r="R119" s="358"/>
      <c r="S119" s="358"/>
      <c r="T119" s="358"/>
      <c r="U119" s="358"/>
      <c r="V119" s="358"/>
      <c r="W119" s="359"/>
      <c r="Y119" s="529">
        <v>10</v>
      </c>
      <c r="Z119" s="532" t="s">
        <v>371</v>
      </c>
      <c r="AA119" s="534"/>
      <c r="AB119" s="534"/>
      <c r="AC119" s="534"/>
      <c r="AD119" s="534"/>
      <c r="AE119" s="534"/>
      <c r="AF119" s="534"/>
      <c r="AG119" s="534"/>
      <c r="AH119" s="534"/>
      <c r="AI119" s="535"/>
    </row>
    <row r="120" spans="1:35" ht="15.75" thickBot="1" x14ac:dyDescent="0.25">
      <c r="A120" s="502" t="s">
        <v>397</v>
      </c>
      <c r="B120" s="503"/>
      <c r="C120" s="503"/>
      <c r="D120" s="503"/>
      <c r="E120" s="503"/>
      <c r="F120" s="503"/>
      <c r="G120" s="503"/>
      <c r="H120" s="503"/>
      <c r="I120" s="499" t="str">
        <f>N64</f>
        <v>-</v>
      </c>
      <c r="J120" s="499" t="str">
        <f>O64</f>
        <v>-</v>
      </c>
      <c r="K120" s="498">
        <v>11</v>
      </c>
      <c r="L120" s="296"/>
      <c r="M120" s="369">
        <v>11</v>
      </c>
      <c r="N120" s="523" t="s">
        <v>370</v>
      </c>
      <c r="O120" s="358"/>
      <c r="P120" s="358"/>
      <c r="Q120" s="358"/>
      <c r="R120" s="358"/>
      <c r="S120" s="358"/>
      <c r="T120" s="358"/>
      <c r="U120" s="358"/>
      <c r="V120" s="358"/>
      <c r="W120" s="359"/>
      <c r="Y120" s="536">
        <v>11</v>
      </c>
      <c r="Z120" s="537" t="s">
        <v>371</v>
      </c>
      <c r="AA120" s="530"/>
      <c r="AB120" s="530"/>
      <c r="AC120" s="530"/>
      <c r="AD120" s="530"/>
      <c r="AE120" s="530"/>
      <c r="AF120" s="530"/>
      <c r="AG120" s="530"/>
      <c r="AH120" s="530"/>
      <c r="AI120" s="538"/>
    </row>
    <row r="121" spans="1:35" ht="13.5" thickBot="1" x14ac:dyDescent="0.25">
      <c r="A121" s="1168">
        <f>(VLOOKUP(A109,A110:K120,11,(FALSE)))</f>
        <v>1</v>
      </c>
      <c r="B121" s="1169"/>
      <c r="C121" s="1169"/>
      <c r="D121" s="1169"/>
      <c r="E121" s="1169"/>
      <c r="F121" s="1169"/>
      <c r="G121" s="1169"/>
      <c r="H121" s="1169"/>
      <c r="I121" s="1169"/>
      <c r="J121" s="1169"/>
      <c r="K121" s="1170"/>
      <c r="L121" s="296"/>
      <c r="M121" s="528" t="str">
        <f>VLOOKUP(M109,M110:W120,2,FALSE)</f>
        <v>Hasil kalibrasi Flow tertelusur ke Satuan Internasional ( SI ) melalui PT. CALTEK PTE LTD</v>
      </c>
      <c r="N121" s="524"/>
      <c r="O121" s="525"/>
      <c r="P121" s="525"/>
      <c r="Q121" s="525"/>
      <c r="R121" s="525"/>
      <c r="S121" s="525"/>
      <c r="T121" s="525"/>
      <c r="U121" s="525"/>
      <c r="V121" s="525"/>
      <c r="W121" s="526"/>
      <c r="Y121" s="539" t="str">
        <f>VLOOKUP(Y109,Y110:AI120,2,FALSE)</f>
        <v>Hasil kalibrasi Pressure tertelusur ke Satuan Internasional ( SI ) melalui PT. CALTEK PTE LTD</v>
      </c>
      <c r="Z121" s="540"/>
      <c r="AA121" s="541"/>
      <c r="AB121" s="541"/>
      <c r="AC121" s="541"/>
      <c r="AD121" s="541"/>
      <c r="AE121" s="541"/>
      <c r="AF121" s="541"/>
      <c r="AG121" s="541"/>
      <c r="AH121" s="541"/>
      <c r="AI121" s="542"/>
    </row>
    <row r="122" spans="1:35" ht="13.5" customHeight="1" thickBot="1" x14ac:dyDescent="0.25">
      <c r="A122" s="360"/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296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Y122" s="361"/>
    </row>
    <row r="123" spans="1:35" ht="13.5" customHeight="1" thickBot="1" x14ac:dyDescent="0.25">
      <c r="A123" s="563">
        <f>IF(PENYELIA!N52&gt;=70,1,IF(PENYELIA!N52&lt;70,2))</f>
        <v>1</v>
      </c>
      <c r="B123" s="362"/>
      <c r="C123" s="362"/>
      <c r="D123" s="362"/>
      <c r="E123" s="363"/>
      <c r="F123" s="360"/>
      <c r="G123" s="360"/>
      <c r="H123" s="360"/>
      <c r="I123" s="360"/>
      <c r="K123" s="360"/>
      <c r="L123" s="296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Y123" s="361"/>
    </row>
    <row r="124" spans="1:35" ht="13.5" customHeight="1" thickBot="1" x14ac:dyDescent="0.25">
      <c r="A124" s="319"/>
      <c r="C124" s="296"/>
      <c r="D124" s="296"/>
      <c r="E124" s="314"/>
      <c r="F124" s="296"/>
      <c r="G124" s="296"/>
      <c r="H124" s="296"/>
      <c r="I124" s="296"/>
      <c r="K124" s="360"/>
      <c r="L124" s="296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Y124" s="361"/>
    </row>
    <row r="125" spans="1:35" ht="13.5" customHeight="1" thickBot="1" x14ac:dyDescent="0.25">
      <c r="A125" s="566">
        <f>A123</f>
        <v>1</v>
      </c>
      <c r="B125" s="569"/>
      <c r="C125" s="567"/>
      <c r="D125" s="567"/>
      <c r="E125" s="568"/>
      <c r="F125" s="361"/>
      <c r="G125" s="361"/>
      <c r="H125" s="361"/>
      <c r="I125" s="361"/>
      <c r="J125" s="361"/>
      <c r="K125" s="360"/>
      <c r="L125" s="296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Y125" s="361"/>
    </row>
    <row r="126" spans="1:35" ht="13.5" customHeight="1" x14ac:dyDescent="0.2">
      <c r="A126" s="366">
        <v>1</v>
      </c>
      <c r="B126" s="564" t="s">
        <v>422</v>
      </c>
      <c r="C126" s="508"/>
      <c r="D126" s="533"/>
      <c r="E126" s="565">
        <v>1</v>
      </c>
      <c r="F126" s="361"/>
      <c r="G126" s="361"/>
      <c r="H126" s="361"/>
      <c r="I126" s="361"/>
      <c r="J126" s="361"/>
      <c r="K126" s="360"/>
      <c r="L126" s="296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Y126" s="361"/>
    </row>
    <row r="127" spans="1:35" ht="13.5" customHeight="1" thickBot="1" x14ac:dyDescent="0.25">
      <c r="A127" s="369">
        <v>2</v>
      </c>
      <c r="B127" s="570" t="s">
        <v>423</v>
      </c>
      <c r="C127" s="512"/>
      <c r="D127" s="571"/>
      <c r="E127" s="572">
        <v>2</v>
      </c>
      <c r="F127" s="361"/>
      <c r="G127" s="361"/>
      <c r="H127" s="361"/>
      <c r="I127" s="361"/>
      <c r="J127" s="361"/>
      <c r="K127" s="360"/>
      <c r="L127" s="296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Y127" s="361"/>
    </row>
    <row r="128" spans="1:35" ht="13.5" customHeight="1" thickBot="1" x14ac:dyDescent="0.25">
      <c r="A128" s="539" t="str">
        <f>VLOOKUP(A125,A126:E127,2,FALSE)</f>
        <v>Nomor Sertifikat : 82 /</v>
      </c>
      <c r="B128" s="573"/>
      <c r="C128" s="573"/>
      <c r="D128" s="573"/>
      <c r="E128" s="574"/>
      <c r="F128" s="364"/>
      <c r="G128" s="364"/>
      <c r="H128" s="364"/>
      <c r="I128" s="364"/>
      <c r="J128" s="364"/>
      <c r="K128" s="360"/>
      <c r="L128" s="296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Y128" s="361"/>
    </row>
    <row r="129" spans="1:25" ht="13.5" customHeight="1" thickBot="1" x14ac:dyDescent="0.25">
      <c r="A129" s="1159">
        <f>VLOOKUP(A125,A126:E127,5,FALSE)</f>
        <v>1</v>
      </c>
      <c r="B129" s="1160"/>
      <c r="C129" s="1160"/>
      <c r="D129" s="1160"/>
      <c r="E129" s="1161"/>
      <c r="F129" s="364"/>
      <c r="G129" s="364"/>
      <c r="H129" s="364"/>
      <c r="I129" s="364"/>
      <c r="J129" s="361"/>
      <c r="K129" s="360"/>
      <c r="L129" s="296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Y129" s="361"/>
    </row>
    <row r="130" spans="1:25" ht="13.5" customHeight="1" thickBot="1" x14ac:dyDescent="0.25">
      <c r="A130" s="361"/>
      <c r="B130" s="365"/>
      <c r="C130" s="365"/>
      <c r="D130" s="361"/>
      <c r="E130" s="361"/>
      <c r="F130" s="361"/>
      <c r="G130" s="361"/>
      <c r="H130" s="361"/>
      <c r="I130" s="361"/>
      <c r="J130" s="361"/>
      <c r="K130" s="360"/>
      <c r="L130" s="296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Y130" s="361"/>
    </row>
    <row r="131" spans="1:25" ht="13.5" customHeight="1" thickBot="1" x14ac:dyDescent="0.25">
      <c r="A131" s="549">
        <f>A129</f>
        <v>1</v>
      </c>
      <c r="B131" s="550"/>
      <c r="C131" s="550"/>
      <c r="D131" s="550"/>
      <c r="E131" s="550"/>
      <c r="F131" s="550"/>
      <c r="G131" s="550"/>
      <c r="H131" s="550"/>
      <c r="I131" s="551"/>
      <c r="J131" s="361"/>
      <c r="K131" s="360"/>
      <c r="L131" s="296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Y131" s="361"/>
    </row>
    <row r="132" spans="1:25" ht="13.5" customHeight="1" x14ac:dyDescent="0.2">
      <c r="A132" s="366">
        <v>1</v>
      </c>
      <c r="B132" s="507" t="s">
        <v>398</v>
      </c>
      <c r="C132" s="508"/>
      <c r="D132" s="509"/>
      <c r="E132" s="509"/>
      <c r="F132" s="509"/>
      <c r="G132" s="509"/>
      <c r="H132" s="509"/>
      <c r="I132" s="510"/>
      <c r="J132" s="546"/>
      <c r="K132" s="547"/>
      <c r="L132" s="548"/>
      <c r="M132" s="546"/>
      <c r="N132" s="546"/>
      <c r="O132" s="546"/>
      <c r="P132" s="546"/>
      <c r="Q132" s="546"/>
      <c r="R132" s="546"/>
      <c r="S132" s="546"/>
      <c r="T132" s="361"/>
      <c r="U132" s="361"/>
      <c r="V132" s="361"/>
      <c r="W132" s="361"/>
      <c r="Y132" s="361"/>
    </row>
    <row r="133" spans="1:25" ht="13.5" customHeight="1" thickBot="1" x14ac:dyDescent="0.25">
      <c r="A133" s="369">
        <v>2</v>
      </c>
      <c r="B133" s="511" t="s">
        <v>399</v>
      </c>
      <c r="C133" s="512"/>
      <c r="D133" s="513"/>
      <c r="E133" s="513"/>
      <c r="F133" s="513"/>
      <c r="G133" s="513"/>
      <c r="H133" s="513"/>
      <c r="I133" s="514"/>
      <c r="J133" s="546"/>
      <c r="K133" s="547"/>
      <c r="L133" s="548"/>
      <c r="M133" s="546"/>
      <c r="N133" s="546"/>
      <c r="O133" s="546"/>
      <c r="P133" s="546"/>
      <c r="Q133" s="546"/>
      <c r="R133" s="546"/>
      <c r="S133" s="546"/>
      <c r="T133" s="361"/>
      <c r="U133" s="361"/>
      <c r="V133" s="361"/>
      <c r="W133" s="361"/>
      <c r="Y133" s="361"/>
    </row>
    <row r="134" spans="1:25" ht="13.5" customHeight="1" thickBot="1" x14ac:dyDescent="0.25">
      <c r="A134" s="539" t="str">
        <f>VLOOKUP(A131,A132:G133,2,FALSE)</f>
        <v>Alat yang dikalibrasi dalam batas toleransi dan dinyatakan LAIK PAKAI, dimana hasil atau skor akhir sama dengan atau melampaui 70% berdasarkan Keputusan Direktur Jenderal Pelayanan Kesehatan No : HK.02.02/V/0412/2020.</v>
      </c>
      <c r="B134" s="504"/>
      <c r="C134" s="504"/>
      <c r="D134" s="505"/>
      <c r="E134" s="505"/>
      <c r="F134" s="505"/>
      <c r="G134" s="505"/>
      <c r="H134" s="505"/>
      <c r="I134" s="506"/>
      <c r="K134" s="360"/>
      <c r="L134" s="296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Y134" s="361"/>
    </row>
    <row r="135" spans="1:25" ht="13.5" thickBot="1" x14ac:dyDescent="0.25"/>
    <row r="136" spans="1:25" x14ac:dyDescent="0.2">
      <c r="A136" s="557" t="s">
        <v>377</v>
      </c>
      <c r="B136" s="558"/>
      <c r="C136" s="558"/>
      <c r="D136" s="558"/>
      <c r="E136" s="559"/>
      <c r="F136" s="555" t="s">
        <v>389</v>
      </c>
      <c r="G136" s="552" t="s">
        <v>286</v>
      </c>
    </row>
    <row r="137" spans="1:25" x14ac:dyDescent="0.2">
      <c r="A137" s="109" t="s">
        <v>71</v>
      </c>
      <c r="E137" s="553"/>
      <c r="G137" s="553"/>
    </row>
    <row r="138" spans="1:25" x14ac:dyDescent="0.2">
      <c r="A138" s="109" t="s">
        <v>378</v>
      </c>
      <c r="E138" s="553"/>
      <c r="G138" s="553"/>
    </row>
    <row r="139" spans="1:25" x14ac:dyDescent="0.2">
      <c r="A139" s="109" t="s">
        <v>75</v>
      </c>
      <c r="E139" s="553"/>
      <c r="G139" s="553"/>
    </row>
    <row r="140" spans="1:25" x14ac:dyDescent="0.2">
      <c r="A140" s="109" t="s">
        <v>379</v>
      </c>
      <c r="E140" s="553"/>
      <c r="G140" s="553"/>
    </row>
    <row r="141" spans="1:25" x14ac:dyDescent="0.2">
      <c r="A141" s="109" t="s">
        <v>380</v>
      </c>
      <c r="E141" s="553"/>
      <c r="G141" s="553"/>
    </row>
    <row r="142" spans="1:25" x14ac:dyDescent="0.2">
      <c r="A142" s="109" t="s">
        <v>381</v>
      </c>
      <c r="E142" s="553"/>
      <c r="F142" s="531" t="s">
        <v>89</v>
      </c>
      <c r="G142" s="553"/>
    </row>
    <row r="143" spans="1:25" ht="13.5" thickBot="1" x14ac:dyDescent="0.25">
      <c r="A143" s="109" t="s">
        <v>123</v>
      </c>
      <c r="E143" s="553"/>
      <c r="F143" s="556" t="s">
        <v>395</v>
      </c>
      <c r="G143" s="554"/>
    </row>
    <row r="144" spans="1:25" x14ac:dyDescent="0.2">
      <c r="A144" s="109" t="s">
        <v>122</v>
      </c>
      <c r="E144" s="553"/>
    </row>
    <row r="145" spans="1:5" x14ac:dyDescent="0.2">
      <c r="A145" s="109" t="s">
        <v>382</v>
      </c>
      <c r="E145" s="553"/>
    </row>
    <row r="146" spans="1:5" x14ac:dyDescent="0.2">
      <c r="A146" s="109"/>
      <c r="E146" s="553"/>
    </row>
    <row r="147" spans="1:5" x14ac:dyDescent="0.2">
      <c r="A147" s="109" t="s">
        <v>383</v>
      </c>
      <c r="E147" s="553"/>
    </row>
    <row r="148" spans="1:5" x14ac:dyDescent="0.2">
      <c r="A148" s="109" t="s">
        <v>120</v>
      </c>
      <c r="E148" s="553"/>
    </row>
    <row r="149" spans="1:5" x14ac:dyDescent="0.2">
      <c r="A149" s="109" t="s">
        <v>113</v>
      </c>
      <c r="E149" s="553"/>
    </row>
    <row r="150" spans="1:5" x14ac:dyDescent="0.2">
      <c r="A150" s="109" t="s">
        <v>384</v>
      </c>
      <c r="E150" s="553"/>
    </row>
    <row r="151" spans="1:5" x14ac:dyDescent="0.2">
      <c r="A151" s="109" t="s">
        <v>118</v>
      </c>
      <c r="E151" s="553"/>
    </row>
    <row r="152" spans="1:5" x14ac:dyDescent="0.2">
      <c r="A152" s="109" t="s">
        <v>385</v>
      </c>
      <c r="E152" s="553"/>
    </row>
    <row r="153" spans="1:5" x14ac:dyDescent="0.2">
      <c r="A153" s="109" t="s">
        <v>386</v>
      </c>
      <c r="E153" s="553"/>
    </row>
    <row r="154" spans="1:5" x14ac:dyDescent="0.2">
      <c r="A154" s="109" t="s">
        <v>387</v>
      </c>
      <c r="E154" s="553"/>
    </row>
    <row r="155" spans="1:5" x14ac:dyDescent="0.2">
      <c r="A155" s="109" t="s">
        <v>388</v>
      </c>
      <c r="B155" s="560"/>
      <c r="C155" s="485"/>
      <c r="E155" s="553"/>
    </row>
    <row r="156" spans="1:5" x14ac:dyDescent="0.2">
      <c r="A156" s="109" t="s">
        <v>390</v>
      </c>
      <c r="E156" s="553"/>
    </row>
    <row r="157" spans="1:5" x14ac:dyDescent="0.2">
      <c r="A157" s="109" t="s">
        <v>391</v>
      </c>
      <c r="E157" s="553"/>
    </row>
    <row r="158" spans="1:5" x14ac:dyDescent="0.2">
      <c r="A158" s="109" t="s">
        <v>392</v>
      </c>
      <c r="E158" s="553"/>
    </row>
    <row r="159" spans="1:5" x14ac:dyDescent="0.2">
      <c r="A159" s="109" t="s">
        <v>393</v>
      </c>
      <c r="E159" s="553"/>
    </row>
    <row r="160" spans="1:5" x14ac:dyDescent="0.2">
      <c r="A160" s="109" t="s">
        <v>394</v>
      </c>
      <c r="E160" s="553"/>
    </row>
    <row r="161" spans="1:5" x14ac:dyDescent="0.2">
      <c r="A161" s="313"/>
      <c r="E161" s="553"/>
    </row>
    <row r="162" spans="1:5" ht="13.5" thickBot="1" x14ac:dyDescent="0.25">
      <c r="A162" s="561"/>
      <c r="B162" s="562"/>
      <c r="C162" s="562"/>
      <c r="D162" s="562"/>
      <c r="E162" s="554"/>
    </row>
  </sheetData>
  <mergeCells count="120">
    <mergeCell ref="A129:E129"/>
    <mergeCell ref="M109:W109"/>
    <mergeCell ref="Y109:AI109"/>
    <mergeCell ref="A121:K121"/>
    <mergeCell ref="B94:C94"/>
    <mergeCell ref="E94:E95"/>
    <mergeCell ref="V94:W94"/>
    <mergeCell ref="Y94:Y95"/>
    <mergeCell ref="AA95:AB95"/>
    <mergeCell ref="AA94:AC94"/>
    <mergeCell ref="AE94:AF94"/>
    <mergeCell ref="AE95:AF95"/>
    <mergeCell ref="AH94:AI94"/>
    <mergeCell ref="AH95:AI95"/>
    <mergeCell ref="AE99:AF99"/>
    <mergeCell ref="AE100:AF100"/>
    <mergeCell ref="A70:A80"/>
    <mergeCell ref="U70:U80"/>
    <mergeCell ref="A81:A91"/>
    <mergeCell ref="U81:U91"/>
    <mergeCell ref="B93:E93"/>
    <mergeCell ref="V93:Y93"/>
    <mergeCell ref="D94:D95"/>
    <mergeCell ref="A59:A69"/>
    <mergeCell ref="U59:U69"/>
    <mergeCell ref="M62:O62"/>
    <mergeCell ref="AG62:AI62"/>
    <mergeCell ref="AK62:AK63"/>
    <mergeCell ref="N63:O63"/>
    <mergeCell ref="AH63:AI63"/>
    <mergeCell ref="A48:A58"/>
    <mergeCell ref="U48:U58"/>
    <mergeCell ref="M52:O52"/>
    <mergeCell ref="AG52:AI52"/>
    <mergeCell ref="AK52:AK53"/>
    <mergeCell ref="N53:O53"/>
    <mergeCell ref="AH53:AI53"/>
    <mergeCell ref="Q52:Q54"/>
    <mergeCell ref="P52:P54"/>
    <mergeCell ref="P62:P64"/>
    <mergeCell ref="Q62:Q64"/>
    <mergeCell ref="A37:A47"/>
    <mergeCell ref="U37:U47"/>
    <mergeCell ref="M42:O42"/>
    <mergeCell ref="AG42:AI42"/>
    <mergeCell ref="AK42:AK43"/>
    <mergeCell ref="N43:O43"/>
    <mergeCell ref="AH43:AI43"/>
    <mergeCell ref="A26:A36"/>
    <mergeCell ref="U26:U36"/>
    <mergeCell ref="M32:O32"/>
    <mergeCell ref="AG32:AI32"/>
    <mergeCell ref="AK32:AK33"/>
    <mergeCell ref="N33:O33"/>
    <mergeCell ref="AH33:AI33"/>
    <mergeCell ref="Q32:Q34"/>
    <mergeCell ref="P32:P34"/>
    <mergeCell ref="Q42:Q44"/>
    <mergeCell ref="P42:P44"/>
    <mergeCell ref="U23:U25"/>
    <mergeCell ref="V23:V25"/>
    <mergeCell ref="W23:W24"/>
    <mergeCell ref="X23:Y24"/>
    <mergeCell ref="AA23:AA25"/>
    <mergeCell ref="AH23:AI23"/>
    <mergeCell ref="M22:O22"/>
    <mergeCell ref="Q22:Q24"/>
    <mergeCell ref="AG22:AI22"/>
    <mergeCell ref="P22:P24"/>
    <mergeCell ref="AK22:AK24"/>
    <mergeCell ref="A23:A25"/>
    <mergeCell ref="B23:B25"/>
    <mergeCell ref="C23:C24"/>
    <mergeCell ref="D23:E24"/>
    <mergeCell ref="G23:G25"/>
    <mergeCell ref="N23:O23"/>
    <mergeCell ref="U12:W12"/>
    <mergeCell ref="Y12:Y14"/>
    <mergeCell ref="AA12:AC12"/>
    <mergeCell ref="AE12:AE14"/>
    <mergeCell ref="AG12:AI12"/>
    <mergeCell ref="AK12:AK14"/>
    <mergeCell ref="V13:W13"/>
    <mergeCell ref="AB13:AC13"/>
    <mergeCell ref="AH13:AI13"/>
    <mergeCell ref="A12:C12"/>
    <mergeCell ref="E12:E14"/>
    <mergeCell ref="G12:I12"/>
    <mergeCell ref="K12:K14"/>
    <mergeCell ref="M12:O12"/>
    <mergeCell ref="Q12:Q14"/>
    <mergeCell ref="B13:C13"/>
    <mergeCell ref="H13:I13"/>
    <mergeCell ref="N13:O13"/>
    <mergeCell ref="AA2:AC2"/>
    <mergeCell ref="AE2:AE4"/>
    <mergeCell ref="AG2:AI2"/>
    <mergeCell ref="AK2:AK4"/>
    <mergeCell ref="B3:C3"/>
    <mergeCell ref="H3:I3"/>
    <mergeCell ref="N3:O3"/>
    <mergeCell ref="V3:W3"/>
    <mergeCell ref="AB3:AC3"/>
    <mergeCell ref="AH3:AI3"/>
    <mergeCell ref="D2:D4"/>
    <mergeCell ref="D12:D14"/>
    <mergeCell ref="J2:J4"/>
    <mergeCell ref="J12:J14"/>
    <mergeCell ref="P2:P4"/>
    <mergeCell ref="P12:P14"/>
    <mergeCell ref="A1:R1"/>
    <mergeCell ref="U1:AL1"/>
    <mergeCell ref="A2:C2"/>
    <mergeCell ref="E2:E4"/>
    <mergeCell ref="G2:I2"/>
    <mergeCell ref="K2:K4"/>
    <mergeCell ref="M2:O2"/>
    <mergeCell ref="Q2:Q4"/>
    <mergeCell ref="U2:W2"/>
    <mergeCell ref="Y2:Y4"/>
  </mergeCells>
  <pageMargins left="0.7" right="0.7" top="0.75" bottom="0.75" header="0.3" footer="0.3"/>
  <pageSetup paperSize="9" scale="1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B050"/>
  </sheetPr>
  <dimension ref="A1:H59"/>
  <sheetViews>
    <sheetView zoomScaleNormal="100" zoomScaleSheetLayoutView="100" workbookViewId="0">
      <selection activeCell="H11" sqref="H11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42578125" customWidth="1"/>
  </cols>
  <sheetData>
    <row r="1" spans="1:8" x14ac:dyDescent="0.2">
      <c r="H1" s="885" t="str">
        <f>IF(PENYELIA!N52&lt;70,"TIDAK LAIK","LAIK")</f>
        <v>LAIK</v>
      </c>
    </row>
    <row r="2" spans="1:8" ht="30" x14ac:dyDescent="0.2">
      <c r="A2" s="1195" t="s">
        <v>190</v>
      </c>
      <c r="B2" s="1195"/>
      <c r="C2" s="1195"/>
      <c r="D2" s="1195"/>
      <c r="E2" s="1195"/>
      <c r="F2" s="1195"/>
    </row>
    <row r="3" spans="1:8" ht="14.25" x14ac:dyDescent="0.2">
      <c r="A3" s="1196" t="str">
        <f>"Nomor : 3 /"&amp;" "&amp;ID!I2</f>
        <v>Nomor : 3 / 1 / IX - 22 / E - 095.139 DL</v>
      </c>
      <c r="B3" s="1196"/>
      <c r="C3" s="1196"/>
      <c r="D3" s="1196"/>
      <c r="E3" s="1196"/>
      <c r="F3" s="1196"/>
    </row>
    <row r="4" spans="1:8" x14ac:dyDescent="0.2">
      <c r="A4" s="427"/>
      <c r="B4" s="427"/>
      <c r="C4" s="427" t="s">
        <v>191</v>
      </c>
      <c r="D4" s="1197" t="s">
        <v>192</v>
      </c>
      <c r="E4" s="1197"/>
      <c r="F4" s="1197"/>
    </row>
    <row r="5" spans="1:8" x14ac:dyDescent="0.2">
      <c r="A5" s="427"/>
      <c r="B5" s="427"/>
      <c r="C5" s="1184"/>
      <c r="D5" s="1184"/>
      <c r="E5" s="427"/>
      <c r="F5" s="427"/>
    </row>
    <row r="6" spans="1:8" ht="28.5" x14ac:dyDescent="0.2">
      <c r="A6" s="428" t="s">
        <v>193</v>
      </c>
      <c r="B6" s="429" t="s">
        <v>194</v>
      </c>
      <c r="C6" s="430"/>
      <c r="D6" s="1188" t="s">
        <v>195</v>
      </c>
      <c r="E6" s="1189"/>
      <c r="F6" s="431" t="str">
        <f>MID(A3,SEARCH("E - ",A3),LEN(A3))</f>
        <v>E - 095.139 DL</v>
      </c>
    </row>
    <row r="7" spans="1:8" ht="14.25" x14ac:dyDescent="0.2">
      <c r="A7" s="432"/>
      <c r="B7" s="432"/>
      <c r="C7" s="432"/>
      <c r="D7" s="427"/>
      <c r="E7" s="427"/>
      <c r="F7" s="427"/>
    </row>
    <row r="8" spans="1:8" ht="14.25" customHeight="1" x14ac:dyDescent="0.2">
      <c r="A8" s="1185" t="s">
        <v>0</v>
      </c>
      <c r="B8" s="1185"/>
      <c r="C8" s="433" t="s">
        <v>5</v>
      </c>
      <c r="D8" s="1185" t="str">
        <f>LH!F4</f>
        <v>yuwell</v>
      </c>
      <c r="E8" s="1185"/>
      <c r="F8" s="1185"/>
    </row>
    <row r="9" spans="1:8" ht="14.25" customHeight="1" x14ac:dyDescent="0.2">
      <c r="A9" s="1185" t="s">
        <v>196</v>
      </c>
      <c r="B9" s="1185"/>
      <c r="C9" s="433" t="s">
        <v>5</v>
      </c>
      <c r="D9" s="1185" t="str">
        <f>LH!F5</f>
        <v>YH-730</v>
      </c>
      <c r="E9" s="1185"/>
      <c r="F9" s="1185"/>
    </row>
    <row r="10" spans="1:8" ht="14.25" customHeight="1" x14ac:dyDescent="0.2">
      <c r="A10" s="1185" t="s">
        <v>197</v>
      </c>
      <c r="B10" s="1185"/>
      <c r="C10" s="433" t="s">
        <v>5</v>
      </c>
      <c r="D10" s="1185" t="str">
        <f>LH!F6</f>
        <v>YH730A-V20408384</v>
      </c>
      <c r="E10" s="1185"/>
      <c r="F10" s="1185"/>
    </row>
    <row r="11" spans="1:8" ht="14.25" x14ac:dyDescent="0.2">
      <c r="A11" s="434"/>
      <c r="B11" s="434"/>
      <c r="C11" s="432"/>
      <c r="D11" s="427"/>
      <c r="E11" s="427"/>
      <c r="F11" s="427"/>
    </row>
    <row r="12" spans="1:8" ht="28.5" customHeight="1" x14ac:dyDescent="0.2">
      <c r="A12" s="435" t="s">
        <v>198</v>
      </c>
      <c r="B12" s="436"/>
      <c r="C12" s="432"/>
      <c r="D12" s="1188" t="s">
        <v>199</v>
      </c>
      <c r="E12" s="1189"/>
      <c r="F12" s="437"/>
    </row>
    <row r="13" spans="1:8" ht="15" x14ac:dyDescent="0.2">
      <c r="A13" s="438"/>
      <c r="B13" s="432"/>
      <c r="C13" s="432"/>
      <c r="D13" s="432"/>
      <c r="E13" s="432"/>
      <c r="F13" s="427"/>
    </row>
    <row r="14" spans="1:8" ht="14.25" customHeight="1" x14ac:dyDescent="0.2">
      <c r="A14" s="1190" t="s">
        <v>200</v>
      </c>
      <c r="B14" s="1190"/>
      <c r="C14" s="439" t="s">
        <v>5</v>
      </c>
      <c r="D14" s="1191" t="s">
        <v>201</v>
      </c>
      <c r="E14" s="1191"/>
      <c r="F14" s="1191"/>
    </row>
    <row r="15" spans="1:8" ht="28.5" customHeight="1" x14ac:dyDescent="0.2">
      <c r="A15" s="1185" t="str">
        <f>"Nama Ruang "&amp;B48</f>
        <v>Nama Ruang Kalibrasi</v>
      </c>
      <c r="B15" s="1185"/>
      <c r="C15" s="433" t="s">
        <v>5</v>
      </c>
      <c r="D15" s="1190" t="str">
        <f>LH!F10</f>
        <v>Ruang Anggrek</v>
      </c>
      <c r="E15" s="1190"/>
      <c r="F15" s="1190"/>
    </row>
    <row r="16" spans="1:8" ht="28.5" customHeight="1" x14ac:dyDescent="0.2">
      <c r="A16" s="1185" t="s">
        <v>4</v>
      </c>
      <c r="B16" s="1185"/>
      <c r="C16" s="433" t="s">
        <v>5</v>
      </c>
      <c r="D16" s="1194" t="str">
        <f>LH!F7</f>
        <v>19 September 2022</v>
      </c>
      <c r="E16" s="1194"/>
      <c r="F16" s="1194"/>
    </row>
    <row r="17" spans="1:6" ht="14.25" customHeight="1" x14ac:dyDescent="0.2">
      <c r="A17" s="1185" t="str">
        <f>"Tanggal "&amp;B48</f>
        <v>Tanggal Kalibrasi</v>
      </c>
      <c r="B17" s="1185"/>
      <c r="C17" s="433" t="s">
        <v>5</v>
      </c>
      <c r="D17" s="1194" t="str">
        <f>LH!F8</f>
        <v>19 September 2022</v>
      </c>
      <c r="E17" s="1194"/>
      <c r="F17" s="1194"/>
    </row>
    <row r="18" spans="1:6" ht="28.5" customHeight="1" x14ac:dyDescent="0.2">
      <c r="A18" s="1185" t="str">
        <f>"Penanggungjawab "&amp;B48</f>
        <v>Penanggungjawab Kalibrasi</v>
      </c>
      <c r="B18" s="1185"/>
      <c r="C18" s="433" t="s">
        <v>5</v>
      </c>
      <c r="D18" s="1185" t="str">
        <f>LH!B49</f>
        <v>Donny Martha</v>
      </c>
      <c r="E18" s="1185"/>
      <c r="F18" s="1185"/>
    </row>
    <row r="19" spans="1:6" ht="14.25" customHeight="1" x14ac:dyDescent="0.2">
      <c r="A19" s="1185" t="s">
        <v>202</v>
      </c>
      <c r="B19" s="1185"/>
      <c r="C19" s="433" t="s">
        <v>5</v>
      </c>
      <c r="D19" s="1190" t="str">
        <f>LH!F9</f>
        <v>Ruang Lily</v>
      </c>
      <c r="E19" s="1190"/>
      <c r="F19" s="1190"/>
    </row>
    <row r="20" spans="1:6" ht="42.75" customHeight="1" x14ac:dyDescent="0.2">
      <c r="A20" s="1190" t="str">
        <f>"Hasil "&amp;B48</f>
        <v>Hasil Kalibrasi</v>
      </c>
      <c r="B20" s="1190"/>
      <c r="C20" s="439" t="s">
        <v>5</v>
      </c>
      <c r="D20" s="1193" t="str">
        <f>B55</f>
        <v>Laik Pakai, disarankan untuk dikalibrasi ulang pada tanggal 19 September 2023</v>
      </c>
      <c r="E20" s="1193"/>
      <c r="F20" s="1193"/>
    </row>
    <row r="21" spans="1:6" ht="14.25" customHeight="1" x14ac:dyDescent="0.2">
      <c r="A21" s="1185" t="s">
        <v>151</v>
      </c>
      <c r="B21" s="1185"/>
      <c r="C21" s="433" t="s">
        <v>5</v>
      </c>
      <c r="D21" s="1185" t="str">
        <f>LH!F11</f>
        <v>MK 069-18</v>
      </c>
      <c r="E21" s="1185"/>
      <c r="F21" s="1185"/>
    </row>
    <row r="22" spans="1:6" x14ac:dyDescent="0.2">
      <c r="A22" s="427"/>
      <c r="B22" s="427"/>
      <c r="C22" s="1184"/>
      <c r="D22" s="1184"/>
      <c r="E22" s="427"/>
      <c r="F22" s="427"/>
    </row>
    <row r="23" spans="1:6" x14ac:dyDescent="0.2">
      <c r="A23" s="427"/>
      <c r="B23" s="427"/>
      <c r="C23" s="1184"/>
      <c r="D23" s="1184"/>
      <c r="E23" s="427"/>
      <c r="F23" s="427"/>
    </row>
    <row r="24" spans="1:6" ht="28.5" x14ac:dyDescent="0.2">
      <c r="A24" s="427"/>
      <c r="B24" s="427"/>
      <c r="C24" s="427"/>
      <c r="D24" s="440" t="s">
        <v>203</v>
      </c>
      <c r="E24" s="1192">
        <f ca="1">TODAY()</f>
        <v>45190</v>
      </c>
      <c r="F24" s="1192"/>
    </row>
    <row r="25" spans="1:6" ht="14.25" customHeight="1" x14ac:dyDescent="0.2">
      <c r="A25" s="427"/>
      <c r="B25" s="427"/>
      <c r="C25" s="427"/>
      <c r="D25" s="1185" t="s">
        <v>204</v>
      </c>
      <c r="E25" s="1185"/>
      <c r="F25" s="1185"/>
    </row>
    <row r="26" spans="1:6" ht="28.5" customHeight="1" x14ac:dyDescent="0.2">
      <c r="A26" s="427"/>
      <c r="B26" s="427"/>
      <c r="C26" s="427"/>
      <c r="D26" s="1185" t="s">
        <v>205</v>
      </c>
      <c r="E26" s="1185"/>
      <c r="F26" s="1185"/>
    </row>
    <row r="27" spans="1:6" ht="14.25" x14ac:dyDescent="0.2">
      <c r="A27" s="427"/>
      <c r="B27" s="427"/>
      <c r="C27" s="1184"/>
      <c r="D27" s="1184"/>
      <c r="E27" s="441"/>
      <c r="F27" s="427"/>
    </row>
    <row r="28" spans="1:6" ht="14.25" x14ac:dyDescent="0.2">
      <c r="A28" s="427"/>
      <c r="B28" s="427"/>
      <c r="C28" s="1184"/>
      <c r="D28" s="1184"/>
      <c r="E28" s="441"/>
      <c r="F28" s="427"/>
    </row>
    <row r="29" spans="1:6" ht="14.25" x14ac:dyDescent="0.2">
      <c r="A29" s="427"/>
      <c r="B29" s="427"/>
      <c r="C29" s="1184"/>
      <c r="D29" s="1184"/>
      <c r="E29" s="441"/>
      <c r="F29" s="427"/>
    </row>
    <row r="30" spans="1:6" ht="14.25" customHeight="1" x14ac:dyDescent="0.2">
      <c r="A30" s="427"/>
      <c r="B30" s="427"/>
      <c r="C30" s="427"/>
      <c r="D30" s="1185" t="s">
        <v>206</v>
      </c>
      <c r="E30" s="1185"/>
      <c r="F30" s="1185"/>
    </row>
    <row r="31" spans="1:6" ht="15" customHeight="1" x14ac:dyDescent="0.2">
      <c r="A31" s="427"/>
      <c r="B31" s="427"/>
      <c r="C31" s="427"/>
      <c r="D31" s="1186" t="s">
        <v>207</v>
      </c>
      <c r="E31" s="1186"/>
      <c r="F31" s="1186"/>
    </row>
    <row r="32" spans="1:6" x14ac:dyDescent="0.2">
      <c r="A32" s="427"/>
      <c r="B32" s="427"/>
      <c r="C32" s="1184"/>
      <c r="D32" s="1184"/>
      <c r="E32" s="427"/>
      <c r="F32" s="427"/>
    </row>
    <row r="33" spans="1:6" x14ac:dyDescent="0.2">
      <c r="A33" s="427"/>
      <c r="B33" s="427"/>
      <c r="C33" s="1184"/>
      <c r="D33" s="1184"/>
      <c r="E33" s="427"/>
      <c r="F33" s="427"/>
    </row>
    <row r="34" spans="1:6" x14ac:dyDescent="0.2">
      <c r="A34" s="442"/>
      <c r="B34" s="442"/>
      <c r="C34" s="1187"/>
      <c r="D34" s="1187"/>
      <c r="E34" s="442"/>
      <c r="F34" s="442"/>
    </row>
    <row r="35" spans="1:6" x14ac:dyDescent="0.2">
      <c r="A35" s="427"/>
      <c r="B35" s="427"/>
      <c r="C35" s="1184"/>
      <c r="D35" s="1184"/>
      <c r="E35" s="427"/>
      <c r="F35" s="427"/>
    </row>
    <row r="36" spans="1:6" x14ac:dyDescent="0.2">
      <c r="A36" s="427"/>
      <c r="B36" s="427"/>
      <c r="C36" s="1184"/>
      <c r="D36" s="1184"/>
      <c r="E36" s="427"/>
      <c r="F36" s="427"/>
    </row>
    <row r="37" spans="1:6" x14ac:dyDescent="0.2">
      <c r="A37" s="427"/>
      <c r="B37" s="427"/>
      <c r="C37" s="1184"/>
      <c r="D37" s="1184"/>
      <c r="E37" s="427"/>
      <c r="F37" s="427"/>
    </row>
    <row r="38" spans="1:6" x14ac:dyDescent="0.2">
      <c r="A38" s="427"/>
      <c r="B38" s="427"/>
      <c r="C38" s="1184"/>
      <c r="D38" s="1184"/>
      <c r="E38" s="427"/>
      <c r="F38" s="427"/>
    </row>
    <row r="39" spans="1:6" x14ac:dyDescent="0.2">
      <c r="A39" s="427"/>
      <c r="B39" s="427"/>
      <c r="C39" s="1184"/>
      <c r="D39" s="1184"/>
      <c r="E39" s="427"/>
      <c r="F39" s="427"/>
    </row>
    <row r="40" spans="1:6" ht="13.5" thickBot="1" x14ac:dyDescent="0.25">
      <c r="A40" s="427"/>
      <c r="B40" s="427"/>
      <c r="C40" s="1184"/>
      <c r="D40" s="1184"/>
      <c r="E40" s="427"/>
      <c r="F40" s="427"/>
    </row>
    <row r="41" spans="1:6" x14ac:dyDescent="0.2">
      <c r="A41" s="443" t="s">
        <v>208</v>
      </c>
      <c r="B41" s="444" t="str">
        <f>MID(ID!I2,SEARCH("E - ",ID!I2),LEN(ID!I2))</f>
        <v>E - 095.139 DL</v>
      </c>
      <c r="C41" s="1183"/>
      <c r="D41" s="1184"/>
      <c r="E41" s="427"/>
      <c r="F41" s="427"/>
    </row>
    <row r="42" spans="1:6" x14ac:dyDescent="0.2">
      <c r="A42" s="445"/>
      <c r="B42" s="446"/>
      <c r="C42" s="1183"/>
      <c r="D42" s="1184"/>
      <c r="E42" s="427"/>
      <c r="F42" s="427"/>
    </row>
    <row r="43" spans="1:6" ht="25.5" x14ac:dyDescent="0.2">
      <c r="A43" s="447" t="s">
        <v>209</v>
      </c>
      <c r="B43" s="448" t="str">
        <f>ID!A1</f>
        <v>Input Data Kalibrasi BPAP</v>
      </c>
      <c r="C43" s="1183"/>
      <c r="D43" s="1184"/>
      <c r="E43" s="427"/>
      <c r="F43" s="427"/>
    </row>
    <row r="44" spans="1:6" ht="25.5" x14ac:dyDescent="0.2">
      <c r="A44" s="447" t="s">
        <v>210</v>
      </c>
      <c r="B44" s="449" t="str">
        <f>IF(B43="INPUT DATA KALIBRASI ANASTHESI VENTILATOR",B45,B46)</f>
        <v>SERTIFIKAT PENGUJIAN</v>
      </c>
      <c r="C44" s="1183"/>
      <c r="D44" s="1184"/>
      <c r="E44" s="427"/>
      <c r="F44" s="427"/>
    </row>
    <row r="45" spans="1:6" x14ac:dyDescent="0.2">
      <c r="A45" s="447" t="s">
        <v>211</v>
      </c>
      <c r="B45" s="446" t="s">
        <v>190</v>
      </c>
      <c r="C45" s="1183"/>
      <c r="D45" s="1184"/>
      <c r="E45" s="427"/>
      <c r="F45" s="427"/>
    </row>
    <row r="46" spans="1:6" x14ac:dyDescent="0.2">
      <c r="A46" s="445"/>
      <c r="B46" s="446" t="s">
        <v>212</v>
      </c>
      <c r="C46" s="1183"/>
      <c r="D46" s="1184"/>
      <c r="E46" s="427"/>
      <c r="F46" s="427"/>
    </row>
    <row r="47" spans="1:6" x14ac:dyDescent="0.2">
      <c r="A47" s="445"/>
      <c r="B47" s="446"/>
      <c r="C47" s="1183"/>
      <c r="D47" s="1184"/>
      <c r="E47" s="427"/>
      <c r="F47" s="427"/>
    </row>
    <row r="48" spans="1:6" ht="38.25" x14ac:dyDescent="0.2">
      <c r="A48" s="447" t="s">
        <v>213</v>
      </c>
      <c r="B48" s="446" t="str">
        <f>IF(RIGHT(A2,10)=" KALIBRASI","Kalibrasi","Pengujian")</f>
        <v>Kalibrasi</v>
      </c>
      <c r="C48" s="1183"/>
      <c r="D48" s="1184"/>
      <c r="E48" s="427"/>
      <c r="F48" s="427"/>
    </row>
    <row r="49" spans="1:6" x14ac:dyDescent="0.2">
      <c r="A49" s="445"/>
      <c r="B49" s="446"/>
      <c r="C49" s="1183"/>
      <c r="D49" s="1184"/>
      <c r="E49" s="427"/>
      <c r="F49" s="427"/>
    </row>
    <row r="50" spans="1:6" ht="30" x14ac:dyDescent="0.25">
      <c r="A50" s="447" t="s">
        <v>214</v>
      </c>
      <c r="B50" s="450" t="s">
        <v>215</v>
      </c>
      <c r="C50" s="451"/>
      <c r="D50" s="451"/>
      <c r="E50" s="451"/>
      <c r="F50" s="451"/>
    </row>
    <row r="51" spans="1:6" x14ac:dyDescent="0.2">
      <c r="A51" s="445"/>
      <c r="B51" s="446"/>
      <c r="C51" s="1183"/>
      <c r="D51" s="1184"/>
      <c r="E51" s="427"/>
      <c r="F51" s="427"/>
    </row>
    <row r="52" spans="1:6" ht="45" x14ac:dyDescent="0.25">
      <c r="A52" s="452" t="s">
        <v>216</v>
      </c>
      <c r="B52" s="581">
        <f>DATE(YEAR(D17)+1,MONTH(D17),DAY(D17))</f>
        <v>45188</v>
      </c>
      <c r="C52" s="1183"/>
      <c r="D52" s="1184"/>
      <c r="E52" s="427"/>
      <c r="F52" s="427"/>
    </row>
    <row r="53" spans="1:6" ht="25.5" x14ac:dyDescent="0.2">
      <c r="A53" s="447" t="s">
        <v>217</v>
      </c>
      <c r="B53" s="582" t="str">
        <f>TEXT(B52,"d mmmm yyyy")</f>
        <v>19 September 2023</v>
      </c>
      <c r="C53" s="1183"/>
      <c r="D53" s="1184"/>
      <c r="E53" s="427"/>
      <c r="F53" s="427"/>
    </row>
    <row r="54" spans="1:6" x14ac:dyDescent="0.2">
      <c r="A54" s="445"/>
      <c r="B54" s="446"/>
      <c r="C54" s="1183"/>
      <c r="D54" s="1184"/>
      <c r="E54" s="427"/>
      <c r="F54" s="427"/>
    </row>
    <row r="55" spans="1:6" ht="45" x14ac:dyDescent="0.25">
      <c r="A55" s="452" t="s">
        <v>218</v>
      </c>
      <c r="B55" s="453" t="str">
        <f>IF(B44=B44,B56,B57)</f>
        <v>Laik Pakai, disarankan untuk dikalibrasi ulang pada tanggal 19 September 2023</v>
      </c>
      <c r="C55" s="1183"/>
      <c r="D55" s="1184"/>
      <c r="E55" s="427"/>
      <c r="F55" s="427"/>
    </row>
    <row r="56" spans="1:6" ht="45" x14ac:dyDescent="0.25">
      <c r="A56" s="445" t="s">
        <v>219</v>
      </c>
      <c r="B56" s="454" t="str">
        <f>CONCATENATE(B58,B53)</f>
        <v>Laik Pakai, disarankan untuk dikalibrasi ulang pada tanggal 19 September 2023</v>
      </c>
      <c r="C56" s="1183"/>
      <c r="D56" s="1184"/>
      <c r="E56" s="427"/>
      <c r="F56" s="427"/>
    </row>
    <row r="57" spans="1:6" ht="45" x14ac:dyDescent="0.25">
      <c r="A57" s="445"/>
      <c r="B57" s="454" t="str">
        <f>CONCATENATE(B59,B53)</f>
        <v>Laik Pakai, disarankan untuk diuji ulang pada tanggal 19 September 2023</v>
      </c>
      <c r="C57" s="1183"/>
      <c r="D57" s="1184"/>
      <c r="E57" s="427"/>
      <c r="F57" s="427"/>
    </row>
    <row r="58" spans="1:6" ht="30" x14ac:dyDescent="0.25">
      <c r="A58" s="455" t="s">
        <v>211</v>
      </c>
      <c r="B58" s="454" t="s">
        <v>220</v>
      </c>
      <c r="C58" s="1183"/>
      <c r="D58" s="1184"/>
      <c r="E58" s="427"/>
      <c r="F58" s="427"/>
    </row>
    <row r="59" spans="1:6" ht="30.75" thickBot="1" x14ac:dyDescent="0.3">
      <c r="A59" s="456"/>
      <c r="B59" s="457" t="s">
        <v>221</v>
      </c>
      <c r="C59" s="1183"/>
      <c r="D59" s="1184"/>
      <c r="E59" s="427"/>
      <c r="F59" s="427"/>
    </row>
  </sheetData>
  <mergeCells count="65">
    <mergeCell ref="A2:F2"/>
    <mergeCell ref="A3:F3"/>
    <mergeCell ref="D4:F4"/>
    <mergeCell ref="D6:E6"/>
    <mergeCell ref="A16:B16"/>
    <mergeCell ref="D16:F16"/>
    <mergeCell ref="A10:B10"/>
    <mergeCell ref="D10:F10"/>
    <mergeCell ref="A8:B8"/>
    <mergeCell ref="D8:F8"/>
    <mergeCell ref="A9:B9"/>
    <mergeCell ref="D9:F9"/>
    <mergeCell ref="A21:B21"/>
    <mergeCell ref="D21:F21"/>
    <mergeCell ref="A17:B17"/>
    <mergeCell ref="D17:F17"/>
    <mergeCell ref="A18:B18"/>
    <mergeCell ref="D18:F18"/>
    <mergeCell ref="A19:B19"/>
    <mergeCell ref="D19:F19"/>
    <mergeCell ref="C34:D34"/>
    <mergeCell ref="C5:D5"/>
    <mergeCell ref="D12:E12"/>
    <mergeCell ref="A14:B14"/>
    <mergeCell ref="D14:F14"/>
    <mergeCell ref="A15:B15"/>
    <mergeCell ref="D15:F15"/>
    <mergeCell ref="C22:D22"/>
    <mergeCell ref="C23:D23"/>
    <mergeCell ref="E24:F24"/>
    <mergeCell ref="D25:F25"/>
    <mergeCell ref="D26:F26"/>
    <mergeCell ref="C27:D27"/>
    <mergeCell ref="C28:D28"/>
    <mergeCell ref="A20:B20"/>
    <mergeCell ref="D20:F20"/>
    <mergeCell ref="C29:D29"/>
    <mergeCell ref="D30:F30"/>
    <mergeCell ref="D31:F31"/>
    <mergeCell ref="C32:D32"/>
    <mergeCell ref="C33:D33"/>
    <mergeCell ref="C46:D46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59:D59"/>
    <mergeCell ref="C47:D47"/>
    <mergeCell ref="C48:D48"/>
    <mergeCell ref="C49:D49"/>
    <mergeCell ref="C51:D51"/>
    <mergeCell ref="C52:D52"/>
    <mergeCell ref="C53:D53"/>
    <mergeCell ref="C54:D54"/>
    <mergeCell ref="C55:D55"/>
    <mergeCell ref="C56:D56"/>
    <mergeCell ref="C57:D57"/>
    <mergeCell ref="C58:D58"/>
  </mergeCells>
  <dataValidations count="1">
    <dataValidation type="list" allowBlank="1" showInputMessage="1" showErrorMessage="1" sqref="A2:F2" xr:uid="{3679BAB3-C448-4814-AD12-0D18E868CF97}">
      <formula1>$B$45:$B$46</formula1>
    </dataValidation>
  </dataValidations>
  <pageMargins left="0.7" right="0.7" top="0.75" bottom="0.75" header="0.3" footer="0.3"/>
  <pageSetup paperSize="9" scale="98" orientation="portrait" horizontalDpi="4294967293" verticalDpi="0" r:id="rId1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Riwayat Revisi</vt:lpstr>
      <vt:lpstr>LK</vt:lpstr>
      <vt:lpstr>UB</vt:lpstr>
      <vt:lpstr>PENYELIA</vt:lpstr>
      <vt:lpstr>ID</vt:lpstr>
      <vt:lpstr>LH</vt:lpstr>
      <vt:lpstr>DB Kelistrikan</vt:lpstr>
      <vt:lpstr>DB Gas Flow</vt:lpstr>
      <vt:lpstr>SERTIFIKAT</vt:lpstr>
      <vt:lpstr>DB Thermohygro</vt:lpstr>
      <vt:lpstr>'DB Gas Flow'!Print_Area</vt:lpstr>
      <vt:lpstr>'DB Thermohygro'!Print_Area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Ventilator 2017</dc:title>
  <dc:subject/>
  <dc:creator>FADHIL</dc:creator>
  <cp:keywords/>
  <dc:description/>
  <cp:lastModifiedBy>Ryan Rama Chaesar R</cp:lastModifiedBy>
  <cp:revision/>
  <cp:lastPrinted>2022-09-26T03:13:51Z</cp:lastPrinted>
  <dcterms:created xsi:type="dcterms:W3CDTF">2015-02-16T06:59:49Z</dcterms:created>
  <dcterms:modified xsi:type="dcterms:W3CDTF">2023-09-21T03:55:33Z</dcterms:modified>
  <cp:category>FLOW&amp;VOLUME</cp:category>
  <cp:contentStatus/>
</cp:coreProperties>
</file>