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isram\Documents\Soft Laragon Tambah\sudah cek\CTG\"/>
    </mc:Choice>
  </mc:AlternateContent>
  <xr:revisionPtr revIDLastSave="0" documentId="13_ncr:1_{DEE61AD2-B263-4D9B-B19C-D38451203F82}" xr6:coauthVersionLast="47" xr6:coauthVersionMax="47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SERTIFIKAT" sheetId="33" r:id="rId1"/>
    <sheet name="Lembar Kerja" sheetId="12" r:id="rId2"/>
    <sheet name="Riwayat Revisi" sheetId="27" r:id="rId3"/>
    <sheet name="UB" sheetId="10" r:id="rId4"/>
    <sheet name="ID" sheetId="3" r:id="rId5"/>
    <sheet name="LH" sheetId="23" r:id="rId6"/>
    <sheet name="DB ESA" sheetId="28" r:id="rId7"/>
    <sheet name="DB Thermohygro" sheetId="32" r:id="rId8"/>
    <sheet name="Penyelia" sheetId="22" r:id="rId9"/>
    <sheet name="FORECAST" sheetId="29" r:id="rId10"/>
    <sheet name="DATA SERTIFIKAT PS320" sheetId="19" r:id="rId11"/>
    <sheet name="cetik" sheetId="13" r:id="rId12"/>
    <sheet name="kesimpulan" sheetId="14" r:id="rId13"/>
  </sheets>
  <externalReferences>
    <externalReference r:id="rId14"/>
    <externalReference r:id="rId15"/>
  </externalReferences>
  <definedNames>
    <definedName name="_xlnm.Print_Area" localSheetId="10">'DATA SERTIFIKAT PS320'!$A$148:$F$162</definedName>
    <definedName name="_xlnm.Print_Area" localSheetId="4">ID!$A$1:$L$70</definedName>
    <definedName name="_xlnm.Print_Area" localSheetId="1">'Lembar Kerja'!$A$1:$N$63</definedName>
    <definedName name="_xlnm.Print_Area" localSheetId="5">LH!$A$1:$N$72</definedName>
    <definedName name="_xlnm.Print_Area" localSheetId="8">Penyelia!$A$1:$O$68</definedName>
    <definedName name="_xlnm.Print_Area" localSheetId="0">SERTIFIKAT!$A$1:$F$33</definedName>
    <definedName name="_xlnm.Print_Area" localSheetId="3">UB!$A$1:$L$86</definedName>
  </definedNames>
  <calcPr calcId="191029"/>
</workbook>
</file>

<file path=xl/calcChain.xml><?xml version="1.0" encoding="utf-8"?>
<calcChain xmlns="http://schemas.openxmlformats.org/spreadsheetml/2006/main">
  <c r="N14" i="29" l="1"/>
  <c r="N15" i="29"/>
  <c r="N16" i="29"/>
  <c r="N17" i="29"/>
  <c r="N18" i="29"/>
  <c r="N19" i="29"/>
  <c r="N13" i="29"/>
  <c r="G17" i="23" l="1"/>
  <c r="G16" i="23"/>
  <c r="D80" i="10"/>
  <c r="D68" i="10"/>
  <c r="D56" i="10"/>
  <c r="D32" i="10"/>
  <c r="D8" i="10"/>
  <c r="E11" i="29"/>
  <c r="E12" i="29"/>
  <c r="E13" i="29"/>
  <c r="E14" i="29"/>
  <c r="E15" i="29"/>
  <c r="E16" i="29"/>
  <c r="E10" i="29"/>
  <c r="G97" i="19"/>
  <c r="L74" i="3"/>
  <c r="V378" i="32"/>
  <c r="V377" i="32"/>
  <c r="F366" i="32"/>
  <c r="F365" i="32"/>
  <c r="F364" i="32"/>
  <c r="F345" i="32"/>
  <c r="F344" i="32"/>
  <c r="F343" i="32"/>
  <c r="F324" i="32"/>
  <c r="F323" i="32"/>
  <c r="F322" i="32"/>
  <c r="F303" i="32"/>
  <c r="F302" i="32"/>
  <c r="F301" i="32"/>
  <c r="F282" i="32"/>
  <c r="F281" i="32"/>
  <c r="F280" i="32"/>
  <c r="F261" i="32"/>
  <c r="F260" i="32"/>
  <c r="F259" i="32"/>
  <c r="F240" i="32"/>
  <c r="F239" i="32"/>
  <c r="F238" i="32"/>
  <c r="A389" i="32"/>
  <c r="A410" i="32" s="1"/>
  <c r="K405" i="32"/>
  <c r="G16" i="22"/>
  <c r="I16" i="22"/>
  <c r="G17" i="22"/>
  <c r="I17" i="22"/>
  <c r="G18" i="22"/>
  <c r="N37" i="29"/>
  <c r="K29" i="3"/>
  <c r="K27" i="3"/>
  <c r="K28" i="3"/>
  <c r="N29" i="22" l="1"/>
  <c r="N29" i="23" s="1"/>
  <c r="B45" i="33"/>
  <c r="B46" i="33" s="1"/>
  <c r="B43" i="33"/>
  <c r="E26" i="33"/>
  <c r="A17" i="33"/>
  <c r="D12" i="33"/>
  <c r="F11" i="33"/>
  <c r="D11" i="33"/>
  <c r="A2" i="33" l="1"/>
  <c r="B50" i="33" s="1"/>
  <c r="A19" i="33" l="1"/>
  <c r="A21" i="33"/>
  <c r="A22" i="33"/>
  <c r="A20" i="33"/>
  <c r="K409" i="32" l="1"/>
  <c r="J409" i="32"/>
  <c r="I409" i="32"/>
  <c r="K408" i="32"/>
  <c r="J408" i="32"/>
  <c r="K407" i="32"/>
  <c r="J407" i="32"/>
  <c r="I407" i="32"/>
  <c r="K406" i="32"/>
  <c r="J406" i="32"/>
  <c r="I406" i="32"/>
  <c r="J405" i="32"/>
  <c r="I405" i="32"/>
  <c r="J404" i="32"/>
  <c r="I404" i="32"/>
  <c r="J403" i="32"/>
  <c r="I403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A373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U366" i="32"/>
  <c r="T366" i="32"/>
  <c r="S366" i="32"/>
  <c r="M366" i="32"/>
  <c r="L366" i="32"/>
  <c r="K366" i="32"/>
  <c r="E366" i="32"/>
  <c r="D366" i="32"/>
  <c r="C366" i="32"/>
  <c r="U365" i="32"/>
  <c r="T365" i="32"/>
  <c r="S365" i="32"/>
  <c r="M365" i="32"/>
  <c r="L365" i="32"/>
  <c r="K365" i="32"/>
  <c r="E365" i="32"/>
  <c r="D365" i="32"/>
  <c r="C365" i="32"/>
  <c r="U364" i="32"/>
  <c r="S364" i="32"/>
  <c r="M364" i="32"/>
  <c r="L364" i="32"/>
  <c r="K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U345" i="32"/>
  <c r="T345" i="32"/>
  <c r="S345" i="32"/>
  <c r="M345" i="32"/>
  <c r="L345" i="32"/>
  <c r="K345" i="32"/>
  <c r="E345" i="32"/>
  <c r="D345" i="32"/>
  <c r="C345" i="32"/>
  <c r="U344" i="32"/>
  <c r="T344" i="32"/>
  <c r="S344" i="32"/>
  <c r="M344" i="32"/>
  <c r="L344" i="32"/>
  <c r="K344" i="32"/>
  <c r="E344" i="32"/>
  <c r="D344" i="32"/>
  <c r="C344" i="32"/>
  <c r="U343" i="32"/>
  <c r="T343" i="32"/>
  <c r="S343" i="32"/>
  <c r="M343" i="32"/>
  <c r="L343" i="32"/>
  <c r="K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U324" i="32"/>
  <c r="T324" i="32"/>
  <c r="S324" i="32"/>
  <c r="M324" i="32"/>
  <c r="L324" i="32"/>
  <c r="K324" i="32"/>
  <c r="E324" i="32"/>
  <c r="D324" i="32"/>
  <c r="C324" i="32"/>
  <c r="U323" i="32"/>
  <c r="T323" i="32"/>
  <c r="S323" i="32"/>
  <c r="M323" i="32"/>
  <c r="L323" i="32"/>
  <c r="K323" i="32"/>
  <c r="E323" i="32"/>
  <c r="D323" i="32"/>
  <c r="C323" i="32"/>
  <c r="U322" i="32"/>
  <c r="T322" i="32"/>
  <c r="S322" i="32"/>
  <c r="M322" i="32"/>
  <c r="L322" i="32"/>
  <c r="K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U303" i="32"/>
  <c r="T303" i="32"/>
  <c r="S303" i="32"/>
  <c r="M303" i="32"/>
  <c r="L303" i="32"/>
  <c r="K303" i="32"/>
  <c r="E303" i="32"/>
  <c r="D303" i="32"/>
  <c r="C303" i="32"/>
  <c r="U302" i="32"/>
  <c r="T302" i="32"/>
  <c r="S302" i="32"/>
  <c r="M302" i="32"/>
  <c r="L302" i="32"/>
  <c r="K302" i="32"/>
  <c r="E302" i="32"/>
  <c r="D302" i="32"/>
  <c r="C302" i="32"/>
  <c r="U301" i="32"/>
  <c r="T301" i="32"/>
  <c r="S301" i="32"/>
  <c r="M301" i="32"/>
  <c r="L301" i="32"/>
  <c r="K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U282" i="32"/>
  <c r="T282" i="32"/>
  <c r="S282" i="32"/>
  <c r="M282" i="32"/>
  <c r="L282" i="32"/>
  <c r="K282" i="32"/>
  <c r="E282" i="32"/>
  <c r="D282" i="32"/>
  <c r="C282" i="32"/>
  <c r="Z281" i="32"/>
  <c r="U281" i="32"/>
  <c r="T281" i="32"/>
  <c r="S281" i="32"/>
  <c r="M281" i="32"/>
  <c r="L281" i="32"/>
  <c r="K281" i="32"/>
  <c r="E281" i="32"/>
  <c r="D281" i="32"/>
  <c r="C281" i="32"/>
  <c r="Z280" i="32"/>
  <c r="U280" i="32"/>
  <c r="T280" i="32"/>
  <c r="S280" i="32"/>
  <c r="M280" i="32"/>
  <c r="L280" i="32"/>
  <c r="K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U261" i="32"/>
  <c r="T261" i="32"/>
  <c r="S261" i="32"/>
  <c r="M261" i="32"/>
  <c r="L261" i="32"/>
  <c r="K261" i="32"/>
  <c r="E261" i="32"/>
  <c r="D261" i="32"/>
  <c r="C261" i="32"/>
  <c r="Z260" i="32"/>
  <c r="U260" i="32"/>
  <c r="T260" i="32"/>
  <c r="S260" i="32"/>
  <c r="M260" i="32"/>
  <c r="L260" i="32"/>
  <c r="K260" i="32"/>
  <c r="E260" i="32"/>
  <c r="D260" i="32"/>
  <c r="C260" i="32"/>
  <c r="Z259" i="32"/>
  <c r="U259" i="32"/>
  <c r="T259" i="32"/>
  <c r="S259" i="32"/>
  <c r="M259" i="32"/>
  <c r="L259" i="32"/>
  <c r="K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U240" i="32"/>
  <c r="T240" i="32"/>
  <c r="S240" i="32"/>
  <c r="M240" i="32"/>
  <c r="L240" i="32"/>
  <c r="K240" i="32"/>
  <c r="E240" i="32"/>
  <c r="D240" i="32"/>
  <c r="C240" i="32"/>
  <c r="Z239" i="32"/>
  <c r="U239" i="32"/>
  <c r="T239" i="32"/>
  <c r="S239" i="32"/>
  <c r="M239" i="32"/>
  <c r="L239" i="32"/>
  <c r="K239" i="32"/>
  <c r="E239" i="32"/>
  <c r="D239" i="32"/>
  <c r="C239" i="32"/>
  <c r="Z238" i="32"/>
  <c r="U238" i="32"/>
  <c r="T238" i="32"/>
  <c r="S238" i="32"/>
  <c r="M238" i="32"/>
  <c r="L238" i="32"/>
  <c r="K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U220" i="32"/>
  <c r="W371" i="32" s="1"/>
  <c r="N220" i="32"/>
  <c r="O371" i="32" s="1"/>
  <c r="G220" i="32"/>
  <c r="G371" i="32" s="1"/>
  <c r="U219" i="32"/>
  <c r="W350" i="32" s="1"/>
  <c r="N219" i="32"/>
  <c r="O350" i="32" s="1"/>
  <c r="G219" i="32"/>
  <c r="G350" i="32" s="1"/>
  <c r="U218" i="32"/>
  <c r="W329" i="32" s="1"/>
  <c r="N218" i="32"/>
  <c r="O329" i="32" s="1"/>
  <c r="G218" i="32"/>
  <c r="G329" i="32" s="1"/>
  <c r="U217" i="32"/>
  <c r="W308" i="32" s="1"/>
  <c r="N217" i="32"/>
  <c r="O308" i="32" s="1"/>
  <c r="G217" i="32"/>
  <c r="G308" i="32" s="1"/>
  <c r="U216" i="32"/>
  <c r="W287" i="32" s="1"/>
  <c r="N216" i="32"/>
  <c r="O287" i="32" s="1"/>
  <c r="G216" i="32"/>
  <c r="G287" i="32" s="1"/>
  <c r="U215" i="32"/>
  <c r="W266" i="32" s="1"/>
  <c r="N215" i="32"/>
  <c r="O266" i="32" s="1"/>
  <c r="G215" i="32"/>
  <c r="G266" i="32" s="1"/>
  <c r="U214" i="32"/>
  <c r="W245" i="32" s="1"/>
  <c r="N214" i="32"/>
  <c r="O245" i="32" s="1"/>
  <c r="G214" i="32"/>
  <c r="G245" i="32" s="1"/>
  <c r="L213" i="32"/>
  <c r="S213" i="32" s="1"/>
  <c r="K213" i="32"/>
  <c r="R213" i="32" s="1"/>
  <c r="I211" i="32"/>
  <c r="P211" i="32" s="1"/>
  <c r="U209" i="32"/>
  <c r="W370" i="32" s="1"/>
  <c r="N209" i="32"/>
  <c r="O370" i="32" s="1"/>
  <c r="G209" i="32"/>
  <c r="G370" i="32" s="1"/>
  <c r="U208" i="32"/>
  <c r="W349" i="32" s="1"/>
  <c r="N208" i="32"/>
  <c r="O349" i="32" s="1"/>
  <c r="G208" i="32"/>
  <c r="G349" i="32" s="1"/>
  <c r="U207" i="32"/>
  <c r="W328" i="32" s="1"/>
  <c r="N207" i="32"/>
  <c r="O328" i="32" s="1"/>
  <c r="G207" i="32"/>
  <c r="G328" i="32" s="1"/>
  <c r="U206" i="32"/>
  <c r="W307" i="32" s="1"/>
  <c r="N206" i="32"/>
  <c r="O307" i="32" s="1"/>
  <c r="G206" i="32"/>
  <c r="G307" i="32" s="1"/>
  <c r="U205" i="32"/>
  <c r="W286" i="32" s="1"/>
  <c r="N205" i="32"/>
  <c r="O286" i="32" s="1"/>
  <c r="G205" i="32"/>
  <c r="U204" i="32"/>
  <c r="W265" i="32" s="1"/>
  <c r="N204" i="32"/>
  <c r="O265" i="32" s="1"/>
  <c r="G204" i="32"/>
  <c r="G265" i="32" s="1"/>
  <c r="U203" i="32"/>
  <c r="W244" i="32" s="1"/>
  <c r="N203" i="32"/>
  <c r="O244" i="32" s="1"/>
  <c r="G203" i="32"/>
  <c r="G244" i="32" s="1"/>
  <c r="L202" i="32"/>
  <c r="S202" i="32" s="1"/>
  <c r="K202" i="32"/>
  <c r="R202" i="32" s="1"/>
  <c r="I200" i="32"/>
  <c r="P200" i="32" s="1"/>
  <c r="U198" i="32"/>
  <c r="W369" i="32" s="1"/>
  <c r="N198" i="32"/>
  <c r="O369" i="32" s="1"/>
  <c r="G198" i="32"/>
  <c r="G369" i="32" s="1"/>
  <c r="U197" i="32"/>
  <c r="W348" i="32" s="1"/>
  <c r="N197" i="32"/>
  <c r="O348" i="32" s="1"/>
  <c r="G197" i="32"/>
  <c r="G348" i="32" s="1"/>
  <c r="U196" i="32"/>
  <c r="W327" i="32" s="1"/>
  <c r="N196" i="32"/>
  <c r="O327" i="32" s="1"/>
  <c r="G196" i="32"/>
  <c r="G327" i="32" s="1"/>
  <c r="U195" i="32"/>
  <c r="W306" i="32" s="1"/>
  <c r="N195" i="32"/>
  <c r="O306" i="32" s="1"/>
  <c r="G195" i="32"/>
  <c r="G306" i="32" s="1"/>
  <c r="U194" i="32"/>
  <c r="W285" i="32" s="1"/>
  <c r="N194" i="32"/>
  <c r="O285" i="32" s="1"/>
  <c r="G194" i="32"/>
  <c r="G285" i="32" s="1"/>
  <c r="U193" i="32"/>
  <c r="W264" i="32" s="1"/>
  <c r="N193" i="32"/>
  <c r="O264" i="32" s="1"/>
  <c r="G193" i="32"/>
  <c r="G264" i="32" s="1"/>
  <c r="U192" i="32"/>
  <c r="W243" i="32" s="1"/>
  <c r="N192" i="32"/>
  <c r="O243" i="32" s="1"/>
  <c r="G192" i="32"/>
  <c r="G243" i="32" s="1"/>
  <c r="L191" i="32"/>
  <c r="S191" i="32" s="1"/>
  <c r="K191" i="32"/>
  <c r="R191" i="32" s="1"/>
  <c r="I189" i="32"/>
  <c r="P189" i="32" s="1"/>
  <c r="U187" i="32"/>
  <c r="W368" i="32" s="1"/>
  <c r="N187" i="32"/>
  <c r="O368" i="32" s="1"/>
  <c r="G187" i="32"/>
  <c r="G368" i="32" s="1"/>
  <c r="U186" i="32"/>
  <c r="W347" i="32" s="1"/>
  <c r="N186" i="32"/>
  <c r="O347" i="32" s="1"/>
  <c r="G186" i="32"/>
  <c r="G347" i="32" s="1"/>
  <c r="U185" i="32"/>
  <c r="W326" i="32" s="1"/>
  <c r="N185" i="32"/>
  <c r="O326" i="32" s="1"/>
  <c r="G185" i="32"/>
  <c r="G326" i="32" s="1"/>
  <c r="U184" i="32"/>
  <c r="W305" i="32" s="1"/>
  <c r="N184" i="32"/>
  <c r="O305" i="32" s="1"/>
  <c r="G184" i="32"/>
  <c r="G305" i="32" s="1"/>
  <c r="U183" i="32"/>
  <c r="W284" i="32" s="1"/>
  <c r="N183" i="32"/>
  <c r="O284" i="32" s="1"/>
  <c r="G183" i="32"/>
  <c r="G284" i="32" s="1"/>
  <c r="U182" i="32"/>
  <c r="W263" i="32" s="1"/>
  <c r="N182" i="32"/>
  <c r="O263" i="32" s="1"/>
  <c r="G182" i="32"/>
  <c r="G263" i="32" s="1"/>
  <c r="U181" i="32"/>
  <c r="W242" i="32" s="1"/>
  <c r="N181" i="32"/>
  <c r="O242" i="32" s="1"/>
  <c r="G181" i="32"/>
  <c r="G242" i="32" s="1"/>
  <c r="L180" i="32"/>
  <c r="S180" i="32" s="1"/>
  <c r="K180" i="32"/>
  <c r="R180" i="32" s="1"/>
  <c r="I178" i="32"/>
  <c r="P178" i="32" s="1"/>
  <c r="U176" i="32"/>
  <c r="W367" i="32" s="1"/>
  <c r="N176" i="32"/>
  <c r="O367" i="32" s="1"/>
  <c r="G176" i="32"/>
  <c r="G367" i="32" s="1"/>
  <c r="U175" i="32"/>
  <c r="W346" i="32" s="1"/>
  <c r="N175" i="32"/>
  <c r="O346" i="32" s="1"/>
  <c r="G175" i="32"/>
  <c r="G346" i="32" s="1"/>
  <c r="U174" i="32"/>
  <c r="W325" i="32" s="1"/>
  <c r="N174" i="32"/>
  <c r="O325" i="32" s="1"/>
  <c r="G174" i="32"/>
  <c r="G325" i="32" s="1"/>
  <c r="U173" i="32"/>
  <c r="W304" i="32" s="1"/>
  <c r="N173" i="32"/>
  <c r="O304" i="32" s="1"/>
  <c r="G173" i="32"/>
  <c r="G304" i="32" s="1"/>
  <c r="U172" i="32"/>
  <c r="W283" i="32" s="1"/>
  <c r="N172" i="32"/>
  <c r="O283" i="32" s="1"/>
  <c r="G172" i="32"/>
  <c r="G283" i="32" s="1"/>
  <c r="U171" i="32"/>
  <c r="W262" i="32" s="1"/>
  <c r="N171" i="32"/>
  <c r="O262" i="32" s="1"/>
  <c r="G171" i="32"/>
  <c r="G262" i="32" s="1"/>
  <c r="U170" i="32"/>
  <c r="W241" i="32" s="1"/>
  <c r="N170" i="32"/>
  <c r="O241" i="32" s="1"/>
  <c r="G170" i="32"/>
  <c r="G241" i="32" s="1"/>
  <c r="L169" i="32"/>
  <c r="S169" i="32" s="1"/>
  <c r="K169" i="32"/>
  <c r="R169" i="32" s="1"/>
  <c r="I167" i="32"/>
  <c r="P167" i="32" s="1"/>
  <c r="U165" i="32"/>
  <c r="W366" i="32" s="1"/>
  <c r="N165" i="32"/>
  <c r="O366" i="32" s="1"/>
  <c r="G165" i="32"/>
  <c r="G366" i="32" s="1"/>
  <c r="U164" i="32"/>
  <c r="W345" i="32" s="1"/>
  <c r="N164" i="32"/>
  <c r="O345" i="32" s="1"/>
  <c r="G164" i="32"/>
  <c r="G345" i="32" s="1"/>
  <c r="U163" i="32"/>
  <c r="W324" i="32" s="1"/>
  <c r="N163" i="32"/>
  <c r="O324" i="32" s="1"/>
  <c r="G163" i="32"/>
  <c r="G324" i="32" s="1"/>
  <c r="U162" i="32"/>
  <c r="W303" i="32" s="1"/>
  <c r="N162" i="32"/>
  <c r="O303" i="32" s="1"/>
  <c r="G162" i="32"/>
  <c r="G303" i="32" s="1"/>
  <c r="U161" i="32"/>
  <c r="W282" i="32" s="1"/>
  <c r="N161" i="32"/>
  <c r="O282" i="32" s="1"/>
  <c r="G161" i="32"/>
  <c r="G282" i="32" s="1"/>
  <c r="U160" i="32"/>
  <c r="W261" i="32" s="1"/>
  <c r="N160" i="32"/>
  <c r="O261" i="32" s="1"/>
  <c r="G160" i="32"/>
  <c r="G261" i="32" s="1"/>
  <c r="U159" i="32"/>
  <c r="W240" i="32" s="1"/>
  <c r="R159" i="32"/>
  <c r="N159" i="32"/>
  <c r="O240" i="32" s="1"/>
  <c r="G159" i="32"/>
  <c r="G240" i="32" s="1"/>
  <c r="M158" i="32"/>
  <c r="T158" i="32" s="1"/>
  <c r="L158" i="32"/>
  <c r="S158" i="32" s="1"/>
  <c r="P156" i="32"/>
  <c r="I156" i="32"/>
  <c r="U154" i="32"/>
  <c r="W365" i="32" s="1"/>
  <c r="N154" i="32"/>
  <c r="O365" i="32" s="1"/>
  <c r="G154" i="32"/>
  <c r="G365" i="32" s="1"/>
  <c r="U153" i="32"/>
  <c r="W344" i="32" s="1"/>
  <c r="N153" i="32"/>
  <c r="O344" i="32" s="1"/>
  <c r="G153" i="32"/>
  <c r="G344" i="32" s="1"/>
  <c r="U152" i="32"/>
  <c r="W323" i="32" s="1"/>
  <c r="N152" i="32"/>
  <c r="O323" i="32" s="1"/>
  <c r="G152" i="32"/>
  <c r="G323" i="32" s="1"/>
  <c r="U151" i="32"/>
  <c r="W302" i="32" s="1"/>
  <c r="N151" i="32"/>
  <c r="G151" i="32"/>
  <c r="G301" i="32" s="1"/>
  <c r="U150" i="32"/>
  <c r="W281" i="32" s="1"/>
  <c r="N150" i="32"/>
  <c r="G150" i="32"/>
  <c r="G281" i="32" s="1"/>
  <c r="U149" i="32"/>
  <c r="W260" i="32" s="1"/>
  <c r="N149" i="32"/>
  <c r="O260" i="32" s="1"/>
  <c r="G149" i="32"/>
  <c r="G260" i="32" s="1"/>
  <c r="U148" i="32"/>
  <c r="W239" i="32" s="1"/>
  <c r="R148" i="32"/>
  <c r="N148" i="32"/>
  <c r="O239" i="32" s="1"/>
  <c r="G148" i="32"/>
  <c r="G239" i="32" s="1"/>
  <c r="M147" i="32"/>
  <c r="T147" i="32" s="1"/>
  <c r="L147" i="32"/>
  <c r="S147" i="32" s="1"/>
  <c r="I145" i="32"/>
  <c r="P145" i="32" s="1"/>
  <c r="T364" i="32"/>
  <c r="N143" i="32"/>
  <c r="O364" i="32" s="1"/>
  <c r="G143" i="32"/>
  <c r="G364" i="32" s="1"/>
  <c r="U142" i="32"/>
  <c r="W343" i="32" s="1"/>
  <c r="N142" i="32"/>
  <c r="O343" i="32" s="1"/>
  <c r="G142" i="32"/>
  <c r="G343" i="32" s="1"/>
  <c r="U141" i="32"/>
  <c r="W322" i="32" s="1"/>
  <c r="N141" i="32"/>
  <c r="O322" i="32" s="1"/>
  <c r="G141" i="32"/>
  <c r="G322" i="32" s="1"/>
  <c r="U140" i="32"/>
  <c r="W301" i="32" s="1"/>
  <c r="N140" i="32"/>
  <c r="O301" i="32" s="1"/>
  <c r="G140" i="32"/>
  <c r="U139" i="32"/>
  <c r="W280" i="32" s="1"/>
  <c r="N139" i="32"/>
  <c r="O280" i="32" s="1"/>
  <c r="G139" i="32"/>
  <c r="G280" i="32" s="1"/>
  <c r="U138" i="32"/>
  <c r="W259" i="32" s="1"/>
  <c r="N138" i="32"/>
  <c r="O259" i="32" s="1"/>
  <c r="G138" i="32"/>
  <c r="G259" i="32" s="1"/>
  <c r="U137" i="32"/>
  <c r="W238" i="32" s="1"/>
  <c r="R137" i="32"/>
  <c r="N137" i="32"/>
  <c r="O238" i="32" s="1"/>
  <c r="G137" i="32"/>
  <c r="G238" i="32" s="1"/>
  <c r="M136" i="32"/>
  <c r="T136" i="32" s="1"/>
  <c r="L136" i="32"/>
  <c r="S136" i="32" s="1"/>
  <c r="I134" i="32"/>
  <c r="P134" i="32" s="1"/>
  <c r="U132" i="32"/>
  <c r="W363" i="32" s="1"/>
  <c r="N132" i="32"/>
  <c r="O363" i="32" s="1"/>
  <c r="G132" i="32"/>
  <c r="G363" i="32" s="1"/>
  <c r="U131" i="32"/>
  <c r="W342" i="32" s="1"/>
  <c r="N131" i="32"/>
  <c r="O342" i="32" s="1"/>
  <c r="G131" i="32"/>
  <c r="G342" i="32" s="1"/>
  <c r="U130" i="32"/>
  <c r="W321" i="32" s="1"/>
  <c r="N130" i="32"/>
  <c r="O321" i="32" s="1"/>
  <c r="G130" i="32"/>
  <c r="G321" i="32" s="1"/>
  <c r="U129" i="32"/>
  <c r="W300" i="32" s="1"/>
  <c r="N129" i="32"/>
  <c r="O300" i="32" s="1"/>
  <c r="G129" i="32"/>
  <c r="G300" i="32" s="1"/>
  <c r="U128" i="32"/>
  <c r="W279" i="32" s="1"/>
  <c r="N128" i="32"/>
  <c r="O279" i="32" s="1"/>
  <c r="G128" i="32"/>
  <c r="G279" i="32" s="1"/>
  <c r="U127" i="32"/>
  <c r="W258" i="32" s="1"/>
  <c r="N127" i="32"/>
  <c r="O258" i="32" s="1"/>
  <c r="G127" i="32"/>
  <c r="G258" i="32" s="1"/>
  <c r="U126" i="32"/>
  <c r="W237" i="32" s="1"/>
  <c r="N126" i="32"/>
  <c r="O237" i="32" s="1"/>
  <c r="G126" i="32"/>
  <c r="G237" i="32" s="1"/>
  <c r="L125" i="32"/>
  <c r="S125" i="32" s="1"/>
  <c r="K125" i="32"/>
  <c r="R125" i="32" s="1"/>
  <c r="I123" i="32"/>
  <c r="P123" i="32" s="1"/>
  <c r="U121" i="32"/>
  <c r="W362" i="32" s="1"/>
  <c r="N121" i="32"/>
  <c r="O362" i="32" s="1"/>
  <c r="G121" i="32"/>
  <c r="G362" i="32" s="1"/>
  <c r="U120" i="32"/>
  <c r="W341" i="32" s="1"/>
  <c r="N120" i="32"/>
  <c r="O341" i="32" s="1"/>
  <c r="G120" i="32"/>
  <c r="G341" i="32" s="1"/>
  <c r="U119" i="32"/>
  <c r="W320" i="32" s="1"/>
  <c r="N119" i="32"/>
  <c r="O320" i="32" s="1"/>
  <c r="G119" i="32"/>
  <c r="G320" i="32" s="1"/>
  <c r="U118" i="32"/>
  <c r="W299" i="32" s="1"/>
  <c r="N118" i="32"/>
  <c r="O299" i="32" s="1"/>
  <c r="G118" i="32"/>
  <c r="G299" i="32" s="1"/>
  <c r="U117" i="32"/>
  <c r="W278" i="32" s="1"/>
  <c r="N117" i="32"/>
  <c r="O278" i="32" s="1"/>
  <c r="G117" i="32"/>
  <c r="G278" i="32" s="1"/>
  <c r="U116" i="32"/>
  <c r="W257" i="32" s="1"/>
  <c r="N116" i="32"/>
  <c r="O257" i="32" s="1"/>
  <c r="G116" i="32"/>
  <c r="G257" i="32" s="1"/>
  <c r="U115" i="32"/>
  <c r="W236" i="32" s="1"/>
  <c r="N115" i="32"/>
  <c r="O236" i="32" s="1"/>
  <c r="G115" i="32"/>
  <c r="G236" i="32" s="1"/>
  <c r="L114" i="32"/>
  <c r="S114" i="32" s="1"/>
  <c r="K114" i="32"/>
  <c r="R114" i="32" s="1"/>
  <c r="I112" i="32"/>
  <c r="P112" i="32" s="1"/>
  <c r="U110" i="32"/>
  <c r="W361" i="32" s="1"/>
  <c r="N110" i="32"/>
  <c r="O361" i="32" s="1"/>
  <c r="G110" i="32"/>
  <c r="G361" i="32" s="1"/>
  <c r="U109" i="32"/>
  <c r="W340" i="32" s="1"/>
  <c r="N109" i="32"/>
  <c r="O340" i="32" s="1"/>
  <c r="G109" i="32"/>
  <c r="G340" i="32" s="1"/>
  <c r="U108" i="32"/>
  <c r="W319" i="32" s="1"/>
  <c r="N108" i="32"/>
  <c r="O319" i="32" s="1"/>
  <c r="G108" i="32"/>
  <c r="G319" i="32" s="1"/>
  <c r="U107" i="32"/>
  <c r="W298" i="32" s="1"/>
  <c r="N107" i="32"/>
  <c r="O298" i="32" s="1"/>
  <c r="G107" i="32"/>
  <c r="G298" i="32" s="1"/>
  <c r="U106" i="32"/>
  <c r="W277" i="32" s="1"/>
  <c r="N106" i="32"/>
  <c r="O277" i="32" s="1"/>
  <c r="G106" i="32"/>
  <c r="G277" i="32" s="1"/>
  <c r="U105" i="32"/>
  <c r="W256" i="32" s="1"/>
  <c r="N105" i="32"/>
  <c r="O256" i="32" s="1"/>
  <c r="G105" i="32"/>
  <c r="G256" i="32" s="1"/>
  <c r="U104" i="32"/>
  <c r="W235" i="32" s="1"/>
  <c r="N104" i="32"/>
  <c r="O235" i="32" s="1"/>
  <c r="G104" i="32"/>
  <c r="G235" i="32" s="1"/>
  <c r="L103" i="32"/>
  <c r="S103" i="32" s="1"/>
  <c r="K103" i="32"/>
  <c r="R103" i="32" s="1"/>
  <c r="I101" i="32"/>
  <c r="P101" i="32" s="1"/>
  <c r="U99" i="32"/>
  <c r="W360" i="32" s="1"/>
  <c r="N99" i="32"/>
  <c r="O360" i="32" s="1"/>
  <c r="G99" i="32"/>
  <c r="G360" i="32" s="1"/>
  <c r="U98" i="32"/>
  <c r="W339" i="32" s="1"/>
  <c r="N98" i="32"/>
  <c r="O339" i="32" s="1"/>
  <c r="G98" i="32"/>
  <c r="G339" i="32" s="1"/>
  <c r="U97" i="32"/>
  <c r="W318" i="32" s="1"/>
  <c r="N97" i="32"/>
  <c r="O318" i="32" s="1"/>
  <c r="G97" i="32"/>
  <c r="G318" i="32" s="1"/>
  <c r="U96" i="32"/>
  <c r="W297" i="32" s="1"/>
  <c r="N96" i="32"/>
  <c r="O297" i="32" s="1"/>
  <c r="G96" i="32"/>
  <c r="G297" i="32" s="1"/>
  <c r="U95" i="32"/>
  <c r="W276" i="32" s="1"/>
  <c r="N95" i="32"/>
  <c r="O276" i="32" s="1"/>
  <c r="G95" i="32"/>
  <c r="G276" i="32" s="1"/>
  <c r="U94" i="32"/>
  <c r="W255" i="32" s="1"/>
  <c r="N94" i="32"/>
  <c r="O255" i="32" s="1"/>
  <c r="G94" i="32"/>
  <c r="G255" i="32" s="1"/>
  <c r="U93" i="32"/>
  <c r="W234" i="32" s="1"/>
  <c r="N93" i="32"/>
  <c r="O234" i="32" s="1"/>
  <c r="G93" i="32"/>
  <c r="G234" i="32" s="1"/>
  <c r="L92" i="32"/>
  <c r="S92" i="32" s="1"/>
  <c r="K92" i="32"/>
  <c r="R92" i="32" s="1"/>
  <c r="I90" i="32"/>
  <c r="P90" i="32" s="1"/>
  <c r="U88" i="32"/>
  <c r="W359" i="32" s="1"/>
  <c r="N88" i="32"/>
  <c r="O359" i="32" s="1"/>
  <c r="G88" i="32"/>
  <c r="G359" i="32" s="1"/>
  <c r="U87" i="32"/>
  <c r="W338" i="32" s="1"/>
  <c r="N87" i="32"/>
  <c r="O338" i="32" s="1"/>
  <c r="G87" i="32"/>
  <c r="G338" i="32" s="1"/>
  <c r="U86" i="32"/>
  <c r="W317" i="32" s="1"/>
  <c r="N86" i="32"/>
  <c r="O317" i="32" s="1"/>
  <c r="G86" i="32"/>
  <c r="G317" i="32" s="1"/>
  <c r="U85" i="32"/>
  <c r="W296" i="32" s="1"/>
  <c r="N85" i="32"/>
  <c r="O296" i="32" s="1"/>
  <c r="G85" i="32"/>
  <c r="G296" i="32" s="1"/>
  <c r="U84" i="32"/>
  <c r="W275" i="32" s="1"/>
  <c r="N84" i="32"/>
  <c r="O275" i="32" s="1"/>
  <c r="G84" i="32"/>
  <c r="G275" i="32" s="1"/>
  <c r="U83" i="32"/>
  <c r="W254" i="32" s="1"/>
  <c r="N83" i="32"/>
  <c r="O254" i="32" s="1"/>
  <c r="G83" i="32"/>
  <c r="G254" i="32" s="1"/>
  <c r="U82" i="32"/>
  <c r="W233" i="32" s="1"/>
  <c r="N82" i="32"/>
  <c r="O233" i="32" s="1"/>
  <c r="G82" i="32"/>
  <c r="G233" i="32" s="1"/>
  <c r="L81" i="32"/>
  <c r="S81" i="32" s="1"/>
  <c r="K81" i="32"/>
  <c r="R81" i="32" s="1"/>
  <c r="I79" i="32"/>
  <c r="P79" i="32" s="1"/>
  <c r="U77" i="32"/>
  <c r="W358" i="32" s="1"/>
  <c r="N77" i="32"/>
  <c r="O358" i="32" s="1"/>
  <c r="G77" i="32"/>
  <c r="G358" i="32" s="1"/>
  <c r="U76" i="32"/>
  <c r="W337" i="32" s="1"/>
  <c r="N76" i="32"/>
  <c r="O337" i="32" s="1"/>
  <c r="G76" i="32"/>
  <c r="G337" i="32" s="1"/>
  <c r="U75" i="32"/>
  <c r="W316" i="32" s="1"/>
  <c r="N75" i="32"/>
  <c r="O316" i="32" s="1"/>
  <c r="G75" i="32"/>
  <c r="G316" i="32" s="1"/>
  <c r="U74" i="32"/>
  <c r="W295" i="32" s="1"/>
  <c r="N74" i="32"/>
  <c r="O295" i="32" s="1"/>
  <c r="G74" i="32"/>
  <c r="G295" i="32" s="1"/>
  <c r="U73" i="32"/>
  <c r="W274" i="32" s="1"/>
  <c r="N73" i="32"/>
  <c r="O274" i="32" s="1"/>
  <c r="G73" i="32"/>
  <c r="G274" i="32" s="1"/>
  <c r="U72" i="32"/>
  <c r="W253" i="32" s="1"/>
  <c r="N72" i="32"/>
  <c r="O253" i="32" s="1"/>
  <c r="G72" i="32"/>
  <c r="G253" i="32" s="1"/>
  <c r="U71" i="32"/>
  <c r="W232" i="32" s="1"/>
  <c r="N71" i="32"/>
  <c r="O232" i="32" s="1"/>
  <c r="G71" i="32"/>
  <c r="G232" i="32" s="1"/>
  <c r="L70" i="32"/>
  <c r="S70" i="32" s="1"/>
  <c r="K70" i="32"/>
  <c r="R70" i="32" s="1"/>
  <c r="I68" i="32"/>
  <c r="P68" i="32" s="1"/>
  <c r="U66" i="32"/>
  <c r="W357" i="32" s="1"/>
  <c r="N66" i="32"/>
  <c r="O357" i="32" s="1"/>
  <c r="G66" i="32"/>
  <c r="G357" i="32" s="1"/>
  <c r="U65" i="32"/>
  <c r="W336" i="32" s="1"/>
  <c r="N65" i="32"/>
  <c r="O336" i="32" s="1"/>
  <c r="G65" i="32"/>
  <c r="G336" i="32" s="1"/>
  <c r="U64" i="32"/>
  <c r="W315" i="32" s="1"/>
  <c r="N64" i="32"/>
  <c r="O315" i="32" s="1"/>
  <c r="G64" i="32"/>
  <c r="G315" i="32" s="1"/>
  <c r="U63" i="32"/>
  <c r="W294" i="32" s="1"/>
  <c r="N63" i="32"/>
  <c r="O294" i="32" s="1"/>
  <c r="G63" i="32"/>
  <c r="G294" i="32" s="1"/>
  <c r="U62" i="32"/>
  <c r="W273" i="32" s="1"/>
  <c r="N62" i="32"/>
  <c r="O273" i="32" s="1"/>
  <c r="G62" i="32"/>
  <c r="G273" i="32" s="1"/>
  <c r="U61" i="32"/>
  <c r="W252" i="32" s="1"/>
  <c r="N61" i="32"/>
  <c r="O252" i="32" s="1"/>
  <c r="G61" i="32"/>
  <c r="G252" i="32" s="1"/>
  <c r="U60" i="32"/>
  <c r="W231" i="32" s="1"/>
  <c r="N60" i="32"/>
  <c r="O231" i="32" s="1"/>
  <c r="G60" i="32"/>
  <c r="G231" i="32" s="1"/>
  <c r="L59" i="32"/>
  <c r="S59" i="32" s="1"/>
  <c r="K59" i="32"/>
  <c r="R59" i="32" s="1"/>
  <c r="I57" i="32"/>
  <c r="P57" i="32" s="1"/>
  <c r="U55" i="32"/>
  <c r="W356" i="32" s="1"/>
  <c r="N55" i="32"/>
  <c r="O356" i="32" s="1"/>
  <c r="G55" i="32"/>
  <c r="G356" i="32" s="1"/>
  <c r="U54" i="32"/>
  <c r="W335" i="32" s="1"/>
  <c r="N54" i="32"/>
  <c r="O335" i="32" s="1"/>
  <c r="G54" i="32"/>
  <c r="G335" i="32" s="1"/>
  <c r="U53" i="32"/>
  <c r="W314" i="32" s="1"/>
  <c r="N53" i="32"/>
  <c r="O314" i="32" s="1"/>
  <c r="G53" i="32"/>
  <c r="G314" i="32" s="1"/>
  <c r="U52" i="32"/>
  <c r="W293" i="32" s="1"/>
  <c r="N52" i="32"/>
  <c r="O293" i="32" s="1"/>
  <c r="G52" i="32"/>
  <c r="G293" i="32" s="1"/>
  <c r="U51" i="32"/>
  <c r="W272" i="32" s="1"/>
  <c r="N51" i="32"/>
  <c r="O272" i="32" s="1"/>
  <c r="G51" i="32"/>
  <c r="G272" i="32" s="1"/>
  <c r="U50" i="32"/>
  <c r="W251" i="32" s="1"/>
  <c r="N50" i="32"/>
  <c r="O251" i="32" s="1"/>
  <c r="G50" i="32"/>
  <c r="G251" i="32" s="1"/>
  <c r="U49" i="32"/>
  <c r="W230" i="32" s="1"/>
  <c r="N49" i="32"/>
  <c r="O230" i="32" s="1"/>
  <c r="G49" i="32"/>
  <c r="G230" i="32" s="1"/>
  <c r="L48" i="32"/>
  <c r="S48" i="32" s="1"/>
  <c r="K48" i="32"/>
  <c r="R48" i="32" s="1"/>
  <c r="I46" i="32"/>
  <c r="P46" i="32" s="1"/>
  <c r="U44" i="32"/>
  <c r="W355" i="32" s="1"/>
  <c r="N44" i="32"/>
  <c r="O355" i="32" s="1"/>
  <c r="G44" i="32"/>
  <c r="G355" i="32" s="1"/>
  <c r="U43" i="32"/>
  <c r="W334" i="32" s="1"/>
  <c r="N43" i="32"/>
  <c r="O334" i="32" s="1"/>
  <c r="G43" i="32"/>
  <c r="G334" i="32" s="1"/>
  <c r="U42" i="32"/>
  <c r="W313" i="32" s="1"/>
  <c r="N42" i="32"/>
  <c r="O313" i="32" s="1"/>
  <c r="G42" i="32"/>
  <c r="G313" i="32" s="1"/>
  <c r="U41" i="32"/>
  <c r="W292" i="32" s="1"/>
  <c r="N41" i="32"/>
  <c r="O292" i="32" s="1"/>
  <c r="G41" i="32"/>
  <c r="G292" i="32" s="1"/>
  <c r="U40" i="32"/>
  <c r="W271" i="32" s="1"/>
  <c r="N40" i="32"/>
  <c r="O271" i="32" s="1"/>
  <c r="G40" i="32"/>
  <c r="G271" i="32" s="1"/>
  <c r="U39" i="32"/>
  <c r="W250" i="32" s="1"/>
  <c r="N39" i="32"/>
  <c r="O250" i="32" s="1"/>
  <c r="G39" i="32"/>
  <c r="G250" i="32" s="1"/>
  <c r="U38" i="32"/>
  <c r="W229" i="32" s="1"/>
  <c r="N38" i="32"/>
  <c r="O229" i="32" s="1"/>
  <c r="G38" i="32"/>
  <c r="G229" i="32" s="1"/>
  <c r="L37" i="32"/>
  <c r="S37" i="32" s="1"/>
  <c r="K37" i="32"/>
  <c r="R37" i="32" s="1"/>
  <c r="I35" i="32"/>
  <c r="P35" i="32" s="1"/>
  <c r="U33" i="32"/>
  <c r="W354" i="32" s="1"/>
  <c r="N33" i="32"/>
  <c r="O354" i="32" s="1"/>
  <c r="G33" i="32"/>
  <c r="G354" i="32" s="1"/>
  <c r="U32" i="32"/>
  <c r="W333" i="32" s="1"/>
  <c r="N32" i="32"/>
  <c r="O333" i="32" s="1"/>
  <c r="G32" i="32"/>
  <c r="G333" i="32" s="1"/>
  <c r="U31" i="32"/>
  <c r="W312" i="32" s="1"/>
  <c r="N31" i="32"/>
  <c r="O312" i="32" s="1"/>
  <c r="G31" i="32"/>
  <c r="G312" i="32" s="1"/>
  <c r="U30" i="32"/>
  <c r="W291" i="32" s="1"/>
  <c r="N30" i="32"/>
  <c r="O291" i="32" s="1"/>
  <c r="G30" i="32"/>
  <c r="G291" i="32" s="1"/>
  <c r="U29" i="32"/>
  <c r="W270" i="32" s="1"/>
  <c r="N29" i="32"/>
  <c r="O270" i="32" s="1"/>
  <c r="G29" i="32"/>
  <c r="G270" i="32" s="1"/>
  <c r="U28" i="32"/>
  <c r="W249" i="32" s="1"/>
  <c r="N28" i="32"/>
  <c r="O249" i="32" s="1"/>
  <c r="G28" i="32"/>
  <c r="G249" i="32" s="1"/>
  <c r="U27" i="32"/>
  <c r="W228" i="32" s="1"/>
  <c r="N27" i="32"/>
  <c r="O228" i="32" s="1"/>
  <c r="G27" i="32"/>
  <c r="G228" i="32" s="1"/>
  <c r="L26" i="32"/>
  <c r="S26" i="32" s="1"/>
  <c r="K26" i="32"/>
  <c r="R26" i="32" s="1"/>
  <c r="I24" i="32"/>
  <c r="P24" i="32" s="1"/>
  <c r="U22" i="32"/>
  <c r="W353" i="32" s="1"/>
  <c r="N22" i="32"/>
  <c r="O353" i="32" s="1"/>
  <c r="G22" i="32"/>
  <c r="G353" i="32" s="1"/>
  <c r="U21" i="32"/>
  <c r="W332" i="32" s="1"/>
  <c r="N21" i="32"/>
  <c r="O332" i="32" s="1"/>
  <c r="G21" i="32"/>
  <c r="G332" i="32" s="1"/>
  <c r="U20" i="32"/>
  <c r="W311" i="32" s="1"/>
  <c r="N20" i="32"/>
  <c r="O311" i="32" s="1"/>
  <c r="G20" i="32"/>
  <c r="G311" i="32" s="1"/>
  <c r="U19" i="32"/>
  <c r="W290" i="32" s="1"/>
  <c r="N19" i="32"/>
  <c r="O290" i="32" s="1"/>
  <c r="G19" i="32"/>
  <c r="G290" i="32" s="1"/>
  <c r="U18" i="32"/>
  <c r="W269" i="32" s="1"/>
  <c r="N18" i="32"/>
  <c r="O269" i="32" s="1"/>
  <c r="G18" i="32"/>
  <c r="G269" i="32" s="1"/>
  <c r="U17" i="32"/>
  <c r="W248" i="32" s="1"/>
  <c r="N17" i="32"/>
  <c r="O248" i="32" s="1"/>
  <c r="G17" i="32"/>
  <c r="G248" i="32" s="1"/>
  <c r="U16" i="32"/>
  <c r="W227" i="32" s="1"/>
  <c r="N16" i="32"/>
  <c r="O227" i="32" s="1"/>
  <c r="G16" i="32"/>
  <c r="G227" i="32" s="1"/>
  <c r="L15" i="32"/>
  <c r="S15" i="32" s="1"/>
  <c r="K15" i="32"/>
  <c r="R15" i="32" s="1"/>
  <c r="I13" i="32"/>
  <c r="P13" i="32" s="1"/>
  <c r="U11" i="32"/>
  <c r="W352" i="32" s="1"/>
  <c r="N11" i="32"/>
  <c r="O352" i="32" s="1"/>
  <c r="G11" i="32"/>
  <c r="G352" i="32" s="1"/>
  <c r="U10" i="32"/>
  <c r="W331" i="32" s="1"/>
  <c r="N10" i="32"/>
  <c r="O331" i="32" s="1"/>
  <c r="G10" i="32"/>
  <c r="G331" i="32" s="1"/>
  <c r="U9" i="32"/>
  <c r="W310" i="32" s="1"/>
  <c r="N9" i="32"/>
  <c r="G9" i="32"/>
  <c r="G310" i="32" s="1"/>
  <c r="U8" i="32"/>
  <c r="W289" i="32" s="1"/>
  <c r="N8" i="32"/>
  <c r="O289" i="32" s="1"/>
  <c r="G8" i="32"/>
  <c r="G289" i="32" s="1"/>
  <c r="U7" i="32"/>
  <c r="W268" i="32" s="1"/>
  <c r="N7" i="32"/>
  <c r="O268" i="32" s="1"/>
  <c r="G7" i="32"/>
  <c r="G268" i="32" s="1"/>
  <c r="U6" i="32"/>
  <c r="W247" i="32" s="1"/>
  <c r="N6" i="32"/>
  <c r="O247" i="32" s="1"/>
  <c r="G6" i="32"/>
  <c r="G247" i="32" s="1"/>
  <c r="U5" i="32"/>
  <c r="W226" i="32" s="1"/>
  <c r="N5" i="32"/>
  <c r="O226" i="32" s="1"/>
  <c r="G5" i="32"/>
  <c r="G226" i="32" s="1"/>
  <c r="L4" i="32"/>
  <c r="S4" i="32" s="1"/>
  <c r="K4" i="32"/>
  <c r="R4" i="32" s="1"/>
  <c r="I2" i="32"/>
  <c r="P2" i="32" s="1"/>
  <c r="B381" i="32" l="1"/>
  <c r="G302" i="32"/>
  <c r="G286" i="32"/>
  <c r="E378" i="32" s="1"/>
  <c r="B373" i="32"/>
  <c r="C375" i="32" s="1"/>
  <c r="I375" i="32" s="1"/>
  <c r="O375" i="32" s="1"/>
  <c r="E376" i="32"/>
  <c r="B379" i="32"/>
  <c r="O302" i="32"/>
  <c r="O281" i="32"/>
  <c r="O310" i="32"/>
  <c r="B378" i="32"/>
  <c r="E377" i="32"/>
  <c r="D376" i="32"/>
  <c r="E380" i="32"/>
  <c r="A378" i="32"/>
  <c r="D377" i="32"/>
  <c r="C376" i="32"/>
  <c r="E382" i="32"/>
  <c r="E381" i="32"/>
  <c r="D380" i="32"/>
  <c r="E379" i="32"/>
  <c r="C377" i="32"/>
  <c r="B376" i="32"/>
  <c r="G373" i="32"/>
  <c r="D382" i="32"/>
  <c r="D381" i="32"/>
  <c r="C380" i="32"/>
  <c r="D379" i="32"/>
  <c r="B377" i="32"/>
  <c r="A376" i="32"/>
  <c r="C382" i="32"/>
  <c r="C381" i="32"/>
  <c r="B380" i="32"/>
  <c r="C379" i="32"/>
  <c r="A377" i="32"/>
  <c r="A382" i="32"/>
  <c r="A381" i="32"/>
  <c r="A379" i="32"/>
  <c r="D378" i="32"/>
  <c r="S373" i="32"/>
  <c r="C378" i="32"/>
  <c r="U143" i="32"/>
  <c r="W364" i="32" s="1"/>
  <c r="A380" i="32"/>
  <c r="B382" i="32"/>
  <c r="D375" i="32" l="1"/>
  <c r="J375" i="32" s="1"/>
  <c r="P375" i="32" s="1"/>
  <c r="H373" i="32"/>
  <c r="B375" i="32"/>
  <c r="H375" i="32" s="1"/>
  <c r="N375" i="32" s="1"/>
  <c r="W377" i="32"/>
  <c r="H16" i="22" s="1"/>
  <c r="W379" i="32"/>
  <c r="W378" i="32"/>
  <c r="H17" i="22" s="1"/>
  <c r="H382" i="32"/>
  <c r="H381" i="32"/>
  <c r="G380" i="32"/>
  <c r="H379" i="32"/>
  <c r="K378" i="32"/>
  <c r="M373" i="32"/>
  <c r="G382" i="32"/>
  <c r="G381" i="32"/>
  <c r="G379" i="32"/>
  <c r="J378" i="32"/>
  <c r="I378" i="32"/>
  <c r="K376" i="32"/>
  <c r="H378" i="32"/>
  <c r="K377" i="32"/>
  <c r="J376" i="32"/>
  <c r="K380" i="32"/>
  <c r="G378" i="32"/>
  <c r="J377" i="32"/>
  <c r="I376" i="32"/>
  <c r="J382" i="32"/>
  <c r="J381" i="32"/>
  <c r="I380" i="32"/>
  <c r="J379" i="32"/>
  <c r="H377" i="32"/>
  <c r="G376" i="32"/>
  <c r="I382" i="32"/>
  <c r="H380" i="32"/>
  <c r="I377" i="32"/>
  <c r="G377" i="32"/>
  <c r="K381" i="32"/>
  <c r="K379" i="32"/>
  <c r="I381" i="32"/>
  <c r="I379" i="32"/>
  <c r="H376" i="32"/>
  <c r="J380" i="32"/>
  <c r="K382" i="32"/>
  <c r="O391" i="32" l="1"/>
  <c r="O390" i="32"/>
  <c r="T373" i="32"/>
  <c r="N373" i="32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N378" i="32"/>
  <c r="Q377" i="32"/>
  <c r="P376" i="32"/>
  <c r="O378" i="32"/>
  <c r="M378" i="32"/>
  <c r="Q376" i="32"/>
  <c r="O376" i="32"/>
  <c r="Q380" i="32"/>
  <c r="P377" i="32"/>
  <c r="O44" i="3" l="1"/>
  <c r="D9" i="29" l="1"/>
  <c r="G166" i="28" l="1"/>
  <c r="Q29" i="3" l="1"/>
  <c r="N65" i="3" s="1"/>
  <c r="S93" i="28" l="1"/>
  <c r="R89" i="28"/>
  <c r="Q89" i="28"/>
  <c r="K89" i="28"/>
  <c r="J89" i="28"/>
  <c r="D89" i="28"/>
  <c r="C89" i="28"/>
  <c r="P88" i="28"/>
  <c r="S87" i="28"/>
  <c r="S86" i="28"/>
  <c r="R83" i="28"/>
  <c r="Q83" i="28"/>
  <c r="K83" i="28"/>
  <c r="J83" i="28"/>
  <c r="S81" i="28"/>
  <c r="L81" i="28"/>
  <c r="E81" i="28"/>
  <c r="S80" i="28"/>
  <c r="L80" i="28"/>
  <c r="S79" i="28"/>
  <c r="L79" i="28"/>
  <c r="S78" i="28"/>
  <c r="L78" i="28"/>
  <c r="S77" i="28"/>
  <c r="L77" i="28"/>
  <c r="R75" i="28"/>
  <c r="Q75" i="28"/>
  <c r="K75" i="28"/>
  <c r="J75" i="28"/>
  <c r="D75" i="28"/>
  <c r="C75" i="28"/>
  <c r="P74" i="28"/>
  <c r="I74" i="28"/>
  <c r="S73" i="28"/>
  <c r="S72" i="28"/>
  <c r="L72" i="28"/>
  <c r="L71" i="28"/>
  <c r="S70" i="28"/>
  <c r="L70" i="28"/>
  <c r="S69" i="28"/>
  <c r="L69" i="28"/>
  <c r="S68" i="28"/>
  <c r="L68" i="28"/>
  <c r="P66" i="28"/>
  <c r="I66" i="28"/>
  <c r="R58" i="28"/>
  <c r="Q58" i="28"/>
  <c r="K58" i="28"/>
  <c r="J58" i="28"/>
  <c r="D58" i="28"/>
  <c r="C58" i="28"/>
  <c r="B57" i="28"/>
  <c r="I57" i="28" s="1"/>
  <c r="P57" i="28" s="1"/>
  <c r="S56" i="28"/>
  <c r="L56" i="28"/>
  <c r="E56" i="28"/>
  <c r="L55" i="28"/>
  <c r="E55" i="28"/>
  <c r="E54" i="28"/>
  <c r="S53" i="28"/>
  <c r="L53" i="28"/>
  <c r="E53" i="28"/>
  <c r="R52" i="28"/>
  <c r="Q52" i="28"/>
  <c r="K52" i="28"/>
  <c r="J52" i="28"/>
  <c r="D52" i="28"/>
  <c r="C52" i="28"/>
  <c r="B51" i="28"/>
  <c r="I51" i="28" s="1"/>
  <c r="P51" i="28" s="1"/>
  <c r="S50" i="28"/>
  <c r="L50" i="28"/>
  <c r="E50" i="28"/>
  <c r="S49" i="28"/>
  <c r="L49" i="28"/>
  <c r="E49" i="28"/>
  <c r="S48" i="28"/>
  <c r="L48" i="28"/>
  <c r="E48" i="28"/>
  <c r="S47" i="28"/>
  <c r="L47" i="28"/>
  <c r="E47" i="28"/>
  <c r="S46" i="28"/>
  <c r="L46" i="28"/>
  <c r="E46" i="28"/>
  <c r="R44" i="28"/>
  <c r="Q44" i="28"/>
  <c r="K44" i="28"/>
  <c r="J44" i="28"/>
  <c r="D44" i="28"/>
  <c r="C44" i="28"/>
  <c r="B43" i="28"/>
  <c r="I43" i="28" s="1"/>
  <c r="P43" i="28" s="1"/>
  <c r="S41" i="28"/>
  <c r="L41" i="28"/>
  <c r="E41" i="28"/>
  <c r="S40" i="28"/>
  <c r="L40" i="28"/>
  <c r="E40" i="28"/>
  <c r="S39" i="28"/>
  <c r="L39" i="28"/>
  <c r="E39" i="28"/>
  <c r="S38" i="28"/>
  <c r="L38" i="28"/>
  <c r="E38" i="28"/>
  <c r="S37" i="28"/>
  <c r="L37" i="28"/>
  <c r="E37" i="28"/>
  <c r="B35" i="28"/>
  <c r="I35" i="28" s="1"/>
  <c r="P35" i="28" s="1"/>
  <c r="L30" i="28"/>
  <c r="R27" i="28"/>
  <c r="Q27" i="28"/>
  <c r="K27" i="28"/>
  <c r="J27" i="28"/>
  <c r="D27" i="28"/>
  <c r="C27" i="28"/>
  <c r="P26" i="28"/>
  <c r="I26" i="28"/>
  <c r="S25" i="28"/>
  <c r="L25" i="28"/>
  <c r="S24" i="28"/>
  <c r="L24" i="28"/>
  <c r="L23" i="28"/>
  <c r="L22" i="28"/>
  <c r="R21" i="28"/>
  <c r="Q21" i="28"/>
  <c r="K21" i="28"/>
  <c r="J21" i="28"/>
  <c r="P20" i="28"/>
  <c r="I20" i="28"/>
  <c r="S19" i="28"/>
  <c r="L19" i="28"/>
  <c r="E19" i="28"/>
  <c r="S18" i="28"/>
  <c r="L18" i="28"/>
  <c r="E18" i="28"/>
  <c r="S17" i="28"/>
  <c r="L17" i="28"/>
  <c r="E17" i="28"/>
  <c r="S16" i="28"/>
  <c r="L16" i="28"/>
  <c r="E16" i="28"/>
  <c r="S15" i="28"/>
  <c r="E15" i="28"/>
  <c r="R13" i="28"/>
  <c r="Q13" i="28"/>
  <c r="K13" i="28"/>
  <c r="J13" i="28"/>
  <c r="D13" i="28"/>
  <c r="C13" i="28"/>
  <c r="P12" i="28"/>
  <c r="I12" i="28"/>
  <c r="S10" i="28"/>
  <c r="L10" i="28"/>
  <c r="E10" i="28"/>
  <c r="S9" i="28"/>
  <c r="L9" i="28"/>
  <c r="E9" i="28"/>
  <c r="S8" i="28"/>
  <c r="L8" i="28"/>
  <c r="E8" i="28"/>
  <c r="S7" i="28"/>
  <c r="L7" i="28"/>
  <c r="E7" i="28"/>
  <c r="S6" i="28"/>
  <c r="L6" i="28"/>
  <c r="E6" i="28"/>
  <c r="P4" i="28"/>
  <c r="I4" i="28"/>
  <c r="B1" i="13" l="1"/>
  <c r="C1" i="13" s="1"/>
  <c r="G145" i="19"/>
  <c r="E80" i="3"/>
  <c r="F80" i="3"/>
  <c r="G80" i="3"/>
  <c r="H80" i="3"/>
  <c r="I80" i="3"/>
  <c r="E79" i="3"/>
  <c r="F79" i="3"/>
  <c r="G79" i="3"/>
  <c r="H79" i="3"/>
  <c r="I79" i="3"/>
  <c r="L79" i="3" s="1"/>
  <c r="D65" i="10" s="1"/>
  <c r="E78" i="3"/>
  <c r="F78" i="3"/>
  <c r="G78" i="3"/>
  <c r="H78" i="3"/>
  <c r="I78" i="3"/>
  <c r="E77" i="3"/>
  <c r="F77" i="3"/>
  <c r="G77" i="3"/>
  <c r="H77" i="3"/>
  <c r="I77" i="3"/>
  <c r="E76" i="3"/>
  <c r="F76" i="3"/>
  <c r="G76" i="3"/>
  <c r="H76" i="3"/>
  <c r="I76" i="3"/>
  <c r="E75" i="3"/>
  <c r="F75" i="3"/>
  <c r="G75" i="3"/>
  <c r="H75" i="3"/>
  <c r="I75" i="3"/>
  <c r="E74" i="3"/>
  <c r="F74" i="3"/>
  <c r="G74" i="3"/>
  <c r="H74" i="3"/>
  <c r="I74" i="3"/>
  <c r="E145" i="19"/>
  <c r="E133" i="19"/>
  <c r="E121" i="19"/>
  <c r="E109" i="19"/>
  <c r="E97" i="19"/>
  <c r="E85" i="19"/>
  <c r="E73" i="19"/>
  <c r="E61" i="19"/>
  <c r="D145" i="19"/>
  <c r="D133" i="19"/>
  <c r="D121" i="19"/>
  <c r="D109" i="19"/>
  <c r="D97" i="19"/>
  <c r="D85" i="19"/>
  <c r="D73" i="19"/>
  <c r="D61" i="19"/>
  <c r="J29" i="3"/>
  <c r="J28" i="3"/>
  <c r="J27" i="3"/>
  <c r="P36" i="29"/>
  <c r="H17" i="23" s="1"/>
  <c r="N36" i="29"/>
  <c r="F17" i="23" s="1"/>
  <c r="P35" i="29"/>
  <c r="H16" i="23" s="1"/>
  <c r="N35" i="29"/>
  <c r="F16" i="23" s="1"/>
  <c r="F5" i="22"/>
  <c r="E5" i="23" s="1"/>
  <c r="D8" i="33" s="1"/>
  <c r="F8" i="22"/>
  <c r="E8" i="23" s="1"/>
  <c r="F10" i="22"/>
  <c r="E10" i="23" s="1"/>
  <c r="D19" i="33" s="1"/>
  <c r="B54" i="33" s="1"/>
  <c r="B55" i="33" s="1"/>
  <c r="F11" i="22"/>
  <c r="F13" i="22"/>
  <c r="F9" i="22"/>
  <c r="E9" i="23" s="1"/>
  <c r="D18" i="33" s="1"/>
  <c r="A9" i="22"/>
  <c r="A9" i="23" s="1"/>
  <c r="H47" i="29"/>
  <c r="H46" i="29"/>
  <c r="O45" i="3"/>
  <c r="H49" i="29"/>
  <c r="H48" i="29"/>
  <c r="H45" i="29"/>
  <c r="G60" i="19"/>
  <c r="A234" i="28"/>
  <c r="A244" i="28" s="1"/>
  <c r="A195" i="28" s="1"/>
  <c r="L202" i="28"/>
  <c r="L201" i="28"/>
  <c r="L200" i="28"/>
  <c r="L199" i="28"/>
  <c r="L198" i="28"/>
  <c r="J243" i="28"/>
  <c r="I243" i="28"/>
  <c r="J242" i="28"/>
  <c r="I242" i="28"/>
  <c r="J241" i="28"/>
  <c r="I241" i="28"/>
  <c r="J240" i="28"/>
  <c r="I240" i="28"/>
  <c r="J239" i="28"/>
  <c r="I239" i="28"/>
  <c r="J238" i="28"/>
  <c r="I238" i="28"/>
  <c r="J237" i="28"/>
  <c r="I237" i="28"/>
  <c r="J236" i="28"/>
  <c r="I236" i="28"/>
  <c r="J235" i="28"/>
  <c r="I235" i="28"/>
  <c r="A219" i="28"/>
  <c r="A213" i="28"/>
  <c r="A205" i="28"/>
  <c r="A197" i="28"/>
  <c r="M193" i="28"/>
  <c r="L193" i="28"/>
  <c r="K193" i="28"/>
  <c r="E193" i="28"/>
  <c r="D193" i="28"/>
  <c r="C193" i="28"/>
  <c r="O192" i="28"/>
  <c r="M192" i="28"/>
  <c r="L192" i="28"/>
  <c r="K192" i="28"/>
  <c r="G192" i="28"/>
  <c r="E192" i="28"/>
  <c r="D192" i="28"/>
  <c r="C192" i="28"/>
  <c r="O191" i="28"/>
  <c r="M191" i="28"/>
  <c r="L191" i="28"/>
  <c r="K191" i="28"/>
  <c r="G191" i="28"/>
  <c r="E191" i="28"/>
  <c r="D191" i="28"/>
  <c r="C191" i="28"/>
  <c r="O190" i="28"/>
  <c r="M190" i="28"/>
  <c r="L190" i="28"/>
  <c r="K190" i="28"/>
  <c r="G190" i="28"/>
  <c r="E190" i="28"/>
  <c r="D190" i="28"/>
  <c r="C190" i="28"/>
  <c r="O189" i="28"/>
  <c r="M189" i="28"/>
  <c r="L189" i="28"/>
  <c r="K189" i="28"/>
  <c r="G189" i="28"/>
  <c r="E189" i="28"/>
  <c r="D189" i="28"/>
  <c r="C189" i="28"/>
  <c r="O188" i="28"/>
  <c r="M188" i="28"/>
  <c r="L188" i="28"/>
  <c r="K188" i="28"/>
  <c r="G188" i="28"/>
  <c r="E188" i="28"/>
  <c r="D188" i="28"/>
  <c r="C188" i="28"/>
  <c r="M187" i="28"/>
  <c r="L187" i="28"/>
  <c r="K187" i="28"/>
  <c r="G187" i="28"/>
  <c r="E187" i="28"/>
  <c r="D187" i="28"/>
  <c r="C187" i="28"/>
  <c r="O186" i="28"/>
  <c r="M186" i="28"/>
  <c r="L186" i="28"/>
  <c r="K186" i="28"/>
  <c r="G186" i="28"/>
  <c r="E186" i="28"/>
  <c r="D186" i="28"/>
  <c r="C186" i="28"/>
  <c r="O185" i="28"/>
  <c r="M185" i="28"/>
  <c r="L185" i="28"/>
  <c r="K185" i="28"/>
  <c r="G185" i="28"/>
  <c r="E185" i="28"/>
  <c r="D185" i="28"/>
  <c r="C185" i="28"/>
  <c r="M184" i="28"/>
  <c r="L184" i="28"/>
  <c r="K184" i="28"/>
  <c r="E184" i="28"/>
  <c r="D184" i="28"/>
  <c r="C184" i="28"/>
  <c r="O183" i="28"/>
  <c r="M183" i="28"/>
  <c r="L183" i="28"/>
  <c r="K183" i="28"/>
  <c r="G183" i="28"/>
  <c r="E183" i="28"/>
  <c r="D183" i="28"/>
  <c r="C183" i="28"/>
  <c r="O182" i="28"/>
  <c r="M182" i="28"/>
  <c r="L182" i="28"/>
  <c r="K182" i="28"/>
  <c r="G182" i="28"/>
  <c r="E182" i="28"/>
  <c r="D182" i="28"/>
  <c r="C182" i="28"/>
  <c r="O181" i="28"/>
  <c r="M181" i="28"/>
  <c r="L181" i="28"/>
  <c r="K181" i="28"/>
  <c r="G181" i="28"/>
  <c r="E181" i="28"/>
  <c r="D181" i="28"/>
  <c r="C181" i="28"/>
  <c r="O180" i="28"/>
  <c r="M180" i="28"/>
  <c r="L180" i="28"/>
  <c r="K180" i="28"/>
  <c r="G180" i="28"/>
  <c r="E180" i="28"/>
  <c r="D180" i="28"/>
  <c r="C180" i="28"/>
  <c r="O179" i="28"/>
  <c r="M179" i="28"/>
  <c r="L179" i="28"/>
  <c r="K179" i="28"/>
  <c r="G179" i="28"/>
  <c r="E179" i="28"/>
  <c r="D179" i="28"/>
  <c r="C179" i="28"/>
  <c r="M178" i="28"/>
  <c r="L178" i="28"/>
  <c r="K178" i="28"/>
  <c r="G178" i="28"/>
  <c r="E178" i="28"/>
  <c r="D178" i="28"/>
  <c r="C178" i="28"/>
  <c r="O177" i="28"/>
  <c r="M177" i="28"/>
  <c r="L177" i="28"/>
  <c r="K177" i="28"/>
  <c r="G177" i="28"/>
  <c r="E177" i="28"/>
  <c r="D177" i="28"/>
  <c r="C177" i="28"/>
  <c r="O176" i="28"/>
  <c r="M176" i="28"/>
  <c r="L176" i="28"/>
  <c r="K176" i="28"/>
  <c r="G176" i="28"/>
  <c r="E176" i="28"/>
  <c r="D176" i="28"/>
  <c r="C176" i="28"/>
  <c r="M175" i="28"/>
  <c r="L175" i="28"/>
  <c r="K175" i="28"/>
  <c r="E175" i="28"/>
  <c r="D175" i="28"/>
  <c r="C175" i="28"/>
  <c r="O174" i="28"/>
  <c r="M174" i="28"/>
  <c r="L174" i="28"/>
  <c r="K174" i="28"/>
  <c r="G174" i="28"/>
  <c r="E174" i="28"/>
  <c r="D174" i="28"/>
  <c r="C174" i="28"/>
  <c r="O173" i="28"/>
  <c r="M173" i="28"/>
  <c r="L173" i="28"/>
  <c r="K173" i="28"/>
  <c r="G173" i="28"/>
  <c r="E173" i="28"/>
  <c r="D173" i="28"/>
  <c r="C173" i="28"/>
  <c r="O172" i="28"/>
  <c r="M172" i="28"/>
  <c r="L172" i="28"/>
  <c r="K172" i="28"/>
  <c r="G172" i="28"/>
  <c r="E172" i="28"/>
  <c r="D172" i="28"/>
  <c r="C172" i="28"/>
  <c r="O171" i="28"/>
  <c r="M171" i="28"/>
  <c r="L171" i="28"/>
  <c r="K171" i="28"/>
  <c r="G171" i="28"/>
  <c r="E171" i="28"/>
  <c r="D171" i="28"/>
  <c r="C171" i="28"/>
  <c r="O170" i="28"/>
  <c r="M170" i="28"/>
  <c r="L170" i="28"/>
  <c r="K170" i="28"/>
  <c r="G170" i="28"/>
  <c r="E170" i="28"/>
  <c r="D170" i="28"/>
  <c r="C170" i="28"/>
  <c r="M169" i="28"/>
  <c r="L169" i="28"/>
  <c r="K169" i="28"/>
  <c r="G169" i="28"/>
  <c r="E169" i="28"/>
  <c r="D169" i="28"/>
  <c r="C169" i="28"/>
  <c r="O168" i="28"/>
  <c r="M168" i="28"/>
  <c r="L168" i="28"/>
  <c r="K168" i="28"/>
  <c r="G168" i="28"/>
  <c r="E168" i="28"/>
  <c r="D168" i="28"/>
  <c r="C168" i="28"/>
  <c r="O167" i="28"/>
  <c r="M167" i="28"/>
  <c r="L167" i="28"/>
  <c r="K167" i="28"/>
  <c r="G167" i="28"/>
  <c r="E167" i="28"/>
  <c r="D167" i="28"/>
  <c r="C167" i="28"/>
  <c r="M166" i="28"/>
  <c r="L166" i="28"/>
  <c r="K166" i="28"/>
  <c r="E166" i="28"/>
  <c r="D166" i="28"/>
  <c r="C166" i="28"/>
  <c r="O165" i="28"/>
  <c r="M165" i="28"/>
  <c r="L165" i="28"/>
  <c r="K165" i="28"/>
  <c r="G165" i="28"/>
  <c r="E165" i="28"/>
  <c r="D165" i="28"/>
  <c r="C165" i="28"/>
  <c r="O164" i="28"/>
  <c r="M164" i="28"/>
  <c r="L164" i="28"/>
  <c r="K164" i="28"/>
  <c r="G164" i="28"/>
  <c r="E164" i="28"/>
  <c r="D164" i="28"/>
  <c r="C164" i="28"/>
  <c r="O163" i="28"/>
  <c r="M163" i="28"/>
  <c r="L163" i="28"/>
  <c r="K163" i="28"/>
  <c r="G163" i="28"/>
  <c r="E163" i="28"/>
  <c r="D163" i="28"/>
  <c r="C163" i="28"/>
  <c r="O162" i="28"/>
  <c r="M162" i="28"/>
  <c r="L162" i="28"/>
  <c r="K162" i="28"/>
  <c r="G162" i="28"/>
  <c r="E162" i="28"/>
  <c r="D162" i="28"/>
  <c r="C162" i="28"/>
  <c r="O161" i="28"/>
  <c r="M161" i="28"/>
  <c r="L161" i="28"/>
  <c r="K161" i="28"/>
  <c r="G161" i="28"/>
  <c r="E161" i="28"/>
  <c r="D161" i="28"/>
  <c r="C161" i="28"/>
  <c r="M160" i="28"/>
  <c r="L160" i="28"/>
  <c r="K160" i="28"/>
  <c r="G160" i="28"/>
  <c r="E160" i="28"/>
  <c r="D160" i="28"/>
  <c r="C160" i="28"/>
  <c r="O159" i="28"/>
  <c r="M159" i="28"/>
  <c r="L159" i="28"/>
  <c r="K159" i="28"/>
  <c r="G159" i="28"/>
  <c r="E159" i="28"/>
  <c r="D159" i="28"/>
  <c r="C159" i="28"/>
  <c r="O158" i="28"/>
  <c r="M158" i="28"/>
  <c r="L158" i="28"/>
  <c r="K158" i="28"/>
  <c r="G158" i="28"/>
  <c r="E158" i="28"/>
  <c r="D158" i="28"/>
  <c r="C158" i="28"/>
  <c r="K156" i="28"/>
  <c r="C156" i="28"/>
  <c r="O153" i="28"/>
  <c r="M153" i="28"/>
  <c r="L153" i="28"/>
  <c r="K153" i="28"/>
  <c r="E153" i="28"/>
  <c r="D153" i="28"/>
  <c r="C153" i="28"/>
  <c r="O152" i="28"/>
  <c r="M152" i="28"/>
  <c r="L152" i="28"/>
  <c r="K152" i="28"/>
  <c r="G152" i="28"/>
  <c r="E152" i="28"/>
  <c r="D152" i="28"/>
  <c r="C152" i="28"/>
  <c r="O151" i="28"/>
  <c r="M151" i="28"/>
  <c r="L151" i="28"/>
  <c r="K151" i="28"/>
  <c r="G151" i="28"/>
  <c r="E151" i="28"/>
  <c r="D151" i="28"/>
  <c r="C151" i="28"/>
  <c r="O150" i="28"/>
  <c r="M150" i="28"/>
  <c r="L150" i="28"/>
  <c r="K150" i="28"/>
  <c r="G150" i="28"/>
  <c r="E150" i="28"/>
  <c r="D150" i="28"/>
  <c r="C150" i="28"/>
  <c r="O149" i="28"/>
  <c r="M149" i="28"/>
  <c r="L149" i="28"/>
  <c r="K149" i="28"/>
  <c r="G149" i="28"/>
  <c r="E149" i="28"/>
  <c r="D149" i="28"/>
  <c r="C149" i="28"/>
  <c r="O148" i="28"/>
  <c r="M148" i="28"/>
  <c r="L148" i="28"/>
  <c r="K148" i="28"/>
  <c r="G148" i="28"/>
  <c r="E148" i="28"/>
  <c r="D148" i="28"/>
  <c r="C148" i="28"/>
  <c r="O147" i="28"/>
  <c r="M147" i="28"/>
  <c r="L147" i="28"/>
  <c r="K147" i="28"/>
  <c r="E147" i="28"/>
  <c r="D147" i="28"/>
  <c r="C147" i="28"/>
  <c r="O146" i="28"/>
  <c r="M146" i="28"/>
  <c r="L146" i="28"/>
  <c r="K146" i="28"/>
  <c r="G146" i="28"/>
  <c r="E146" i="28"/>
  <c r="D146" i="28"/>
  <c r="C146" i="28"/>
  <c r="O145" i="28"/>
  <c r="M145" i="28"/>
  <c r="L145" i="28"/>
  <c r="K145" i="28"/>
  <c r="G145" i="28"/>
  <c r="E145" i="28"/>
  <c r="D145" i="28"/>
  <c r="C145" i="28"/>
  <c r="O144" i="28"/>
  <c r="M144" i="28"/>
  <c r="L144" i="28"/>
  <c r="K144" i="28"/>
  <c r="E144" i="28"/>
  <c r="D144" i="28"/>
  <c r="C144" i="28"/>
  <c r="O143" i="28"/>
  <c r="M143" i="28"/>
  <c r="L143" i="28"/>
  <c r="K143" i="28"/>
  <c r="G143" i="28"/>
  <c r="E143" i="28"/>
  <c r="D143" i="28"/>
  <c r="C143" i="28"/>
  <c r="O142" i="28"/>
  <c r="M142" i="28"/>
  <c r="L142" i="28"/>
  <c r="K142" i="28"/>
  <c r="G142" i="28"/>
  <c r="E142" i="28"/>
  <c r="D142" i="28"/>
  <c r="C142" i="28"/>
  <c r="O141" i="28"/>
  <c r="M141" i="28"/>
  <c r="L141" i="28"/>
  <c r="K141" i="28"/>
  <c r="G141" i="28"/>
  <c r="E141" i="28"/>
  <c r="D141" i="28"/>
  <c r="C141" i="28"/>
  <c r="O140" i="28"/>
  <c r="M140" i="28"/>
  <c r="L140" i="28"/>
  <c r="K140" i="28"/>
  <c r="G140" i="28"/>
  <c r="E140" i="28"/>
  <c r="D140" i="28"/>
  <c r="C140" i="28"/>
  <c r="O139" i="28"/>
  <c r="M139" i="28"/>
  <c r="L139" i="28"/>
  <c r="K139" i="28"/>
  <c r="G139" i="28"/>
  <c r="E139" i="28"/>
  <c r="D139" i="28"/>
  <c r="C139" i="28"/>
  <c r="O138" i="28"/>
  <c r="M138" i="28"/>
  <c r="L138" i="28"/>
  <c r="K138" i="28"/>
  <c r="E138" i="28"/>
  <c r="D138" i="28"/>
  <c r="C138" i="28"/>
  <c r="O137" i="28"/>
  <c r="M137" i="28"/>
  <c r="L137" i="28"/>
  <c r="K137" i="28"/>
  <c r="G137" i="28"/>
  <c r="E137" i="28"/>
  <c r="D137" i="28"/>
  <c r="C137" i="28"/>
  <c r="O136" i="28"/>
  <c r="M136" i="28"/>
  <c r="L136" i="28"/>
  <c r="K136" i="28"/>
  <c r="G136" i="28"/>
  <c r="E136" i="28"/>
  <c r="D136" i="28"/>
  <c r="C136" i="28"/>
  <c r="O135" i="28"/>
  <c r="M135" i="28"/>
  <c r="L135" i="28"/>
  <c r="K135" i="28"/>
  <c r="E135" i="28"/>
  <c r="D135" i="28"/>
  <c r="C135" i="28"/>
  <c r="O134" i="28"/>
  <c r="M134" i="28"/>
  <c r="L134" i="28"/>
  <c r="K134" i="28"/>
  <c r="G134" i="28"/>
  <c r="E134" i="28"/>
  <c r="D134" i="28"/>
  <c r="C134" i="28"/>
  <c r="O133" i="28"/>
  <c r="M133" i="28"/>
  <c r="L133" i="28"/>
  <c r="K133" i="28"/>
  <c r="G133" i="28"/>
  <c r="E133" i="28"/>
  <c r="D133" i="28"/>
  <c r="C133" i="28"/>
  <c r="O132" i="28"/>
  <c r="M132" i="28"/>
  <c r="L132" i="28"/>
  <c r="K132" i="28"/>
  <c r="G132" i="28"/>
  <c r="E132" i="28"/>
  <c r="D132" i="28"/>
  <c r="C132" i="28"/>
  <c r="O131" i="28"/>
  <c r="M131" i="28"/>
  <c r="L131" i="28"/>
  <c r="K131" i="28"/>
  <c r="G131" i="28"/>
  <c r="E131" i="28"/>
  <c r="D131" i="28"/>
  <c r="C131" i="28"/>
  <c r="O130" i="28"/>
  <c r="M130" i="28"/>
  <c r="L130" i="28"/>
  <c r="K130" i="28"/>
  <c r="G130" i="28"/>
  <c r="E130" i="28"/>
  <c r="D130" i="28"/>
  <c r="C130" i="28"/>
  <c r="O129" i="28"/>
  <c r="M129" i="28"/>
  <c r="L129" i="28"/>
  <c r="K129" i="28"/>
  <c r="E129" i="28"/>
  <c r="D129" i="28"/>
  <c r="C129" i="28"/>
  <c r="O128" i="28"/>
  <c r="M128" i="28"/>
  <c r="L128" i="28"/>
  <c r="K128" i="28"/>
  <c r="G128" i="28"/>
  <c r="E128" i="28"/>
  <c r="D128" i="28"/>
  <c r="C128" i="28"/>
  <c r="O127" i="28"/>
  <c r="M127" i="28"/>
  <c r="L127" i="28"/>
  <c r="K127" i="28"/>
  <c r="G127" i="28"/>
  <c r="E127" i="28"/>
  <c r="D127" i="28"/>
  <c r="C127" i="28"/>
  <c r="O126" i="28"/>
  <c r="M126" i="28"/>
  <c r="L126" i="28"/>
  <c r="K126" i="28"/>
  <c r="E126" i="28"/>
  <c r="D126" i="28"/>
  <c r="C126" i="28"/>
  <c r="O125" i="28"/>
  <c r="M125" i="28"/>
  <c r="L125" i="28"/>
  <c r="K125" i="28"/>
  <c r="G125" i="28"/>
  <c r="E125" i="28"/>
  <c r="D125" i="28"/>
  <c r="C125" i="28"/>
  <c r="O124" i="28"/>
  <c r="M124" i="28"/>
  <c r="L124" i="28"/>
  <c r="K124" i="28"/>
  <c r="G124" i="28"/>
  <c r="E124" i="28"/>
  <c r="D124" i="28"/>
  <c r="C124" i="28"/>
  <c r="O123" i="28"/>
  <c r="M123" i="28"/>
  <c r="L123" i="28"/>
  <c r="K123" i="28"/>
  <c r="G123" i="28"/>
  <c r="E123" i="28"/>
  <c r="D123" i="28"/>
  <c r="C123" i="28"/>
  <c r="O122" i="28"/>
  <c r="M122" i="28"/>
  <c r="L122" i="28"/>
  <c r="K122" i="28"/>
  <c r="G122" i="28"/>
  <c r="E122" i="28"/>
  <c r="D122" i="28"/>
  <c r="C122" i="28"/>
  <c r="O121" i="28"/>
  <c r="M121" i="28"/>
  <c r="L121" i="28"/>
  <c r="K121" i="28"/>
  <c r="G121" i="28"/>
  <c r="E121" i="28"/>
  <c r="D121" i="28"/>
  <c r="C121" i="28"/>
  <c r="O120" i="28"/>
  <c r="M120" i="28"/>
  <c r="L120" i="28"/>
  <c r="K120" i="28"/>
  <c r="E120" i="28"/>
  <c r="D120" i="28"/>
  <c r="C120" i="28"/>
  <c r="O119" i="28"/>
  <c r="M119" i="28"/>
  <c r="L119" i="28"/>
  <c r="K119" i="28"/>
  <c r="G119" i="28"/>
  <c r="E119" i="28"/>
  <c r="D119" i="28"/>
  <c r="C119" i="28"/>
  <c r="O118" i="28"/>
  <c r="M118" i="28"/>
  <c r="L118" i="28"/>
  <c r="K118" i="28"/>
  <c r="G118" i="28"/>
  <c r="E118" i="28"/>
  <c r="D118" i="28"/>
  <c r="C118" i="28"/>
  <c r="O117" i="28"/>
  <c r="M117" i="28"/>
  <c r="L117" i="28"/>
  <c r="K117" i="28"/>
  <c r="E117" i="28"/>
  <c r="D117" i="28"/>
  <c r="C117" i="28"/>
  <c r="O116" i="28"/>
  <c r="M116" i="28"/>
  <c r="L116" i="28"/>
  <c r="K116" i="28"/>
  <c r="G116" i="28"/>
  <c r="E116" i="28"/>
  <c r="D116" i="28"/>
  <c r="C116" i="28"/>
  <c r="O115" i="28"/>
  <c r="M115" i="28"/>
  <c r="L115" i="28"/>
  <c r="K115" i="28"/>
  <c r="G115" i="28"/>
  <c r="E115" i="28"/>
  <c r="D115" i="28"/>
  <c r="C115" i="28"/>
  <c r="O114" i="28"/>
  <c r="M114" i="28"/>
  <c r="L114" i="28"/>
  <c r="K114" i="28"/>
  <c r="G114" i="28"/>
  <c r="E114" i="28"/>
  <c r="D114" i="28"/>
  <c r="C114" i="28"/>
  <c r="O113" i="28"/>
  <c r="M113" i="28"/>
  <c r="L113" i="28"/>
  <c r="K113" i="28"/>
  <c r="G113" i="28"/>
  <c r="E113" i="28"/>
  <c r="D113" i="28"/>
  <c r="C113" i="28"/>
  <c r="O112" i="28"/>
  <c r="M112" i="28"/>
  <c r="L112" i="28"/>
  <c r="K112" i="28"/>
  <c r="G112" i="28"/>
  <c r="E112" i="28"/>
  <c r="D112" i="28"/>
  <c r="C112" i="28"/>
  <c r="O111" i="28"/>
  <c r="M111" i="28"/>
  <c r="L111" i="28"/>
  <c r="K111" i="28"/>
  <c r="E111" i="28"/>
  <c r="D111" i="28"/>
  <c r="C111" i="28"/>
  <c r="O110" i="28"/>
  <c r="M110" i="28"/>
  <c r="L110" i="28"/>
  <c r="K110" i="28"/>
  <c r="G110" i="28"/>
  <c r="E110" i="28"/>
  <c r="D110" i="28"/>
  <c r="C110" i="28"/>
  <c r="O109" i="28"/>
  <c r="M109" i="28"/>
  <c r="L109" i="28"/>
  <c r="K109" i="28"/>
  <c r="G109" i="28"/>
  <c r="E109" i="28"/>
  <c r="D109" i="28"/>
  <c r="C109" i="28"/>
  <c r="O108" i="28"/>
  <c r="M108" i="28"/>
  <c r="L108" i="28"/>
  <c r="K108" i="28"/>
  <c r="E108" i="28"/>
  <c r="D108" i="28"/>
  <c r="C108" i="28"/>
  <c r="O107" i="28"/>
  <c r="M107" i="28"/>
  <c r="L107" i="28"/>
  <c r="K107" i="28"/>
  <c r="G107" i="28"/>
  <c r="E107" i="28"/>
  <c r="D107" i="28"/>
  <c r="C107" i="28"/>
  <c r="O106" i="28"/>
  <c r="M106" i="28"/>
  <c r="L106" i="28"/>
  <c r="K106" i="28"/>
  <c r="G106" i="28"/>
  <c r="E106" i="28"/>
  <c r="D106" i="28"/>
  <c r="C106" i="28"/>
  <c r="O105" i="28"/>
  <c r="M105" i="28"/>
  <c r="L105" i="28"/>
  <c r="K105" i="28"/>
  <c r="G105" i="28"/>
  <c r="E105" i="28"/>
  <c r="D105" i="28"/>
  <c r="C105" i="28"/>
  <c r="O104" i="28"/>
  <c r="M104" i="28"/>
  <c r="L104" i="28"/>
  <c r="K104" i="28"/>
  <c r="G104" i="28"/>
  <c r="E104" i="28"/>
  <c r="D104" i="28"/>
  <c r="C104" i="28"/>
  <c r="O103" i="28"/>
  <c r="M103" i="28"/>
  <c r="L103" i="28"/>
  <c r="K103" i="28"/>
  <c r="G103" i="28"/>
  <c r="E103" i="28"/>
  <c r="D103" i="28"/>
  <c r="C103" i="28"/>
  <c r="O102" i="28"/>
  <c r="M102" i="28"/>
  <c r="L102" i="28"/>
  <c r="K102" i="28"/>
  <c r="E102" i="28"/>
  <c r="D102" i="28"/>
  <c r="C102" i="28"/>
  <c r="O101" i="28"/>
  <c r="M101" i="28"/>
  <c r="L101" i="28"/>
  <c r="K101" i="28"/>
  <c r="G101" i="28"/>
  <c r="E101" i="28"/>
  <c r="D101" i="28"/>
  <c r="C101" i="28"/>
  <c r="O100" i="28"/>
  <c r="M100" i="28"/>
  <c r="L100" i="28"/>
  <c r="K100" i="28"/>
  <c r="G100" i="28"/>
  <c r="E100" i="28"/>
  <c r="D100" i="28"/>
  <c r="C100" i="28"/>
  <c r="K98" i="28"/>
  <c r="C98" i="28"/>
  <c r="N193" i="28"/>
  <c r="N192" i="28"/>
  <c r="N191" i="28"/>
  <c r="N184" i="28"/>
  <c r="N183" i="28"/>
  <c r="N182" i="28"/>
  <c r="N175" i="28"/>
  <c r="N174" i="28"/>
  <c r="N173" i="28"/>
  <c r="N166" i="28"/>
  <c r="N165" i="28"/>
  <c r="N164" i="28"/>
  <c r="F193" i="28"/>
  <c r="F192" i="28"/>
  <c r="F191" i="28"/>
  <c r="F184" i="28"/>
  <c r="F183" i="28"/>
  <c r="F182" i="28"/>
  <c r="F175" i="28"/>
  <c r="F174" i="28"/>
  <c r="F173" i="28"/>
  <c r="F166" i="28"/>
  <c r="F165" i="28"/>
  <c r="F164" i="28"/>
  <c r="N153" i="28"/>
  <c r="N152" i="28"/>
  <c r="N151" i="28"/>
  <c r="N144" i="28"/>
  <c r="N143" i="28"/>
  <c r="N142" i="28"/>
  <c r="N135" i="28"/>
  <c r="N134" i="28"/>
  <c r="N133" i="28"/>
  <c r="N126" i="28"/>
  <c r="N125" i="28"/>
  <c r="N124" i="28"/>
  <c r="N117" i="28"/>
  <c r="N116" i="28"/>
  <c r="N115" i="28"/>
  <c r="N108" i="28"/>
  <c r="N107" i="28"/>
  <c r="N106" i="28"/>
  <c r="F153" i="28"/>
  <c r="F152" i="28"/>
  <c r="F151" i="28"/>
  <c r="F144" i="28"/>
  <c r="F143" i="28"/>
  <c r="F142" i="28"/>
  <c r="F135" i="28"/>
  <c r="F134" i="28"/>
  <c r="F133" i="28"/>
  <c r="F126" i="28"/>
  <c r="F125" i="28"/>
  <c r="F124" i="28"/>
  <c r="F117" i="28"/>
  <c r="F116" i="28"/>
  <c r="F115" i="28"/>
  <c r="F108" i="28"/>
  <c r="F107" i="28"/>
  <c r="F106" i="28"/>
  <c r="N190" i="28"/>
  <c r="N189" i="28"/>
  <c r="N188" i="28"/>
  <c r="N181" i="28"/>
  <c r="N180" i="28"/>
  <c r="N179" i="28"/>
  <c r="N172" i="28"/>
  <c r="N171" i="28"/>
  <c r="N170" i="28"/>
  <c r="N163" i="28"/>
  <c r="N162" i="28"/>
  <c r="N161" i="28"/>
  <c r="F190" i="28"/>
  <c r="F189" i="28"/>
  <c r="F188" i="28"/>
  <c r="F181" i="28"/>
  <c r="F180" i="28"/>
  <c r="F179" i="28"/>
  <c r="F172" i="28"/>
  <c r="F171" i="28"/>
  <c r="F170" i="28"/>
  <c r="F163" i="28"/>
  <c r="F162" i="28"/>
  <c r="F161" i="28"/>
  <c r="N150" i="28"/>
  <c r="N149" i="28"/>
  <c r="N148" i="28"/>
  <c r="N141" i="28"/>
  <c r="N140" i="28"/>
  <c r="N139" i="28"/>
  <c r="N132" i="28"/>
  <c r="N131" i="28"/>
  <c r="N130" i="28"/>
  <c r="N123" i="28"/>
  <c r="N122" i="28"/>
  <c r="N121" i="28"/>
  <c r="N114" i="28"/>
  <c r="N113" i="28"/>
  <c r="N112" i="28"/>
  <c r="N105" i="28"/>
  <c r="N104" i="28"/>
  <c r="N103" i="28"/>
  <c r="F150" i="28"/>
  <c r="F149" i="28"/>
  <c r="F148" i="28"/>
  <c r="F141" i="28"/>
  <c r="F140" i="28"/>
  <c r="F139" i="28"/>
  <c r="F132" i="28"/>
  <c r="F131" i="28"/>
  <c r="F130" i="28"/>
  <c r="F123" i="28"/>
  <c r="F122" i="28"/>
  <c r="F121" i="28"/>
  <c r="F114" i="28"/>
  <c r="F113" i="28"/>
  <c r="F112" i="28"/>
  <c r="F105" i="28"/>
  <c r="F104" i="28"/>
  <c r="F103" i="28"/>
  <c r="N187" i="28"/>
  <c r="N186" i="28"/>
  <c r="N185" i="28"/>
  <c r="N178" i="28"/>
  <c r="N177" i="28"/>
  <c r="N176" i="28"/>
  <c r="N169" i="28"/>
  <c r="N168" i="28"/>
  <c r="N167" i="28"/>
  <c r="N160" i="28"/>
  <c r="N159" i="28"/>
  <c r="N158" i="28"/>
  <c r="F187" i="28"/>
  <c r="F186" i="28"/>
  <c r="F185" i="28"/>
  <c r="F178" i="28"/>
  <c r="F177" i="28"/>
  <c r="F176" i="28"/>
  <c r="F169" i="28"/>
  <c r="F168" i="28"/>
  <c r="F167" i="28"/>
  <c r="F160" i="28"/>
  <c r="F159" i="28"/>
  <c r="F158" i="28"/>
  <c r="N147" i="28"/>
  <c r="N146" i="28"/>
  <c r="N145" i="28"/>
  <c r="N138" i="28"/>
  <c r="N137" i="28"/>
  <c r="N136" i="28"/>
  <c r="N129" i="28"/>
  <c r="N128" i="28"/>
  <c r="N127" i="28"/>
  <c r="N120" i="28"/>
  <c r="N119" i="28"/>
  <c r="N118" i="28"/>
  <c r="N111" i="28"/>
  <c r="N110" i="28"/>
  <c r="N109" i="28"/>
  <c r="N102" i="28"/>
  <c r="N101" i="28"/>
  <c r="N100" i="28"/>
  <c r="F147" i="28"/>
  <c r="F146" i="28"/>
  <c r="F145" i="28"/>
  <c r="F138" i="28"/>
  <c r="F137" i="28"/>
  <c r="F136" i="28"/>
  <c r="F129" i="28"/>
  <c r="F128" i="28"/>
  <c r="F127" i="28"/>
  <c r="F120" i="28"/>
  <c r="F119" i="28"/>
  <c r="F118" i="28"/>
  <c r="F111" i="28"/>
  <c r="F110" i="28"/>
  <c r="F109" i="28"/>
  <c r="F102" i="28"/>
  <c r="F101" i="28"/>
  <c r="F100" i="28"/>
  <c r="V33" i="22"/>
  <c r="B31" i="22"/>
  <c r="B31" i="23" s="1"/>
  <c r="G144" i="19"/>
  <c r="E144" i="19"/>
  <c r="D144" i="19"/>
  <c r="E132" i="19"/>
  <c r="D132" i="19"/>
  <c r="E120" i="19"/>
  <c r="D120" i="19"/>
  <c r="E108" i="19"/>
  <c r="D108" i="19"/>
  <c r="E96" i="19"/>
  <c r="D96" i="19"/>
  <c r="E84" i="19"/>
  <c r="D84" i="19"/>
  <c r="E72" i="19"/>
  <c r="D72" i="19"/>
  <c r="E60" i="19"/>
  <c r="D60" i="19"/>
  <c r="B57" i="23"/>
  <c r="B53" i="23"/>
  <c r="B49" i="23"/>
  <c r="B41" i="23"/>
  <c r="B24" i="23"/>
  <c r="B20" i="23"/>
  <c r="B15" i="23"/>
  <c r="J62" i="22"/>
  <c r="D74" i="3"/>
  <c r="S92" i="10"/>
  <c r="S78" i="10"/>
  <c r="S64" i="10"/>
  <c r="S50" i="10"/>
  <c r="E29" i="10"/>
  <c r="G29" i="10"/>
  <c r="E30" i="10"/>
  <c r="E31" i="10"/>
  <c r="S36" i="10"/>
  <c r="S22" i="10"/>
  <c r="S8" i="10"/>
  <c r="G143" i="19"/>
  <c r="E143" i="19"/>
  <c r="D143" i="19"/>
  <c r="E142" i="19"/>
  <c r="D142" i="19"/>
  <c r="E141" i="19"/>
  <c r="D141" i="19"/>
  <c r="E140" i="19"/>
  <c r="D140" i="19"/>
  <c r="E139" i="19"/>
  <c r="D139" i="19"/>
  <c r="G131" i="19"/>
  <c r="E131" i="19"/>
  <c r="D131" i="19"/>
  <c r="E130" i="19"/>
  <c r="D130" i="19"/>
  <c r="E129" i="19"/>
  <c r="D129" i="19"/>
  <c r="E128" i="19"/>
  <c r="D128" i="19"/>
  <c r="E127" i="19"/>
  <c r="D127" i="19"/>
  <c r="G119" i="19"/>
  <c r="E119" i="19"/>
  <c r="D119" i="19"/>
  <c r="E118" i="19"/>
  <c r="D118" i="19"/>
  <c r="E117" i="19"/>
  <c r="D117" i="19"/>
  <c r="E116" i="19"/>
  <c r="D116" i="19"/>
  <c r="E115" i="19"/>
  <c r="D115" i="19"/>
  <c r="G107" i="19"/>
  <c r="E107" i="19"/>
  <c r="D107" i="19"/>
  <c r="E106" i="19"/>
  <c r="D106" i="19"/>
  <c r="E105" i="19"/>
  <c r="D105" i="19"/>
  <c r="E104" i="19"/>
  <c r="D104" i="19"/>
  <c r="E103" i="19"/>
  <c r="D103" i="19"/>
  <c r="G95" i="19"/>
  <c r="E95" i="19"/>
  <c r="D95" i="19"/>
  <c r="E94" i="19"/>
  <c r="D94" i="19"/>
  <c r="E93" i="19"/>
  <c r="D93" i="19"/>
  <c r="E92" i="19"/>
  <c r="D92" i="19"/>
  <c r="E91" i="19"/>
  <c r="D91" i="19"/>
  <c r="G83" i="19"/>
  <c r="E83" i="19"/>
  <c r="D83" i="19"/>
  <c r="E82" i="19"/>
  <c r="D82" i="19"/>
  <c r="E81" i="19"/>
  <c r="D81" i="19"/>
  <c r="E80" i="19"/>
  <c r="D80" i="19"/>
  <c r="E79" i="19"/>
  <c r="D79" i="19"/>
  <c r="G71" i="19"/>
  <c r="E71" i="19"/>
  <c r="D71" i="19"/>
  <c r="E70" i="19"/>
  <c r="D70" i="19"/>
  <c r="E69" i="19"/>
  <c r="D69" i="19"/>
  <c r="E68" i="19"/>
  <c r="D68" i="19"/>
  <c r="E67" i="19"/>
  <c r="D67" i="19"/>
  <c r="G59" i="19"/>
  <c r="E59" i="19"/>
  <c r="D59" i="19"/>
  <c r="E58" i="19"/>
  <c r="D58" i="19"/>
  <c r="E57" i="19"/>
  <c r="D57" i="19"/>
  <c r="E56" i="19"/>
  <c r="D56" i="19"/>
  <c r="E55" i="19"/>
  <c r="D55" i="19"/>
  <c r="C48" i="19"/>
  <c r="F145" i="19"/>
  <c r="F133" i="19"/>
  <c r="F121" i="19"/>
  <c r="F109" i="19"/>
  <c r="F97" i="19"/>
  <c r="F85" i="19"/>
  <c r="F73" i="19"/>
  <c r="F61" i="19"/>
  <c r="F144" i="19"/>
  <c r="F132" i="19"/>
  <c r="F131" i="19"/>
  <c r="F120" i="19"/>
  <c r="F108" i="19"/>
  <c r="F107" i="19"/>
  <c r="F96" i="19"/>
  <c r="F84" i="19"/>
  <c r="F72" i="19"/>
  <c r="F60" i="19"/>
  <c r="F59" i="19"/>
  <c r="F141" i="19"/>
  <c r="F129" i="19"/>
  <c r="F128" i="19"/>
  <c r="F93" i="19"/>
  <c r="F92" i="19"/>
  <c r="F68" i="19"/>
  <c r="F56" i="19"/>
  <c r="D1" i="13"/>
  <c r="E1" i="13" s="1"/>
  <c r="K33" i="23"/>
  <c r="L32" i="23"/>
  <c r="K32" i="23"/>
  <c r="J32" i="23"/>
  <c r="I32" i="23"/>
  <c r="D32" i="23"/>
  <c r="C32" i="23"/>
  <c r="B32" i="23"/>
  <c r="A1" i="23"/>
  <c r="D62" i="22"/>
  <c r="B58" i="22"/>
  <c r="B58" i="23" s="1"/>
  <c r="D20" i="33" s="1"/>
  <c r="B49" i="22"/>
  <c r="B50" i="23" s="1"/>
  <c r="B42" i="22"/>
  <c r="B42" i="23" s="1"/>
  <c r="D39" i="22"/>
  <c r="D39" i="23" s="1"/>
  <c r="B39" i="22"/>
  <c r="B39" i="23" s="1"/>
  <c r="D38" i="22"/>
  <c r="D38" i="23" s="1"/>
  <c r="B38" i="22"/>
  <c r="B38" i="23" s="1"/>
  <c r="D37" i="22"/>
  <c r="D37" i="23" s="1"/>
  <c r="B37" i="22"/>
  <c r="B37" i="23" s="1"/>
  <c r="D36" i="22"/>
  <c r="D36" i="23" s="1"/>
  <c r="B36" i="22"/>
  <c r="B36" i="23" s="1"/>
  <c r="D35" i="22"/>
  <c r="D35" i="23" s="1"/>
  <c r="B35" i="22"/>
  <c r="B35" i="23" s="1"/>
  <c r="D34" i="22"/>
  <c r="D34" i="23" s="1"/>
  <c r="B34" i="22"/>
  <c r="B34" i="23" s="1"/>
  <c r="D33" i="22"/>
  <c r="D33" i="23" s="1"/>
  <c r="B33" i="22"/>
  <c r="B33" i="23" s="1"/>
  <c r="C29" i="22"/>
  <c r="F22" i="22"/>
  <c r="E22" i="23" s="1"/>
  <c r="F21" i="22"/>
  <c r="P21" i="22" s="1"/>
  <c r="B18" i="22"/>
  <c r="B18" i="23" s="1"/>
  <c r="B17" i="22"/>
  <c r="B17" i="23" s="1"/>
  <c r="B16" i="22"/>
  <c r="B16" i="23" s="1"/>
  <c r="E13" i="23"/>
  <c r="D4" i="33" s="1"/>
  <c r="D23" i="33" s="1"/>
  <c r="A13" i="22"/>
  <c r="A13" i="23" s="1"/>
  <c r="F12" i="22"/>
  <c r="E12" i="23" s="1"/>
  <c r="D17" i="33" s="1"/>
  <c r="A12" i="22"/>
  <c r="A12" i="23" s="1"/>
  <c r="E11" i="23"/>
  <c r="D21" i="33" s="1"/>
  <c r="A11" i="22"/>
  <c r="A11" i="23" s="1"/>
  <c r="A10" i="22"/>
  <c r="A10" i="23" s="1"/>
  <c r="A8" i="22"/>
  <c r="A8" i="23" s="1"/>
  <c r="F7" i="22"/>
  <c r="E7" i="23" s="1"/>
  <c r="D10" i="33" s="1"/>
  <c r="A7" i="22"/>
  <c r="A7" i="23" s="1"/>
  <c r="F6" i="22"/>
  <c r="E6" i="23" s="1"/>
  <c r="D9" i="33" s="1"/>
  <c r="A6" i="22"/>
  <c r="A6" i="23" s="1"/>
  <c r="A5" i="22"/>
  <c r="A5" i="23" s="1"/>
  <c r="A99" i="10"/>
  <c r="E79" i="10"/>
  <c r="D79" i="10"/>
  <c r="R92" i="10" s="1"/>
  <c r="E78" i="10"/>
  <c r="G77" i="10"/>
  <c r="E77" i="10"/>
  <c r="E67" i="10"/>
  <c r="D67" i="10"/>
  <c r="R78" i="10" s="1"/>
  <c r="U78" i="10" s="1"/>
  <c r="W78" i="10" s="1"/>
  <c r="X78" i="10" s="1"/>
  <c r="E66" i="10"/>
  <c r="G65" i="10"/>
  <c r="E65" i="10"/>
  <c r="E55" i="10"/>
  <c r="D55" i="10"/>
  <c r="R64" i="10" s="1"/>
  <c r="E54" i="10"/>
  <c r="G53" i="10"/>
  <c r="E53" i="10"/>
  <c r="E43" i="10"/>
  <c r="D43" i="10"/>
  <c r="R50" i="10" s="1"/>
  <c r="U50" i="10" s="1"/>
  <c r="W50" i="10" s="1"/>
  <c r="E42" i="10"/>
  <c r="G41" i="10"/>
  <c r="E41" i="10"/>
  <c r="D31" i="10"/>
  <c r="R36" i="10" s="1"/>
  <c r="U36" i="10" s="1"/>
  <c r="W36" i="10" s="1"/>
  <c r="E19" i="10"/>
  <c r="D19" i="10"/>
  <c r="R22" i="10" s="1"/>
  <c r="E18" i="10"/>
  <c r="G17" i="10"/>
  <c r="E17" i="10"/>
  <c r="E7" i="10"/>
  <c r="D7" i="10"/>
  <c r="R8" i="10" s="1"/>
  <c r="E6" i="10"/>
  <c r="G5" i="10"/>
  <c r="E5" i="10"/>
  <c r="D80" i="3"/>
  <c r="D79" i="3"/>
  <c r="D78" i="3"/>
  <c r="D77" i="3"/>
  <c r="D76" i="3"/>
  <c r="D75" i="3"/>
  <c r="N28" i="22"/>
  <c r="N28" i="23" s="1"/>
  <c r="C28" i="3"/>
  <c r="C28" i="22" s="1"/>
  <c r="C28" i="23" s="1"/>
  <c r="N27" i="22"/>
  <c r="N27" i="23" s="1"/>
  <c r="C27" i="3"/>
  <c r="C27" i="22" s="1"/>
  <c r="C27" i="23" s="1"/>
  <c r="B22" i="3"/>
  <c r="B22" i="22" s="1"/>
  <c r="B22" i="23" s="1"/>
  <c r="B21" i="3"/>
  <c r="B21" i="22" s="1"/>
  <c r="B21" i="23" s="1"/>
  <c r="N17" i="3"/>
  <c r="N16" i="3"/>
  <c r="F82" i="19"/>
  <c r="F130" i="19"/>
  <c r="F55" i="19"/>
  <c r="F116" i="19"/>
  <c r="F57" i="19"/>
  <c r="F81" i="19"/>
  <c r="F127" i="19"/>
  <c r="F70" i="19"/>
  <c r="F118" i="19"/>
  <c r="F79" i="19"/>
  <c r="F105" i="19"/>
  <c r="F140" i="19"/>
  <c r="F58" i="19"/>
  <c r="F106" i="19"/>
  <c r="F119" i="19"/>
  <c r="F103" i="19"/>
  <c r="F94" i="19"/>
  <c r="F142" i="19"/>
  <c r="F67" i="19"/>
  <c r="F69" i="19"/>
  <c r="F80" i="19"/>
  <c r="F91" i="19"/>
  <c r="F104" i="19"/>
  <c r="F115" i="19"/>
  <c r="F117" i="19"/>
  <c r="F139" i="19"/>
  <c r="F71" i="19"/>
  <c r="F83" i="19"/>
  <c r="F95" i="19"/>
  <c r="F143" i="19"/>
  <c r="G81" i="19"/>
  <c r="G69" i="19"/>
  <c r="G67" i="19"/>
  <c r="G68" i="19"/>
  <c r="G70" i="19"/>
  <c r="G58" i="19"/>
  <c r="G55" i="19"/>
  <c r="D201" i="28" l="1"/>
  <c r="C29" i="23"/>
  <c r="T28" i="22"/>
  <c r="B59" i="33"/>
  <c r="B58" i="33"/>
  <c r="B57" i="33" s="1"/>
  <c r="A149" i="19"/>
  <c r="B154" i="19" s="1"/>
  <c r="B149" i="19"/>
  <c r="C7" i="29" s="1"/>
  <c r="T378" i="32"/>
  <c r="T386" i="32" s="1"/>
  <c r="U378" i="32" s="1"/>
  <c r="N29" i="29"/>
  <c r="C199" i="28"/>
  <c r="D45" i="29" s="1"/>
  <c r="F65" i="10"/>
  <c r="I65" i="10" s="1"/>
  <c r="J65" i="10" s="1"/>
  <c r="K65" i="10" s="1"/>
  <c r="T377" i="32"/>
  <c r="S386" i="32" s="1"/>
  <c r="U377" i="32" s="1"/>
  <c r="I29" i="29"/>
  <c r="D5" i="10"/>
  <c r="F5" i="10" s="1"/>
  <c r="I5" i="10" s="1"/>
  <c r="J5" i="10" s="1"/>
  <c r="K5" i="10" s="1"/>
  <c r="U8" i="10"/>
  <c r="W8" i="10" s="1"/>
  <c r="X8" i="10" s="1"/>
  <c r="U92" i="10"/>
  <c r="W92" i="10" s="1"/>
  <c r="X92" i="10" s="1"/>
  <c r="F31" i="10"/>
  <c r="I31" i="10" s="1"/>
  <c r="J31" i="10" s="1"/>
  <c r="K31" i="10" s="1"/>
  <c r="L75" i="3"/>
  <c r="D17" i="10" s="1"/>
  <c r="R20" i="10" s="1"/>
  <c r="U20" i="10" s="1"/>
  <c r="W20" i="10" s="1"/>
  <c r="Y20" i="10" s="1"/>
  <c r="U22" i="10"/>
  <c r="W22" i="10" s="1"/>
  <c r="Y22" i="10" s="1"/>
  <c r="U64" i="10"/>
  <c r="W64" i="10" s="1"/>
  <c r="X64" i="10" s="1"/>
  <c r="L78" i="3"/>
  <c r="D53" i="10" s="1"/>
  <c r="R62" i="10" s="1"/>
  <c r="U62" i="10" s="1"/>
  <c r="W62" i="10" s="1"/>
  <c r="X62" i="10" s="1"/>
  <c r="B222" i="28"/>
  <c r="P22" i="22"/>
  <c r="S43" i="22" s="1"/>
  <c r="F55" i="10"/>
  <c r="I55" i="10" s="1"/>
  <c r="J55" i="10" s="1"/>
  <c r="K55" i="10" s="1"/>
  <c r="D85" i="3"/>
  <c r="J15" i="29" s="1"/>
  <c r="D87" i="3"/>
  <c r="D84" i="3"/>
  <c r="D83" i="3"/>
  <c r="D89" i="3"/>
  <c r="D86" i="3"/>
  <c r="D88" i="3"/>
  <c r="L3" i="13"/>
  <c r="M3" i="13" s="1"/>
  <c r="B45" i="3" s="1"/>
  <c r="B44" i="22" s="1"/>
  <c r="B44" i="23" s="1"/>
  <c r="D199" i="28"/>
  <c r="M234" i="28"/>
  <c r="M244" i="28" s="1"/>
  <c r="B44" i="3" s="1"/>
  <c r="D208" i="28"/>
  <c r="D218" i="28"/>
  <c r="E21" i="23"/>
  <c r="C221" i="28"/>
  <c r="D59" i="29" s="1"/>
  <c r="B201" i="28"/>
  <c r="E210" i="28"/>
  <c r="E70" i="29" s="1"/>
  <c r="D224" i="28"/>
  <c r="A212" i="28"/>
  <c r="F7" i="10"/>
  <c r="I7" i="10" s="1"/>
  <c r="J7" i="10" s="1"/>
  <c r="K7" i="10" s="1"/>
  <c r="B202" i="28"/>
  <c r="B209" i="28"/>
  <c r="A209" i="28"/>
  <c r="F79" i="10"/>
  <c r="I79" i="10" s="1"/>
  <c r="J79" i="10" s="1"/>
  <c r="K79" i="10" s="1"/>
  <c r="D217" i="28"/>
  <c r="D223" i="28"/>
  <c r="B195" i="28"/>
  <c r="C42" i="29" s="1"/>
  <c r="O193" i="28"/>
  <c r="O184" i="28"/>
  <c r="E223" i="28" s="1"/>
  <c r="E61" i="29" s="1"/>
  <c r="O175" i="28"/>
  <c r="E222" i="28" s="1"/>
  <c r="E60" i="29" s="1"/>
  <c r="O166" i="28"/>
  <c r="E221" i="28" s="1"/>
  <c r="E59" i="29" s="1"/>
  <c r="O187" i="28"/>
  <c r="O178" i="28"/>
  <c r="O169" i="28"/>
  <c r="O160" i="28"/>
  <c r="G144" i="28"/>
  <c r="E203" i="28" s="1"/>
  <c r="E49" i="29" s="1"/>
  <c r="G138" i="28"/>
  <c r="G129" i="28"/>
  <c r="G120" i="28"/>
  <c r="G111" i="28"/>
  <c r="G102" i="28"/>
  <c r="G147" i="28"/>
  <c r="G153" i="28"/>
  <c r="E204" i="28" s="1"/>
  <c r="E50" i="29" s="1"/>
  <c r="G135" i="28"/>
  <c r="E202" i="28" s="1"/>
  <c r="E48" i="29" s="1"/>
  <c r="G126" i="28"/>
  <c r="E201" i="28" s="1"/>
  <c r="G117" i="28"/>
  <c r="E200" i="28" s="1"/>
  <c r="E46" i="29" s="1"/>
  <c r="G108" i="28"/>
  <c r="E199" i="28" s="1"/>
  <c r="E45" i="29" s="1"/>
  <c r="O46" i="3"/>
  <c r="P47" i="3" s="1"/>
  <c r="B46" i="3" s="1"/>
  <c r="G193" i="28"/>
  <c r="E218" i="28" s="1"/>
  <c r="E56" i="29" s="1"/>
  <c r="G184" i="28"/>
  <c r="E217" i="28" s="1"/>
  <c r="E55" i="29" s="1"/>
  <c r="G175" i="28"/>
  <c r="E215" i="28"/>
  <c r="E53" i="29" s="1"/>
  <c r="B42" i="29"/>
  <c r="E209" i="28"/>
  <c r="E69" i="29" s="1"/>
  <c r="E211" i="28"/>
  <c r="C217" i="28"/>
  <c r="D55" i="29" s="1"/>
  <c r="B221" i="28"/>
  <c r="D200" i="28"/>
  <c r="B217" i="28"/>
  <c r="B218" i="28"/>
  <c r="B224" i="28"/>
  <c r="C224" i="28"/>
  <c r="D62" i="29" s="1"/>
  <c r="C222" i="28"/>
  <c r="D60" i="29" s="1"/>
  <c r="A201" i="28"/>
  <c r="A207" i="28"/>
  <c r="B215" i="28"/>
  <c r="A202" i="28"/>
  <c r="D203" i="28"/>
  <c r="D209" i="28"/>
  <c r="L77" i="3"/>
  <c r="D41" i="10" s="1"/>
  <c r="F41" i="10" s="1"/>
  <c r="I41" i="10" s="1"/>
  <c r="J41" i="10" s="1"/>
  <c r="K41" i="10" s="1"/>
  <c r="L76" i="3"/>
  <c r="D29" i="10" s="1"/>
  <c r="R34" i="10" s="1"/>
  <c r="U34" i="10" s="1"/>
  <c r="W34" i="10" s="1"/>
  <c r="Y34" i="10" s="1"/>
  <c r="G79" i="19"/>
  <c r="G82" i="19"/>
  <c r="L80" i="3"/>
  <c r="D77" i="10" s="1"/>
  <c r="R90" i="10" s="1"/>
  <c r="U90" i="10" s="1"/>
  <c r="W90" i="10" s="1"/>
  <c r="Y50" i="10"/>
  <c r="X50" i="10"/>
  <c r="Y92" i="10"/>
  <c r="F43" i="10"/>
  <c r="I43" i="10" s="1"/>
  <c r="J43" i="10" s="1"/>
  <c r="K43" i="10" s="1"/>
  <c r="A208" i="28"/>
  <c r="A203" i="28"/>
  <c r="B203" i="28"/>
  <c r="A216" i="28"/>
  <c r="A199" i="28"/>
  <c r="B204" i="28"/>
  <c r="C215" i="28"/>
  <c r="D53" i="29" s="1"/>
  <c r="I46" i="29" s="1"/>
  <c r="B223" i="28"/>
  <c r="B210" i="28"/>
  <c r="D207" i="28"/>
  <c r="D212" i="28"/>
  <c r="D215" i="28"/>
  <c r="D216" i="28"/>
  <c r="D222" i="28"/>
  <c r="E208" i="28"/>
  <c r="E68" i="29" s="1"/>
  <c r="C223" i="28"/>
  <c r="D61" i="29" s="1"/>
  <c r="C216" i="28"/>
  <c r="D54" i="29" s="1"/>
  <c r="C218" i="28"/>
  <c r="D56" i="29" s="1"/>
  <c r="A210" i="28"/>
  <c r="B216" i="28"/>
  <c r="B199" i="28"/>
  <c r="D211" i="28"/>
  <c r="C207" i="28"/>
  <c r="D67" i="29" s="1"/>
  <c r="C200" i="28"/>
  <c r="D46" i="29" s="1"/>
  <c r="C201" i="28"/>
  <c r="D47" i="29" s="1"/>
  <c r="C209" i="28"/>
  <c r="D69" i="29" s="1"/>
  <c r="C202" i="28"/>
  <c r="D48" i="29" s="1"/>
  <c r="C210" i="28"/>
  <c r="D70" i="29" s="1"/>
  <c r="C203" i="28"/>
  <c r="D49" i="29" s="1"/>
  <c r="C211" i="28"/>
  <c r="C204" i="28"/>
  <c r="D50" i="29" s="1"/>
  <c r="C212" i="28"/>
  <c r="D71" i="29" s="1"/>
  <c r="A215" i="28"/>
  <c r="A222" i="28"/>
  <c r="A217" i="28"/>
  <c r="A223" i="28"/>
  <c r="A218" i="28"/>
  <c r="A224" i="28"/>
  <c r="X36" i="10"/>
  <c r="Y36" i="10"/>
  <c r="G133" i="19"/>
  <c r="G132" i="19"/>
  <c r="G57" i="19"/>
  <c r="Y78" i="10"/>
  <c r="F67" i="10"/>
  <c r="I67" i="10" s="1"/>
  <c r="J67" i="10" s="1"/>
  <c r="K67" i="10" s="1"/>
  <c r="F19" i="10"/>
  <c r="I19" i="10" s="1"/>
  <c r="J19" i="10" s="1"/>
  <c r="K19" i="10" s="1"/>
  <c r="G56" i="19"/>
  <c r="R76" i="10"/>
  <c r="U76" i="10" s="1"/>
  <c r="W76" i="10" s="1"/>
  <c r="G73" i="19"/>
  <c r="G72" i="19"/>
  <c r="G108" i="19"/>
  <c r="G109" i="19"/>
  <c r="A221" i="28"/>
  <c r="E207" i="28"/>
  <c r="E67" i="29" s="1"/>
  <c r="E224" i="28"/>
  <c r="E62" i="29" s="1"/>
  <c r="D221" i="28"/>
  <c r="E212" i="28"/>
  <c r="E71" i="29" s="1"/>
  <c r="C208" i="28"/>
  <c r="D68" i="29" s="1"/>
  <c r="A200" i="28"/>
  <c r="E216" i="28"/>
  <c r="E54" i="29" s="1"/>
  <c r="A211" i="28"/>
  <c r="A204" i="28"/>
  <c r="G84" i="19"/>
  <c r="G85" i="19"/>
  <c r="G121" i="19"/>
  <c r="G120" i="19"/>
  <c r="D202" i="28"/>
  <c r="D204" i="28"/>
  <c r="D210" i="28"/>
  <c r="B207" i="28"/>
  <c r="B200" i="28"/>
  <c r="B208" i="28"/>
  <c r="B211" i="28"/>
  <c r="B212" i="28"/>
  <c r="F17" i="22" l="1"/>
  <c r="E17" i="23"/>
  <c r="F16" i="22"/>
  <c r="E16" i="23"/>
  <c r="B7" i="29"/>
  <c r="E156" i="19"/>
  <c r="C156" i="19"/>
  <c r="B157" i="19"/>
  <c r="E155" i="19"/>
  <c r="C155" i="19"/>
  <c r="B156" i="19"/>
  <c r="E154" i="19"/>
  <c r="C154" i="19"/>
  <c r="E159" i="19"/>
  <c r="C161" i="19"/>
  <c r="E161" i="19"/>
  <c r="C160" i="19"/>
  <c r="B161" i="19"/>
  <c r="E160" i="19"/>
  <c r="C159" i="19"/>
  <c r="B160" i="19"/>
  <c r="D16" i="29" s="1"/>
  <c r="E158" i="19"/>
  <c r="C158" i="19"/>
  <c r="B159" i="19"/>
  <c r="E157" i="19"/>
  <c r="B158" i="19"/>
  <c r="B155" i="19"/>
  <c r="C157" i="19"/>
  <c r="E47" i="29"/>
  <c r="N203" i="28"/>
  <c r="H18" i="22" s="1"/>
  <c r="P14" i="22" s="1"/>
  <c r="Y8" i="10"/>
  <c r="F17" i="10"/>
  <c r="I17" i="10" s="1"/>
  <c r="J17" i="10" s="1"/>
  <c r="K17" i="10" s="1"/>
  <c r="X20" i="10"/>
  <c r="R6" i="10"/>
  <c r="U6" i="10" s="1"/>
  <c r="W6" i="10" s="1"/>
  <c r="Y6" i="10" s="1"/>
  <c r="X22" i="10"/>
  <c r="N391" i="32"/>
  <c r="T382" i="32" s="1"/>
  <c r="N390" i="32"/>
  <c r="T381" i="32" s="1"/>
  <c r="F53" i="10"/>
  <c r="I53" i="10" s="1"/>
  <c r="J53" i="10" s="1"/>
  <c r="K53" i="10" s="1"/>
  <c r="Y62" i="10"/>
  <c r="I47" i="29"/>
  <c r="J47" i="29" s="1"/>
  <c r="K47" i="29" s="1"/>
  <c r="I45" i="29"/>
  <c r="J45" i="29" s="1"/>
  <c r="K45" i="29" s="1"/>
  <c r="F18" i="22" s="1"/>
  <c r="Y64" i="10"/>
  <c r="B43" i="22"/>
  <c r="B43" i="23" s="1"/>
  <c r="J19" i="29"/>
  <c r="R48" i="10"/>
  <c r="U48" i="10" s="1"/>
  <c r="W48" i="10" s="1"/>
  <c r="Y48" i="10" s="1"/>
  <c r="G61" i="19"/>
  <c r="J13" i="29"/>
  <c r="J14" i="29"/>
  <c r="D20" i="10" s="1"/>
  <c r="J17" i="29"/>
  <c r="J18" i="29"/>
  <c r="G96" i="19"/>
  <c r="J16" i="29"/>
  <c r="D44" i="10" s="1"/>
  <c r="I49" i="29"/>
  <c r="F29" i="10"/>
  <c r="I29" i="10" s="1"/>
  <c r="J29" i="10" s="1"/>
  <c r="K29" i="10" s="1"/>
  <c r="X34" i="10"/>
  <c r="B198" i="28"/>
  <c r="B206" i="28" s="1"/>
  <c r="B214" i="28" s="1"/>
  <c r="B220" i="28" s="1"/>
  <c r="C198" i="28"/>
  <c r="C206" i="28" s="1"/>
  <c r="C214" i="28" s="1"/>
  <c r="C220" i="28" s="1"/>
  <c r="I48" i="29"/>
  <c r="J46" i="29"/>
  <c r="K46" i="29" s="1"/>
  <c r="G80" i="19"/>
  <c r="F77" i="10"/>
  <c r="I77" i="10" s="1"/>
  <c r="J77" i="10" s="1"/>
  <c r="K77" i="10" s="1"/>
  <c r="G140" i="19"/>
  <c r="G94" i="19"/>
  <c r="G115" i="19"/>
  <c r="G105" i="19"/>
  <c r="G129" i="19"/>
  <c r="G139" i="19"/>
  <c r="G92" i="19"/>
  <c r="G118" i="19"/>
  <c r="G103" i="19"/>
  <c r="G127" i="19"/>
  <c r="G142" i="19"/>
  <c r="G91" i="19"/>
  <c r="G117" i="19"/>
  <c r="G104" i="19"/>
  <c r="X76" i="10"/>
  <c r="Y76" i="10"/>
  <c r="G128" i="19"/>
  <c r="X90" i="10"/>
  <c r="Y90" i="10"/>
  <c r="G141" i="19"/>
  <c r="G93" i="19"/>
  <c r="G116" i="19"/>
  <c r="G106" i="19"/>
  <c r="G130" i="19"/>
  <c r="D154" i="19" l="1"/>
  <c r="D6" i="10" s="1"/>
  <c r="F6" i="10" s="1"/>
  <c r="I6" i="10" s="1"/>
  <c r="J6" i="10" s="1"/>
  <c r="K6" i="10" s="1"/>
  <c r="R7" i="10"/>
  <c r="U7" i="10" s="1"/>
  <c r="W7" i="10" s="1"/>
  <c r="D14" i="29"/>
  <c r="X6" i="10"/>
  <c r="D10" i="29"/>
  <c r="D15" i="29"/>
  <c r="D12" i="29"/>
  <c r="D13" i="29"/>
  <c r="R9" i="10"/>
  <c r="U9" i="10" s="1"/>
  <c r="W9" i="10" s="1"/>
  <c r="D17" i="29"/>
  <c r="D11" i="29"/>
  <c r="D155" i="19"/>
  <c r="D18" i="10" s="1"/>
  <c r="X48" i="10"/>
  <c r="D157" i="19"/>
  <c r="D42" i="10" s="1"/>
  <c r="B45" i="22"/>
  <c r="B45" i="23" s="1"/>
  <c r="J49" i="29"/>
  <c r="K49" i="29" s="1"/>
  <c r="O65" i="3" s="1"/>
  <c r="N66" i="3" s="1"/>
  <c r="J48" i="29"/>
  <c r="K48" i="29" s="1"/>
  <c r="L29" i="22" s="1"/>
  <c r="L29" i="23" s="1"/>
  <c r="M29" i="23" s="1"/>
  <c r="D156" i="19"/>
  <c r="D30" i="10" s="1"/>
  <c r="D161" i="19"/>
  <c r="R93" i="10"/>
  <c r="U93" i="10" s="1"/>
  <c r="W93" i="10" s="1"/>
  <c r="R65" i="10"/>
  <c r="U65" i="10" s="1"/>
  <c r="W65" i="10" s="1"/>
  <c r="L28" i="22"/>
  <c r="L28" i="23" s="1"/>
  <c r="M28" i="23" s="1"/>
  <c r="L27" i="22"/>
  <c r="L27" i="23" s="1"/>
  <c r="M27" i="23" s="1"/>
  <c r="F20" i="10"/>
  <c r="I20" i="10" s="1"/>
  <c r="J20" i="10" s="1"/>
  <c r="R23" i="10"/>
  <c r="U23" i="10" s="1"/>
  <c r="W23" i="10" s="1"/>
  <c r="F32" i="10"/>
  <c r="I32" i="10" s="1"/>
  <c r="J32" i="10" s="1"/>
  <c r="R37" i="10"/>
  <c r="U37" i="10" s="1"/>
  <c r="W37" i="10" s="1"/>
  <c r="R49" i="10" l="1"/>
  <c r="U49" i="10" s="1"/>
  <c r="W49" i="10" s="1"/>
  <c r="F42" i="10"/>
  <c r="I42" i="10" s="1"/>
  <c r="J42" i="10" s="1"/>
  <c r="K42" i="10" s="1"/>
  <c r="Y7" i="10"/>
  <c r="X7" i="10"/>
  <c r="R35" i="10"/>
  <c r="U35" i="10" s="1"/>
  <c r="W35" i="10" s="1"/>
  <c r="F30" i="10"/>
  <c r="I30" i="10" s="1"/>
  <c r="J30" i="10" s="1"/>
  <c r="K30" i="10" s="1"/>
  <c r="R21" i="10"/>
  <c r="U21" i="10" s="1"/>
  <c r="W21" i="10" s="1"/>
  <c r="F18" i="10"/>
  <c r="I18" i="10" s="1"/>
  <c r="J18" i="10" s="1"/>
  <c r="K18" i="10" s="1"/>
  <c r="K13" i="29"/>
  <c r="L13" i="29" s="1"/>
  <c r="F8" i="10"/>
  <c r="I8" i="10" s="1"/>
  <c r="J8" i="10" s="1"/>
  <c r="J9" i="10" s="1"/>
  <c r="J10" i="10" s="1"/>
  <c r="K19" i="29"/>
  <c r="L19" i="29" s="1"/>
  <c r="J80" i="3" s="1"/>
  <c r="K80" i="3" s="1"/>
  <c r="K17" i="29"/>
  <c r="L17" i="29" s="1"/>
  <c r="J78" i="3" s="1"/>
  <c r="K78" i="3" s="1"/>
  <c r="K16" i="29"/>
  <c r="L16" i="29" s="1"/>
  <c r="J77" i="3" s="1"/>
  <c r="K18" i="29"/>
  <c r="L18" i="29" s="1"/>
  <c r="J79" i="3" s="1"/>
  <c r="K79" i="3" s="1"/>
  <c r="K15" i="29"/>
  <c r="L15" i="29" s="1"/>
  <c r="M15" i="29" s="1"/>
  <c r="J35" i="22" s="1"/>
  <c r="J35" i="23" s="1"/>
  <c r="K14" i="29"/>
  <c r="L14" i="29" s="1"/>
  <c r="M14" i="29" s="1"/>
  <c r="J34" i="22" s="1"/>
  <c r="J34" i="23" s="1"/>
  <c r="R51" i="10"/>
  <c r="U51" i="10" s="1"/>
  <c r="W51" i="10" s="1"/>
  <c r="Y51" i="10" s="1"/>
  <c r="I35" i="29"/>
  <c r="M35" i="29" s="1"/>
  <c r="J36" i="29"/>
  <c r="N64" i="3"/>
  <c r="O64" i="3" s="1"/>
  <c r="Q34" i="22"/>
  <c r="P29" i="22"/>
  <c r="Q37" i="22"/>
  <c r="Q36" i="22"/>
  <c r="Q33" i="22"/>
  <c r="Q38" i="22"/>
  <c r="Q39" i="22"/>
  <c r="Q35" i="22"/>
  <c r="D160" i="19"/>
  <c r="D78" i="10" s="1"/>
  <c r="F80" i="10"/>
  <c r="I80" i="10" s="1"/>
  <c r="J80" i="10" s="1"/>
  <c r="K80" i="10" s="1"/>
  <c r="D158" i="19"/>
  <c r="D54" i="10" s="1"/>
  <c r="F68" i="10"/>
  <c r="I68" i="10" s="1"/>
  <c r="J68" i="10" s="1"/>
  <c r="R79" i="10"/>
  <c r="U79" i="10" s="1"/>
  <c r="W79" i="10" s="1"/>
  <c r="X79" i="10" s="1"/>
  <c r="D159" i="19"/>
  <c r="D66" i="10" s="1"/>
  <c r="P28" i="22"/>
  <c r="F56" i="10"/>
  <c r="I56" i="10" s="1"/>
  <c r="J56" i="10" s="1"/>
  <c r="P27" i="22"/>
  <c r="X23" i="10"/>
  <c r="Y23" i="10"/>
  <c r="X65" i="10"/>
  <c r="Y65" i="10"/>
  <c r="K20" i="10"/>
  <c r="Y37" i="10"/>
  <c r="X37" i="10"/>
  <c r="X93" i="10"/>
  <c r="Y93" i="10"/>
  <c r="K32" i="10"/>
  <c r="Y9" i="10"/>
  <c r="Y11" i="10" s="1"/>
  <c r="X9" i="10"/>
  <c r="X11" i="10" l="1"/>
  <c r="X12" i="10" s="1"/>
  <c r="X13" i="10" s="1"/>
  <c r="X14" i="10" s="1"/>
  <c r="X15" i="10" s="1"/>
  <c r="R91" i="10"/>
  <c r="U91" i="10" s="1"/>
  <c r="W91" i="10" s="1"/>
  <c r="F78" i="10"/>
  <c r="I78" i="10" s="1"/>
  <c r="J78" i="10" s="1"/>
  <c r="K78" i="10" s="1"/>
  <c r="K81" i="10" s="1"/>
  <c r="R77" i="10"/>
  <c r="U77" i="10" s="1"/>
  <c r="W77" i="10" s="1"/>
  <c r="F66" i="10"/>
  <c r="I66" i="10" s="1"/>
  <c r="J66" i="10" s="1"/>
  <c r="K66" i="10" s="1"/>
  <c r="R63" i="10"/>
  <c r="U63" i="10" s="1"/>
  <c r="W63" i="10" s="1"/>
  <c r="F54" i="10"/>
  <c r="I54" i="10" s="1"/>
  <c r="J54" i="10" s="1"/>
  <c r="K54" i="10" s="1"/>
  <c r="K33" i="10"/>
  <c r="J33" i="10"/>
  <c r="J34" i="10" s="1"/>
  <c r="Y49" i="10"/>
  <c r="Y53" i="10" s="1"/>
  <c r="X49" i="10"/>
  <c r="K21" i="10"/>
  <c r="J21" i="10"/>
  <c r="J22" i="10" s="1"/>
  <c r="J23" i="10" s="1"/>
  <c r="J24" i="10" s="1"/>
  <c r="J25" i="10" s="1"/>
  <c r="N75" i="3" s="1"/>
  <c r="L34" i="22" s="1"/>
  <c r="X21" i="10"/>
  <c r="X25" i="10" s="1"/>
  <c r="X26" i="10" s="1"/>
  <c r="Y21" i="10"/>
  <c r="Y25" i="10" s="1"/>
  <c r="Y35" i="10"/>
  <c r="Y39" i="10" s="1"/>
  <c r="X35" i="10"/>
  <c r="X39" i="10" s="1"/>
  <c r="X40" i="10" s="1"/>
  <c r="B50" i="22"/>
  <c r="B51" i="23" s="1"/>
  <c r="E18" i="23"/>
  <c r="F18" i="23" s="1"/>
  <c r="K8" i="10"/>
  <c r="K9" i="10" s="1"/>
  <c r="J11" i="10" s="1"/>
  <c r="J12" i="10" s="1"/>
  <c r="J13" i="10" s="1"/>
  <c r="N74" i="3" s="1"/>
  <c r="J75" i="3"/>
  <c r="K75" i="3" s="1"/>
  <c r="M19" i="29"/>
  <c r="J39" i="22" s="1"/>
  <c r="J39" i="23" s="1"/>
  <c r="J76" i="3"/>
  <c r="F35" i="22" s="1"/>
  <c r="I35" i="23" s="1"/>
  <c r="M18" i="29"/>
  <c r="J38" i="22" s="1"/>
  <c r="J38" i="23" s="1"/>
  <c r="M17" i="29"/>
  <c r="J37" i="22" s="1"/>
  <c r="J37" i="23" s="1"/>
  <c r="M16" i="29"/>
  <c r="J36" i="22" s="1"/>
  <c r="J36" i="23" s="1"/>
  <c r="F44" i="10"/>
  <c r="I44" i="10" s="1"/>
  <c r="J44" i="10" s="1"/>
  <c r="K44" i="10" s="1"/>
  <c r="K45" i="10" s="1"/>
  <c r="X51" i="10"/>
  <c r="X53" i="10" s="1"/>
  <c r="X54" i="10" s="1"/>
  <c r="F39" i="22"/>
  <c r="I39" i="23" s="1"/>
  <c r="O36" i="29"/>
  <c r="I36" i="29"/>
  <c r="M36" i="29" s="1"/>
  <c r="F36" i="22"/>
  <c r="I36" i="23" s="1"/>
  <c r="K77" i="3"/>
  <c r="J74" i="3"/>
  <c r="K74" i="3" s="1"/>
  <c r="M13" i="29"/>
  <c r="J33" i="22" s="1"/>
  <c r="J33" i="23" s="1"/>
  <c r="F37" i="22"/>
  <c r="I37" i="23" s="1"/>
  <c r="F38" i="22"/>
  <c r="I38" i="23" s="1"/>
  <c r="Y79" i="10"/>
  <c r="K68" i="10"/>
  <c r="N68" i="3"/>
  <c r="K56" i="10"/>
  <c r="J35" i="10" l="1"/>
  <c r="J84" i="10" s="1"/>
  <c r="M74" i="3"/>
  <c r="J81" i="10"/>
  <c r="J82" i="10" s="1"/>
  <c r="J83" i="10" s="1"/>
  <c r="X91" i="10"/>
  <c r="X95" i="10" s="1"/>
  <c r="X96" i="10" s="1"/>
  <c r="Y91" i="10"/>
  <c r="Y95" i="10" s="1"/>
  <c r="K69" i="10"/>
  <c r="J69" i="10"/>
  <c r="J70" i="10" s="1"/>
  <c r="Y77" i="10"/>
  <c r="Y81" i="10" s="1"/>
  <c r="X77" i="10"/>
  <c r="X81" i="10" s="1"/>
  <c r="X82" i="10" s="1"/>
  <c r="Y63" i="10"/>
  <c r="Y67" i="10" s="1"/>
  <c r="X63" i="10"/>
  <c r="X67" i="10" s="1"/>
  <c r="X68" i="10" s="1"/>
  <c r="K57" i="10"/>
  <c r="J57" i="10"/>
  <c r="J58" i="10" s="1"/>
  <c r="X55" i="10"/>
  <c r="X56" i="10" s="1"/>
  <c r="X57" i="10" s="1"/>
  <c r="X41" i="10"/>
  <c r="X42" i="10" s="1"/>
  <c r="X43" i="10" s="1"/>
  <c r="X27" i="10"/>
  <c r="X28" i="10" s="1"/>
  <c r="X29" i="10" s="1"/>
  <c r="P61" i="3"/>
  <c r="O66" i="3"/>
  <c r="P68" i="3" s="1"/>
  <c r="P71" i="3" s="1"/>
  <c r="P60" i="3"/>
  <c r="F34" i="22"/>
  <c r="I34" i="23" s="1"/>
  <c r="K76" i="3"/>
  <c r="J45" i="10"/>
  <c r="J46" i="10" s="1"/>
  <c r="J47" i="10" s="1"/>
  <c r="J48" i="10" s="1"/>
  <c r="J49" i="10" s="1"/>
  <c r="N77" i="3" s="1"/>
  <c r="L36" i="22" s="1"/>
  <c r="M36" i="23" s="1"/>
  <c r="L36" i="23" s="1"/>
  <c r="F33" i="22"/>
  <c r="I33" i="23" s="1"/>
  <c r="J33" i="29"/>
  <c r="J36" i="10"/>
  <c r="J37" i="10" s="1"/>
  <c r="N76" i="3" s="1"/>
  <c r="M34" i="23"/>
  <c r="L34" i="23" s="1"/>
  <c r="M75" i="3"/>
  <c r="L33" i="22"/>
  <c r="M33" i="23" s="1"/>
  <c r="L33" i="23" s="1"/>
  <c r="X69" i="10" l="1"/>
  <c r="X70" i="10" s="1"/>
  <c r="X71" i="10" s="1"/>
  <c r="J85" i="10"/>
  <c r="N80" i="3" s="1"/>
  <c r="L39" i="22" s="1"/>
  <c r="M39" i="23" s="1"/>
  <c r="L39" i="23" s="1"/>
  <c r="X97" i="10"/>
  <c r="X98" i="10" s="1"/>
  <c r="X99" i="10" s="1"/>
  <c r="X83" i="10"/>
  <c r="X84" i="10" s="1"/>
  <c r="X85" i="10" s="1"/>
  <c r="J71" i="10"/>
  <c r="J72" i="10" s="1"/>
  <c r="J73" i="10" s="1"/>
  <c r="N79" i="3" s="1"/>
  <c r="J59" i="10"/>
  <c r="J60" i="10" s="1"/>
  <c r="J61" i="10" s="1"/>
  <c r="N78" i="3" s="1"/>
  <c r="N69" i="3"/>
  <c r="P62" i="3" s="1"/>
  <c r="Q60" i="3" s="1"/>
  <c r="S44" i="22" s="1"/>
  <c r="M77" i="3"/>
  <c r="O36" i="22" s="1"/>
  <c r="Z37" i="22"/>
  <c r="O33" i="22"/>
  <c r="Z38" i="22"/>
  <c r="O34" i="22"/>
  <c r="L35" i="22"/>
  <c r="M35" i="23" s="1"/>
  <c r="L35" i="23" s="1"/>
  <c r="M76" i="3"/>
  <c r="M80" i="3" l="1"/>
  <c r="Z43" i="22" s="1"/>
  <c r="L38" i="22"/>
  <c r="M38" i="23" s="1"/>
  <c r="L38" i="23" s="1"/>
  <c r="M79" i="3"/>
  <c r="L37" i="22"/>
  <c r="M37" i="23" s="1"/>
  <c r="L37" i="23" s="1"/>
  <c r="M78" i="3"/>
  <c r="P36" i="22"/>
  <c r="Z40" i="22"/>
  <c r="B46" i="22"/>
  <c r="Z39" i="22"/>
  <c r="O35" i="22"/>
  <c r="O39" i="22" l="1"/>
  <c r="P39" i="22" s="1"/>
  <c r="O38" i="22"/>
  <c r="P38" i="22" s="1"/>
  <c r="Z42" i="22"/>
  <c r="O37" i="22"/>
  <c r="P37" i="22" s="1"/>
  <c r="Z41" i="22"/>
  <c r="P35" i="22"/>
  <c r="P34" i="22" s="1"/>
  <c r="P33" i="22" l="1"/>
  <c r="U33" i="22" s="1"/>
  <c r="W33" i="22" s="1"/>
  <c r="S45" i="22" s="1"/>
  <c r="R60" i="22" l="1"/>
  <c r="M62" i="22"/>
  <c r="H2" i="3" l="1"/>
  <c r="A2" i="22" s="1"/>
  <c r="A2" i="23" s="1"/>
  <c r="A3" i="33" s="1"/>
  <c r="F6" i="33" s="1"/>
  <c r="B55" i="3"/>
  <c r="B53" i="22" s="1"/>
  <c r="B54" i="23" s="1"/>
  <c r="D22" i="33" s="1"/>
  <c r="T383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AEFBB39-0CFD-4BD0-B454-A5EF4D3CFBC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N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J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2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3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4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6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7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8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25" authorId="0" shapeId="0" xr:uid="{00000000-0006-0000-0600-000001000000}">
      <text>
        <r>
          <rPr>
            <b/>
            <sz val="9"/>
            <rFont val="Times New Roman"/>
            <family val="1"/>
          </rPr>
          <t>ZAEN:</t>
        </r>
        <r>
          <rPr>
            <sz val="9"/>
            <rFont val="Times New Roman"/>
            <family val="1"/>
          </rPr>
          <t xml:space="preserve">
Harap diluruskan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BPFK Banjarbaru</author>
  </authors>
  <commentList>
    <comment ref="P27" authorId="0" shapeId="0" xr:uid="{00000000-0006-0000-0500-000001000000}">
      <text>
        <r>
          <rPr>
            <b/>
            <sz val="9"/>
            <rFont val="Times New Roman"/>
            <family val="1"/>
          </rPr>
          <t>ASUS:
VALID ( 11 - 5 - 2019 )
C. Huda</t>
        </r>
        <r>
          <rPr>
            <sz val="9"/>
            <rFont val="Times New Roman"/>
            <family val="1"/>
          </rPr>
          <t xml:space="preserve">
</t>
        </r>
      </text>
    </comment>
    <comment ref="P33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33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S33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60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sharedStrings.xml><?xml version="1.0" encoding="utf-8"?>
<sst xmlns="http://schemas.openxmlformats.org/spreadsheetml/2006/main" count="2269" uniqueCount="480">
  <si>
    <t>Merek</t>
  </si>
  <si>
    <t xml:space="preserve">: </t>
  </si>
  <si>
    <t>Model/Tipe</t>
  </si>
  <si>
    <t>No. Seri</t>
  </si>
  <si>
    <t>Resolusi</t>
  </si>
  <si>
    <t>Nama Ruang</t>
  </si>
  <si>
    <t xml:space="preserve">I.     </t>
  </si>
  <si>
    <t>Awal</t>
  </si>
  <si>
    <t>Akhir</t>
  </si>
  <si>
    <t>1. Suhu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</si>
  <si>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</si>
  <si>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</si>
  <si>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</si>
  <si>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</si>
  <si>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</si>
  <si>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</si>
  <si>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</si>
  <si>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Score</t>
  </si>
  <si>
    <t>1. Fisik</t>
  </si>
  <si>
    <t>: Baik / Tidak Baik</t>
  </si>
  <si>
    <t>5%</t>
  </si>
  <si>
    <t>2. Fungsi</t>
  </si>
  <si>
    <t>III.</t>
  </si>
  <si>
    <t>No</t>
  </si>
  <si>
    <t>Parameter</t>
  </si>
  <si>
    <t>Hasil Ukur</t>
  </si>
  <si>
    <t>Ambang Batas yang diijinkan</t>
  </si>
  <si>
    <t xml:space="preserve">Score </t>
  </si>
  <si>
    <t>MΩ</t>
  </si>
  <si>
    <t>10%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</si>
  <si>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</si>
  <si>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</si>
  <si>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</si>
  <si>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</si>
  <si>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</si>
  <si>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</si>
  <si>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>20%</t>
  </si>
  <si>
    <t>IV.</t>
  </si>
  <si>
    <t>Setting                             Pada Standar</t>
  </si>
  <si>
    <t xml:space="preserve"> Pembacaan UUT</t>
  </si>
  <si>
    <t>Toleransi</t>
  </si>
  <si>
    <t>I</t>
  </si>
  <si>
    <t>II</t>
  </si>
  <si>
    <t>III</t>
  </si>
  <si>
    <t>IV</t>
  </si>
  <si>
    <t>V</t>
  </si>
  <si>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</si>
  <si>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Frekuensi Heart Rate (BPM)</t>
  </si>
  <si>
    <t>2</t>
  </si>
  <si>
    <t>4</t>
  </si>
  <si>
    <t>6</t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</si>
  <si>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</si>
  <si>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</si>
  <si>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</si>
  <si>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</si>
  <si>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</si>
  <si>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</si>
  <si>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</si>
  <si>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</si>
  <si>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 xml:space="preserve">VII. </t>
  </si>
  <si>
    <t>Kesimpulan</t>
  </si>
  <si>
    <t>VIII.</t>
  </si>
  <si>
    <t>Petugas Kalibrasi</t>
  </si>
  <si>
    <t>BPM</t>
  </si>
  <si>
    <t>Metode Kerja</t>
  </si>
  <si>
    <t>I.</t>
  </si>
  <si>
    <t>Rata2</t>
  </si>
  <si>
    <t xml:space="preserve">1. Suhu </t>
  </si>
  <si>
    <t>°C</t>
  </si>
  <si>
    <t>2. Kelembaban</t>
  </si>
  <si>
    <t>%RH</t>
  </si>
  <si>
    <t>3. Tegangan Jala - jala</t>
  </si>
  <si>
    <t>II.</t>
  </si>
  <si>
    <t>Baik</t>
  </si>
  <si>
    <t>3</t>
  </si>
  <si>
    <t>5</t>
  </si>
  <si>
    <t>7</t>
  </si>
  <si>
    <t>Ketidakpastian pengukuran dilaporkan pada tingkat kepercayaan 95% dengan faktor cakupan k= 2</t>
  </si>
  <si>
    <t>Catu daya menggunakan baterai</t>
  </si>
  <si>
    <t/>
  </si>
  <si>
    <t>Thermohygrolight, Merek : Greisinger, Model : GFTB 200, SN : 34903053</t>
  </si>
  <si>
    <t>VII.</t>
  </si>
  <si>
    <t>Taufik Priawan</t>
  </si>
  <si>
    <t>IX.</t>
  </si>
  <si>
    <t>Tanggal Pembuatan Laporan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</si>
  <si>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</si>
  <si>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</si>
  <si>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</si>
  <si>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</si>
  <si>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</si>
  <si>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</si>
  <si>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</si>
  <si>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</si>
  <si>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</si>
  <si>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</si>
  <si>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</si>
  <si>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</si>
  <si>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</si>
  <si>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</si>
  <si>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</si>
  <si>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</si>
  <si>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</si>
  <si>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</si>
  <si>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</si>
  <si>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</si>
  <si>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</si>
  <si>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>UNCERTAINTY</t>
  </si>
  <si>
    <t>Komponen</t>
  </si>
  <si>
    <t>Satuan</t>
  </si>
  <si>
    <t>Distribusi</t>
  </si>
  <si>
    <t>Pembagi</t>
  </si>
  <si>
    <t>vi</t>
  </si>
  <si>
    <t>ui</t>
  </si>
  <si>
    <t>ci</t>
  </si>
  <si>
    <t>uici</t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</si>
  <si>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</si>
  <si>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</si>
  <si>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</si>
  <si>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Repeatibility</t>
  </si>
  <si>
    <t>bpm</t>
  </si>
  <si>
    <t>normal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</si>
  <si>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</si>
  <si>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</si>
  <si>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</si>
  <si>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</si>
  <si>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</si>
  <si>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</si>
  <si>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</si>
  <si>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</si>
  <si>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</si>
  <si>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</si>
  <si>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</si>
  <si>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 xml:space="preserve">Drift </t>
  </si>
  <si>
    <t>rect.</t>
  </si>
  <si>
    <t xml:space="preserve">1. Repeatability </t>
  </si>
  <si>
    <t>2. Daya baca UUT</t>
  </si>
  <si>
    <t>Sertifikat Standart</t>
  </si>
  <si>
    <t xml:space="preserve">3. Drift standar </t>
  </si>
  <si>
    <t>Jumlah</t>
  </si>
  <si>
    <t>4. Sertifikat Standar</t>
  </si>
  <si>
    <t>Ketidakpastian baku gabungan, Uc</t>
  </si>
  <si>
    <r>
      <rPr>
        <vertAlign val="subscript"/>
        <sz val="11"/>
        <rFont val="Times New Roman"/>
        <family val="1"/>
      </rP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</si>
  <si>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</si>
  <si>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</si>
  <si>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</si>
  <si>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</si>
  <si>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</si>
  <si>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</si>
  <si>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Faktorcakupan, k-student's for veff and CL 95%</t>
  </si>
  <si>
    <t>Ketidakpastian bentangan, U= k.Uc</t>
  </si>
  <si>
    <t>RPM</t>
  </si>
  <si>
    <t>Drift Standart</t>
  </si>
  <si>
    <t>Suhu</t>
  </si>
  <si>
    <t>Kelembaban</t>
  </si>
  <si>
    <t>DRIFT</t>
  </si>
  <si>
    <t>-</t>
  </si>
  <si>
    <t xml:space="preserve">Ambang Batas </t>
  </si>
  <si>
    <t>yang diijinkan</t>
  </si>
  <si>
    <t>No.</t>
  </si>
  <si>
    <t>Setting Standar</t>
  </si>
  <si>
    <t>Pambacaan Alat</t>
  </si>
  <si>
    <t>Ketidakpastian Pengukuran</t>
  </si>
  <si>
    <t>Koreksi Relatif (%)</t>
  </si>
  <si>
    <t>Nama</t>
  </si>
  <si>
    <t>Tanggal</t>
  </si>
  <si>
    <t>Paraf</t>
  </si>
  <si>
    <t>Score Total</t>
  </si>
  <si>
    <t>Dibuat Oleh :</t>
  </si>
  <si>
    <t>Penyelia :</t>
  </si>
  <si>
    <t>Menyetujui,</t>
  </si>
  <si>
    <t>Kepala Instalasi Laboratorium</t>
  </si>
  <si>
    <t>Pengujian dan Kalibrasi</t>
  </si>
  <si>
    <t>Halaman 2 dari 2 halaman</t>
  </si>
  <si>
    <t>INPUT SERTIFIKAT THERMOHYGROMETER</t>
  </si>
  <si>
    <t>KOREKSI KIMO THERMOHYGROMETER 15062873</t>
  </si>
  <si>
    <t>Tahun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</si>
  <si>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</si>
  <si>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</si>
  <si>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</si>
  <si>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</si>
  <si>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</si>
  <si>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</si>
  <si>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</si>
  <si>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</si>
  <si>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</si>
  <si>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</si>
  <si>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</si>
  <si>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</si>
  <si>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</si>
  <si>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</si>
  <si>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</si>
  <si>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</si>
  <si>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</si>
  <si>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</si>
  <si>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</si>
  <si>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</si>
  <si>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</si>
  <si>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</si>
  <si>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</si>
  <si>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</si>
  <si>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</si>
  <si>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</si>
  <si>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</si>
  <si>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</si>
  <si>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</si>
  <si>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</si>
  <si>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Thermohygrolight, Merek : KIMO, Model : KH-210-AO, SN : 14082463</t>
  </si>
  <si>
    <t>Thermohygrolight, Merek : Greisinger, Model : GFTB 200, SN : 34903046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</si>
  <si>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</si>
  <si>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</si>
  <si>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</si>
  <si>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</si>
  <si>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</si>
  <si>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</si>
  <si>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</si>
  <si>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</si>
  <si>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</si>
  <si>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</si>
  <si>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</si>
  <si>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</si>
  <si>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</si>
  <si>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</si>
  <si>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</si>
  <si>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</si>
  <si>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</si>
  <si>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ESA 615 (3148908)</t>
  </si>
  <si>
    <t>ESA 615 (3699030)</t>
  </si>
  <si>
    <t>H</t>
  </si>
  <si>
    <t>VI</t>
  </si>
  <si>
    <t>Pembacaan Standar</t>
  </si>
  <si>
    <t>Pembacaan terkoreksi</t>
  </si>
  <si>
    <t>Hasil</t>
  </si>
  <si>
    <t>Thermohygrometer, Merek : KIMO, KH-210-AO (14082463)</t>
  </si>
  <si>
    <t>Achmad Fauzan Adzim</t>
  </si>
  <si>
    <t>1. Ketidakpastian pengukuran dilaporkan pada tingkat kepercayaan 95% dengan faktor cakupan k= 2</t>
  </si>
  <si>
    <t>1. Fetal Simulator, Merek : Fluke Biomedical, Model : PS 320 ( 1828012 )</t>
  </si>
  <si>
    <t>2. Hasil pengukuran keselamatan listrik tertelusur ke Satuan Internasional ( SI ) melalui CALTEK PTE LTD</t>
  </si>
  <si>
    <t>Thermohygrometer, Merek : KIMO, KH-210-AO (15062872)</t>
  </si>
  <si>
    <t>1. Fetal Simulator, Merek : Fluke Biomedical, Model : PS 320 ( 1828016 )</t>
  </si>
  <si>
    <t>Thermohygrometer, Merek : KIMO, KH-210-AO ( 15062874 )</t>
  </si>
  <si>
    <t>1. Fetal Simulator, Merek : Fluke Biomedical, Model : PS 320 ( 3204002)</t>
  </si>
  <si>
    <t>2. Hasil pengukuran keselamatan listrik tertelusur ke Satuan Internasional ( SI ) melalui PT. KALIMAN ( LK - 032 - IDN )</t>
  </si>
  <si>
    <t>Thermohygrometer, Merek : KIMO, KH-210-AO (15062875)</t>
  </si>
  <si>
    <t>≤ 500 µA</t>
  </si>
  <si>
    <t>1. Fetal Simulator, Merek : Fluke Biomedical, Model : PS 320 ( 3204003 )</t>
  </si>
  <si>
    <t>Thermohygrometer, Merek : SEKONIC, ST-50A (HE 21-000670)</t>
  </si>
  <si>
    <t>≤ 100 µA</t>
  </si>
  <si>
    <t>1. Fetal Simulator, Merek : Fluke Biomedical, Model : PS 320 ( 4312020 )</t>
  </si>
  <si>
    <t>Thermohygrometer, Merek : SEKONIC, ST-50A (HE 21-000669)</t>
  </si>
  <si>
    <t>Gusti Arya Dinata</t>
  </si>
  <si>
    <t>Thermohygrometer, Merek : GREISINGER,GFTB 200 (34903053)</t>
  </si>
  <si>
    <t>Hamdan Syarif</t>
  </si>
  <si>
    <t>Thermohygrometer, Merek : GREISINGER,GFTB 200 (34903046)</t>
  </si>
  <si>
    <t>Hary Ernanto</t>
  </si>
  <si>
    <t>Thermohygrometer, Merek : GREISINGER,GFTB 200 (34903051)</t>
  </si>
  <si>
    <t>Thermohygrometer, Merek : GREISINGER,GFTB 202 (34904091)</t>
  </si>
  <si>
    <t>Thermohygrometer, Merek : KIMO, KH-210-AO (15062873)</t>
  </si>
  <si>
    <t>Muhammad Iqbal Saiful Rahman</t>
  </si>
  <si>
    <t>Muhammad Irfan Husnuzhzhan</t>
  </si>
  <si>
    <t>Rangga Setya Hantoko</t>
  </si>
  <si>
    <t>Septia Khairunnisa</t>
  </si>
  <si>
    <t>Venna Filosofia</t>
  </si>
  <si>
    <t>KESIMPULAN</t>
  </si>
  <si>
    <t>SIMBOL</t>
  </si>
  <si>
    <t>PS 320 ( 1828012 )</t>
  </si>
  <si>
    <t>PS 320 ( 1828016 )</t>
  </si>
  <si>
    <t>PS 320 ( 3204002 )</t>
  </si>
  <si>
    <t>Koreksi PS320</t>
  </si>
  <si>
    <t>Setting BPM</t>
  </si>
  <si>
    <t>PS 320 ( 3204003 )</t>
  </si>
  <si>
    <t>PS 320 ( 4312020 )</t>
  </si>
  <si>
    <t xml:space="preserve">PS 320 </t>
  </si>
  <si>
    <t>KOREKSI PS320</t>
  </si>
  <si>
    <r>
      <t>v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</si>
  <si>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</si>
  <si>
    <r>
      <t>C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</si>
  <si>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</si>
  <si>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2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</si>
  <si>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4</t>
    </r>
    <r>
      <rPr>
        <sz val="10"/>
        <color rgb="FFFF0000"/>
        <rFont val="Times New Roman"/>
        <family val="1"/>
      </rPr>
      <t>/V</t>
    </r>
    <r>
      <rPr>
        <vertAlign val="subscript"/>
        <sz val="10"/>
        <color rgb="FFFF0000"/>
        <rFont val="Times New Roman"/>
        <family val="1"/>
      </rPr>
      <t>i</t>
    </r>
  </si>
  <si>
    <t>VALIDASI</t>
  </si>
  <si>
    <t>30 BPM</t>
  </si>
  <si>
    <t>60 BPM</t>
  </si>
  <si>
    <t>90 BPM</t>
  </si>
  <si>
    <t>120 BPM</t>
  </si>
  <si>
    <t>150 BPM</t>
  </si>
  <si>
    <t>180 BPM</t>
  </si>
  <si>
    <t>210 BPM</t>
  </si>
  <si>
    <t xml:space="preserve">&gt; 2 MΩ
</t>
  </si>
  <si>
    <t>NIP 198008062010121001</t>
  </si>
  <si>
    <t>NIP 198103112010121001</t>
  </si>
  <si>
    <t>Pengujian Keselamatan Listrik</t>
  </si>
  <si>
    <t>Kondisi Ruang</t>
  </si>
  <si>
    <t>Pemeriksaan Kondisi Fisik dan Fungsi Alat</t>
  </si>
  <si>
    <t>Alat yang dikalibrasi  dinyatakan LAIK PAKAI / TIDAK LAIK PAKAI</t>
  </si>
  <si>
    <t>Fetal Simulator, Merek : Fluke, Model : PS 320 SN : 1828012, 1828016, 3204002, 3204003, 4312020, 4662032, 4662033</t>
  </si>
  <si>
    <t>Electrical Safety Analyzer, Merek : FLUKE, Model : ESA 615, SN : 2853077, 2853078, 3148907, 3148908, 3699030, 4670010, 4669058</t>
  </si>
  <si>
    <t>Digital Thermohygrometer, Merek : GREISINGER, Model : GFTB 200, SN: 34903046,  34903053, 34903051, 34904091</t>
  </si>
  <si>
    <t>PS 320 ( 4662032 )</t>
  </si>
  <si>
    <t>PS 320 ( 4662033 )</t>
  </si>
  <si>
    <t xml:space="preserve">Alat ukur yang digunakan </t>
  </si>
  <si>
    <t>Alat ukur yang digunakan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</si>
  <si>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</si>
  <si>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</si>
  <si>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</si>
  <si>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bistos</t>
  </si>
  <si>
    <t>BT - 200</t>
  </si>
  <si>
    <t>BDH10736</t>
  </si>
  <si>
    <t>IGD</t>
  </si>
  <si>
    <t>Fatimah Novrianisa</t>
  </si>
  <si>
    <t>11 Maret 2020</t>
  </si>
  <si>
    <t>Alat Ukur Yang Digunakan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</si>
  <si>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</si>
  <si>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</si>
  <si>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>Fetal Simulator, Merek : Fluke Biomedical, Model : PS 320, SN : 3204002</t>
  </si>
  <si>
    <t>Fetal Simulator, Merek : Fluke Biomedical, Model : PS 320, SN : 4312020</t>
  </si>
  <si>
    <t>Fetal Simulator, Merek : Fluke Biomedical, Model : PS 320, SN : 4662032</t>
  </si>
  <si>
    <t>Fetal Simulator, Merek : Fluke Biomedical, Model : PS 320, SN : 4662033</t>
  </si>
  <si>
    <t xml:space="preserve">Resistansi isolasi </t>
  </si>
  <si>
    <t>Kalibrasi Akurasi Frekuensi Heart Rate</t>
  </si>
  <si>
    <t>Rata Rata</t>
  </si>
  <si>
    <t>Tidak terdapat grounding</t>
  </si>
  <si>
    <t>Hasil Skor</t>
  </si>
  <si>
    <t>Kondisi</t>
  </si>
  <si>
    <t>Listrik</t>
  </si>
  <si>
    <t>Frekuensi</t>
  </si>
  <si>
    <t>Batas</t>
  </si>
  <si>
    <t>Tanggal Kalibrasi</t>
  </si>
  <si>
    <t>Tempat Kalibrasi</t>
  </si>
  <si>
    <t>Hasil Kalibrasi Frekuensi Heart Rate (BPM) tertelusur ke Satuan Internasional ( SI ) melalui CALTEK PTE LTD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</si>
  <si>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</si>
  <si>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</si>
  <si>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NC</t>
  </si>
  <si>
    <t>Alat tidak boleh digunakan pada instalasi yang tanpa dilengkapi grounding</t>
  </si>
  <si>
    <t>Wardimanul Abrar</t>
  </si>
  <si>
    <t>Muhammad Alpian Hadi</t>
  </si>
  <si>
    <t>Ahmad Ghazali</t>
  </si>
  <si>
    <t>Ryan Rama Chaesar R</t>
  </si>
  <si>
    <t>Siti Fathul Jannah</t>
  </si>
  <si>
    <t>Thermohygrolight, Merek : Greisinger, Model : GFTB 200, SN : 34903051</t>
  </si>
  <si>
    <t>Digital Thermohygro Barometer : EXTECH, SD700, SN : A.100609, A.100605, A.100611, A.100616,  A.100617</t>
  </si>
  <si>
    <t xml:space="preserve">A.100618, A.100586 </t>
  </si>
  <si>
    <t>Revisi</t>
  </si>
  <si>
    <t>Tidak terdapat grounding di ruangan</t>
  </si>
  <si>
    <t>ESA 615 (4670010)</t>
  </si>
  <si>
    <t>ESA (4669058)</t>
  </si>
  <si>
    <t>NO</t>
  </si>
  <si>
    <t>Electrical Safety Analyzer, Merek : Fluke, Model : ESA 615, SN : 4670010</t>
  </si>
  <si>
    <t>Electrical Safety Analyzer, Merek : Fluke, Model : ESA 615, SN : 4669058</t>
  </si>
  <si>
    <t>Maksimal keluar 2 titik</t>
  </si>
  <si>
    <t>Oleh</t>
  </si>
  <si>
    <t>Pembacaan Alat</t>
  </si>
  <si>
    <t>PS320</t>
  </si>
  <si>
    <t>SUHU</t>
  </si>
  <si>
    <t>SUHU dan KELEMBABAN</t>
  </si>
  <si>
    <t>koreksi</t>
  </si>
  <si>
    <t>terkoreksi</t>
  </si>
  <si>
    <t>Convert TEXT</t>
  </si>
  <si>
    <t>VAC</t>
  </si>
  <si>
    <t>MAIN - PE</t>
  </si>
  <si>
    <t>Terkoreksi</t>
  </si>
  <si>
    <t>HASIL FORECAST</t>
  </si>
  <si>
    <t>PEMBACAAN STANDAR</t>
  </si>
  <si>
    <t>Tipe / Model</t>
  </si>
  <si>
    <t>Nomor Seri</t>
  </si>
  <si>
    <t>Nomor Sertifikat</t>
  </si>
  <si>
    <t>Treceable</t>
  </si>
  <si>
    <t>Fetal Simulator</t>
  </si>
  <si>
    <t>Electrical Safety Analyzer</t>
  </si>
  <si>
    <t>ESA 620</t>
  </si>
  <si>
    <t>ESA 615</t>
  </si>
  <si>
    <t>Thermohygrometer</t>
  </si>
  <si>
    <t>Thermohygrolight</t>
  </si>
  <si>
    <t>KH-210-AO</t>
  </si>
  <si>
    <t>GFTB 200</t>
  </si>
  <si>
    <t>Digital Thermohygro Barometer</t>
  </si>
  <si>
    <t>SD700</t>
  </si>
  <si>
    <t>HE-21.000669</t>
  </si>
  <si>
    <t>HE-21.000670</t>
  </si>
  <si>
    <t>A.100609</t>
  </si>
  <si>
    <t>A.100605</t>
  </si>
  <si>
    <t>A.100611</t>
  </si>
  <si>
    <t>A.100616</t>
  </si>
  <si>
    <t>A.100617</t>
  </si>
  <si>
    <t xml:space="preserve"> A.100618</t>
  </si>
  <si>
    <t>A.100586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</si>
  <si>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</si>
  <si>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</si>
  <si>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</si>
  <si>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</si>
  <si>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</si>
  <si>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</si>
  <si>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</si>
  <si>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</si>
  <si>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</si>
  <si>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Ua</t>
  </si>
  <si>
    <t>sum</t>
  </si>
  <si>
    <t>Tidak terdapat grounding diruangan</t>
  </si>
  <si>
    <t>Choirul Huda,S.Tr.Kes</t>
  </si>
  <si>
    <t>Tanggal Penerimaan Alat</t>
  </si>
  <si>
    <t>Hasil Kalibrasi Frekuensi Heart Rate (BPM) tertelusur ke Satuan Internasional ( SI ) melalui PT.KALIMAN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</si>
  <si>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</si>
  <si>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</si>
  <si>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</si>
  <si>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</si>
  <si>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</si>
  <si>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</si>
  <si>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</si>
  <si>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</si>
  <si>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</si>
  <si>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</si>
  <si>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</si>
  <si>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</si>
  <si>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</si>
  <si>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</si>
  <si>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</si>
  <si>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</si>
  <si>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</si>
  <si>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</si>
  <si>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</si>
  <si>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</si>
  <si>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</si>
  <si>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</si>
  <si>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</si>
  <si>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</si>
  <si>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</si>
  <si>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</si>
  <si>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</si>
  <si>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</si>
  <si>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</si>
  <si>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</si>
  <si>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</si>
  <si>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Jalan ABC</t>
  </si>
  <si>
    <t>Rev 4 : 5.4.2022</t>
  </si>
  <si>
    <t>1 / IV - 21 / E - 03.000 DL</t>
  </si>
  <si>
    <r>
      <t>( M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</si>
  <si>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</si>
  <si>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</si>
  <si>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</si>
  <si>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</si>
  <si>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</si>
  <si>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Fetal Simulator, Merek : Fluke Biomedical, Model : PS 320, SN : 1828012</t>
  </si>
  <si>
    <t>Fetal Simulator, Merek : Fluke Biomedical, Model : PS 320, SN : 1828016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</si>
  <si>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</si>
  <si>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</si>
  <si>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</si>
  <si>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</si>
  <si>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</si>
  <si>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</si>
  <si>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</si>
  <si>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</si>
  <si>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</si>
  <si>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</si>
  <si>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</si>
  <si>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</si>
  <si>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</si>
  <si>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</si>
  <si>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</si>
  <si>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</si>
  <si>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</si>
  <si>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</si>
  <si>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HASIL</t>
  </si>
  <si>
    <t>KOREKSI SUHU</t>
  </si>
  <si>
    <t>KOREKSI KELEMBABAN</t>
  </si>
  <si>
    <t>KOREKSI TEKANAN</t>
  </si>
  <si>
    <t>Fetal Simulator, Merek : Fluke Biomedical, Model : PS 320, SN : 3204003</t>
  </si>
  <si>
    <t>Arus bocor peralatan untuk perangkat elektromedik kelas I</t>
  </si>
  <si>
    <t>Arus bocor peralatan untuk perangkat elektromedik kelas II</t>
  </si>
  <si>
    <t>Kapasitas</t>
  </si>
  <si>
    <r>
      <t>o</t>
    </r>
    <r>
      <rPr>
        <sz val="11"/>
        <rFont val="Arial"/>
        <family val="2"/>
      </rPr>
      <t>C</t>
    </r>
  </si>
  <si>
    <t>OL</t>
  </si>
  <si>
    <t>Input Data Kalibrasi Cardiotocograph</t>
  </si>
  <si>
    <t>Nomor Sertifikat : 13 /</t>
  </si>
  <si>
    <t>Nomor Surat Keterangan : 13 / M -</t>
  </si>
  <si>
    <t>Sertifikat / Surat Keterangan : 13 /     /        -        /E -                         DL / Dt</t>
  </si>
  <si>
    <t>Lembar Kerja Kalibrasi Cardiotocograph</t>
  </si>
  <si>
    <t>240 BPM</t>
  </si>
  <si>
    <t>Hasil Kalibrasi Cardiotocograph</t>
  </si>
  <si>
    <t>MK 015 - 18</t>
  </si>
  <si>
    <t>Cardiotocograph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</si>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</sst>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\ &quot;MΩ&quot;"/>
    <numFmt numFmtId="165" formatCode="0.0\ \ \ \ \ \ &quot;±&quot;\ "/>
    <numFmt numFmtId="166" formatCode="0.0"/>
    <numFmt numFmtId="167" formatCode="[$-F800]dddd\,\ mmmm\ dd\,\ yyyy"/>
    <numFmt numFmtId="168" formatCode="0\ &quot;BPM&quot;"/>
    <numFmt numFmtId="169" formatCode="0.00\ &quot;%&quot;"/>
    <numFmt numFmtId="170" formatCode="0\ &quot;%&quot;"/>
    <numFmt numFmtId="171" formatCode="&quot;±&quot;\ 0.0"/>
    <numFmt numFmtId="172" formatCode="0.0;[Red]0.0"/>
    <numFmt numFmtId="173" formatCode="0.000"/>
    <numFmt numFmtId="174" formatCode="0.0000"/>
    <numFmt numFmtId="175" formatCode="0.00000"/>
    <numFmt numFmtId="176" formatCode="0.000000"/>
    <numFmt numFmtId="177" formatCode="0.000E+00"/>
    <numFmt numFmtId="178" formatCode="0.0\ \ &quot;Volt&quot;"/>
    <numFmt numFmtId="179" formatCode="&quot;±&quot;\ 0\ %"/>
    <numFmt numFmtId="180" formatCode="0.0\ &quot;µ&quot;\A"/>
    <numFmt numFmtId="181" formatCode="0.0\ &quot;Ω&quot;"/>
    <numFmt numFmtId="182" formatCode="0.0\ &quot;%&quot;"/>
    <numFmt numFmtId="183" formatCode="[$-421]dd\ mmmm\ yyyy;@"/>
    <numFmt numFmtId="184" formatCode="0.0000000"/>
    <numFmt numFmtId="185" formatCode="[$-C09]d\ mmmm\ yyyy;@"/>
  </numFmts>
  <fonts count="98">
    <font>
      <sz val="10"/>
      <name val="Arial"/>
      <charset val="134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u/>
      <sz val="8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i/>
      <sz val="1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0"/>
      <name val="Times New Roman"/>
      <family val="1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b/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b/>
      <sz val="12"/>
      <name val="Times New Roman"/>
      <family val="1"/>
    </font>
    <font>
      <sz val="10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26"/>
      <color rgb="FFFF0000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b/>
      <i/>
      <sz val="8"/>
      <name val="Arial"/>
      <family val="2"/>
    </font>
    <font>
      <i/>
      <sz val="10"/>
      <color rgb="FFFF0000"/>
      <name val="Arial"/>
      <family val="2"/>
    </font>
    <font>
      <b/>
      <i/>
      <sz val="12"/>
      <color rgb="FFFF0000"/>
      <name val="Times New Roman"/>
      <family val="1"/>
    </font>
    <font>
      <sz val="9"/>
      <name val="Times New Roman"/>
      <family val="1"/>
    </font>
    <font>
      <sz val="28"/>
      <color rgb="FFFF0000"/>
      <name val="Arial"/>
      <family val="2"/>
    </font>
    <font>
      <sz val="16"/>
      <name val="Arial"/>
      <family val="2"/>
    </font>
    <font>
      <b/>
      <u/>
      <sz val="11"/>
      <name val="Arial"/>
      <family val="2"/>
    </font>
    <font>
      <sz val="13"/>
      <name val="Arial"/>
      <family val="2"/>
    </font>
    <font>
      <b/>
      <i/>
      <vertAlign val="superscript"/>
      <sz val="11"/>
      <name val="Calibri"/>
      <family val="2"/>
      <scheme val="minor"/>
    </font>
    <font>
      <vertAlign val="superscript"/>
      <sz val="1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sz val="14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vertAlign val="superscript"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0.5"/>
      <name val="Arial"/>
      <family val="2"/>
    </font>
    <font>
      <sz val="10"/>
      <color theme="0" tint="-0.249977111117893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4"/>
      <name val="Arial"/>
      <family val="2"/>
    </font>
    <font>
      <b/>
      <i/>
      <u/>
      <sz val="11"/>
      <name val="Arial"/>
      <family val="2"/>
    </font>
    <font>
      <i/>
      <u/>
      <sz val="1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  <font>
      <sz val="2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</borders>
  <cellStyleXfs count="7">
    <xf numFmtId="0" fontId="0" fillId="0" borderId="0"/>
    <xf numFmtId="0" fontId="58" fillId="0" borderId="0"/>
    <xf numFmtId="0" fontId="58" fillId="0" borderId="0"/>
    <xf numFmtId="0" fontId="76" fillId="0" borderId="0"/>
    <xf numFmtId="0" fontId="58" fillId="0" borderId="0"/>
    <xf numFmtId="0" fontId="58" fillId="0" borderId="0"/>
    <xf numFmtId="0" fontId="89" fillId="0" borderId="0"/>
  </cellStyleXfs>
  <cellXfs count="1128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hidden="1"/>
    </xf>
    <xf numFmtId="0" fontId="11" fillId="3" borderId="19" xfId="0" applyFont="1" applyFill="1" applyBorder="1" applyAlignment="1" applyProtection="1">
      <alignment horizontal="left" vertical="top" wrapText="1"/>
      <protection hidden="1"/>
    </xf>
    <xf numFmtId="0" fontId="11" fillId="4" borderId="4" xfId="0" applyFont="1" applyFill="1" applyBorder="1" applyAlignment="1" applyProtection="1">
      <alignment horizontal="left" vertical="top" wrapText="1"/>
      <protection hidden="1"/>
    </xf>
    <xf numFmtId="0" fontId="11" fillId="3" borderId="1" xfId="0" applyFont="1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6" fillId="3" borderId="30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2" fontId="16" fillId="3" borderId="30" xfId="0" applyNumberFormat="1" applyFont="1" applyFill="1" applyBorder="1" applyAlignment="1">
      <alignment horizontal="center" vertical="center"/>
    </xf>
    <xf numFmtId="2" fontId="16" fillId="3" borderId="4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9" fillId="3" borderId="4" xfId="0" applyFont="1" applyFill="1" applyBorder="1"/>
    <xf numFmtId="0" fontId="29" fillId="0" borderId="0" xfId="2" applyFont="1" applyAlignment="1" applyProtection="1">
      <alignment vertical="center"/>
      <protection locked="0"/>
    </xf>
    <xf numFmtId="0" fontId="31" fillId="3" borderId="0" xfId="2" applyFont="1" applyFill="1" applyAlignment="1">
      <alignment horizontal="center" vertical="center"/>
    </xf>
    <xf numFmtId="0" fontId="29" fillId="3" borderId="0" xfId="2" applyFont="1" applyFill="1" applyAlignment="1">
      <alignment vertical="center"/>
    </xf>
    <xf numFmtId="0" fontId="29" fillId="0" borderId="0" xfId="2" applyFont="1" applyAlignment="1">
      <alignment vertical="center"/>
    </xf>
    <xf numFmtId="0" fontId="29" fillId="3" borderId="0" xfId="2" applyFont="1" applyFill="1" applyAlignment="1">
      <alignment horizontal="right" vertical="center"/>
    </xf>
    <xf numFmtId="0" fontId="31" fillId="3" borderId="0" xfId="2" applyFont="1" applyFill="1" applyAlignment="1">
      <alignment vertical="center"/>
    </xf>
    <xf numFmtId="0" fontId="32" fillId="3" borderId="0" xfId="2" applyFont="1" applyFill="1" applyAlignment="1">
      <alignment vertical="center"/>
    </xf>
    <xf numFmtId="0" fontId="29" fillId="0" borderId="0" xfId="2" applyFont="1" applyAlignment="1">
      <alignment horizontal="right" vertical="center"/>
    </xf>
    <xf numFmtId="178" fontId="29" fillId="3" borderId="0" xfId="2" applyNumberFormat="1" applyFont="1" applyFill="1" applyAlignment="1">
      <alignment horizontal="center" vertical="center"/>
    </xf>
    <xf numFmtId="172" fontId="31" fillId="3" borderId="0" xfId="2" applyNumberFormat="1" applyFont="1" applyFill="1" applyAlignment="1">
      <alignment horizontal="left" vertical="center"/>
    </xf>
    <xf numFmtId="49" fontId="31" fillId="3" borderId="0" xfId="2" applyNumberFormat="1" applyFont="1" applyFill="1" applyAlignment="1">
      <alignment vertical="center"/>
    </xf>
    <xf numFmtId="0" fontId="29" fillId="3" borderId="1" xfId="0" applyFont="1" applyFill="1" applyBorder="1" applyAlignment="1">
      <alignment vertical="center"/>
    </xf>
    <xf numFmtId="0" fontId="29" fillId="3" borderId="2" xfId="0" applyFont="1" applyFill="1" applyBorder="1" applyAlignment="1">
      <alignment vertical="center"/>
    </xf>
    <xf numFmtId="0" fontId="29" fillId="0" borderId="3" xfId="2" applyFont="1" applyBorder="1" applyAlignment="1" applyProtection="1">
      <alignment vertical="center"/>
      <protection locked="0"/>
    </xf>
    <xf numFmtId="0" fontId="29" fillId="3" borderId="0" xfId="2" applyFont="1" applyFill="1" applyAlignment="1">
      <alignment horizontal="center" vertical="center"/>
    </xf>
    <xf numFmtId="180" fontId="29" fillId="3" borderId="0" xfId="2" applyNumberFormat="1" applyFont="1" applyFill="1" applyAlignment="1">
      <alignment horizontal="center" vertical="center"/>
    </xf>
    <xf numFmtId="0" fontId="31" fillId="3" borderId="4" xfId="2" applyFont="1" applyFill="1" applyBorder="1" applyAlignment="1">
      <alignment horizontal="center" vertical="center"/>
    </xf>
    <xf numFmtId="171" fontId="29" fillId="3" borderId="4" xfId="2" applyNumberFormat="1" applyFont="1" applyFill="1" applyBorder="1" applyAlignment="1" applyProtection="1">
      <alignment horizontal="center" vertical="center"/>
      <protection locked="0"/>
    </xf>
    <xf numFmtId="0" fontId="29" fillId="3" borderId="54" xfId="2" applyFont="1" applyFill="1" applyBorder="1" applyAlignment="1">
      <alignment horizontal="left" vertical="center"/>
    </xf>
    <xf numFmtId="0" fontId="29" fillId="3" borderId="54" xfId="2" applyFont="1" applyFill="1" applyBorder="1" applyAlignment="1">
      <alignment horizontal="center" vertical="center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vertical="center"/>
      <protection locked="0"/>
    </xf>
    <xf numFmtId="2" fontId="29" fillId="3" borderId="0" xfId="2" applyNumberFormat="1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29" fillId="3" borderId="0" xfId="0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173" fontId="29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vertical="center"/>
      <protection locked="0"/>
    </xf>
    <xf numFmtId="0" fontId="29" fillId="3" borderId="0" xfId="1" applyFont="1" applyFill="1" applyAlignment="1" applyProtection="1">
      <alignment vertical="center"/>
      <protection locked="0"/>
    </xf>
    <xf numFmtId="0" fontId="31" fillId="3" borderId="4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0" fontId="29" fillId="0" borderId="4" xfId="2" applyFont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173" fontId="29" fillId="3" borderId="0" xfId="2" applyNumberFormat="1" applyFont="1" applyFill="1" applyAlignment="1" applyProtection="1">
      <alignment horizontal="left" vertical="center"/>
      <protection locked="0"/>
    </xf>
    <xf numFmtId="0" fontId="29" fillId="3" borderId="0" xfId="2" applyFont="1" applyFill="1" applyAlignment="1" applyProtection="1">
      <alignment horizontal="center" vertical="center"/>
      <protection locked="0"/>
    </xf>
    <xf numFmtId="173" fontId="29" fillId="3" borderId="0" xfId="2" applyNumberFormat="1" applyFont="1" applyFill="1" applyAlignment="1" applyProtection="1">
      <alignment horizontal="center" vertical="center"/>
      <protection locked="0"/>
    </xf>
    <xf numFmtId="0" fontId="33" fillId="3" borderId="0" xfId="2" applyFont="1" applyFill="1" applyAlignment="1">
      <alignment vertical="center"/>
    </xf>
    <xf numFmtId="0" fontId="30" fillId="3" borderId="0" xfId="2" applyFont="1" applyFill="1" applyAlignment="1">
      <alignment vertical="center"/>
    </xf>
    <xf numFmtId="0" fontId="29" fillId="0" borderId="0" xfId="2" applyFont="1" applyAlignment="1">
      <alignment horizontal="center" vertical="center"/>
    </xf>
    <xf numFmtId="0" fontId="31" fillId="3" borderId="0" xfId="1" applyFont="1" applyFill="1" applyAlignment="1">
      <alignment vertical="center" wrapText="1"/>
    </xf>
    <xf numFmtId="0" fontId="35" fillId="0" borderId="0" xfId="2" applyFont="1" applyAlignment="1" applyProtection="1">
      <alignment vertical="center"/>
      <protection locked="0"/>
    </xf>
    <xf numFmtId="0" fontId="36" fillId="3" borderId="0" xfId="2" applyFont="1" applyFill="1" applyAlignment="1">
      <alignment horizontal="center" wrapText="1"/>
    </xf>
    <xf numFmtId="0" fontId="38" fillId="3" borderId="0" xfId="1" applyFont="1" applyFill="1" applyAlignment="1" applyProtection="1">
      <alignment vertical="center"/>
      <protection locked="0"/>
    </xf>
    <xf numFmtId="0" fontId="37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39" fillId="0" borderId="1" xfId="2" applyFont="1" applyBorder="1" applyAlignment="1">
      <alignment horizontal="center" vertical="center"/>
    </xf>
    <xf numFmtId="0" fontId="39" fillId="0" borderId="4" xfId="2" applyFont="1" applyBorder="1" applyAlignment="1">
      <alignment horizontal="center" vertical="center"/>
    </xf>
    <xf numFmtId="0" fontId="39" fillId="0" borderId="2" xfId="2" applyFont="1" applyBorder="1" applyAlignment="1">
      <alignment horizontal="center" vertical="center"/>
    </xf>
    <xf numFmtId="2" fontId="39" fillId="0" borderId="2" xfId="2" applyNumberFormat="1" applyFont="1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/>
    <xf numFmtId="2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4" fillId="3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right"/>
    </xf>
    <xf numFmtId="0" fontId="37" fillId="0" borderId="0" xfId="0" applyFont="1"/>
    <xf numFmtId="0" fontId="39" fillId="0" borderId="3" xfId="2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0" fillId="3" borderId="4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66" fontId="43" fillId="3" borderId="4" xfId="0" applyNumberFormat="1" applyFont="1" applyFill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166" fontId="0" fillId="3" borderId="4" xfId="0" applyNumberFormat="1" applyFill="1" applyBorder="1"/>
    <xf numFmtId="166" fontId="0" fillId="3" borderId="0" xfId="0" applyNumberFormat="1" applyFill="1"/>
    <xf numFmtId="0" fontId="44" fillId="1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/>
    <xf numFmtId="166" fontId="0" fillId="3" borderId="4" xfId="0" applyNumberFormat="1" applyFill="1" applyBorder="1" applyAlignment="1">
      <alignment horizontal="center"/>
    </xf>
    <xf numFmtId="173" fontId="0" fillId="0" borderId="4" xfId="0" applyNumberFormat="1" applyBorder="1" applyAlignment="1">
      <alignment horizontal="center"/>
    </xf>
    <xf numFmtId="0" fontId="49" fillId="0" borderId="0" xfId="0" applyFont="1"/>
    <xf numFmtId="0" fontId="50" fillId="0" borderId="0" xfId="0" applyFont="1"/>
    <xf numFmtId="0" fontId="42" fillId="0" borderId="0" xfId="0" applyFont="1"/>
    <xf numFmtId="2" fontId="0" fillId="0" borderId="4" xfId="0" applyNumberFormat="1" applyBorder="1"/>
    <xf numFmtId="173" fontId="9" fillId="0" borderId="4" xfId="0" applyNumberFormat="1" applyFont="1" applyBorder="1" applyAlignment="1">
      <alignment horizontal="center"/>
    </xf>
    <xf numFmtId="0" fontId="51" fillId="3" borderId="4" xfId="0" applyFont="1" applyFill="1" applyBorder="1" applyAlignment="1">
      <alignment horizontal="center" vertical="center"/>
    </xf>
    <xf numFmtId="173" fontId="9" fillId="3" borderId="4" xfId="0" applyNumberFormat="1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/>
    </xf>
    <xf numFmtId="173" fontId="9" fillId="3" borderId="4" xfId="0" applyNumberFormat="1" applyFont="1" applyFill="1" applyBorder="1" applyAlignment="1">
      <alignment horizontal="center"/>
    </xf>
    <xf numFmtId="0" fontId="52" fillId="13" borderId="0" xfId="0" applyFont="1" applyFill="1" applyAlignment="1">
      <alignment horizontal="center" vertical="center"/>
    </xf>
    <xf numFmtId="0" fontId="53" fillId="6" borderId="0" xfId="0" applyFont="1" applyFill="1" applyAlignment="1">
      <alignment horizontal="center" vertical="center"/>
    </xf>
    <xf numFmtId="0" fontId="42" fillId="3" borderId="36" xfId="0" applyFont="1" applyFill="1" applyBorder="1" applyAlignment="1">
      <alignment horizontal="center"/>
    </xf>
    <xf numFmtId="0" fontId="42" fillId="3" borderId="37" xfId="0" applyFont="1" applyFill="1" applyBorder="1" applyAlignment="1">
      <alignment horizontal="center"/>
    </xf>
    <xf numFmtId="0" fontId="42" fillId="3" borderId="45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2" fontId="16" fillId="3" borderId="13" xfId="0" applyNumberFormat="1" applyFont="1" applyFill="1" applyBorder="1" applyAlignment="1">
      <alignment horizontal="center"/>
    </xf>
    <xf numFmtId="173" fontId="16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73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13" borderId="0" xfId="0" applyFill="1"/>
    <xf numFmtId="0" fontId="42" fillId="3" borderId="0" xfId="0" applyFont="1" applyFill="1"/>
    <xf numFmtId="2" fontId="16" fillId="3" borderId="33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/>
    </xf>
    <xf numFmtId="2" fontId="16" fillId="3" borderId="16" xfId="0" applyNumberFormat="1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left"/>
    </xf>
    <xf numFmtId="0" fontId="29" fillId="3" borderId="0" xfId="0" applyFont="1" applyFill="1"/>
    <xf numFmtId="0" fontId="29" fillId="3" borderId="0" xfId="0" applyFont="1" applyFill="1" applyAlignment="1">
      <alignment vertical="center"/>
    </xf>
    <xf numFmtId="0" fontId="29" fillId="3" borderId="0" xfId="0" applyFont="1" applyFill="1" applyAlignment="1">
      <alignment horizontal="right"/>
    </xf>
    <xf numFmtId="0" fontId="29" fillId="14" borderId="0" xfId="0" applyFont="1" applyFill="1"/>
    <xf numFmtId="0" fontId="29" fillId="3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0" fontId="29" fillId="14" borderId="0" xfId="0" applyFont="1" applyFill="1" applyAlignment="1">
      <alignment horizontal="right"/>
    </xf>
    <xf numFmtId="0" fontId="31" fillId="3" borderId="0" xfId="0" applyFont="1" applyFill="1" applyAlignment="1">
      <alignment horizontal="left" vertical="center"/>
    </xf>
    <xf numFmtId="0" fontId="31" fillId="3" borderId="0" xfId="0" applyFont="1" applyFill="1"/>
    <xf numFmtId="0" fontId="31" fillId="3" borderId="4" xfId="0" applyFont="1" applyFill="1" applyBorder="1" applyAlignment="1">
      <alignment horizontal="left" vertical="center"/>
    </xf>
    <xf numFmtId="166" fontId="29" fillId="3" borderId="0" xfId="0" applyNumberFormat="1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72" fontId="29" fillId="3" borderId="0" xfId="0" applyNumberFormat="1" applyFont="1" applyFill="1" applyAlignment="1">
      <alignment horizontal="left" vertical="center"/>
    </xf>
    <xf numFmtId="49" fontId="29" fillId="3" borderId="0" xfId="0" applyNumberFormat="1" applyFont="1" applyFill="1" applyAlignment="1">
      <alignment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57" xfId="0" applyFont="1" applyFill="1" applyBorder="1"/>
    <xf numFmtId="0" fontId="29" fillId="3" borderId="57" xfId="0" applyFont="1" applyFill="1" applyBorder="1" applyAlignment="1">
      <alignment horizontal="left"/>
    </xf>
    <xf numFmtId="0" fontId="29" fillId="3" borderId="4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49" fontId="29" fillId="3" borderId="4" xfId="0" applyNumberFormat="1" applyFont="1" applyFill="1" applyBorder="1" applyAlignment="1">
      <alignment horizontal="center"/>
    </xf>
    <xf numFmtId="1" fontId="29" fillId="3" borderId="4" xfId="0" applyNumberFormat="1" applyFont="1" applyFill="1" applyBorder="1" applyAlignment="1">
      <alignment horizontal="center"/>
    </xf>
    <xf numFmtId="176" fontId="29" fillId="3" borderId="0" xfId="0" applyNumberFormat="1" applyFont="1" applyFill="1" applyAlignment="1">
      <alignment horizontal="center"/>
    </xf>
    <xf numFmtId="174" fontId="29" fillId="3" borderId="0" xfId="0" applyNumberFormat="1" applyFont="1" applyFill="1" applyAlignment="1">
      <alignment horizontal="center"/>
    </xf>
    <xf numFmtId="0" fontId="54" fillId="3" borderId="0" xfId="0" applyFont="1" applyFill="1"/>
    <xf numFmtId="0" fontId="31" fillId="3" borderId="4" xfId="0" applyFont="1" applyFill="1" applyBorder="1" applyAlignment="1">
      <alignment horizontal="center" vertical="center" wrapText="1"/>
    </xf>
    <xf numFmtId="0" fontId="31" fillId="3" borderId="0" xfId="0" applyFont="1" applyFill="1" applyAlignment="1">
      <alignment vertical="center" wrapText="1"/>
    </xf>
    <xf numFmtId="176" fontId="29" fillId="0" borderId="0" xfId="0" applyNumberFormat="1" applyFont="1" applyAlignment="1">
      <alignment horizontal="center"/>
    </xf>
    <xf numFmtId="0" fontId="29" fillId="3" borderId="0" xfId="0" applyFont="1" applyFill="1" applyAlignment="1">
      <alignment horizontal="center" vertical="center"/>
    </xf>
    <xf numFmtId="176" fontId="29" fillId="0" borderId="0" xfId="0" applyNumberFormat="1" applyFont="1"/>
    <xf numFmtId="1" fontId="29" fillId="3" borderId="0" xfId="0" applyNumberFormat="1" applyFont="1" applyFill="1" applyAlignment="1">
      <alignment horizontal="center"/>
    </xf>
    <xf numFmtId="174" fontId="29" fillId="0" borderId="0" xfId="0" applyNumberFormat="1" applyFont="1" applyAlignment="1">
      <alignment horizontal="center"/>
    </xf>
    <xf numFmtId="0" fontId="29" fillId="5" borderId="0" xfId="0" applyFont="1" applyFill="1"/>
    <xf numFmtId="0" fontId="29" fillId="3" borderId="0" xfId="1" applyFont="1" applyFill="1"/>
    <xf numFmtId="0" fontId="29" fillId="3" borderId="2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3" borderId="58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166" fontId="29" fillId="0" borderId="4" xfId="0" applyNumberFormat="1" applyFont="1" applyBorder="1" applyAlignment="1">
      <alignment horizontal="center"/>
    </xf>
    <xf numFmtId="2" fontId="29" fillId="3" borderId="4" xfId="0" applyNumberFormat="1" applyFont="1" applyFill="1" applyBorder="1" applyAlignment="1">
      <alignment horizontal="center"/>
    </xf>
    <xf numFmtId="0" fontId="55" fillId="3" borderId="0" xfId="0" applyFont="1" applyFill="1" applyAlignment="1">
      <alignment horizontal="center" vertical="center"/>
    </xf>
    <xf numFmtId="0" fontId="29" fillId="3" borderId="59" xfId="0" applyFont="1" applyFill="1" applyBorder="1" applyAlignment="1">
      <alignment vertical="center"/>
    </xf>
    <xf numFmtId="0" fontId="29" fillId="3" borderId="6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2" fillId="3" borderId="0" xfId="0" applyFont="1" applyFill="1" applyAlignment="1">
      <alignment vertical="center"/>
    </xf>
    <xf numFmtId="0" fontId="29" fillId="3" borderId="61" xfId="0" applyFont="1" applyFill="1" applyBorder="1" applyAlignment="1">
      <alignment vertical="center"/>
    </xf>
    <xf numFmtId="0" fontId="29" fillId="3" borderId="61" xfId="0" applyFont="1" applyFill="1" applyBorder="1" applyAlignment="1">
      <alignment horizontal="right" vertical="center"/>
    </xf>
    <xf numFmtId="0" fontId="29" fillId="3" borderId="56" xfId="0" applyFont="1" applyFill="1" applyBorder="1" applyAlignment="1">
      <alignment horizontal="center" vertical="center"/>
    </xf>
    <xf numFmtId="49" fontId="29" fillId="3" borderId="4" xfId="0" applyNumberFormat="1" applyFont="1" applyFill="1" applyBorder="1" applyAlignment="1">
      <alignment horizontal="center" vertical="center"/>
    </xf>
    <xf numFmtId="1" fontId="29" fillId="3" borderId="4" xfId="0" applyNumberFormat="1" applyFont="1" applyFill="1" applyBorder="1" applyAlignment="1">
      <alignment horizontal="center" vertical="center"/>
    </xf>
    <xf numFmtId="1" fontId="35" fillId="3" borderId="4" xfId="0" applyNumberFormat="1" applyFont="1" applyFill="1" applyBorder="1" applyAlignment="1">
      <alignment vertical="center"/>
    </xf>
    <xf numFmtId="1" fontId="35" fillId="3" borderId="4" xfId="0" applyNumberFormat="1" applyFont="1" applyFill="1" applyBorder="1" applyAlignment="1">
      <alignment horizontal="center" vertical="center"/>
    </xf>
    <xf numFmtId="0" fontId="2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9" fillId="3" borderId="0" xfId="0" applyFont="1" applyFill="1" applyProtection="1">
      <protection hidden="1"/>
    </xf>
    <xf numFmtId="0" fontId="29" fillId="0" borderId="59" xfId="0" applyFont="1" applyBorder="1"/>
    <xf numFmtId="0" fontId="29" fillId="0" borderId="4" xfId="2" applyFont="1" applyBorder="1" applyAlignment="1">
      <alignment horizontal="center" vertical="center"/>
    </xf>
    <xf numFmtId="173" fontId="29" fillId="3" borderId="0" xfId="0" applyNumberFormat="1" applyFont="1" applyFill="1" applyAlignment="1">
      <alignment horizontal="center" vertical="center"/>
    </xf>
    <xf numFmtId="0" fontId="29" fillId="3" borderId="48" xfId="0" applyFont="1" applyFill="1" applyBorder="1" applyAlignment="1">
      <alignment vertical="center"/>
    </xf>
    <xf numFmtId="0" fontId="29" fillId="3" borderId="49" xfId="0" applyFont="1" applyFill="1" applyBorder="1" applyAlignment="1">
      <alignment vertical="center"/>
    </xf>
    <xf numFmtId="0" fontId="29" fillId="0" borderId="51" xfId="0" applyFont="1" applyBorder="1"/>
    <xf numFmtId="0" fontId="29" fillId="0" borderId="4" xfId="2" quotePrefix="1" applyFont="1" applyBorder="1" applyAlignment="1">
      <alignment horizontal="center" vertical="center"/>
    </xf>
    <xf numFmtId="0" fontId="29" fillId="0" borderId="4" xfId="2" quotePrefix="1" applyFont="1" applyBorder="1" applyAlignment="1" applyProtection="1">
      <alignment horizontal="center" vertical="center"/>
      <protection locked="0"/>
    </xf>
    <xf numFmtId="0" fontId="29" fillId="3" borderId="0" xfId="0" quotePrefix="1" applyFont="1" applyFill="1" applyAlignment="1">
      <alignment horizontal="left"/>
    </xf>
    <xf numFmtId="0" fontId="29" fillId="0" borderId="0" xfId="0" quotePrefix="1" applyFont="1"/>
    <xf numFmtId="0" fontId="0" fillId="3" borderId="4" xfId="0" quotePrefix="1" applyFill="1" applyBorder="1" applyAlignment="1">
      <alignment horizontal="center"/>
    </xf>
    <xf numFmtId="2" fontId="0" fillId="0" borderId="4" xfId="0" quotePrefix="1" applyNumberFormat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0" fontId="60" fillId="11" borderId="4" xfId="0" quotePrefix="1" applyFont="1" applyFill="1" applyBorder="1" applyAlignment="1">
      <alignment horizontal="center" vertical="center"/>
    </xf>
    <xf numFmtId="0" fontId="60" fillId="0" borderId="1" xfId="2" applyFont="1" applyBorder="1" applyAlignment="1">
      <alignment horizontal="left"/>
    </xf>
    <xf numFmtId="0" fontId="60" fillId="0" borderId="3" xfId="0" applyFont="1" applyBorder="1" applyAlignment="1">
      <alignment vertical="top"/>
    </xf>
    <xf numFmtId="0" fontId="60" fillId="0" borderId="0" xfId="2" applyFont="1" applyAlignment="1">
      <alignment horizontal="center"/>
    </xf>
    <xf numFmtId="0" fontId="60" fillId="0" borderId="4" xfId="2" applyFont="1" applyBorder="1" applyAlignment="1">
      <alignment horizontal="center"/>
    </xf>
    <xf numFmtId="2" fontId="60" fillId="0" borderId="5" xfId="0" applyNumberFormat="1" applyFont="1" applyBorder="1" applyAlignment="1">
      <alignment horizontal="center"/>
    </xf>
    <xf numFmtId="2" fontId="60" fillId="0" borderId="54" xfId="0" applyNumberFormat="1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174" fontId="60" fillId="0" borderId="54" xfId="0" applyNumberFormat="1" applyFont="1" applyBorder="1" applyAlignment="1">
      <alignment horizontal="center"/>
    </xf>
    <xf numFmtId="0" fontId="60" fillId="0" borderId="5" xfId="0" applyFont="1" applyBorder="1" applyAlignment="1">
      <alignment horizontal="center"/>
    </xf>
    <xf numFmtId="174" fontId="60" fillId="0" borderId="0" xfId="0" applyNumberFormat="1" applyFont="1" applyAlignment="1">
      <alignment horizontal="center"/>
    </xf>
    <xf numFmtId="11" fontId="60" fillId="0" borderId="52" xfId="0" applyNumberFormat="1" applyFont="1" applyBorder="1" applyAlignment="1">
      <alignment horizontal="center"/>
    </xf>
    <xf numFmtId="11" fontId="60" fillId="0" borderId="53" xfId="0" applyNumberFormat="1" applyFont="1" applyBorder="1" applyAlignment="1">
      <alignment horizontal="center"/>
    </xf>
    <xf numFmtId="0" fontId="60" fillId="0" borderId="1" xfId="2" applyFont="1" applyBorder="1" applyAlignment="1">
      <alignment horizontal="center"/>
    </xf>
    <xf numFmtId="174" fontId="60" fillId="0" borderId="2" xfId="0" applyNumberFormat="1" applyFont="1" applyBorder="1" applyAlignment="1">
      <alignment horizontal="center"/>
    </xf>
    <xf numFmtId="11" fontId="60" fillId="0" borderId="4" xfId="0" applyNumberFormat="1" applyFont="1" applyBorder="1" applyAlignment="1">
      <alignment horizontal="center"/>
    </xf>
    <xf numFmtId="11" fontId="60" fillId="0" borderId="3" xfId="0" applyNumberFormat="1" applyFont="1" applyBorder="1" applyAlignment="1">
      <alignment horizontal="center"/>
    </xf>
    <xf numFmtId="2" fontId="60" fillId="0" borderId="4" xfId="0" applyNumberFormat="1" applyFont="1" applyBorder="1" applyAlignment="1">
      <alignment horizontal="center"/>
    </xf>
    <xf numFmtId="174" fontId="60" fillId="0" borderId="4" xfId="0" applyNumberFormat="1" applyFont="1" applyBorder="1" applyAlignment="1">
      <alignment horizontal="center"/>
    </xf>
    <xf numFmtId="0" fontId="60" fillId="0" borderId="1" xfId="2" applyFont="1" applyBorder="1"/>
    <xf numFmtId="0" fontId="60" fillId="0" borderId="58" xfId="0" applyFont="1" applyBorder="1" applyAlignment="1">
      <alignment vertical="top"/>
    </xf>
    <xf numFmtId="173" fontId="60" fillId="0" borderId="6" xfId="0" applyNumberFormat="1" applyFont="1" applyBorder="1" applyAlignment="1">
      <alignment horizontal="center"/>
    </xf>
    <xf numFmtId="0" fontId="60" fillId="0" borderId="1" xfId="0" applyFont="1" applyBorder="1" applyAlignment="1">
      <alignment vertical="top"/>
    </xf>
    <xf numFmtId="0" fontId="60" fillId="0" borderId="3" xfId="0" applyFont="1" applyBorder="1" applyAlignment="1">
      <alignment horizontal="center"/>
    </xf>
    <xf numFmtId="175" fontId="60" fillId="0" borderId="4" xfId="0" applyNumberFormat="1" applyFont="1" applyBorder="1" applyAlignment="1">
      <alignment horizontal="center"/>
    </xf>
    <xf numFmtId="0" fontId="60" fillId="0" borderId="1" xfId="0" applyFont="1" applyBorder="1"/>
    <xf numFmtId="177" fontId="65" fillId="0" borderId="1" xfId="0" applyNumberFormat="1" applyFont="1" applyBorder="1" applyAlignment="1">
      <alignment horizontal="center"/>
    </xf>
    <xf numFmtId="0" fontId="60" fillId="0" borderId="4" xfId="0" applyFont="1" applyBorder="1"/>
    <xf numFmtId="2" fontId="65" fillId="0" borderId="1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 vertical="center"/>
    </xf>
    <xf numFmtId="2" fontId="66" fillId="0" borderId="4" xfId="0" applyNumberFormat="1" applyFont="1" applyBorder="1" applyAlignment="1">
      <alignment horizontal="center"/>
    </xf>
    <xf numFmtId="0" fontId="68" fillId="0" borderId="0" xfId="0" applyFont="1"/>
    <xf numFmtId="2" fontId="0" fillId="12" borderId="4" xfId="0" applyNumberFormat="1" applyFill="1" applyBorder="1" applyAlignment="1">
      <alignment horizontal="center"/>
    </xf>
    <xf numFmtId="175" fontId="60" fillId="0" borderId="52" xfId="0" applyNumberFormat="1" applyFont="1" applyBorder="1" applyAlignment="1">
      <alignment horizontal="center"/>
    </xf>
    <xf numFmtId="173" fontId="65" fillId="0" borderId="1" xfId="0" applyNumberFormat="1" applyFont="1" applyBorder="1" applyAlignment="1">
      <alignment horizontal="center"/>
    </xf>
    <xf numFmtId="174" fontId="65" fillId="0" borderId="1" xfId="0" applyNumberFormat="1" applyFont="1" applyBorder="1" applyAlignment="1">
      <alignment horizontal="center"/>
    </xf>
    <xf numFmtId="166" fontId="29" fillId="12" borderId="4" xfId="2" applyNumberFormat="1" applyFont="1" applyFill="1" applyBorder="1" applyAlignment="1">
      <alignment horizontal="center" vertical="center"/>
    </xf>
    <xf numFmtId="0" fontId="71" fillId="0" borderId="0" xfId="2" applyFont="1" applyAlignment="1" applyProtection="1">
      <alignment vertical="center"/>
      <protection locked="0"/>
    </xf>
    <xf numFmtId="169" fontId="72" fillId="12" borderId="4" xfId="0" applyNumberFormat="1" applyFont="1" applyFill="1" applyBorder="1" applyAlignment="1">
      <alignment horizontal="center" vertical="center"/>
    </xf>
    <xf numFmtId="0" fontId="73" fillId="0" borderId="0" xfId="2" applyFont="1" applyAlignment="1" applyProtection="1">
      <alignment vertical="center"/>
      <protection locked="0"/>
    </xf>
    <xf numFmtId="0" fontId="30" fillId="0" borderId="0" xfId="2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vertical="center"/>
    </xf>
    <xf numFmtId="0" fontId="29" fillId="0" borderId="4" xfId="0" applyFont="1" applyBorder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31" fillId="0" borderId="4" xfId="2" applyFont="1" applyBorder="1" applyAlignment="1">
      <alignment horizontal="center" vertical="center" wrapText="1"/>
    </xf>
    <xf numFmtId="0" fontId="29" fillId="0" borderId="0" xfId="2" applyFont="1" applyAlignment="1" applyProtection="1">
      <alignment horizontal="left" vertical="center"/>
      <protection locked="0"/>
    </xf>
    <xf numFmtId="0" fontId="31" fillId="0" borderId="0" xfId="2" applyFont="1" applyAlignment="1" applyProtection="1">
      <alignment vertical="center"/>
      <protection locked="0"/>
    </xf>
    <xf numFmtId="0" fontId="31" fillId="0" borderId="0" xfId="2" applyFont="1" applyAlignment="1" applyProtection="1">
      <alignment horizontal="left" vertical="center"/>
      <protection locked="0"/>
    </xf>
    <xf numFmtId="0" fontId="31" fillId="0" borderId="0" xfId="2" applyFont="1" applyAlignment="1" applyProtection="1">
      <alignment horizontal="center" vertical="center"/>
      <protection locked="0"/>
    </xf>
    <xf numFmtId="0" fontId="29" fillId="0" borderId="0" xfId="2" applyFont="1" applyAlignment="1" applyProtection="1">
      <alignment horizontal="right" vertical="center"/>
      <protection locked="0"/>
    </xf>
    <xf numFmtId="0" fontId="29" fillId="3" borderId="58" xfId="0" quotePrefix="1" applyFont="1" applyFill="1" applyBorder="1" applyAlignment="1">
      <alignment horizontal="center" vertical="center" wrapText="1"/>
    </xf>
    <xf numFmtId="182" fontId="72" fillId="12" borderId="4" xfId="0" applyNumberFormat="1" applyFont="1" applyFill="1" applyBorder="1" applyAlignment="1">
      <alignment horizontal="center" vertical="center"/>
    </xf>
    <xf numFmtId="182" fontId="29" fillId="0" borderId="0" xfId="2" applyNumberFormat="1" applyFont="1" applyAlignment="1" applyProtection="1">
      <alignment vertical="center"/>
      <protection locked="0"/>
    </xf>
    <xf numFmtId="0" fontId="31" fillId="3" borderId="0" xfId="1" applyFont="1" applyFill="1" applyAlignment="1" applyProtection="1">
      <alignment vertical="center"/>
      <protection locked="0"/>
    </xf>
    <xf numFmtId="1" fontId="29" fillId="0" borderId="0" xfId="2" applyNumberFormat="1" applyFont="1" applyAlignment="1" applyProtection="1">
      <alignment vertical="center"/>
      <protection locked="0"/>
    </xf>
    <xf numFmtId="0" fontId="29" fillId="3" borderId="0" xfId="0" applyFont="1" applyFill="1" applyAlignment="1">
      <alignment vertical="top" wrapText="1"/>
    </xf>
    <xf numFmtId="0" fontId="0" fillId="3" borderId="0" xfId="0" applyFill="1" applyAlignment="1">
      <alignment horizontal="center"/>
    </xf>
    <xf numFmtId="173" fontId="9" fillId="0" borderId="0" xfId="0" applyNumberFormat="1" applyFont="1" applyAlignment="1">
      <alignment horizontal="center"/>
    </xf>
    <xf numFmtId="173" fontId="19" fillId="3" borderId="0" xfId="0" applyNumberFormat="1" applyFont="1" applyFill="1" applyAlignment="1">
      <alignment horizontal="center" vertical="center"/>
    </xf>
    <xf numFmtId="173" fontId="9" fillId="3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173" fontId="9" fillId="3" borderId="0" xfId="0" applyNumberFormat="1" applyFont="1" applyFill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16" fillId="3" borderId="0" xfId="0" applyFont="1" applyFill="1" applyAlignment="1">
      <alignment vertical="center"/>
    </xf>
    <xf numFmtId="166" fontId="29" fillId="3" borderId="4" xfId="0" applyNumberFormat="1" applyFont="1" applyFill="1" applyBorder="1" applyAlignment="1">
      <alignment horizontal="center"/>
    </xf>
    <xf numFmtId="2" fontId="30" fillId="17" borderId="4" xfId="0" applyNumberFormat="1" applyFont="1" applyFill="1" applyBorder="1" applyAlignment="1" applyProtection="1">
      <alignment vertical="center"/>
      <protection locked="0"/>
    </xf>
    <xf numFmtId="2" fontId="30" fillId="17" borderId="4" xfId="0" quotePrefix="1" applyNumberFormat="1" applyFont="1" applyFill="1" applyBorder="1" applyAlignment="1" applyProtection="1">
      <alignment vertical="center"/>
      <protection locked="0"/>
    </xf>
    <xf numFmtId="2" fontId="30" fillId="17" borderId="0" xfId="0" applyNumberFormat="1" applyFont="1" applyFill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182" fontId="29" fillId="0" borderId="0" xfId="2" applyNumberFormat="1" applyFont="1" applyAlignment="1" applyProtection="1">
      <alignment horizontal="center" vertical="center"/>
      <protection locked="0"/>
    </xf>
    <xf numFmtId="0" fontId="30" fillId="0" borderId="21" xfId="0" quotePrefix="1" applyFont="1" applyBorder="1" applyAlignment="1" applyProtection="1">
      <alignment horizontal="center"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1" fontId="75" fillId="0" borderId="49" xfId="0" applyNumberFormat="1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vertical="center"/>
      <protection locked="0"/>
    </xf>
    <xf numFmtId="0" fontId="30" fillId="0" borderId="35" xfId="0" quotePrefix="1" applyFont="1" applyBorder="1" applyAlignment="1" applyProtection="1">
      <alignment horizontal="center" vertical="center"/>
      <protection locked="0"/>
    </xf>
    <xf numFmtId="0" fontId="77" fillId="3" borderId="0" xfId="0" applyFont="1" applyFill="1" applyAlignment="1">
      <alignment horizontal="left" vertical="center"/>
    </xf>
    <xf numFmtId="0" fontId="77" fillId="3" borderId="0" xfId="0" applyFont="1" applyFill="1" applyAlignment="1">
      <alignment vertical="center"/>
    </xf>
    <xf numFmtId="0" fontId="77" fillId="3" borderId="0" xfId="0" applyFont="1" applyFill="1" applyProtection="1">
      <protection hidden="1"/>
    </xf>
    <xf numFmtId="0" fontId="77" fillId="0" borderId="0" xfId="2" applyFont="1" applyAlignment="1" applyProtection="1">
      <alignment vertical="center"/>
      <protection locked="0"/>
    </xf>
    <xf numFmtId="0" fontId="77" fillId="0" borderId="0" xfId="0" applyFont="1" applyAlignment="1">
      <alignment vertical="center"/>
    </xf>
    <xf numFmtId="0" fontId="43" fillId="0" borderId="4" xfId="0" applyFont="1" applyBorder="1" applyAlignment="1">
      <alignment horizontal="center" vertical="center"/>
    </xf>
    <xf numFmtId="183" fontId="58" fillId="0" borderId="4" xfId="0" applyNumberFormat="1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183" fontId="43" fillId="0" borderId="4" xfId="0" applyNumberFormat="1" applyFont="1" applyBorder="1" applyAlignment="1">
      <alignment horizontal="center" vertical="center"/>
    </xf>
    <xf numFmtId="0" fontId="58" fillId="3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 wrapText="1"/>
    </xf>
    <xf numFmtId="0" fontId="58" fillId="3" borderId="0" xfId="0" quotePrefix="1" applyFont="1" applyFill="1" applyAlignment="1">
      <alignment horizontal="center" vertical="center" wrapText="1"/>
    </xf>
    <xf numFmtId="0" fontId="6" fillId="9" borderId="0" xfId="4" applyFont="1" applyFill="1" applyAlignment="1" applyProtection="1">
      <alignment vertical="center"/>
      <protection locked="0"/>
    </xf>
    <xf numFmtId="0" fontId="6" fillId="9" borderId="0" xfId="4" applyFont="1" applyFill="1" applyAlignment="1" applyProtection="1">
      <alignment horizontal="center" vertical="center"/>
      <protection locked="0"/>
    </xf>
    <xf numFmtId="0" fontId="8" fillId="9" borderId="4" xfId="4" applyFont="1" applyFill="1" applyBorder="1" applyAlignment="1" applyProtection="1">
      <alignment horizontal="center" vertical="center"/>
      <protection locked="0"/>
    </xf>
    <xf numFmtId="0" fontId="3" fillId="9" borderId="0" xfId="4" applyFont="1" applyFill="1" applyAlignment="1" applyProtection="1">
      <alignment vertical="center"/>
      <protection locked="0"/>
    </xf>
    <xf numFmtId="0" fontId="13" fillId="9" borderId="22" xfId="4" applyFont="1" applyFill="1" applyBorder="1" applyAlignment="1" applyProtection="1">
      <alignment horizontal="center" vertical="center" wrapText="1"/>
      <protection locked="0"/>
    </xf>
    <xf numFmtId="0" fontId="13" fillId="9" borderId="0" xfId="4" applyFont="1" applyFill="1" applyAlignment="1" applyProtection="1">
      <alignment horizontal="center" vertical="center" wrapText="1"/>
      <protection locked="0"/>
    </xf>
    <xf numFmtId="0" fontId="7" fillId="3" borderId="21" xfId="4" applyFont="1" applyFill="1" applyBorder="1"/>
    <xf numFmtId="0" fontId="7" fillId="3" borderId="0" xfId="4" applyFont="1" applyFill="1"/>
    <xf numFmtId="0" fontId="8" fillId="9" borderId="4" xfId="4" applyFont="1" applyFill="1" applyBorder="1" applyAlignment="1">
      <alignment horizontal="center" vertical="center"/>
    </xf>
    <xf numFmtId="2" fontId="8" fillId="9" borderId="4" xfId="4" applyNumberFormat="1" applyFont="1" applyFill="1" applyBorder="1" applyAlignment="1">
      <alignment horizontal="center" vertical="center"/>
    </xf>
    <xf numFmtId="1" fontId="8" fillId="9" borderId="4" xfId="4" applyNumberFormat="1" applyFont="1" applyFill="1" applyBorder="1" applyAlignment="1">
      <alignment horizontal="center" vertical="center"/>
    </xf>
    <xf numFmtId="2" fontId="9" fillId="9" borderId="4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/>
    </xf>
    <xf numFmtId="0" fontId="15" fillId="3" borderId="28" xfId="4" applyFont="1" applyFill="1" applyBorder="1" applyAlignment="1">
      <alignment horizontal="center" vertical="center"/>
    </xf>
    <xf numFmtId="0" fontId="16" fillId="3" borderId="30" xfId="4" applyFont="1" applyFill="1" applyBorder="1" applyAlignment="1">
      <alignment horizontal="center" vertical="center"/>
    </xf>
    <xf numFmtId="0" fontId="16" fillId="3" borderId="4" xfId="4" applyFont="1" applyFill="1" applyBorder="1" applyAlignment="1">
      <alignment horizontal="center" vertical="center"/>
    </xf>
    <xf numFmtId="2" fontId="16" fillId="3" borderId="13" xfId="4" applyNumberFormat="1" applyFont="1" applyFill="1" applyBorder="1" applyAlignment="1">
      <alignment horizontal="center" vertical="center"/>
    </xf>
    <xf numFmtId="2" fontId="16" fillId="3" borderId="30" xfId="4" applyNumberFormat="1" applyFont="1" applyFill="1" applyBorder="1" applyAlignment="1">
      <alignment horizontal="center" vertical="center"/>
    </xf>
    <xf numFmtId="173" fontId="16" fillId="3" borderId="4" xfId="4" applyNumberFormat="1" applyFont="1" applyFill="1" applyBorder="1" applyAlignment="1">
      <alignment horizontal="center" vertical="center"/>
    </xf>
    <xf numFmtId="2" fontId="9" fillId="0" borderId="17" xfId="4" applyNumberFormat="1" applyFont="1" applyBorder="1" applyAlignment="1">
      <alignment horizontal="center" vertical="center"/>
    </xf>
    <xf numFmtId="166" fontId="19" fillId="0" borderId="9" xfId="4" applyNumberFormat="1" applyFont="1" applyBorder="1" applyAlignment="1">
      <alignment horizontal="center" vertical="center"/>
    </xf>
    <xf numFmtId="0" fontId="24" fillId="3" borderId="0" xfId="4" applyFont="1" applyFill="1" applyAlignment="1">
      <alignment vertical="center"/>
    </xf>
    <xf numFmtId="1" fontId="8" fillId="3" borderId="30" xfId="4" applyNumberFormat="1" applyFont="1" applyFill="1" applyBorder="1" applyAlignment="1">
      <alignment horizontal="center" vertical="center"/>
    </xf>
    <xf numFmtId="2" fontId="8" fillId="3" borderId="4" xfId="4" applyNumberFormat="1" applyFont="1" applyFill="1" applyBorder="1" applyAlignment="1">
      <alignment horizontal="center" vertical="center"/>
    </xf>
    <xf numFmtId="2" fontId="8" fillId="3" borderId="13" xfId="4" applyNumberFormat="1" applyFont="1" applyFill="1" applyBorder="1" applyAlignment="1">
      <alignment horizontal="center" vertical="center"/>
    </xf>
    <xf numFmtId="173" fontId="19" fillId="0" borderId="1" xfId="4" applyNumberFormat="1" applyFont="1" applyBorder="1" applyAlignment="1">
      <alignment horizontal="center" vertical="center"/>
    </xf>
    <xf numFmtId="173" fontId="19" fillId="0" borderId="12" xfId="4" applyNumberFormat="1" applyFont="1" applyBorder="1" applyAlignment="1">
      <alignment horizontal="center" vertical="center"/>
    </xf>
    <xf numFmtId="174" fontId="9" fillId="0" borderId="1" xfId="4" applyNumberFormat="1" applyFont="1" applyBorder="1" applyAlignment="1">
      <alignment horizontal="center" vertical="center"/>
    </xf>
    <xf numFmtId="174" fontId="19" fillId="0" borderId="12" xfId="4" applyNumberFormat="1" applyFont="1" applyBorder="1" applyAlignment="1">
      <alignment horizontal="center" vertical="center"/>
    </xf>
    <xf numFmtId="174" fontId="9" fillId="0" borderId="18" xfId="4" applyNumberFormat="1" applyFont="1" applyBorder="1" applyAlignment="1">
      <alignment horizontal="center" vertical="center"/>
    </xf>
    <xf numFmtId="2" fontId="19" fillId="0" borderId="43" xfId="4" applyNumberFormat="1" applyFont="1" applyBorder="1" applyAlignment="1">
      <alignment horizontal="center" vertical="center"/>
    </xf>
    <xf numFmtId="2" fontId="20" fillId="3" borderId="0" xfId="4" applyNumberFormat="1" applyFont="1" applyFill="1" applyAlignment="1">
      <alignment horizontal="center" vertical="center" wrapText="1"/>
    </xf>
    <xf numFmtId="2" fontId="21" fillId="3" borderId="0" xfId="4" applyNumberFormat="1" applyFont="1" applyFill="1" applyAlignment="1">
      <alignment horizontal="center" vertical="center"/>
    </xf>
    <xf numFmtId="2" fontId="22" fillId="3" borderId="24" xfId="4" applyNumberFormat="1" applyFont="1" applyFill="1" applyBorder="1" applyAlignment="1">
      <alignment horizontal="center" vertical="center"/>
    </xf>
    <xf numFmtId="173" fontId="16" fillId="3" borderId="13" xfId="4" applyNumberFormat="1" applyFont="1" applyFill="1" applyBorder="1" applyAlignment="1">
      <alignment horizontal="center" vertical="center"/>
    </xf>
    <xf numFmtId="173" fontId="16" fillId="3" borderId="30" xfId="4" applyNumberFormat="1" applyFont="1" applyFill="1" applyBorder="1" applyAlignment="1">
      <alignment horizontal="center" vertical="center"/>
    </xf>
    <xf numFmtId="0" fontId="20" fillId="3" borderId="0" xfId="4" applyFont="1" applyFill="1"/>
    <xf numFmtId="0" fontId="20" fillId="3" borderId="24" xfId="4" applyFont="1" applyFill="1" applyBorder="1"/>
    <xf numFmtId="2" fontId="20" fillId="3" borderId="0" xfId="4" applyNumberFormat="1" applyFont="1" applyFill="1" applyAlignment="1">
      <alignment horizontal="center" vertical="center"/>
    </xf>
    <xf numFmtId="166" fontId="16" fillId="3" borderId="30" xfId="4" applyNumberFormat="1" applyFont="1" applyFill="1" applyBorder="1" applyAlignment="1">
      <alignment horizontal="center" vertical="center"/>
    </xf>
    <xf numFmtId="2" fontId="16" fillId="3" borderId="4" xfId="4" applyNumberFormat="1" applyFont="1" applyFill="1" applyBorder="1" applyAlignment="1">
      <alignment horizontal="center" vertical="center"/>
    </xf>
    <xf numFmtId="0" fontId="16" fillId="3" borderId="33" xfId="4" applyFont="1" applyFill="1" applyBorder="1" applyAlignment="1">
      <alignment horizontal="center" vertical="center"/>
    </xf>
    <xf numFmtId="0" fontId="16" fillId="3" borderId="15" xfId="4" applyFont="1" applyFill="1" applyBorder="1" applyAlignment="1">
      <alignment horizontal="center" vertical="center"/>
    </xf>
    <xf numFmtId="0" fontId="23" fillId="3" borderId="0" xfId="4" applyFont="1" applyFill="1"/>
    <xf numFmtId="0" fontId="23" fillId="3" borderId="24" xfId="4" applyFont="1" applyFill="1" applyBorder="1"/>
    <xf numFmtId="0" fontId="23" fillId="0" borderId="0" xfId="4" applyFont="1"/>
    <xf numFmtId="0" fontId="16" fillId="3" borderId="0" xfId="4" applyFont="1" applyFill="1" applyAlignment="1">
      <alignment horizontal="center" vertical="center"/>
    </xf>
    <xf numFmtId="0" fontId="16" fillId="3" borderId="24" xfId="4" applyFont="1" applyFill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2" fontId="16" fillId="3" borderId="0" xfId="4" applyNumberFormat="1" applyFont="1" applyFill="1" applyAlignment="1">
      <alignment horizontal="center" vertical="center"/>
    </xf>
    <xf numFmtId="2" fontId="16" fillId="3" borderId="24" xfId="4" applyNumberFormat="1" applyFont="1" applyFill="1" applyBorder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0" fontId="8" fillId="3" borderId="30" xfId="4" applyFont="1" applyFill="1" applyBorder="1" applyAlignment="1">
      <alignment horizontal="center" vertical="center"/>
    </xf>
    <xf numFmtId="173" fontId="8" fillId="3" borderId="4" xfId="4" applyNumberFormat="1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8" fillId="3" borderId="33" xfId="4" applyFont="1" applyFill="1" applyBorder="1" applyAlignment="1">
      <alignment horizontal="center" vertical="center"/>
    </xf>
    <xf numFmtId="0" fontId="8" fillId="3" borderId="15" xfId="4" applyFont="1" applyFill="1" applyBorder="1" applyAlignment="1">
      <alignment horizontal="center" vertical="center"/>
    </xf>
    <xf numFmtId="173" fontId="8" fillId="3" borderId="15" xfId="4" applyNumberFormat="1" applyFont="1" applyFill="1" applyBorder="1" applyAlignment="1">
      <alignment horizontal="center" vertical="center"/>
    </xf>
    <xf numFmtId="0" fontId="8" fillId="3" borderId="16" xfId="4" applyFont="1" applyFill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right"/>
    </xf>
    <xf numFmtId="0" fontId="30" fillId="17" borderId="0" xfId="0" applyFont="1" applyFill="1"/>
    <xf numFmtId="0" fontId="78" fillId="0" borderId="0" xfId="0" applyFont="1"/>
    <xf numFmtId="0" fontId="58" fillId="0" borderId="4" xfId="0" applyFont="1" applyBorder="1"/>
    <xf numFmtId="2" fontId="29" fillId="0" borderId="4" xfId="0" applyNumberFormat="1" applyFont="1" applyBorder="1" applyAlignment="1">
      <alignment horizontal="center" vertical="center"/>
    </xf>
    <xf numFmtId="0" fontId="29" fillId="19" borderId="4" xfId="0" applyFont="1" applyFill="1" applyBorder="1" applyAlignment="1">
      <alignment horizontal="center" vertical="center"/>
    </xf>
    <xf numFmtId="0" fontId="29" fillId="19" borderId="4" xfId="0" applyFont="1" applyFill="1" applyBorder="1" applyAlignment="1">
      <alignment horizontal="center"/>
    </xf>
    <xf numFmtId="1" fontId="29" fillId="3" borderId="0" xfId="0" quotePrefix="1" applyNumberFormat="1" applyFont="1" applyFill="1" applyAlignment="1">
      <alignment horizontal="center" vertical="center"/>
    </xf>
    <xf numFmtId="165" fontId="29" fillId="3" borderId="0" xfId="2" applyNumberFormat="1" applyFont="1" applyFill="1" applyAlignment="1">
      <alignment horizontal="left" vertical="center"/>
    </xf>
    <xf numFmtId="165" fontId="29" fillId="3" borderId="0" xfId="2" applyNumberFormat="1" applyFont="1" applyFill="1" applyAlignment="1">
      <alignment vertical="center"/>
    </xf>
    <xf numFmtId="168" fontId="29" fillId="3" borderId="0" xfId="2" applyNumberFormat="1" applyFont="1" applyFill="1" applyAlignment="1">
      <alignment vertical="center"/>
    </xf>
    <xf numFmtId="0" fontId="30" fillId="3" borderId="0" xfId="2" applyFont="1" applyFill="1" applyAlignment="1">
      <alignment horizontal="left" vertical="center"/>
    </xf>
    <xf numFmtId="0" fontId="31" fillId="3" borderId="0" xfId="2" applyFont="1" applyFill="1" applyAlignment="1">
      <alignment horizontal="left" vertical="center"/>
    </xf>
    <xf numFmtId="0" fontId="29" fillId="3" borderId="0" xfId="2" applyFont="1" applyFill="1" applyAlignment="1">
      <alignment horizontal="left" vertical="center"/>
    </xf>
    <xf numFmtId="0" fontId="29" fillId="3" borderId="0" xfId="2" applyFont="1" applyFill="1" applyAlignment="1" applyProtection="1">
      <alignment horizontal="left" vertical="center"/>
      <protection locked="0"/>
    </xf>
    <xf numFmtId="2" fontId="29" fillId="3" borderId="0" xfId="2" applyNumberFormat="1" applyFont="1" applyFill="1" applyAlignment="1" applyProtection="1">
      <alignment horizontal="left" vertical="center"/>
      <protection locked="0"/>
    </xf>
    <xf numFmtId="0" fontId="3" fillId="3" borderId="2" xfId="2" applyFont="1" applyFill="1" applyBorder="1" applyAlignment="1" applyProtection="1">
      <alignment horizontal="left" vertical="center"/>
      <protection locked="0"/>
    </xf>
    <xf numFmtId="174" fontId="31" fillId="3" borderId="0" xfId="2" applyNumberFormat="1" applyFont="1" applyFill="1" applyAlignment="1" applyProtection="1">
      <alignment horizontal="left" vertical="center"/>
      <protection locked="0"/>
    </xf>
    <xf numFmtId="2" fontId="29" fillId="3" borderId="0" xfId="2" applyNumberFormat="1" applyFont="1" applyFill="1" applyAlignment="1">
      <alignment horizontal="right" vertical="center"/>
    </xf>
    <xf numFmtId="2" fontId="29" fillId="3" borderId="0" xfId="2" applyNumberFormat="1" applyFont="1" applyFill="1" applyAlignment="1">
      <alignment horizontal="center" vertical="center"/>
    </xf>
    <xf numFmtId="178" fontId="29" fillId="3" borderId="0" xfId="2" applyNumberFormat="1" applyFont="1" applyFill="1" applyAlignment="1">
      <alignment vertical="center"/>
    </xf>
    <xf numFmtId="164" fontId="29" fillId="3" borderId="3" xfId="0" applyNumberFormat="1" applyFont="1" applyFill="1" applyBorder="1" applyAlignment="1">
      <alignment vertical="center"/>
    </xf>
    <xf numFmtId="166" fontId="29" fillId="0" borderId="0" xfId="2" applyNumberFormat="1" applyFont="1" applyAlignment="1">
      <alignment vertical="center"/>
    </xf>
    <xf numFmtId="0" fontId="58" fillId="0" borderId="0" xfId="0" applyFont="1"/>
    <xf numFmtId="0" fontId="58" fillId="0" borderId="0" xfId="5"/>
    <xf numFmtId="0" fontId="7" fillId="0" borderId="3" xfId="5" applyFont="1" applyBorder="1" applyAlignment="1">
      <alignment horizontal="left" vertical="top" wrapText="1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7" fillId="0" borderId="1" xfId="5" applyFont="1" applyBorder="1" applyAlignment="1">
      <alignment vertical="top"/>
    </xf>
    <xf numFmtId="0" fontId="7" fillId="0" borderId="3" xfId="5" applyFont="1" applyBorder="1" applyAlignment="1" applyProtection="1">
      <alignment vertical="top" wrapText="1"/>
      <protection locked="0"/>
    </xf>
    <xf numFmtId="0" fontId="7" fillId="0" borderId="3" xfId="5" applyFont="1" applyBorder="1" applyAlignment="1" applyProtection="1">
      <alignment vertical="top"/>
      <protection locked="0"/>
    </xf>
    <xf numFmtId="0" fontId="81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82" fillId="0" borderId="0" xfId="5" applyFont="1" applyAlignment="1">
      <alignment vertical="center"/>
    </xf>
    <xf numFmtId="0" fontId="58" fillId="0" borderId="20" xfId="5" applyBorder="1"/>
    <xf numFmtId="0" fontId="83" fillId="0" borderId="23" xfId="5" applyFont="1" applyBorder="1"/>
    <xf numFmtId="0" fontId="58" fillId="0" borderId="22" xfId="5" applyBorder="1"/>
    <xf numFmtId="0" fontId="58" fillId="0" borderId="24" xfId="5" applyBorder="1"/>
    <xf numFmtId="0" fontId="83" fillId="0" borderId="24" xfId="5" applyFont="1" applyBorder="1"/>
    <xf numFmtId="0" fontId="84" fillId="0" borderId="22" xfId="5" applyFont="1" applyBorder="1"/>
    <xf numFmtId="183" fontId="84" fillId="0" borderId="24" xfId="5" applyNumberFormat="1" applyFont="1" applyBorder="1" applyAlignment="1">
      <alignment horizontal="left"/>
    </xf>
    <xf numFmtId="0" fontId="84" fillId="0" borderId="34" xfId="5" applyFont="1" applyBorder="1"/>
    <xf numFmtId="0" fontId="58" fillId="0" borderId="22" xfId="5" applyBorder="1" applyAlignment="1">
      <alignment wrapText="1"/>
    </xf>
    <xf numFmtId="0" fontId="84" fillId="0" borderId="24" xfId="5" applyFont="1" applyBorder="1" applyAlignment="1">
      <alignment horizontal="left" wrapText="1"/>
    </xf>
    <xf numFmtId="0" fontId="58" fillId="0" borderId="0" xfId="5" applyAlignment="1">
      <alignment wrapText="1"/>
    </xf>
    <xf numFmtId="0" fontId="84" fillId="0" borderId="22" xfId="5" applyFont="1" applyBorder="1" applyAlignment="1">
      <alignment wrapText="1"/>
    </xf>
    <xf numFmtId="0" fontId="84" fillId="0" borderId="24" xfId="5" applyFont="1" applyBorder="1" applyAlignment="1">
      <alignment wrapText="1"/>
    </xf>
    <xf numFmtId="0" fontId="84" fillId="0" borderId="44" xfId="5" applyFont="1" applyBorder="1" applyAlignment="1">
      <alignment wrapText="1"/>
    </xf>
    <xf numFmtId="0" fontId="85" fillId="0" borderId="24" xfId="5" applyFont="1" applyBorder="1" applyAlignment="1">
      <alignment horizontal="left" wrapText="1"/>
    </xf>
    <xf numFmtId="0" fontId="58" fillId="0" borderId="24" xfId="5" applyBorder="1" applyAlignment="1">
      <alignment wrapText="1"/>
    </xf>
    <xf numFmtId="183" fontId="58" fillId="0" borderId="24" xfId="5" applyNumberFormat="1" applyBorder="1"/>
    <xf numFmtId="0" fontId="74" fillId="3" borderId="4" xfId="0" quotePrefix="1" applyFont="1" applyFill="1" applyBorder="1"/>
    <xf numFmtId="174" fontId="29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58" fillId="0" borderId="0" xfId="4"/>
    <xf numFmtId="0" fontId="7" fillId="9" borderId="0" xfId="4" applyFont="1" applyFill="1" applyProtection="1">
      <protection locked="0"/>
    </xf>
    <xf numFmtId="0" fontId="7" fillId="9" borderId="0" xfId="4" applyFont="1" applyFill="1" applyAlignment="1" applyProtection="1">
      <alignment horizontal="center"/>
      <protection locked="0"/>
    </xf>
    <xf numFmtId="0" fontId="58" fillId="9" borderId="0" xfId="4" applyFill="1" applyProtection="1"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1" fontId="58" fillId="9" borderId="4" xfId="4" applyNumberFormat="1" applyFill="1" applyBorder="1" applyAlignment="1" applyProtection="1">
      <alignment horizontal="center" vertical="center"/>
      <protection locked="0"/>
    </xf>
    <xf numFmtId="2" fontId="58" fillId="9" borderId="4" xfId="4" quotePrefix="1" applyNumberFormat="1" applyFill="1" applyBorder="1" applyAlignment="1" applyProtection="1">
      <alignment horizontal="center" vertical="center"/>
      <protection locked="0"/>
    </xf>
    <xf numFmtId="2" fontId="58" fillId="10" borderId="4" xfId="4" applyNumberFormat="1" applyFill="1" applyBorder="1" applyAlignment="1" applyProtection="1">
      <alignment horizontal="center"/>
      <protection locked="0"/>
    </xf>
    <xf numFmtId="2" fontId="58" fillId="9" borderId="4" xfId="4" applyNumberFormat="1" applyFill="1" applyBorder="1" applyAlignment="1" applyProtection="1">
      <alignment horizontal="center" vertical="center"/>
      <protection locked="0"/>
    </xf>
    <xf numFmtId="166" fontId="58" fillId="9" borderId="4" xfId="4" applyNumberFormat="1" applyFill="1" applyBorder="1" applyAlignment="1" applyProtection="1">
      <alignment horizontal="center" vertical="center"/>
      <protection locked="0"/>
    </xf>
    <xf numFmtId="0" fontId="58" fillId="9" borderId="4" xfId="4" applyFill="1" applyBorder="1" applyAlignment="1" applyProtection="1">
      <alignment horizontal="center" vertical="center"/>
      <protection locked="0"/>
    </xf>
    <xf numFmtId="0" fontId="58" fillId="9" borderId="4" xfId="4" quotePrefix="1" applyFill="1" applyBorder="1" applyAlignment="1" applyProtection="1">
      <alignment horizontal="center" vertical="center"/>
      <protection locked="0"/>
    </xf>
    <xf numFmtId="173" fontId="58" fillId="9" borderId="4" xfId="4" applyNumberFormat="1" applyFill="1" applyBorder="1" applyAlignment="1" applyProtection="1">
      <alignment horizontal="center" vertical="center"/>
      <protection locked="0"/>
    </xf>
    <xf numFmtId="173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58" fillId="9" borderId="22" xfId="4" applyFill="1" applyBorder="1" applyProtection="1">
      <protection locked="0"/>
    </xf>
    <xf numFmtId="0" fontId="58" fillId="9" borderId="24" xfId="4" applyFill="1" applyBorder="1" applyProtection="1">
      <protection locked="0"/>
    </xf>
    <xf numFmtId="0" fontId="58" fillId="9" borderId="4" xfId="4" applyFill="1" applyBorder="1" applyAlignment="1" applyProtection="1">
      <alignment horizontal="right" vertical="center"/>
      <protection locked="0"/>
    </xf>
    <xf numFmtId="0" fontId="58" fillId="9" borderId="0" xfId="4" applyFill="1" applyAlignment="1" applyProtection="1">
      <alignment horizontal="center" vertical="center"/>
      <protection locked="0"/>
    </xf>
    <xf numFmtId="173" fontId="58" fillId="9" borderId="0" xfId="4" applyNumberFormat="1" applyFill="1" applyAlignment="1" applyProtection="1">
      <alignment horizontal="center" vertical="center"/>
      <protection locked="0"/>
    </xf>
    <xf numFmtId="0" fontId="58" fillId="9" borderId="0" xfId="4" applyFill="1" applyAlignment="1" applyProtection="1">
      <alignment horizontal="right" vertical="center"/>
      <protection locked="0"/>
    </xf>
    <xf numFmtId="166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58" fillId="8" borderId="26" xfId="4" applyFill="1" applyBorder="1" applyProtection="1">
      <protection locked="0"/>
    </xf>
    <xf numFmtId="0" fontId="58" fillId="8" borderId="27" xfId="4" applyFill="1" applyBorder="1" applyProtection="1">
      <protection locked="0"/>
    </xf>
    <xf numFmtId="0" fontId="58" fillId="0" borderId="22" xfId="4" applyBorder="1"/>
    <xf numFmtId="0" fontId="58" fillId="0" borderId="0" xfId="4" applyAlignment="1">
      <alignment horizontal="center" vertical="center"/>
    </xf>
    <xf numFmtId="0" fontId="58" fillId="0" borderId="0" xfId="4" applyAlignment="1">
      <alignment horizontal="center"/>
    </xf>
    <xf numFmtId="2" fontId="58" fillId="9" borderId="4" xfId="4" applyNumberFormat="1" applyFill="1" applyBorder="1" applyAlignment="1">
      <alignment horizontal="center"/>
    </xf>
    <xf numFmtId="1" fontId="58" fillId="9" borderId="4" xfId="4" applyNumberFormat="1" applyFill="1" applyBorder="1" applyAlignment="1">
      <alignment horizontal="center" vertical="center"/>
    </xf>
    <xf numFmtId="2" fontId="58" fillId="9" borderId="4" xfId="4" applyNumberFormat="1" applyFill="1" applyBorder="1" applyAlignment="1">
      <alignment horizontal="center" vertical="center"/>
    </xf>
    <xf numFmtId="2" fontId="58" fillId="9" borderId="4" xfId="4" quotePrefix="1" applyNumberFormat="1" applyFill="1" applyBorder="1" applyAlignment="1">
      <alignment horizontal="center" vertical="center"/>
    </xf>
    <xf numFmtId="0" fontId="58" fillId="0" borderId="24" xfId="4" applyBorder="1"/>
    <xf numFmtId="0" fontId="58" fillId="9" borderId="4" xfId="4" applyFill="1" applyBorder="1" applyAlignment="1">
      <alignment horizontal="center" vertical="center"/>
    </xf>
    <xf numFmtId="0" fontId="58" fillId="3" borderId="21" xfId="4" applyFill="1" applyBorder="1"/>
    <xf numFmtId="0" fontId="58" fillId="3" borderId="0" xfId="4" applyFill="1"/>
    <xf numFmtId="0" fontId="7" fillId="3" borderId="30" xfId="4" applyFont="1" applyFill="1" applyBorder="1" applyAlignment="1">
      <alignment horizontal="center" vertical="center"/>
    </xf>
    <xf numFmtId="166" fontId="58" fillId="6" borderId="28" xfId="4" applyNumberFormat="1" applyFill="1" applyBorder="1" applyAlignment="1">
      <alignment horizontal="center" vertical="center" wrapText="1"/>
    </xf>
    <xf numFmtId="1" fontId="58" fillId="6" borderId="30" xfId="4" applyNumberFormat="1" applyFill="1" applyBorder="1" applyAlignment="1">
      <alignment horizontal="center" vertical="center" wrapText="1"/>
    </xf>
    <xf numFmtId="1" fontId="58" fillId="3" borderId="30" xfId="4" applyNumberFormat="1" applyFill="1" applyBorder="1" applyAlignment="1">
      <alignment horizontal="center" vertical="center"/>
    </xf>
    <xf numFmtId="2" fontId="58" fillId="3" borderId="4" xfId="4" applyNumberFormat="1" applyFill="1" applyBorder="1" applyAlignment="1">
      <alignment horizontal="center" vertical="center"/>
    </xf>
    <xf numFmtId="2" fontId="58" fillId="3" borderId="13" xfId="4" applyNumberFormat="1" applyFill="1" applyBorder="1" applyAlignment="1">
      <alignment horizontal="center" vertical="center"/>
    </xf>
    <xf numFmtId="166" fontId="58" fillId="6" borderId="30" xfId="4" applyNumberFormat="1" applyFill="1" applyBorder="1" applyAlignment="1">
      <alignment horizontal="center" vertical="center" wrapText="1"/>
    </xf>
    <xf numFmtId="0" fontId="58" fillId="3" borderId="0" xfId="4" applyFill="1" applyAlignment="1">
      <alignment horizontal="center" vertical="center"/>
    </xf>
    <xf numFmtId="1" fontId="58" fillId="3" borderId="33" xfId="4" applyNumberFormat="1" applyFill="1" applyBorder="1" applyAlignment="1">
      <alignment horizontal="center" vertical="center"/>
    </xf>
    <xf numFmtId="2" fontId="58" fillId="3" borderId="15" xfId="4" applyNumberFormat="1" applyFill="1" applyBorder="1" applyAlignment="1">
      <alignment horizontal="center" vertical="center"/>
    </xf>
    <xf numFmtId="2" fontId="58" fillId="3" borderId="16" xfId="4" applyNumberForma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9" xfId="4" applyFont="1" applyFill="1" applyBorder="1" applyAlignment="1">
      <alignment horizontal="center" vertical="center"/>
    </xf>
    <xf numFmtId="166" fontId="58" fillId="0" borderId="0" xfId="4" applyNumberFormat="1"/>
    <xf numFmtId="0" fontId="3" fillId="3" borderId="13" xfId="4" applyFont="1" applyFill="1" applyBorder="1" applyAlignment="1">
      <alignment horizontal="center" vertical="center"/>
    </xf>
    <xf numFmtId="0" fontId="58" fillId="3" borderId="30" xfId="4" applyFill="1" applyBorder="1" applyAlignment="1">
      <alignment horizontal="center" vertical="center"/>
    </xf>
    <xf numFmtId="0" fontId="58" fillId="3" borderId="24" xfId="4" applyFill="1" applyBorder="1"/>
    <xf numFmtId="0" fontId="58" fillId="3" borderId="33" xfId="4" applyFill="1" applyBorder="1" applyAlignment="1">
      <alignment horizontal="center" vertical="center"/>
    </xf>
    <xf numFmtId="0" fontId="58" fillId="3" borderId="13" xfId="4" applyFill="1" applyBorder="1" applyAlignment="1">
      <alignment horizontal="center" vertical="center"/>
    </xf>
    <xf numFmtId="0" fontId="58" fillId="3" borderId="16" xfId="4" applyFill="1" applyBorder="1" applyAlignment="1">
      <alignment horizontal="center" vertical="center"/>
    </xf>
    <xf numFmtId="0" fontId="58" fillId="3" borderId="22" xfId="4" applyFill="1" applyBorder="1"/>
    <xf numFmtId="0" fontId="58" fillId="3" borderId="34" xfId="4" applyFill="1" applyBorder="1"/>
    <xf numFmtId="0" fontId="58" fillId="3" borderId="35" xfId="4" applyFill="1" applyBorder="1"/>
    <xf numFmtId="0" fontId="58" fillId="3" borderId="44" xfId="4" applyFill="1" applyBorder="1"/>
    <xf numFmtId="0" fontId="58" fillId="0" borderId="0" xfId="4" applyProtection="1">
      <protection locked="0"/>
    </xf>
    <xf numFmtId="1" fontId="58" fillId="9" borderId="4" xfId="4" quotePrefix="1" applyNumberForma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9" fillId="0" borderId="35" xfId="0" applyFont="1" applyBorder="1"/>
    <xf numFmtId="0" fontId="29" fillId="0" borderId="44" xfId="0" applyFont="1" applyBorder="1"/>
    <xf numFmtId="0" fontId="30" fillId="0" borderId="49" xfId="0" applyFont="1" applyBorder="1" applyAlignment="1" applyProtection="1">
      <alignment vertical="center"/>
      <protection locked="0"/>
    </xf>
    <xf numFmtId="0" fontId="30" fillId="0" borderId="48" xfId="0" applyFont="1" applyBorder="1" applyAlignment="1" applyProtection="1">
      <alignment horizontal="center" vertical="center"/>
      <protection locked="0"/>
    </xf>
    <xf numFmtId="0" fontId="30" fillId="0" borderId="49" xfId="0" applyFont="1" applyBorder="1" applyAlignment="1" applyProtection="1">
      <alignment horizontal="center" vertical="center"/>
      <protection locked="0"/>
    </xf>
    <xf numFmtId="0" fontId="29" fillId="0" borderId="49" xfId="0" applyFont="1" applyBorder="1" applyAlignment="1">
      <alignment horizontal="center"/>
    </xf>
    <xf numFmtId="0" fontId="30" fillId="0" borderId="51" xfId="0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2" fontId="30" fillId="17" borderId="48" xfId="0" applyNumberFormat="1" applyFont="1" applyFill="1" applyBorder="1" applyAlignment="1" applyProtection="1">
      <alignment vertical="center"/>
      <protection locked="0"/>
    </xf>
    <xf numFmtId="0" fontId="29" fillId="0" borderId="49" xfId="0" applyFont="1" applyBorder="1" applyAlignment="1">
      <alignment horizontal="center" vertical="center"/>
    </xf>
    <xf numFmtId="175" fontId="8" fillId="3" borderId="4" xfId="4" applyNumberFormat="1" applyFont="1" applyFill="1" applyBorder="1" applyAlignment="1">
      <alignment horizontal="center" vertical="center"/>
    </xf>
    <xf numFmtId="176" fontId="29" fillId="0" borderId="4" xfId="0" applyNumberFormat="1" applyFont="1" applyBorder="1" applyAlignment="1">
      <alignment horizontal="center" vertical="center"/>
    </xf>
    <xf numFmtId="176" fontId="29" fillId="0" borderId="4" xfId="0" applyNumberFormat="1" applyFont="1" applyBorder="1" applyAlignment="1">
      <alignment horizontal="center"/>
    </xf>
    <xf numFmtId="184" fontId="29" fillId="3" borderId="4" xfId="0" applyNumberFormat="1" applyFont="1" applyFill="1" applyBorder="1" applyAlignment="1">
      <alignment horizontal="center" vertical="center"/>
    </xf>
    <xf numFmtId="170" fontId="29" fillId="0" borderId="0" xfId="2" applyNumberFormat="1" applyFont="1" applyAlignment="1" applyProtection="1">
      <alignment vertical="center"/>
      <protection locked="0"/>
    </xf>
    <xf numFmtId="176" fontId="7" fillId="2" borderId="4" xfId="2" applyNumberFormat="1" applyFont="1" applyFill="1" applyBorder="1" applyAlignment="1">
      <alignment horizontal="center" vertical="center"/>
    </xf>
    <xf numFmtId="176" fontId="3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/>
    </xf>
    <xf numFmtId="176" fontId="8" fillId="2" borderId="13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/>
    </xf>
    <xf numFmtId="176" fontId="9" fillId="2" borderId="13" xfId="2" applyNumberFormat="1" applyFont="1" applyFill="1" applyBorder="1" applyAlignment="1">
      <alignment horizontal="center" vertical="center"/>
    </xf>
    <xf numFmtId="176" fontId="58" fillId="2" borderId="4" xfId="2" applyNumberFormat="1" applyFill="1" applyBorder="1" applyAlignment="1">
      <alignment horizontal="center" vertical="center"/>
    </xf>
    <xf numFmtId="176" fontId="8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/>
    </xf>
    <xf numFmtId="176" fontId="9" fillId="2" borderId="11" xfId="2" applyNumberFormat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58" fillId="0" borderId="4" xfId="0" applyNumberFormat="1" applyFont="1" applyBorder="1" applyAlignment="1">
      <alignment horizontal="center"/>
    </xf>
    <xf numFmtId="176" fontId="8" fillId="2" borderId="6" xfId="2" applyNumberFormat="1" applyFont="1" applyFill="1" applyBorder="1" applyAlignment="1">
      <alignment horizontal="center" vertical="center"/>
    </xf>
    <xf numFmtId="176" fontId="58" fillId="2" borderId="6" xfId="2" applyNumberFormat="1" applyFill="1" applyBorder="1" applyAlignment="1">
      <alignment horizontal="center" vertical="center"/>
    </xf>
    <xf numFmtId="176" fontId="58" fillId="2" borderId="6" xfId="2" quotePrefix="1" applyNumberFormat="1" applyFill="1" applyBorder="1" applyAlignment="1">
      <alignment horizontal="center" vertical="center"/>
    </xf>
    <xf numFmtId="176" fontId="58" fillId="2" borderId="6" xfId="2" applyNumberFormat="1" applyFill="1" applyBorder="1" applyAlignment="1">
      <alignment horizontal="center"/>
    </xf>
    <xf numFmtId="176" fontId="58" fillId="2" borderId="12" xfId="2" applyNumberFormat="1" applyFill="1" applyBorder="1" applyAlignment="1">
      <alignment horizontal="center" vertical="center"/>
    </xf>
    <xf numFmtId="176" fontId="58" fillId="2" borderId="4" xfId="2" quotePrefix="1" applyNumberFormat="1" applyFill="1" applyBorder="1" applyAlignment="1">
      <alignment horizontal="center" vertical="center"/>
    </xf>
    <xf numFmtId="176" fontId="58" fillId="2" borderId="4" xfId="2" applyNumberFormat="1" applyFill="1" applyBorder="1" applyAlignment="1">
      <alignment horizontal="center"/>
    </xf>
    <xf numFmtId="176" fontId="58" fillId="2" borderId="13" xfId="2" applyNumberFormat="1" applyFill="1" applyBorder="1" applyAlignment="1">
      <alignment horizontal="center" vertical="center"/>
    </xf>
    <xf numFmtId="176" fontId="58" fillId="2" borderId="5" xfId="2" applyNumberFormat="1" applyFill="1" applyBorder="1" applyAlignment="1">
      <alignment horizontal="center" vertical="center"/>
    </xf>
    <xf numFmtId="176" fontId="58" fillId="2" borderId="5" xfId="2" applyNumberFormat="1" applyFill="1" applyBorder="1" applyAlignment="1">
      <alignment horizontal="center"/>
    </xf>
    <xf numFmtId="176" fontId="58" fillId="2" borderId="11" xfId="2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176" fontId="8" fillId="2" borderId="17" xfId="2" applyNumberFormat="1" applyFon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58" fillId="2" borderId="1" xfId="2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8" fillId="2" borderId="1" xfId="2" applyNumberFormat="1" applyFont="1" applyFill="1" applyBorder="1" applyAlignment="1">
      <alignment horizontal="center" vertical="center"/>
    </xf>
    <xf numFmtId="176" fontId="8" fillId="2" borderId="42" xfId="2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5" fontId="0" fillId="0" borderId="0" xfId="0" applyNumberFormat="1"/>
    <xf numFmtId="176" fontId="4" fillId="0" borderId="4" xfId="0" applyNumberFormat="1" applyFont="1" applyBorder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29" fillId="0" borderId="3" xfId="2" applyNumberFormat="1" applyFont="1" applyBorder="1" applyAlignment="1">
      <alignment horizontal="center" vertical="center"/>
    </xf>
    <xf numFmtId="0" fontId="31" fillId="3" borderId="0" xfId="0" applyFont="1" applyFill="1" applyAlignment="1" applyProtection="1">
      <alignment horizontal="left" vertical="center"/>
      <protection locked="0"/>
    </xf>
    <xf numFmtId="166" fontId="29" fillId="3" borderId="0" xfId="2" applyNumberFormat="1" applyFont="1" applyFill="1" applyAlignment="1">
      <alignment horizontal="left" vertical="center"/>
    </xf>
    <xf numFmtId="0" fontId="29" fillId="3" borderId="0" xfId="0" applyFont="1" applyFill="1" applyAlignment="1">
      <alignment vertical="top"/>
    </xf>
    <xf numFmtId="166" fontId="29" fillId="0" borderId="4" xfId="0" applyNumberFormat="1" applyFont="1" applyBorder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29" fillId="3" borderId="3" xfId="0" applyFont="1" applyFill="1" applyBorder="1" applyAlignment="1">
      <alignment horizontal="left" vertical="center"/>
    </xf>
    <xf numFmtId="0" fontId="29" fillId="3" borderId="4" xfId="1" applyFont="1" applyFill="1" applyBorder="1" applyAlignment="1">
      <alignment horizontal="center" vertical="center"/>
    </xf>
    <xf numFmtId="0" fontId="29" fillId="14" borderId="0" xfId="0" applyFont="1" applyFill="1" applyAlignment="1">
      <alignment horizontal="left" vertical="center"/>
    </xf>
    <xf numFmtId="0" fontId="29" fillId="14" borderId="0" xfId="0" applyFont="1" applyFill="1" applyAlignment="1">
      <alignment horizontal="left"/>
    </xf>
    <xf numFmtId="0" fontId="29" fillId="0" borderId="4" xfId="0" applyFont="1" applyBorder="1" applyAlignment="1">
      <alignment horizontal="center" vertical="center" wrapText="1"/>
    </xf>
    <xf numFmtId="0" fontId="31" fillId="3" borderId="1" xfId="2" applyFont="1" applyFill="1" applyBorder="1" applyAlignment="1">
      <alignment horizontal="center" vertical="center" wrapText="1"/>
    </xf>
    <xf numFmtId="0" fontId="31" fillId="3" borderId="3" xfId="2" applyFont="1" applyFill="1" applyBorder="1" applyAlignment="1">
      <alignment horizontal="center" vertical="center" wrapText="1"/>
    </xf>
    <xf numFmtId="0" fontId="31" fillId="3" borderId="4" xfId="2" applyFont="1" applyFill="1" applyBorder="1" applyAlignment="1">
      <alignment horizontal="center" vertical="center" wrapText="1"/>
    </xf>
    <xf numFmtId="0" fontId="30" fillId="3" borderId="0" xfId="2" applyFont="1" applyFill="1" applyAlignment="1">
      <alignment horizontal="center" vertical="center"/>
    </xf>
    <xf numFmtId="174" fontId="31" fillId="3" borderId="0" xfId="2" applyNumberFormat="1" applyFont="1" applyFill="1" applyAlignment="1" applyProtection="1">
      <alignment horizontal="center" vertical="center"/>
      <protection locked="0"/>
    </xf>
    <xf numFmtId="0" fontId="31" fillId="3" borderId="0" xfId="2" applyFont="1" applyFill="1" applyAlignment="1" applyProtection="1">
      <alignment horizontal="center" vertical="center"/>
      <protection locked="0"/>
    </xf>
    <xf numFmtId="0" fontId="29" fillId="0" borderId="4" xfId="4" applyFont="1" applyBorder="1" applyAlignment="1" applyProtection="1">
      <alignment horizontal="center" vertical="center"/>
      <protection locked="0"/>
    </xf>
    <xf numFmtId="0" fontId="58" fillId="0" borderId="0" xfId="0" applyFont="1" applyAlignment="1">
      <alignment wrapText="1"/>
    </xf>
    <xf numFmtId="0" fontId="58" fillId="3" borderId="1" xfId="2" applyFill="1" applyBorder="1" applyAlignment="1" applyProtection="1">
      <alignment horizontal="left" vertical="center"/>
      <protection locked="0"/>
    </xf>
    <xf numFmtId="0" fontId="58" fillId="0" borderId="4" xfId="2" applyBorder="1" applyAlignment="1" applyProtection="1">
      <alignment horizontal="center" vertical="center"/>
      <protection locked="0"/>
    </xf>
    <xf numFmtId="0" fontId="29" fillId="0" borderId="4" xfId="0" applyFont="1" applyBorder="1" applyAlignment="1">
      <alignment horizontal="center"/>
    </xf>
    <xf numFmtId="1" fontId="29" fillId="0" borderId="4" xfId="4" applyNumberFormat="1" applyFont="1" applyBorder="1" applyAlignment="1">
      <alignment horizontal="center" vertical="center"/>
    </xf>
    <xf numFmtId="0" fontId="86" fillId="0" borderId="42" xfId="0" applyFont="1" applyBorder="1" applyAlignment="1">
      <alignment horizontal="right" vertical="center"/>
    </xf>
    <xf numFmtId="0" fontId="86" fillId="0" borderId="19" xfId="0" applyFont="1" applyBorder="1" applyAlignment="1">
      <alignment horizontal="right" vertical="center"/>
    </xf>
    <xf numFmtId="0" fontId="86" fillId="0" borderId="56" xfId="0" applyFont="1" applyBorder="1" applyAlignment="1">
      <alignment horizontal="right" vertical="center"/>
    </xf>
    <xf numFmtId="0" fontId="34" fillId="0" borderId="0" xfId="0" applyFont="1" applyAlignment="1" applyProtection="1">
      <alignment horizontal="right" vertical="center"/>
      <protection locked="0"/>
    </xf>
    <xf numFmtId="0" fontId="34" fillId="0" borderId="0" xfId="0" applyFont="1" applyAlignment="1">
      <alignment horizontal="left"/>
    </xf>
    <xf numFmtId="0" fontId="29" fillId="5" borderId="0" xfId="0" applyFont="1" applyFill="1" applyAlignment="1">
      <alignment horizontal="left"/>
    </xf>
    <xf numFmtId="0" fontId="29" fillId="6" borderId="0" xfId="0" applyFont="1" applyFill="1"/>
    <xf numFmtId="0" fontId="29" fillId="7" borderId="0" xfId="0" applyFont="1" applyFill="1"/>
    <xf numFmtId="0" fontId="29" fillId="6" borderId="0" xfId="0" applyFont="1" applyFill="1" applyAlignment="1">
      <alignment horizontal="center"/>
    </xf>
    <xf numFmtId="0" fontId="29" fillId="0" borderId="0" xfId="3" applyFont="1"/>
    <xf numFmtId="0" fontId="29" fillId="7" borderId="0" xfId="0" applyFont="1" applyFill="1" applyAlignment="1">
      <alignment horizontal="center"/>
    </xf>
    <xf numFmtId="0" fontId="29" fillId="0" borderId="4" xfId="0" applyFont="1" applyBorder="1"/>
    <xf numFmtId="0" fontId="87" fillId="0" borderId="0" xfId="0" applyFont="1"/>
    <xf numFmtId="0" fontId="29" fillId="0" borderId="20" xfId="0" applyFont="1" applyBorder="1"/>
    <xf numFmtId="0" fontId="29" fillId="0" borderId="21" xfId="0" applyFont="1" applyBorder="1"/>
    <xf numFmtId="0" fontId="29" fillId="0" borderId="23" xfId="0" applyFont="1" applyBorder="1"/>
    <xf numFmtId="0" fontId="54" fillId="0" borderId="22" xfId="0" applyFont="1" applyBorder="1" applyAlignment="1">
      <alignment horizontal="center" vertical="center"/>
    </xf>
    <xf numFmtId="0" fontId="29" fillId="0" borderId="49" xfId="0" applyFont="1" applyBorder="1" applyAlignment="1">
      <alignment vertical="center"/>
    </xf>
    <xf numFmtId="0" fontId="29" fillId="0" borderId="22" xfId="0" applyFont="1" applyBorder="1"/>
    <xf numFmtId="0" fontId="29" fillId="0" borderId="24" xfId="0" applyFont="1" applyBorder="1"/>
    <xf numFmtId="1" fontId="29" fillId="0" borderId="4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173" fontId="29" fillId="0" borderId="4" xfId="0" applyNumberFormat="1" applyFont="1" applyBorder="1" applyAlignment="1">
      <alignment horizontal="center" vertical="center"/>
    </xf>
    <xf numFmtId="0" fontId="29" fillId="0" borderId="34" xfId="0" applyFont="1" applyBorder="1"/>
    <xf numFmtId="0" fontId="87" fillId="0" borderId="22" xfId="0" applyFont="1" applyBorder="1" applyAlignment="1">
      <alignment horizontal="center" vertical="center"/>
    </xf>
    <xf numFmtId="0" fontId="88" fillId="0" borderId="0" xfId="0" applyFont="1"/>
    <xf numFmtId="166" fontId="29" fillId="0" borderId="4" xfId="2" applyNumberFormat="1" applyFont="1" applyBorder="1" applyAlignment="1" applyProtection="1">
      <alignment horizontal="center" vertical="center"/>
      <protection locked="0"/>
    </xf>
    <xf numFmtId="166" fontId="29" fillId="0" borderId="0" xfId="2" applyNumberFormat="1" applyFont="1" applyAlignment="1" applyProtection="1">
      <alignment horizontal="center" vertical="center"/>
      <protection locked="0"/>
    </xf>
    <xf numFmtId="166" fontId="29" fillId="0" borderId="0" xfId="2" applyNumberFormat="1" applyFont="1" applyAlignment="1" applyProtection="1">
      <alignment horizontal="left" vertical="center"/>
      <protection locked="0"/>
    </xf>
    <xf numFmtId="166" fontId="29" fillId="0" borderId="4" xfId="2" applyNumberFormat="1" applyFont="1" applyBorder="1" applyAlignment="1" applyProtection="1">
      <alignment horizontal="center"/>
      <protection locked="0"/>
    </xf>
    <xf numFmtId="0" fontId="29" fillId="0" borderId="4" xfId="2" applyFont="1" applyBorder="1" applyAlignment="1">
      <alignment vertical="center"/>
    </xf>
    <xf numFmtId="2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/>
    </xf>
    <xf numFmtId="0" fontId="29" fillId="3" borderId="4" xfId="2" applyFont="1" applyFill="1" applyBorder="1"/>
    <xf numFmtId="2" fontId="29" fillId="0" borderId="4" xfId="2" applyNumberFormat="1" applyFont="1" applyBorder="1" applyAlignment="1">
      <alignment horizontal="center" vertical="center"/>
    </xf>
    <xf numFmtId="0" fontId="29" fillId="0" borderId="24" xfId="0" applyFont="1" applyBorder="1" applyAlignment="1">
      <alignment vertical="center"/>
    </xf>
    <xf numFmtId="0" fontId="88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wrapText="1"/>
    </xf>
    <xf numFmtId="173" fontId="29" fillId="3" borderId="9" xfId="0" applyNumberFormat="1" applyFont="1" applyFill="1" applyBorder="1" applyAlignment="1">
      <alignment horizontal="center" vertical="center"/>
    </xf>
    <xf numFmtId="173" fontId="29" fillId="3" borderId="1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173" fontId="29" fillId="3" borderId="41" xfId="0" applyNumberFormat="1" applyFont="1" applyFill="1" applyBorder="1" applyAlignment="1">
      <alignment horizontal="center" vertical="center"/>
    </xf>
    <xf numFmtId="173" fontId="29" fillId="3" borderId="16" xfId="0" applyNumberFormat="1" applyFont="1" applyFill="1" applyBorder="1" applyAlignment="1">
      <alignment horizontal="center" vertical="center"/>
    </xf>
    <xf numFmtId="0" fontId="73" fillId="0" borderId="0" xfId="0" applyFont="1"/>
    <xf numFmtId="0" fontId="73" fillId="0" borderId="24" xfId="0" applyFont="1" applyBorder="1"/>
    <xf numFmtId="0" fontId="88" fillId="0" borderId="4" xfId="0" applyFont="1" applyBorder="1" applyAlignment="1">
      <alignment horizontal="center" vertical="center" wrapText="1"/>
    </xf>
    <xf numFmtId="2" fontId="29" fillId="0" borderId="4" xfId="4" applyNumberFormat="1" applyFont="1" applyBorder="1" applyAlignment="1">
      <alignment horizontal="center"/>
    </xf>
    <xf numFmtId="2" fontId="29" fillId="0" borderId="4" xfId="0" applyNumberFormat="1" applyFont="1" applyBorder="1" applyAlignment="1">
      <alignment horizontal="center"/>
    </xf>
    <xf numFmtId="2" fontId="29" fillId="0" borderId="22" xfId="0" applyNumberFormat="1" applyFont="1" applyBorder="1"/>
    <xf numFmtId="0" fontId="29" fillId="0" borderId="30" xfId="4" applyFont="1" applyBorder="1" applyAlignment="1" applyProtection="1">
      <alignment horizontal="center" vertical="center"/>
      <protection locked="0"/>
    </xf>
    <xf numFmtId="0" fontId="29" fillId="0" borderId="1" xfId="4" applyFont="1" applyBorder="1" applyProtection="1">
      <protection locked="0"/>
    </xf>
    <xf numFmtId="0" fontId="29" fillId="0" borderId="2" xfId="4" applyFont="1" applyBorder="1" applyProtection="1">
      <protection locked="0"/>
    </xf>
    <xf numFmtId="0" fontId="29" fillId="0" borderId="47" xfId="4" applyFont="1" applyBorder="1" applyProtection="1">
      <protection locked="0"/>
    </xf>
    <xf numFmtId="0" fontId="29" fillId="0" borderId="34" xfId="4" applyFont="1" applyBorder="1" applyProtection="1">
      <protection locked="0"/>
    </xf>
    <xf numFmtId="0" fontId="29" fillId="0" borderId="35" xfId="4" applyFont="1" applyBorder="1" applyProtection="1">
      <protection locked="0"/>
    </xf>
    <xf numFmtId="0" fontId="29" fillId="0" borderId="44" xfId="4" applyFont="1" applyBorder="1" applyProtection="1">
      <protection locked="0"/>
    </xf>
    <xf numFmtId="0" fontId="29" fillId="0" borderId="38" xfId="4" applyFont="1" applyBorder="1" applyProtection="1">
      <protection locked="0"/>
    </xf>
    <xf numFmtId="0" fontId="29" fillId="0" borderId="2" xfId="4" applyFont="1" applyBorder="1" applyAlignment="1" applyProtection="1">
      <alignment horizontal="center" vertical="center"/>
      <protection locked="0"/>
    </xf>
    <xf numFmtId="0" fontId="29" fillId="0" borderId="2" xfId="4" applyFont="1" applyBorder="1" applyAlignment="1" applyProtection="1">
      <alignment vertical="center"/>
      <protection locked="0"/>
    </xf>
    <xf numFmtId="0" fontId="29" fillId="0" borderId="4" xfId="4" applyFont="1" applyBorder="1" applyAlignment="1" applyProtection="1">
      <alignment vertical="center"/>
      <protection locked="0"/>
    </xf>
    <xf numFmtId="0" fontId="29" fillId="0" borderId="13" xfId="4" applyFont="1" applyBorder="1" applyAlignment="1" applyProtection="1">
      <alignment horizontal="center" vertical="center"/>
      <protection locked="0"/>
    </xf>
    <xf numFmtId="2" fontId="16" fillId="3" borderId="4" xfId="2" applyNumberFormat="1" applyFont="1" applyFill="1" applyBorder="1" applyAlignment="1">
      <alignment horizontal="center" vertical="center"/>
    </xf>
    <xf numFmtId="2" fontId="89" fillId="0" borderId="0" xfId="6" applyNumberFormat="1"/>
    <xf numFmtId="2" fontId="3" fillId="15" borderId="30" xfId="6" applyNumberFormat="1" applyFont="1" applyFill="1" applyBorder="1" applyAlignment="1">
      <alignment horizontal="center" vertical="center"/>
    </xf>
    <xf numFmtId="2" fontId="3" fillId="16" borderId="13" xfId="6" applyNumberFormat="1" applyFont="1" applyFill="1" applyBorder="1" applyAlignment="1">
      <alignment horizontal="center" vertical="center"/>
    </xf>
    <xf numFmtId="2" fontId="2" fillId="16" borderId="4" xfId="6" applyNumberFormat="1" applyFont="1" applyFill="1" applyBorder="1" applyAlignment="1">
      <alignment horizontal="center" vertical="center"/>
    </xf>
    <xf numFmtId="2" fontId="3" fillId="0" borderId="4" xfId="6" applyNumberFormat="1" applyFont="1" applyBorder="1" applyAlignment="1">
      <alignment horizontal="center" vertical="center"/>
    </xf>
    <xf numFmtId="2" fontId="89" fillId="16" borderId="4" xfId="6" applyNumberFormat="1" applyFill="1" applyBorder="1" applyAlignment="1">
      <alignment horizontal="center" vertical="center"/>
    </xf>
    <xf numFmtId="2" fontId="58" fillId="16" borderId="4" xfId="6" applyNumberFormat="1" applyFont="1" applyFill="1" applyBorder="1" applyAlignment="1">
      <alignment horizontal="center" vertical="center"/>
    </xf>
    <xf numFmtId="2" fontId="58" fillId="15" borderId="4" xfId="6" applyNumberFormat="1" applyFont="1" applyFill="1" applyBorder="1" applyAlignment="1">
      <alignment horizontal="center"/>
    </xf>
    <xf numFmtId="2" fontId="58" fillId="16" borderId="4" xfId="6" applyNumberFormat="1" applyFont="1" applyFill="1" applyBorder="1" applyAlignment="1">
      <alignment vertical="center"/>
    </xf>
    <xf numFmtId="2" fontId="58" fillId="16" borderId="4" xfId="6" quotePrefix="1" applyNumberFormat="1" applyFont="1" applyFill="1" applyBorder="1" applyAlignment="1">
      <alignment horizontal="center" vertical="center"/>
    </xf>
    <xf numFmtId="2" fontId="89" fillId="16" borderId="4" xfId="6" applyNumberFormat="1" applyFill="1" applyBorder="1"/>
    <xf numFmtId="2" fontId="3" fillId="15" borderId="33" xfId="6" applyNumberFormat="1" applyFont="1" applyFill="1" applyBorder="1" applyAlignment="1">
      <alignment horizontal="center" vertical="center"/>
    </xf>
    <xf numFmtId="2" fontId="3" fillId="16" borderId="16" xfId="6" applyNumberFormat="1" applyFont="1" applyFill="1" applyBorder="1" applyAlignment="1">
      <alignment horizontal="center" vertical="center"/>
    </xf>
    <xf numFmtId="2" fontId="89" fillId="16" borderId="4" xfId="6" applyNumberFormat="1" applyFill="1" applyBorder="1" applyAlignment="1">
      <alignment horizontal="center"/>
    </xf>
    <xf numFmtId="2" fontId="58" fillId="16" borderId="4" xfId="6" quotePrefix="1" applyNumberFormat="1" applyFont="1" applyFill="1" applyBorder="1" applyAlignment="1">
      <alignment horizontal="center"/>
    </xf>
    <xf numFmtId="2" fontId="89" fillId="0" borderId="22" xfId="6" applyNumberFormat="1" applyBorder="1"/>
    <xf numFmtId="2" fontId="89" fillId="0" borderId="26" xfId="6" applyNumberFormat="1" applyBorder="1"/>
    <xf numFmtId="2" fontId="9" fillId="0" borderId="0" xfId="6" applyNumberFormat="1" applyFont="1"/>
    <xf numFmtId="2" fontId="58" fillId="16" borderId="4" xfId="6" applyNumberFormat="1" applyFont="1" applyFill="1" applyBorder="1"/>
    <xf numFmtId="2" fontId="89" fillId="0" borderId="0" xfId="6" applyNumberFormat="1" applyAlignment="1">
      <alignment horizontal="center"/>
    </xf>
    <xf numFmtId="2" fontId="89" fillId="3" borderId="22" xfId="6" applyNumberFormat="1" applyFill="1" applyBorder="1" applyAlignment="1">
      <alignment horizontal="center" vertical="center"/>
    </xf>
    <xf numFmtId="2" fontId="89" fillId="3" borderId="0" xfId="6" applyNumberFormat="1" applyFill="1" applyAlignment="1">
      <alignment horizontal="center"/>
    </xf>
    <xf numFmtId="2" fontId="58" fillId="3" borderId="0" xfId="6" quotePrefix="1" applyNumberFormat="1" applyFont="1" applyFill="1" applyAlignment="1">
      <alignment horizontal="center"/>
    </xf>
    <xf numFmtId="2" fontId="58" fillId="3" borderId="0" xfId="6" applyNumberFormat="1" applyFont="1" applyFill="1" applyAlignment="1">
      <alignment horizontal="center"/>
    </xf>
    <xf numFmtId="2" fontId="89" fillId="3" borderId="0" xfId="6" applyNumberFormat="1" applyFill="1"/>
    <xf numFmtId="2" fontId="2" fillId="16" borderId="4" xfId="6" quotePrefix="1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58" fillId="16" borderId="4" xfId="6" applyNumberFormat="1" applyFont="1" applyFill="1" applyBorder="1" applyAlignment="1">
      <alignment horizontal="center"/>
    </xf>
    <xf numFmtId="2" fontId="89" fillId="0" borderId="21" xfId="6" applyNumberFormat="1" applyBorder="1"/>
    <xf numFmtId="2" fontId="89" fillId="0" borderId="22" xfId="6" applyNumberFormat="1" applyBorder="1" applyAlignment="1">
      <alignment horizontal="center" vertical="center"/>
    </xf>
    <xf numFmtId="2" fontId="58" fillId="0" borderId="0" xfId="6" applyNumberFormat="1" applyFont="1" applyAlignment="1">
      <alignment horizontal="center"/>
    </xf>
    <xf numFmtId="2" fontId="58" fillId="0" borderId="0" xfId="6" quotePrefix="1" applyNumberFormat="1" applyFont="1" applyAlignment="1">
      <alignment horizontal="center"/>
    </xf>
    <xf numFmtId="2" fontId="3" fillId="16" borderId="4" xfId="6" applyNumberFormat="1" applyFont="1" applyFill="1" applyBorder="1" applyAlignment="1">
      <alignment horizontal="center" vertical="center"/>
    </xf>
    <xf numFmtId="2" fontId="3" fillId="16" borderId="0" xfId="6" applyNumberFormat="1" applyFont="1" applyFill="1" applyAlignment="1">
      <alignment horizontal="center" vertical="center"/>
    </xf>
    <xf numFmtId="2" fontId="9" fillId="8" borderId="34" xfId="6" applyNumberFormat="1" applyFont="1" applyFill="1" applyBorder="1"/>
    <xf numFmtId="2" fontId="16" fillId="3" borderId="4" xfId="2" applyNumberFormat="1" applyFont="1" applyFill="1" applyBorder="1" applyAlignment="1">
      <alignment vertical="center"/>
    </xf>
    <xf numFmtId="2" fontId="89" fillId="0" borderId="4" xfId="6" applyNumberFormat="1" applyBorder="1"/>
    <xf numFmtId="2" fontId="16" fillId="3" borderId="21" xfId="2" applyNumberFormat="1" applyFont="1" applyFill="1" applyBorder="1" applyAlignment="1">
      <alignment horizontal="center" vertical="center"/>
    </xf>
    <xf numFmtId="2" fontId="27" fillId="15" borderId="4" xfId="6" applyNumberFormat="1" applyFont="1" applyFill="1" applyBorder="1" applyAlignment="1">
      <alignment horizontal="center" vertical="center"/>
    </xf>
    <xf numFmtId="2" fontId="14" fillId="15" borderId="4" xfId="2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 vertical="center"/>
    </xf>
    <xf numFmtId="2" fontId="23" fillId="6" borderId="13" xfId="6" applyNumberFormat="1" applyFont="1" applyFill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13" xfId="6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/>
    </xf>
    <xf numFmtId="2" fontId="23" fillId="6" borderId="13" xfId="6" applyNumberFormat="1" applyFont="1" applyFill="1" applyBorder="1" applyAlignment="1">
      <alignment horizontal="center"/>
    </xf>
    <xf numFmtId="2" fontId="9" fillId="15" borderId="4" xfId="6" applyNumberFormat="1" applyFont="1" applyFill="1" applyBorder="1" applyAlignment="1">
      <alignment horizontal="center"/>
    </xf>
    <xf numFmtId="2" fontId="9" fillId="15" borderId="13" xfId="6" applyNumberFormat="1" applyFont="1" applyFill="1" applyBorder="1" applyAlignment="1">
      <alignment horizontal="center"/>
    </xf>
    <xf numFmtId="2" fontId="3" fillId="6" borderId="13" xfId="6" applyNumberFormat="1" applyFont="1" applyFill="1" applyBorder="1" applyAlignment="1">
      <alignment horizontal="center"/>
    </xf>
    <xf numFmtId="2" fontId="23" fillId="6" borderId="33" xfId="6" applyNumberFormat="1" applyFont="1" applyFill="1" applyBorder="1" applyAlignment="1">
      <alignment horizontal="center" vertical="center"/>
    </xf>
    <xf numFmtId="2" fontId="3" fillId="6" borderId="16" xfId="6" applyNumberFormat="1" applyFont="1" applyFill="1" applyBorder="1" applyAlignment="1">
      <alignment horizont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/>
    </xf>
    <xf numFmtId="2" fontId="9" fillId="15" borderId="16" xfId="6" applyNumberFormat="1" applyFont="1" applyFill="1" applyBorder="1" applyAlignment="1">
      <alignment horizontal="center"/>
    </xf>
    <xf numFmtId="2" fontId="9" fillId="0" borderId="0" xfId="6" applyNumberFormat="1" applyFont="1" applyAlignment="1">
      <alignment horizontal="center" vertical="center"/>
    </xf>
    <xf numFmtId="2" fontId="9" fillId="0" borderId="35" xfId="6" applyNumberFormat="1" applyFont="1" applyBorder="1"/>
    <xf numFmtId="2" fontId="9" fillId="3" borderId="4" xfId="6" applyNumberFormat="1" applyFont="1" applyFill="1" applyBorder="1" applyAlignment="1">
      <alignment horizontal="center" vertical="center"/>
    </xf>
    <xf numFmtId="2" fontId="9" fillId="3" borderId="4" xfId="6" applyNumberFormat="1" applyFont="1" applyFill="1" applyBorder="1" applyAlignment="1">
      <alignment horizontal="center"/>
    </xf>
    <xf numFmtId="2" fontId="9" fillId="3" borderId="52" xfId="6" applyNumberFormat="1" applyFont="1" applyFill="1" applyBorder="1" applyAlignment="1">
      <alignment horizontal="center" vertical="center"/>
    </xf>
    <xf numFmtId="2" fontId="9" fillId="3" borderId="52" xfId="6" applyNumberFormat="1" applyFont="1" applyFill="1" applyBorder="1" applyAlignment="1">
      <alignment horizontal="center"/>
    </xf>
    <xf numFmtId="2" fontId="9" fillId="3" borderId="41" xfId="6" applyNumberFormat="1" applyFont="1" applyFill="1" applyBorder="1" applyAlignment="1">
      <alignment horizontal="center"/>
    </xf>
    <xf numFmtId="2" fontId="9" fillId="3" borderId="0" xfId="6" applyNumberFormat="1" applyFont="1" applyFill="1"/>
    <xf numFmtId="2" fontId="9" fillId="15" borderId="8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/>
    </xf>
    <xf numFmtId="2" fontId="9" fillId="15" borderId="9" xfId="6" applyNumberFormat="1" applyFont="1" applyFill="1" applyBorder="1" applyAlignment="1">
      <alignment horizontal="center"/>
    </xf>
    <xf numFmtId="2" fontId="9" fillId="0" borderId="21" xfId="6" applyNumberFormat="1" applyFont="1" applyBorder="1"/>
    <xf numFmtId="2" fontId="28" fillId="6" borderId="13" xfId="6" applyNumberFormat="1" applyFont="1" applyFill="1" applyBorder="1" applyAlignment="1">
      <alignment horizontal="center" vertical="center"/>
    </xf>
    <xf numFmtId="2" fontId="9" fillId="15" borderId="16" xfId="6" applyNumberFormat="1" applyFont="1" applyFill="1" applyBorder="1" applyAlignment="1">
      <alignment horizontal="center" vertical="center"/>
    </xf>
    <xf numFmtId="2" fontId="9" fillId="3" borderId="10" xfId="6" applyNumberFormat="1" applyFont="1" applyFill="1" applyBorder="1" applyAlignment="1">
      <alignment horizontal="center" vertical="center"/>
    </xf>
    <xf numFmtId="2" fontId="9" fillId="3" borderId="19" xfId="6" applyNumberFormat="1" applyFont="1" applyFill="1" applyBorder="1" applyAlignment="1">
      <alignment horizontal="center" vertical="center"/>
    </xf>
    <xf numFmtId="2" fontId="9" fillId="3" borderId="41" xfId="6" applyNumberFormat="1" applyFont="1" applyFill="1" applyBorder="1" applyAlignment="1">
      <alignment horizontal="center" vertical="center"/>
    </xf>
    <xf numFmtId="2" fontId="9" fillId="15" borderId="9" xfId="6" applyNumberFormat="1" applyFont="1" applyFill="1" applyBorder="1" applyAlignment="1">
      <alignment horizontal="center" vertical="center"/>
    </xf>
    <xf numFmtId="2" fontId="9" fillId="3" borderId="53" xfId="6" applyNumberFormat="1" applyFont="1" applyFill="1" applyBorder="1" applyAlignment="1">
      <alignment horizontal="center" vertical="center"/>
    </xf>
    <xf numFmtId="2" fontId="9" fillId="3" borderId="22" xfId="6" applyNumberFormat="1" applyFont="1" applyFill="1" applyBorder="1" applyAlignment="1">
      <alignment horizontal="center" vertical="center"/>
    </xf>
    <xf numFmtId="2" fontId="9" fillId="0" borderId="22" xfId="6" applyNumberFormat="1" applyFont="1" applyBorder="1" applyAlignment="1">
      <alignment horizontal="center" vertical="center"/>
    </xf>
    <xf numFmtId="2" fontId="9" fillId="3" borderId="0" xfId="6" applyNumberFormat="1" applyFont="1" applyFill="1" applyAlignment="1">
      <alignment horizontal="center" vertical="center"/>
    </xf>
    <xf numFmtId="2" fontId="16" fillId="3" borderId="21" xfId="2" applyNumberFormat="1" applyFont="1" applyFill="1" applyBorder="1" applyAlignment="1">
      <alignment horizontal="left" vertical="center" wrapText="1"/>
    </xf>
    <xf numFmtId="2" fontId="27" fillId="3" borderId="4" xfId="6" applyNumberFormat="1" applyFont="1" applyFill="1" applyBorder="1" applyAlignment="1">
      <alignment horizontal="center" vertical="center"/>
    </xf>
    <xf numFmtId="2" fontId="14" fillId="3" borderId="4" xfId="2" applyNumberFormat="1" applyFont="1" applyFill="1" applyBorder="1" applyAlignment="1">
      <alignment horizontal="center" vertical="center"/>
    </xf>
    <xf numFmtId="2" fontId="7" fillId="3" borderId="4" xfId="2" applyNumberFormat="1" applyFont="1" applyFill="1" applyBorder="1" applyAlignment="1">
      <alignment horizontal="center" vertical="center"/>
    </xf>
    <xf numFmtId="2" fontId="58" fillId="0" borderId="4" xfId="6" applyNumberFormat="1" applyFont="1" applyBorder="1" applyAlignment="1">
      <alignment horizontal="center" vertical="center"/>
    </xf>
    <xf numFmtId="2" fontId="9" fillId="3" borderId="22" xfId="2" applyNumberFormat="1" applyFont="1" applyFill="1" applyBorder="1" applyAlignment="1">
      <alignment horizontal="center"/>
    </xf>
    <xf numFmtId="2" fontId="23" fillId="3" borderId="0" xfId="2" applyNumberFormat="1" applyFont="1" applyFill="1"/>
    <xf numFmtId="2" fontId="89" fillId="16" borderId="8" xfId="6" applyNumberFormat="1" applyFill="1" applyBorder="1"/>
    <xf numFmtId="2" fontId="89" fillId="16" borderId="9" xfId="6" applyNumberFormat="1" applyFill="1" applyBorder="1"/>
    <xf numFmtId="2" fontId="7" fillId="3" borderId="0" xfId="2" applyNumberFormat="1" applyFont="1" applyFill="1"/>
    <xf numFmtId="2" fontId="89" fillId="16" borderId="13" xfId="6" applyNumberFormat="1" applyFill="1" applyBorder="1"/>
    <xf numFmtId="2" fontId="9" fillId="3" borderId="22" xfId="6" applyNumberFormat="1" applyFont="1" applyFill="1" applyBorder="1"/>
    <xf numFmtId="2" fontId="89" fillId="16" borderId="15" xfId="6" applyNumberFormat="1" applyFill="1" applyBorder="1"/>
    <xf numFmtId="2" fontId="89" fillId="16" borderId="16" xfId="6" applyNumberFormat="1" applyFill="1" applyBorder="1"/>
    <xf numFmtId="2" fontId="16" fillId="3" borderId="0" xfId="6" applyNumberFormat="1" applyFont="1" applyFill="1" applyAlignment="1">
      <alignment vertical="center"/>
    </xf>
    <xf numFmtId="2" fontId="16" fillId="3" borderId="0" xfId="2" applyNumberFormat="1" applyFont="1" applyFill="1" applyAlignment="1">
      <alignment vertical="center"/>
    </xf>
    <xf numFmtId="2" fontId="7" fillId="3" borderId="0" xfId="2" applyNumberFormat="1" applyFont="1" applyFill="1" applyAlignment="1">
      <alignment horizontal="center"/>
    </xf>
    <xf numFmtId="2" fontId="89" fillId="0" borderId="24" xfId="6" applyNumberFormat="1" applyBorder="1"/>
    <xf numFmtId="2" fontId="16" fillId="3" borderId="0" xfId="6" applyNumberFormat="1" applyFont="1" applyFill="1" applyAlignment="1">
      <alignment horizontal="center"/>
    </xf>
    <xf numFmtId="2" fontId="27" fillId="3" borderId="0" xfId="6" applyNumberFormat="1" applyFont="1" applyFill="1" applyAlignment="1">
      <alignment vertical="center"/>
    </xf>
    <xf numFmtId="2" fontId="16" fillId="3" borderId="0" xfId="6" applyNumberFormat="1" applyFont="1" applyFill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 vertical="center" wrapText="1"/>
    </xf>
    <xf numFmtId="2" fontId="16" fillId="3" borderId="4" xfId="6" applyNumberFormat="1" applyFont="1" applyFill="1" applyBorder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/>
    </xf>
    <xf numFmtId="2" fontId="9" fillId="3" borderId="0" xfId="6" applyNumberFormat="1" applyFont="1" applyFill="1" applyAlignment="1">
      <alignment horizontal="center"/>
    </xf>
    <xf numFmtId="2" fontId="9" fillId="3" borderId="35" xfId="6" applyNumberFormat="1" applyFont="1" applyFill="1" applyBorder="1"/>
    <xf numFmtId="2" fontId="9" fillId="3" borderId="35" xfId="2" applyNumberFormat="1" applyFont="1" applyFill="1" applyBorder="1" applyAlignment="1">
      <alignment horizontal="center"/>
    </xf>
    <xf numFmtId="2" fontId="89" fillId="0" borderId="35" xfId="6" applyNumberFormat="1" applyBorder="1"/>
    <xf numFmtId="2" fontId="89" fillId="0" borderId="44" xfId="6" applyNumberFormat="1" applyBorder="1"/>
    <xf numFmtId="2" fontId="9" fillId="15" borderId="4" xfId="6" applyNumberFormat="1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2" fontId="8" fillId="3" borderId="4" xfId="2" applyNumberFormat="1" applyFont="1" applyFill="1" applyBorder="1" applyAlignment="1">
      <alignment horizontal="center" vertical="center"/>
    </xf>
    <xf numFmtId="2" fontId="11" fillId="0" borderId="13" xfId="6" applyNumberFormat="1" applyFont="1" applyBorder="1" applyAlignment="1">
      <alignment vertical="center"/>
    </xf>
    <xf numFmtId="2" fontId="30" fillId="0" borderId="13" xfId="6" applyNumberFormat="1" applyFont="1" applyBorder="1" applyAlignment="1">
      <alignment horizontal="left" vertical="center"/>
    </xf>
    <xf numFmtId="2" fontId="9" fillId="3" borderId="33" xfId="6" applyNumberFormat="1" applyFont="1" applyFill="1" applyBorder="1"/>
    <xf numFmtId="2" fontId="11" fillId="0" borderId="15" xfId="6" applyNumberFormat="1" applyFont="1" applyBorder="1" applyAlignment="1">
      <alignment horizontal="center" vertical="center"/>
    </xf>
    <xf numFmtId="2" fontId="11" fillId="0" borderId="16" xfId="6" applyNumberFormat="1" applyFont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left" vertical="center"/>
    </xf>
    <xf numFmtId="1" fontId="29" fillId="3" borderId="0" xfId="2" applyNumberFormat="1" applyFont="1" applyFill="1" applyAlignment="1">
      <alignment vertical="center"/>
    </xf>
    <xf numFmtId="1" fontId="29" fillId="3" borderId="0" xfId="2" applyNumberFormat="1" applyFont="1" applyFill="1" applyAlignment="1" applyProtection="1">
      <alignment vertical="center"/>
      <protection locked="0"/>
    </xf>
    <xf numFmtId="1" fontId="29" fillId="3" borderId="0" xfId="0" applyNumberFormat="1" applyFont="1" applyFill="1" applyAlignment="1" applyProtection="1">
      <alignment horizontal="right"/>
      <protection locked="0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wrapText="1"/>
      <protection hidden="1"/>
    </xf>
    <xf numFmtId="0" fontId="11" fillId="4" borderId="4" xfId="0" applyFont="1" applyFill="1" applyBorder="1" applyAlignment="1" applyProtection="1">
      <alignment horizontal="left" vertical="top"/>
      <protection hidden="1"/>
    </xf>
    <xf numFmtId="0" fontId="11" fillId="3" borderId="19" xfId="0" applyFont="1" applyFill="1" applyBorder="1" applyAlignment="1" applyProtection="1">
      <alignment horizontal="left" vertical="top"/>
      <protection hidden="1"/>
    </xf>
    <xf numFmtId="1" fontId="29" fillId="3" borderId="0" xfId="0" applyNumberFormat="1" applyFont="1" applyFill="1"/>
    <xf numFmtId="1" fontId="30" fillId="3" borderId="0" xfId="0" applyNumberFormat="1" applyFont="1" applyFill="1" applyAlignment="1" applyProtection="1">
      <alignment horizontal="right" vertical="center"/>
      <protection locked="0"/>
    </xf>
    <xf numFmtId="0" fontId="30" fillId="17" borderId="1" xfId="0" applyFont="1" applyFill="1" applyBorder="1" applyAlignment="1" applyProtection="1">
      <alignment vertical="center"/>
      <protection locked="0"/>
    </xf>
    <xf numFmtId="0" fontId="30" fillId="17" borderId="0" xfId="0" applyFont="1" applyFill="1" applyAlignment="1" applyProtection="1">
      <alignment vertical="center"/>
      <protection locked="0"/>
    </xf>
    <xf numFmtId="0" fontId="30" fillId="3" borderId="0" xfId="0" applyFont="1" applyFill="1" applyAlignment="1" applyProtection="1">
      <alignment horizontal="left" vertical="center"/>
      <protection locked="0"/>
    </xf>
    <xf numFmtId="0" fontId="7" fillId="0" borderId="1" xfId="5" applyFont="1" applyBorder="1" applyAlignment="1">
      <alignment horizontal="left" vertical="top" wrapText="1"/>
    </xf>
    <xf numFmtId="0" fontId="58" fillId="0" borderId="0" xfId="5" applyAlignment="1" applyProtection="1">
      <alignment wrapText="1"/>
      <protection hidden="1"/>
    </xf>
    <xf numFmtId="0" fontId="58" fillId="0" borderId="0" xfId="5" applyProtection="1">
      <protection locked="0"/>
    </xf>
    <xf numFmtId="0" fontId="93" fillId="0" borderId="0" xfId="5" applyFont="1" applyAlignment="1">
      <alignment horizontal="center" vertical="center" wrapText="1"/>
    </xf>
    <xf numFmtId="0" fontId="3" fillId="0" borderId="0" xfId="5" applyFont="1" applyProtection="1">
      <protection locked="0"/>
    </xf>
    <xf numFmtId="0" fontId="58" fillId="0" borderId="0" xfId="5" applyAlignment="1">
      <alignment horizontal="left" vertical="top"/>
    </xf>
    <xf numFmtId="0" fontId="7" fillId="0" borderId="3" xfId="5" applyFont="1" applyBorder="1" applyAlignment="1">
      <alignment horizontal="left" vertical="top"/>
    </xf>
    <xf numFmtId="0" fontId="95" fillId="0" borderId="0" xfId="5" applyFont="1"/>
    <xf numFmtId="0" fontId="7" fillId="0" borderId="0" xfId="5" applyFont="1" applyAlignment="1" applyProtection="1">
      <alignment horizontal="center" vertical="center" wrapText="1"/>
      <protection locked="0"/>
    </xf>
    <xf numFmtId="1" fontId="7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Protection="1">
      <protection locked="0"/>
    </xf>
    <xf numFmtId="1" fontId="94" fillId="0" borderId="0" xfId="5" quotePrefix="1" applyNumberFormat="1" applyFont="1" applyProtection="1">
      <protection locked="0"/>
    </xf>
    <xf numFmtId="0" fontId="95" fillId="0" borderId="0" xfId="5" applyFont="1" applyProtection="1">
      <protection locked="0"/>
    </xf>
    <xf numFmtId="168" fontId="7" fillId="0" borderId="0" xfId="5" quotePrefix="1" applyNumberFormat="1" applyFont="1" applyAlignment="1" applyProtection="1">
      <alignment horizontal="left"/>
      <protection locked="0"/>
    </xf>
    <xf numFmtId="2" fontId="94" fillId="0" borderId="0" xfId="5" quotePrefix="1" applyNumberFormat="1" applyFont="1" applyProtection="1">
      <protection locked="0"/>
    </xf>
    <xf numFmtId="0" fontId="58" fillId="0" borderId="0" xfId="5" applyAlignment="1">
      <alignment vertical="top" wrapText="1"/>
    </xf>
    <xf numFmtId="0" fontId="93" fillId="0" borderId="0" xfId="5" applyFont="1" applyAlignment="1">
      <alignment wrapText="1"/>
    </xf>
    <xf numFmtId="0" fontId="91" fillId="0" borderId="0" xfId="5" applyFont="1" applyAlignment="1">
      <alignment horizontal="center"/>
    </xf>
    <xf numFmtId="0" fontId="6" fillId="0" borderId="0" xfId="5" applyFont="1"/>
    <xf numFmtId="0" fontId="31" fillId="3" borderId="0" xfId="2" quotePrefix="1" applyFont="1" applyFill="1" applyAlignment="1" applyProtection="1">
      <alignment vertical="center"/>
      <protection locked="0"/>
    </xf>
    <xf numFmtId="0" fontId="31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74" fillId="3" borderId="3" xfId="0" applyFont="1" applyFill="1" applyBorder="1" applyAlignment="1">
      <alignment horizontal="right"/>
    </xf>
    <xf numFmtId="0" fontId="29" fillId="3" borderId="0" xfId="1" applyFont="1" applyFill="1" applyAlignment="1">
      <alignment vertical="center"/>
    </xf>
    <xf numFmtId="0" fontId="29" fillId="14" borderId="1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29" fillId="14" borderId="3" xfId="0" applyFont="1" applyFill="1" applyBorder="1" applyAlignment="1">
      <alignment vertical="center"/>
    </xf>
    <xf numFmtId="2" fontId="96" fillId="3" borderId="24" xfId="4" applyNumberFormat="1" applyFont="1" applyFill="1" applyBorder="1" applyAlignment="1">
      <alignment horizontal="center" vertical="center"/>
    </xf>
    <xf numFmtId="165" fontId="29" fillId="3" borderId="0" xfId="2" applyNumberFormat="1" applyFont="1" applyFill="1" applyAlignment="1">
      <alignment horizontal="center" vertical="center"/>
    </xf>
    <xf numFmtId="0" fontId="29" fillId="0" borderId="0" xfId="2" quotePrefix="1" applyFont="1" applyAlignment="1">
      <alignment vertical="center"/>
    </xf>
    <xf numFmtId="0" fontId="30" fillId="3" borderId="0" xfId="0" applyFont="1" applyFill="1" applyAlignment="1" applyProtection="1">
      <alignment vertical="center"/>
      <protection locked="0"/>
    </xf>
    <xf numFmtId="0" fontId="32" fillId="3" borderId="0" xfId="0" applyFont="1" applyFill="1"/>
    <xf numFmtId="166" fontId="29" fillId="3" borderId="0" xfId="0" applyNumberFormat="1" applyFont="1" applyFill="1" applyAlignment="1">
      <alignment horizontal="center"/>
    </xf>
    <xf numFmtId="166" fontId="29" fillId="3" borderId="0" xfId="0" applyNumberFormat="1" applyFont="1" applyFill="1"/>
    <xf numFmtId="0" fontId="29" fillId="3" borderId="0" xfId="0" applyFont="1" applyFill="1" applyAlignment="1">
      <alignment vertical="center" wrapText="1"/>
    </xf>
    <xf numFmtId="2" fontId="29" fillId="3" borderId="0" xfId="0" applyNumberFormat="1" applyFont="1" applyFill="1" applyAlignment="1">
      <alignment horizontal="center"/>
    </xf>
    <xf numFmtId="0" fontId="29" fillId="0" borderId="0" xfId="0" applyFont="1" applyAlignment="1" applyProtection="1">
      <alignment horizontal="left"/>
      <protection locked="0"/>
    </xf>
    <xf numFmtId="0" fontId="73" fillId="14" borderId="0" xfId="0" applyFont="1" applyFill="1" applyAlignment="1">
      <alignment horizontal="left"/>
    </xf>
    <xf numFmtId="166" fontId="73" fillId="14" borderId="4" xfId="0" applyNumberFormat="1" applyFont="1" applyFill="1" applyBorder="1" applyAlignment="1">
      <alignment horizontal="center" vertical="center"/>
    </xf>
    <xf numFmtId="166" fontId="73" fillId="14" borderId="0" xfId="0" quotePrefix="1" applyNumberFormat="1" applyFont="1" applyFill="1" applyAlignment="1">
      <alignment horizontal="center"/>
    </xf>
    <xf numFmtId="1" fontId="73" fillId="14" borderId="1" xfId="0" quotePrefix="1" applyNumberFormat="1" applyFont="1" applyFill="1" applyBorder="1" applyAlignment="1">
      <alignment horizontal="right" vertical="center"/>
    </xf>
    <xf numFmtId="1" fontId="73" fillId="14" borderId="3" xfId="0" quotePrefix="1" applyNumberFormat="1" applyFont="1" applyFill="1" applyBorder="1" applyAlignment="1">
      <alignment horizontal="center" vertical="center"/>
    </xf>
    <xf numFmtId="1" fontId="73" fillId="14" borderId="3" xfId="0" applyNumberFormat="1" applyFont="1" applyFill="1" applyBorder="1" applyAlignment="1">
      <alignment horizontal="center" vertical="center"/>
    </xf>
    <xf numFmtId="1" fontId="73" fillId="14" borderId="4" xfId="0" quotePrefix="1" applyNumberFormat="1" applyFont="1" applyFill="1" applyBorder="1" applyAlignment="1">
      <alignment horizontal="center"/>
    </xf>
    <xf numFmtId="0" fontId="31" fillId="0" borderId="0" xfId="0" applyFont="1" applyProtection="1">
      <protection locked="0"/>
    </xf>
    <xf numFmtId="0" fontId="29" fillId="0" borderId="0" xfId="0" applyFont="1" applyProtection="1">
      <protection locked="0"/>
    </xf>
    <xf numFmtId="166" fontId="73" fillId="3" borderId="0" xfId="2" applyNumberFormat="1" applyFont="1" applyFill="1" applyAlignment="1">
      <alignment horizontal="left" vertical="center"/>
    </xf>
    <xf numFmtId="166" fontId="73" fillId="0" borderId="3" xfId="2" applyNumberFormat="1" applyFont="1" applyBorder="1" applyAlignment="1">
      <alignment horizontal="center" vertical="center"/>
    </xf>
    <xf numFmtId="166" fontId="73" fillId="0" borderId="4" xfId="2" applyNumberFormat="1" applyFont="1" applyBorder="1" applyAlignment="1">
      <alignment horizontal="center" vertical="center"/>
    </xf>
    <xf numFmtId="166" fontId="73" fillId="3" borderId="55" xfId="2" applyNumberFormat="1" applyFont="1" applyFill="1" applyBorder="1" applyAlignment="1" applyProtection="1">
      <alignment horizontal="left" vertical="center"/>
      <protection locked="0"/>
    </xf>
    <xf numFmtId="166" fontId="73" fillId="3" borderId="53" xfId="2" applyNumberFormat="1" applyFont="1" applyFill="1" applyBorder="1" applyAlignment="1" applyProtection="1">
      <alignment horizontal="left" vertical="center"/>
      <protection locked="0"/>
    </xf>
    <xf numFmtId="166" fontId="73" fillId="3" borderId="58" xfId="2" applyNumberFormat="1" applyFont="1" applyFill="1" applyBorder="1" applyAlignment="1" applyProtection="1">
      <alignment horizontal="left" vertical="center"/>
      <protection locked="0"/>
    </xf>
    <xf numFmtId="173" fontId="73" fillId="3" borderId="1" xfId="0" applyNumberFormat="1" applyFont="1" applyFill="1" applyBorder="1" applyAlignment="1">
      <alignment horizontal="right" vertical="center"/>
    </xf>
    <xf numFmtId="0" fontId="73" fillId="14" borderId="0" xfId="0" applyFont="1" applyFill="1"/>
    <xf numFmtId="2" fontId="23" fillId="16" borderId="4" xfId="6" applyNumberFormat="1" applyFont="1" applyFill="1" applyBorder="1" applyAlignment="1">
      <alignment vertical="center"/>
    </xf>
    <xf numFmtId="175" fontId="0" fillId="3" borderId="4" xfId="0" applyNumberFormat="1" applyFill="1" applyBorder="1"/>
    <xf numFmtId="1" fontId="29" fillId="3" borderId="6" xfId="0" quotePrefix="1" applyNumberFormat="1" applyFont="1" applyFill="1" applyBorder="1" applyAlignment="1">
      <alignment horizontal="center" vertical="center" wrapText="1"/>
    </xf>
    <xf numFmtId="1" fontId="29" fillId="3" borderId="6" xfId="0" applyNumberFormat="1" applyFont="1" applyFill="1" applyBorder="1" applyAlignment="1">
      <alignment horizontal="center" vertical="center" wrapText="1"/>
    </xf>
    <xf numFmtId="0" fontId="17" fillId="6" borderId="0" xfId="4" applyFont="1" applyFill="1" applyAlignment="1">
      <alignment horizontal="center" vertical="center"/>
    </xf>
    <xf numFmtId="2" fontId="17" fillId="6" borderId="0" xfId="4" applyNumberFormat="1" applyFont="1" applyFill="1" applyAlignment="1">
      <alignment horizontal="center" vertical="center"/>
    </xf>
    <xf numFmtId="0" fontId="17" fillId="6" borderId="35" xfId="4" applyFont="1" applyFill="1" applyBorder="1" applyAlignment="1">
      <alignment horizontal="center" vertical="center"/>
    </xf>
    <xf numFmtId="2" fontId="17" fillId="6" borderId="35" xfId="4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176" fontId="58" fillId="0" borderId="6" xfId="0" applyNumberFormat="1" applyFont="1" applyBorder="1" applyAlignment="1">
      <alignment horizontal="center" vertical="center"/>
    </xf>
    <xf numFmtId="176" fontId="58" fillId="2" borderId="55" xfId="2" applyNumberFormat="1" applyFill="1" applyBorder="1" applyAlignment="1">
      <alignment horizontal="center" vertical="center"/>
    </xf>
    <xf numFmtId="1" fontId="97" fillId="0" borderId="4" xfId="0" applyNumberFormat="1" applyFont="1" applyBorder="1" applyAlignment="1">
      <alignment horizontal="center" vertical="center"/>
    </xf>
    <xf numFmtId="173" fontId="73" fillId="14" borderId="1" xfId="0" quotePrefix="1" applyNumberFormat="1" applyFont="1" applyFill="1" applyBorder="1" applyAlignment="1">
      <alignment horizontal="right" vertical="center"/>
    </xf>
    <xf numFmtId="173" fontId="0" fillId="3" borderId="4" xfId="0" applyNumberFormat="1" applyFill="1" applyBorder="1"/>
    <xf numFmtId="166" fontId="58" fillId="16" borderId="4" xfId="6" applyNumberFormat="1" applyFont="1" applyFill="1" applyBorder="1" applyAlignment="1">
      <alignment horizontal="center" vertical="center"/>
    </xf>
    <xf numFmtId="166" fontId="58" fillId="3" borderId="4" xfId="6" applyNumberFormat="1" applyFont="1" applyFill="1" applyBorder="1" applyAlignment="1">
      <alignment horizontal="center"/>
    </xf>
    <xf numFmtId="2" fontId="58" fillId="3" borderId="4" xfId="2" applyNumberFormat="1" applyFill="1" applyBorder="1" applyAlignment="1">
      <alignment horizontal="center"/>
    </xf>
    <xf numFmtId="166" fontId="73" fillId="14" borderId="1" xfId="0" quotePrefix="1" applyNumberFormat="1" applyFont="1" applyFill="1" applyBorder="1" applyAlignment="1">
      <alignment horizontal="right" vertical="center"/>
    </xf>
    <xf numFmtId="166" fontId="73" fillId="3" borderId="1" xfId="0" applyNumberFormat="1" applyFont="1" applyFill="1" applyBorder="1" applyAlignment="1">
      <alignment horizontal="right" vertical="center"/>
    </xf>
    <xf numFmtId="0" fontId="73" fillId="0" borderId="0" xfId="2" applyFont="1" applyAlignment="1">
      <alignment horizontal="left" vertical="center"/>
    </xf>
    <xf numFmtId="0" fontId="8" fillId="0" borderId="0" xfId="5" applyFont="1" applyAlignment="1">
      <alignment horizontal="left" vertical="center" wrapText="1"/>
    </xf>
    <xf numFmtId="0" fontId="7" fillId="0" borderId="0" xfId="5" applyFont="1" applyAlignment="1">
      <alignment horizontal="left" vertical="center" wrapText="1"/>
    </xf>
    <xf numFmtId="183" fontId="7" fillId="0" borderId="0" xfId="5" applyNumberFormat="1" applyFont="1" applyAlignment="1">
      <alignment horizontal="left" vertical="top" wrapText="1"/>
    </xf>
    <xf numFmtId="0" fontId="7" fillId="0" borderId="0" xfId="5" applyFont="1" applyAlignment="1">
      <alignment horizontal="left" vertical="top" wrapText="1"/>
    </xf>
    <xf numFmtId="0" fontId="7" fillId="6" borderId="0" xfId="5" applyFont="1" applyFill="1" applyAlignment="1">
      <alignment horizontal="justify" vertical="center" wrapText="1"/>
    </xf>
    <xf numFmtId="183" fontId="7" fillId="0" borderId="0" xfId="5" applyNumberFormat="1" applyFont="1" applyAlignment="1">
      <alignment horizontal="left" vertical="center" wrapText="1"/>
    </xf>
    <xf numFmtId="0" fontId="7" fillId="0" borderId="1" xfId="5" applyFont="1" applyBorder="1" applyAlignment="1">
      <alignment horizontal="left" vertical="top" wrapText="1"/>
    </xf>
    <xf numFmtId="0" fontId="7" fillId="0" borderId="2" xfId="5" applyFont="1" applyBorder="1" applyAlignment="1">
      <alignment horizontal="left" vertical="top" wrapText="1"/>
    </xf>
    <xf numFmtId="0" fontId="94" fillId="0" borderId="0" xfId="5" applyFont="1" applyAlignment="1" applyProtection="1">
      <alignment horizontal="left"/>
      <protection locked="0"/>
    </xf>
    <xf numFmtId="0" fontId="95" fillId="0" borderId="0" xfId="5" applyFont="1" applyAlignment="1" applyProtection="1">
      <alignment horizontal="left" vertical="center" wrapText="1"/>
      <protection locked="0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185" fontId="94" fillId="0" borderId="0" xfId="5" quotePrefix="1" applyNumberFormat="1" applyFont="1" applyAlignment="1" applyProtection="1">
      <alignment horizontal="left" vertical="center"/>
      <protection locked="0"/>
    </xf>
    <xf numFmtId="185" fontId="94" fillId="0" borderId="0" xfId="5" applyNumberFormat="1" applyFont="1" applyAlignment="1" applyProtection="1">
      <alignment horizontal="left" vertical="center"/>
      <protection locked="0"/>
    </xf>
    <xf numFmtId="0" fontId="91" fillId="0" borderId="0" xfId="5" applyFont="1" applyAlignment="1">
      <alignment horizontal="center"/>
    </xf>
    <xf numFmtId="0" fontId="94" fillId="0" borderId="0" xfId="5" quotePrefix="1" applyFont="1" applyAlignment="1" applyProtection="1">
      <alignment horizontal="left"/>
      <protection locked="0"/>
    </xf>
    <xf numFmtId="0" fontId="95" fillId="0" borderId="0" xfId="5" quotePrefix="1" applyFont="1" applyAlignment="1" applyProtection="1">
      <alignment horizontal="left" vertical="center" wrapText="1"/>
      <protection locked="0"/>
    </xf>
    <xf numFmtId="11" fontId="94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 vertical="center" wrapText="1"/>
      <protection locked="0"/>
    </xf>
    <xf numFmtId="0" fontId="79" fillId="0" borderId="0" xfId="5" applyFont="1" applyAlignment="1" applyProtection="1">
      <alignment horizontal="center" vertical="center"/>
      <protection locked="0"/>
    </xf>
    <xf numFmtId="183" fontId="94" fillId="0" borderId="0" xfId="5" quotePrefix="1" applyNumberFormat="1" applyFont="1" applyAlignment="1" applyProtection="1">
      <alignment horizontal="center" vertical="center"/>
      <protection locked="0"/>
    </xf>
    <xf numFmtId="183" fontId="94" fillId="0" borderId="0" xfId="5" applyNumberFormat="1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80" fillId="0" borderId="0" xfId="5" applyFont="1" applyAlignment="1">
      <alignment horizontal="right" vertical="center"/>
    </xf>
    <xf numFmtId="0" fontId="92" fillId="0" borderId="0" xfId="5" applyFont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30" fillId="3" borderId="0" xfId="0" quotePrefix="1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9" fillId="3" borderId="59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0" borderId="4" xfId="1" applyFont="1" applyBorder="1" applyAlignment="1">
      <alignment horizontal="center" vertical="top" wrapText="1"/>
    </xf>
    <xf numFmtId="0" fontId="29" fillId="0" borderId="4" xfId="1" applyFont="1" applyBorder="1" applyAlignment="1">
      <alignment horizontal="center" vertical="top"/>
    </xf>
    <xf numFmtId="0" fontId="31" fillId="0" borderId="42" xfId="1" applyFont="1" applyBorder="1" applyAlignment="1">
      <alignment horizontal="center" vertical="center" wrapText="1"/>
    </xf>
    <xf numFmtId="0" fontId="31" fillId="0" borderId="55" xfId="1" applyFont="1" applyBorder="1" applyAlignment="1">
      <alignment horizontal="center" vertical="center" wrapText="1"/>
    </xf>
    <xf numFmtId="0" fontId="31" fillId="0" borderId="56" xfId="1" applyFont="1" applyBorder="1" applyAlignment="1">
      <alignment horizontal="center" vertical="center" wrapText="1"/>
    </xf>
    <xf numFmtId="0" fontId="31" fillId="0" borderId="58" xfId="1" applyFont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 wrapText="1"/>
    </xf>
    <xf numFmtId="0" fontId="31" fillId="3" borderId="55" xfId="0" applyFont="1" applyFill="1" applyBorder="1" applyAlignment="1">
      <alignment horizontal="center" vertical="center" wrapText="1"/>
    </xf>
    <xf numFmtId="0" fontId="31" fillId="3" borderId="56" xfId="0" applyFont="1" applyFill="1" applyBorder="1" applyAlignment="1">
      <alignment horizontal="center" vertical="center" wrapText="1"/>
    </xf>
    <xf numFmtId="0" fontId="31" fillId="3" borderId="58" xfId="0" applyFont="1" applyFill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/>
    </xf>
    <xf numFmtId="0" fontId="31" fillId="3" borderId="54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31" fillId="3" borderId="58" xfId="0" applyFont="1" applyFill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169" fontId="29" fillId="3" borderId="5" xfId="0" applyNumberFormat="1" applyFont="1" applyFill="1" applyBorder="1" applyAlignment="1">
      <alignment horizontal="center" vertical="center" textRotation="45"/>
    </xf>
    <xf numFmtId="169" fontId="29" fillId="3" borderId="52" xfId="0" applyNumberFormat="1" applyFont="1" applyFill="1" applyBorder="1" applyAlignment="1">
      <alignment horizontal="center" vertical="center" textRotation="45"/>
    </xf>
    <xf numFmtId="169" fontId="29" fillId="3" borderId="6" xfId="0" applyNumberFormat="1" applyFont="1" applyFill="1" applyBorder="1" applyAlignment="1">
      <alignment horizontal="center" vertical="center" textRotation="45"/>
    </xf>
    <xf numFmtId="0" fontId="31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29" fillId="3" borderId="52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2" fontId="29" fillId="3" borderId="5" xfId="0" quotePrefix="1" applyNumberFormat="1" applyFont="1" applyFill="1" applyBorder="1" applyAlignment="1">
      <alignment horizontal="center" vertical="center" wrapText="1"/>
    </xf>
    <xf numFmtId="2" fontId="29" fillId="3" borderId="52" xfId="0" applyNumberFormat="1" applyFont="1" applyFill="1" applyBorder="1" applyAlignment="1">
      <alignment horizontal="center" vertical="center" wrapText="1"/>
    </xf>
    <xf numFmtId="2" fontId="29" fillId="3" borderId="6" xfId="0" applyNumberFormat="1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7" fillId="3" borderId="0" xfId="0" applyFont="1" applyFill="1" applyAlignment="1">
      <alignment horizontal="center"/>
    </xf>
    <xf numFmtId="0" fontId="60" fillId="11" borderId="1" xfId="0" applyFont="1" applyFill="1" applyBorder="1" applyAlignment="1">
      <alignment horizontal="center" vertical="center"/>
    </xf>
    <xf numFmtId="0" fontId="60" fillId="11" borderId="3" xfId="0" applyFont="1" applyFill="1" applyBorder="1" applyAlignment="1">
      <alignment horizontal="center" vertical="center"/>
    </xf>
    <xf numFmtId="0" fontId="60" fillId="11" borderId="1" xfId="0" quotePrefix="1" applyFont="1" applyFill="1" applyBorder="1" applyAlignment="1">
      <alignment horizontal="center" vertical="center"/>
    </xf>
    <xf numFmtId="0" fontId="60" fillId="11" borderId="3" xfId="0" quotePrefix="1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left"/>
    </xf>
    <xf numFmtId="0" fontId="40" fillId="3" borderId="4" xfId="2" applyFont="1" applyFill="1" applyBorder="1" applyAlignment="1">
      <alignment horizontal="left"/>
    </xf>
    <xf numFmtId="0" fontId="41" fillId="3" borderId="4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left"/>
    </xf>
    <xf numFmtId="0" fontId="68" fillId="0" borderId="25" xfId="0" applyFont="1" applyBorder="1" applyAlignment="1">
      <alignment horizontal="center" vertical="center"/>
    </xf>
    <xf numFmtId="0" fontId="68" fillId="0" borderId="26" xfId="0" applyFont="1" applyBorder="1" applyAlignment="1">
      <alignment horizontal="center" vertical="center"/>
    </xf>
    <xf numFmtId="0" fontId="68" fillId="0" borderId="27" xfId="0" applyFont="1" applyBorder="1" applyAlignment="1">
      <alignment horizontal="center" vertical="center"/>
    </xf>
    <xf numFmtId="0" fontId="64" fillId="0" borderId="1" xfId="0" applyFont="1" applyBorder="1" applyAlignment="1">
      <alignment horizontal="left" vertical="top"/>
    </xf>
    <xf numFmtId="0" fontId="64" fillId="0" borderId="2" xfId="0" applyFont="1" applyBorder="1" applyAlignment="1">
      <alignment horizontal="left" vertical="top"/>
    </xf>
    <xf numFmtId="0" fontId="64" fillId="0" borderId="3" xfId="0" applyFont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53" fillId="6" borderId="0" xfId="0" applyFont="1" applyFill="1" applyAlignment="1">
      <alignment horizontal="center" vertical="center"/>
    </xf>
    <xf numFmtId="0" fontId="42" fillId="3" borderId="36" xfId="0" applyFont="1" applyFill="1" applyBorder="1" applyAlignment="1">
      <alignment horizontal="center"/>
    </xf>
    <xf numFmtId="0" fontId="42" fillId="3" borderId="37" xfId="0" applyFont="1" applyFill="1" applyBorder="1" applyAlignment="1">
      <alignment horizontal="center"/>
    </xf>
    <xf numFmtId="0" fontId="42" fillId="3" borderId="4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1" fillId="3" borderId="0" xfId="1" applyFont="1" applyFill="1" applyAlignment="1">
      <alignment horizontal="center" vertical="center"/>
    </xf>
    <xf numFmtId="0" fontId="31" fillId="3" borderId="57" xfId="1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29" fillId="3" borderId="1" xfId="0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left" vertical="center"/>
    </xf>
    <xf numFmtId="0" fontId="29" fillId="3" borderId="3" xfId="0" applyFont="1" applyFill="1" applyBorder="1" applyAlignment="1">
      <alignment horizontal="left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29" fillId="14" borderId="0" xfId="0" applyFont="1" applyFill="1" applyAlignment="1">
      <alignment horizontal="left" vertical="center"/>
    </xf>
    <xf numFmtId="167" fontId="29" fillId="14" borderId="0" xfId="0" quotePrefix="1" applyNumberFormat="1" applyFont="1" applyFill="1" applyAlignment="1">
      <alignment horizontal="left"/>
    </xf>
    <xf numFmtId="167" fontId="29" fillId="14" borderId="0" xfId="0" applyNumberFormat="1" applyFont="1" applyFill="1" applyAlignment="1">
      <alignment horizontal="left"/>
    </xf>
    <xf numFmtId="0" fontId="29" fillId="3" borderId="3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31" fillId="3" borderId="42" xfId="1" applyFont="1" applyFill="1" applyBorder="1" applyAlignment="1">
      <alignment horizontal="center" vertical="center" wrapText="1"/>
    </xf>
    <xf numFmtId="0" fontId="31" fillId="3" borderId="55" xfId="1" applyFont="1" applyFill="1" applyBorder="1" applyAlignment="1">
      <alignment horizontal="center" vertical="center" wrapText="1"/>
    </xf>
    <xf numFmtId="0" fontId="31" fillId="3" borderId="56" xfId="1" applyFont="1" applyFill="1" applyBorder="1" applyAlignment="1">
      <alignment horizontal="center" vertical="center" wrapText="1"/>
    </xf>
    <xf numFmtId="0" fontId="31" fillId="3" borderId="58" xfId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left" vertical="top" wrapText="1"/>
    </xf>
    <xf numFmtId="0" fontId="29" fillId="3" borderId="2" xfId="0" applyFont="1" applyFill="1" applyBorder="1" applyAlignment="1">
      <alignment horizontal="center" vertical="center"/>
    </xf>
    <xf numFmtId="183" fontId="29" fillId="14" borderId="0" xfId="0" quotePrefix="1" applyNumberFormat="1" applyFont="1" applyFill="1" applyAlignment="1">
      <alignment horizontal="center"/>
    </xf>
    <xf numFmtId="0" fontId="54" fillId="18" borderId="4" xfId="0" applyFont="1" applyFill="1" applyBorder="1" applyAlignment="1">
      <alignment horizontal="center"/>
    </xf>
    <xf numFmtId="0" fontId="54" fillId="18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9" fillId="3" borderId="5" xfId="2" applyFont="1" applyFill="1" applyBorder="1" applyAlignment="1">
      <alignment horizontal="center" vertical="center" wrapText="1"/>
    </xf>
    <xf numFmtId="0" fontId="29" fillId="3" borderId="52" xfId="2" applyFont="1" applyFill="1" applyBorder="1" applyAlignment="1">
      <alignment horizontal="center" vertical="center" wrapText="1"/>
    </xf>
    <xf numFmtId="0" fontId="29" fillId="3" borderId="6" xfId="2" applyFont="1" applyFill="1" applyBorder="1" applyAlignment="1">
      <alignment horizontal="center" vertical="center" wrapText="1"/>
    </xf>
    <xf numFmtId="1" fontId="29" fillId="3" borderId="4" xfId="2" applyNumberFormat="1" applyFont="1" applyFill="1" applyBorder="1" applyAlignment="1">
      <alignment horizontal="center" vertical="center"/>
    </xf>
    <xf numFmtId="183" fontId="29" fillId="3" borderId="0" xfId="2" applyNumberFormat="1" applyFont="1" applyFill="1" applyAlignment="1">
      <alignment horizontal="left" vertical="center"/>
    </xf>
    <xf numFmtId="0" fontId="31" fillId="3" borderId="0" xfId="2" applyFont="1" applyFill="1" applyAlignment="1" applyProtection="1">
      <alignment horizontal="center" vertical="center"/>
      <protection locked="0"/>
    </xf>
    <xf numFmtId="0" fontId="29" fillId="3" borderId="0" xfId="2" applyFont="1" applyFill="1" applyAlignment="1">
      <alignment horizontal="left" vertical="top" wrapText="1"/>
    </xf>
    <xf numFmtId="0" fontId="29" fillId="3" borderId="0" xfId="2" applyFont="1" applyFill="1" applyAlignment="1">
      <alignment horizontal="left" vertical="center"/>
    </xf>
    <xf numFmtId="0" fontId="31" fillId="3" borderId="5" xfId="2" applyFont="1" applyFill="1" applyBorder="1" applyAlignment="1">
      <alignment horizontal="center" vertical="center" wrapText="1"/>
    </xf>
    <xf numFmtId="0" fontId="31" fillId="3" borderId="4" xfId="2" applyFont="1" applyFill="1" applyBorder="1" applyAlignment="1">
      <alignment horizontal="center" vertical="center" wrapText="1"/>
    </xf>
    <xf numFmtId="179" fontId="29" fillId="3" borderId="42" xfId="2" applyNumberFormat="1" applyFont="1" applyFill="1" applyBorder="1" applyAlignment="1">
      <alignment horizontal="center" vertical="center"/>
    </xf>
    <xf numFmtId="179" fontId="29" fillId="3" borderId="19" xfId="2" applyNumberFormat="1" applyFont="1" applyFill="1" applyBorder="1" applyAlignment="1">
      <alignment horizontal="center" vertical="center"/>
    </xf>
    <xf numFmtId="179" fontId="29" fillId="3" borderId="56" xfId="2" applyNumberFormat="1" applyFont="1" applyFill="1" applyBorder="1" applyAlignment="1">
      <alignment horizontal="center" vertical="center"/>
    </xf>
    <xf numFmtId="0" fontId="29" fillId="0" borderId="36" xfId="4" applyFont="1" applyBorder="1" applyAlignment="1" applyProtection="1">
      <alignment horizontal="center"/>
      <protection locked="0"/>
    </xf>
    <xf numFmtId="0" fontId="29" fillId="0" borderId="37" xfId="4" applyFont="1" applyBorder="1" applyAlignment="1" applyProtection="1">
      <alignment horizontal="center"/>
      <protection locked="0"/>
    </xf>
    <xf numFmtId="0" fontId="29" fillId="0" borderId="45" xfId="4" applyFont="1" applyBorder="1" applyAlignment="1" applyProtection="1">
      <alignment horizontal="center"/>
      <protection locked="0"/>
    </xf>
    <xf numFmtId="0" fontId="31" fillId="0" borderId="39" xfId="4" applyFont="1" applyBorder="1" applyAlignment="1" applyProtection="1">
      <alignment horizontal="center"/>
      <protection locked="0"/>
    </xf>
    <xf numFmtId="0" fontId="31" fillId="0" borderId="40" xfId="4" applyFont="1" applyBorder="1" applyAlignment="1" applyProtection="1">
      <alignment horizontal="center"/>
      <protection locked="0"/>
    </xf>
    <xf numFmtId="0" fontId="31" fillId="0" borderId="46" xfId="4" applyFont="1" applyBorder="1" applyAlignment="1" applyProtection="1">
      <alignment horizontal="center"/>
      <protection locked="0"/>
    </xf>
    <xf numFmtId="0" fontId="17" fillId="6" borderId="0" xfId="4" applyFont="1" applyFill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16" fillId="0" borderId="30" xfId="4" applyFont="1" applyBorder="1" applyAlignment="1">
      <alignment horizontal="center" vertical="center" wrapText="1"/>
    </xf>
    <xf numFmtId="0" fontId="16" fillId="0" borderId="4" xfId="4" applyFont="1" applyBorder="1" applyAlignment="1">
      <alignment horizontal="center" vertical="center" wrapText="1"/>
    </xf>
    <xf numFmtId="0" fontId="16" fillId="0" borderId="13" xfId="4" applyFont="1" applyBorder="1" applyAlignment="1">
      <alignment horizontal="center" vertical="center" wrapText="1"/>
    </xf>
    <xf numFmtId="0" fontId="15" fillId="3" borderId="8" xfId="4" applyFont="1" applyFill="1" applyBorder="1" applyAlignment="1">
      <alignment horizontal="left" vertical="center" wrapText="1"/>
    </xf>
    <xf numFmtId="0" fontId="15" fillId="3" borderId="9" xfId="4" applyFont="1" applyFill="1" applyBorder="1" applyAlignment="1">
      <alignment horizontal="left" vertical="center" wrapText="1"/>
    </xf>
    <xf numFmtId="0" fontId="16" fillId="0" borderId="28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8" fillId="3" borderId="28" xfId="4" applyFont="1" applyFill="1" applyBorder="1" applyAlignment="1">
      <alignment horizontal="center" vertical="center" wrapText="1"/>
    </xf>
    <xf numFmtId="0" fontId="18" fillId="3" borderId="30" xfId="4" applyFont="1" applyFill="1" applyBorder="1" applyAlignment="1">
      <alignment horizontal="center" vertical="center" wrapText="1"/>
    </xf>
    <xf numFmtId="0" fontId="18" fillId="3" borderId="29" xfId="4" applyFont="1" applyFill="1" applyBorder="1" applyAlignment="1">
      <alignment horizontal="center" vertical="center" wrapText="1"/>
    </xf>
    <xf numFmtId="0" fontId="18" fillId="3" borderId="17" xfId="4" applyFont="1" applyFill="1" applyBorder="1" applyAlignment="1">
      <alignment horizontal="center" vertical="center" wrapText="1"/>
    </xf>
    <xf numFmtId="0" fontId="18" fillId="3" borderId="1" xfId="4" applyFont="1" applyFill="1" applyBorder="1" applyAlignment="1">
      <alignment horizontal="center" vertical="center" wrapText="1"/>
    </xf>
    <xf numFmtId="0" fontId="18" fillId="3" borderId="42" xfId="4" applyFont="1" applyFill="1" applyBorder="1" applyAlignment="1">
      <alignment horizontal="center" vertical="center" wrapText="1"/>
    </xf>
    <xf numFmtId="0" fontId="3" fillId="3" borderId="32" xfId="4" applyFont="1" applyFill="1" applyBorder="1" applyAlignment="1">
      <alignment horizontal="center" vertical="center" wrapText="1"/>
    </xf>
    <xf numFmtId="0" fontId="3" fillId="3" borderId="41" xfId="4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horizontal="center" vertical="center" wrapText="1"/>
    </xf>
    <xf numFmtId="0" fontId="7" fillId="3" borderId="11" xfId="4" applyFont="1" applyFill="1" applyBorder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31" xfId="4" applyFont="1" applyFill="1" applyBorder="1" applyAlignment="1">
      <alignment horizontal="center" vertical="center"/>
    </xf>
    <xf numFmtId="0" fontId="3" fillId="3" borderId="6" xfId="4" applyFont="1" applyFill="1" applyBorder="1" applyAlignment="1">
      <alignment horizontal="center" vertical="center"/>
    </xf>
    <xf numFmtId="0" fontId="3" fillId="3" borderId="32" xfId="4" applyFont="1" applyFill="1" applyBorder="1" applyAlignment="1">
      <alignment horizontal="center" vertical="center"/>
    </xf>
    <xf numFmtId="0" fontId="3" fillId="3" borderId="12" xfId="4" applyFont="1" applyFill="1" applyBorder="1" applyAlignment="1">
      <alignment horizontal="center" vertical="center"/>
    </xf>
    <xf numFmtId="0" fontId="58" fillId="9" borderId="4" xfId="4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7" fillId="9" borderId="4" xfId="4" applyFont="1" applyFill="1" applyBorder="1" applyAlignment="1">
      <alignment horizontal="center" vertical="center"/>
    </xf>
    <xf numFmtId="0" fontId="3" fillId="3" borderId="4" xfId="4" applyFont="1" applyFill="1" applyBorder="1" applyAlignment="1">
      <alignment horizontal="center" vertical="center" wrapText="1"/>
    </xf>
    <xf numFmtId="0" fontId="58" fillId="9" borderId="4" xfId="4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 wrapText="1"/>
      <protection locked="0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13" fillId="8" borderId="25" xfId="4" applyFont="1" applyFill="1" applyBorder="1" applyAlignment="1" applyProtection="1">
      <alignment horizontal="center" vertical="center" wrapText="1"/>
      <protection locked="0"/>
    </xf>
    <xf numFmtId="0" fontId="13" fillId="8" borderId="26" xfId="4" applyFont="1" applyFill="1" applyBorder="1" applyAlignment="1" applyProtection="1">
      <alignment horizontal="center" vertical="center" wrapText="1"/>
      <protection locked="0"/>
    </xf>
    <xf numFmtId="0" fontId="13" fillId="9" borderId="4" xfId="4" applyFont="1" applyFill="1" applyBorder="1" applyAlignment="1" applyProtection="1">
      <alignment horizontal="center" vertical="center" wrapText="1"/>
      <protection locked="0"/>
    </xf>
    <xf numFmtId="0" fontId="6" fillId="9" borderId="4" xfId="4" applyFont="1" applyFill="1" applyBorder="1" applyAlignment="1" applyProtection="1">
      <alignment horizontal="center" vertical="center"/>
      <protection locked="0"/>
    </xf>
    <xf numFmtId="0" fontId="7" fillId="9" borderId="4" xfId="4" applyFont="1" applyFill="1" applyBorder="1" applyAlignment="1" applyProtection="1">
      <alignment horizontal="center"/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0" fontId="12" fillId="8" borderId="20" xfId="4" applyFont="1" applyFill="1" applyBorder="1" applyAlignment="1">
      <alignment horizontal="center" vertical="center"/>
    </xf>
    <xf numFmtId="0" fontId="12" fillId="8" borderId="21" xfId="4" applyFont="1" applyFill="1" applyBorder="1" applyAlignment="1">
      <alignment horizontal="center" vertical="center"/>
    </xf>
    <xf numFmtId="0" fontId="12" fillId="8" borderId="23" xfId="4" applyFont="1" applyFill="1" applyBorder="1" applyAlignment="1">
      <alignment horizontal="center" vertical="center"/>
    </xf>
    <xf numFmtId="2" fontId="23" fillId="3" borderId="28" xfId="2" applyNumberFormat="1" applyFont="1" applyFill="1" applyBorder="1" applyAlignment="1">
      <alignment horizontal="center" vertical="center"/>
    </xf>
    <xf numFmtId="2" fontId="23" fillId="3" borderId="8" xfId="2" applyNumberFormat="1" applyFont="1" applyFill="1" applyBorder="1" applyAlignment="1">
      <alignment horizontal="center" vertical="center"/>
    </xf>
    <xf numFmtId="2" fontId="23" fillId="3" borderId="9" xfId="2" applyNumberFormat="1" applyFont="1" applyFill="1" applyBorder="1" applyAlignment="1">
      <alignment horizontal="center" vertical="center"/>
    </xf>
    <xf numFmtId="2" fontId="23" fillId="15" borderId="4" xfId="6" applyNumberFormat="1" applyFont="1" applyFill="1" applyBorder="1" applyAlignment="1">
      <alignment horizontal="center" vertical="center"/>
    </xf>
    <xf numFmtId="2" fontId="16" fillId="3" borderId="4" xfId="6" applyNumberFormat="1" applyFont="1" applyFill="1" applyBorder="1" applyAlignment="1">
      <alignment horizontal="center" vertical="center" wrapText="1"/>
    </xf>
    <xf numFmtId="2" fontId="23" fillId="3" borderId="4" xfId="2" applyNumberFormat="1" applyFont="1" applyFill="1" applyBorder="1" applyAlignment="1">
      <alignment horizontal="center" vertical="center" wrapText="1"/>
    </xf>
    <xf numFmtId="2" fontId="9" fillId="3" borderId="28" xfId="6" applyNumberFormat="1" applyFont="1" applyFill="1" applyBorder="1" applyAlignment="1">
      <alignment horizontal="center" vertical="center"/>
    </xf>
    <xf numFmtId="2" fontId="9" fillId="3" borderId="30" xfId="6" applyNumberFormat="1" applyFont="1" applyFill="1" applyBorder="1" applyAlignment="1">
      <alignment horizontal="center" vertical="center"/>
    </xf>
    <xf numFmtId="2" fontId="9" fillId="3" borderId="33" xfId="6" applyNumberFormat="1" applyFont="1" applyFill="1" applyBorder="1" applyAlignment="1">
      <alignment horizontal="center" vertical="center"/>
    </xf>
    <xf numFmtId="2" fontId="16" fillId="3" borderId="4" xfId="2" applyNumberFormat="1" applyFont="1" applyFill="1" applyBorder="1" applyAlignment="1">
      <alignment horizontal="center" vertical="center" wrapText="1"/>
    </xf>
    <xf numFmtId="2" fontId="16" fillId="3" borderId="4" xfId="2" applyNumberFormat="1" applyFont="1" applyFill="1" applyBorder="1" applyAlignment="1">
      <alignment horizontal="left" vertical="center" wrapText="1"/>
    </xf>
    <xf numFmtId="2" fontId="27" fillId="3" borderId="4" xfId="6" applyNumberFormat="1" applyFont="1" applyFill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31" xfId="6" applyNumberFormat="1" applyFont="1" applyFill="1" applyBorder="1" applyAlignment="1">
      <alignment horizontal="center" vertical="center"/>
    </xf>
    <xf numFmtId="2" fontId="9" fillId="15" borderId="52" xfId="6" applyNumberFormat="1" applyFont="1" applyFill="1" applyBorder="1" applyAlignment="1">
      <alignment horizontal="center" vertical="center"/>
    </xf>
    <xf numFmtId="2" fontId="9" fillId="15" borderId="50" xfId="6" applyNumberFormat="1" applyFont="1" applyFill="1" applyBorder="1" applyAlignment="1">
      <alignment horizontal="center" vertical="center"/>
    </xf>
    <xf numFmtId="2" fontId="16" fillId="6" borderId="28" xfId="6" applyNumberFormat="1" applyFont="1" applyFill="1" applyBorder="1" applyAlignment="1">
      <alignment horizontal="center" vertical="center"/>
    </xf>
    <xf numFmtId="2" fontId="16" fillId="6" borderId="9" xfId="6" applyNumberFormat="1" applyFont="1" applyFill="1" applyBorder="1" applyAlignment="1">
      <alignment horizontal="center" vertical="center"/>
    </xf>
    <xf numFmtId="2" fontId="23" fillId="6" borderId="30" xfId="6" applyNumberFormat="1" applyFont="1" applyFill="1" applyBorder="1" applyAlignment="1">
      <alignment horizontal="center" vertical="center"/>
    </xf>
    <xf numFmtId="2" fontId="23" fillId="6" borderId="13" xfId="6" applyNumberFormat="1" applyFont="1" applyFill="1" applyBorder="1" applyAlignment="1">
      <alignment horizontal="center" vertical="center"/>
    </xf>
    <xf numFmtId="2" fontId="9" fillId="15" borderId="5" xfId="6" applyNumberFormat="1" applyFont="1" applyFill="1" applyBorder="1" applyAlignment="1">
      <alignment horizontal="center" vertical="center"/>
    </xf>
    <xf numFmtId="2" fontId="27" fillId="15" borderId="4" xfId="6" applyNumberFormat="1" applyFont="1" applyFill="1" applyBorder="1" applyAlignment="1">
      <alignment horizontal="center" vertical="center"/>
    </xf>
    <xf numFmtId="2" fontId="27" fillId="15" borderId="42" xfId="6" applyNumberFormat="1" applyFont="1" applyFill="1" applyBorder="1" applyAlignment="1">
      <alignment horizontal="center" vertical="center"/>
    </xf>
    <xf numFmtId="2" fontId="27" fillId="15" borderId="54" xfId="6" applyNumberFormat="1" applyFont="1" applyFill="1" applyBorder="1" applyAlignment="1">
      <alignment horizontal="center" vertical="center"/>
    </xf>
    <xf numFmtId="2" fontId="27" fillId="15" borderId="55" xfId="6" applyNumberFormat="1" applyFont="1" applyFill="1" applyBorder="1" applyAlignment="1">
      <alignment horizontal="center" vertical="center"/>
    </xf>
    <xf numFmtId="2" fontId="27" fillId="15" borderId="13" xfId="6" applyNumberFormat="1" applyFont="1" applyFill="1" applyBorder="1" applyAlignment="1">
      <alignment horizontal="center" vertical="center"/>
    </xf>
    <xf numFmtId="2" fontId="9" fillId="8" borderId="0" xfId="6" applyNumberFormat="1" applyFont="1" applyFill="1" applyAlignment="1">
      <alignment horizontal="center"/>
    </xf>
    <xf numFmtId="2" fontId="26" fillId="15" borderId="4" xfId="2" applyNumberFormat="1" applyFont="1" applyFill="1" applyBorder="1" applyAlignment="1">
      <alignment horizontal="center" vertical="center"/>
    </xf>
    <xf numFmtId="2" fontId="14" fillId="15" borderId="4" xfId="2" applyNumberFormat="1" applyFont="1" applyFill="1" applyBorder="1" applyAlignment="1">
      <alignment horizontal="center" vertical="center"/>
    </xf>
    <xf numFmtId="2" fontId="89" fillId="0" borderId="4" xfId="6" applyNumberFormat="1" applyBorder="1" applyAlignment="1">
      <alignment horizontal="center" vertical="center"/>
    </xf>
    <xf numFmtId="2" fontId="16" fillId="15" borderId="4" xfId="2" applyNumberFormat="1" applyFont="1" applyFill="1" applyBorder="1" applyAlignment="1">
      <alignment horizontal="center" vertical="center"/>
    </xf>
    <xf numFmtId="2" fontId="23" fillId="15" borderId="4" xfId="6" applyNumberFormat="1" applyFont="1" applyFill="1" applyBorder="1" applyAlignment="1">
      <alignment horizontal="center" vertical="center" wrapText="1"/>
    </xf>
    <xf numFmtId="2" fontId="23" fillId="15" borderId="8" xfId="6" applyNumberFormat="1" applyFont="1" applyFill="1" applyBorder="1" applyAlignment="1">
      <alignment horizontal="center" vertical="center"/>
    </xf>
    <xf numFmtId="2" fontId="23" fillId="15" borderId="8" xfId="6" applyNumberFormat="1" applyFont="1" applyFill="1" applyBorder="1" applyAlignment="1">
      <alignment horizontal="center" vertical="center" wrapText="1"/>
    </xf>
    <xf numFmtId="2" fontId="16" fillId="15" borderId="8" xfId="2" applyNumberFormat="1" applyFont="1" applyFill="1" applyBorder="1" applyAlignment="1">
      <alignment horizontal="center" vertical="center"/>
    </xf>
    <xf numFmtId="2" fontId="16" fillId="15" borderId="9" xfId="2" applyNumberFormat="1" applyFont="1" applyFill="1" applyBorder="1" applyAlignment="1">
      <alignment horizontal="center" vertical="center"/>
    </xf>
    <xf numFmtId="2" fontId="18" fillId="15" borderId="28" xfId="6" applyNumberFormat="1" applyFont="1" applyFill="1" applyBorder="1" applyAlignment="1">
      <alignment horizontal="center" vertical="center"/>
    </xf>
    <xf numFmtId="2" fontId="18" fillId="15" borderId="9" xfId="6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2" fillId="15" borderId="1" xfId="6" applyNumberFormat="1" applyFont="1" applyFill="1" applyBorder="1" applyAlignment="1">
      <alignment horizontal="center" vertical="center"/>
    </xf>
    <xf numFmtId="2" fontId="2" fillId="15" borderId="2" xfId="6" applyNumberFormat="1" applyFont="1" applyFill="1" applyBorder="1" applyAlignment="1">
      <alignment horizontal="center" vertical="center"/>
    </xf>
    <xf numFmtId="2" fontId="2" fillId="15" borderId="3" xfId="6" applyNumberFormat="1" applyFont="1" applyFill="1" applyBorder="1" applyAlignment="1">
      <alignment horizontal="center" vertical="center"/>
    </xf>
    <xf numFmtId="2" fontId="89" fillId="0" borderId="20" xfId="6" applyNumberFormat="1" applyBorder="1" applyAlignment="1">
      <alignment horizontal="center" vertical="center"/>
    </xf>
    <xf numFmtId="2" fontId="89" fillId="0" borderId="22" xfId="6" applyNumberFormat="1" applyBorder="1" applyAlignment="1">
      <alignment horizontal="center" vertical="center"/>
    </xf>
    <xf numFmtId="2" fontId="89" fillId="0" borderId="34" xfId="6" applyNumberFormat="1" applyBorder="1" applyAlignment="1">
      <alignment horizontal="center" vertical="center"/>
    </xf>
    <xf numFmtId="2" fontId="25" fillId="8" borderId="22" xfId="6" applyNumberFormat="1" applyFont="1" applyFill="1" applyBorder="1" applyAlignment="1">
      <alignment horizontal="center" vertical="center"/>
    </xf>
    <xf numFmtId="2" fontId="25" fillId="8" borderId="0" xfId="6" applyNumberFormat="1" applyFont="1" applyFill="1" applyAlignment="1">
      <alignment horizontal="center" vertical="center"/>
    </xf>
    <xf numFmtId="0" fontId="31" fillId="3" borderId="1" xfId="2" applyFont="1" applyFill="1" applyBorder="1" applyAlignment="1">
      <alignment horizontal="center" vertical="center" wrapText="1"/>
    </xf>
    <xf numFmtId="0" fontId="31" fillId="3" borderId="2" xfId="2" applyFont="1" applyFill="1" applyBorder="1" applyAlignment="1">
      <alignment horizontal="center" vertical="center" wrapText="1"/>
    </xf>
    <xf numFmtId="0" fontId="31" fillId="3" borderId="3" xfId="2" applyFont="1" applyFill="1" applyBorder="1" applyAlignment="1">
      <alignment horizontal="center" vertical="center" wrapText="1"/>
    </xf>
    <xf numFmtId="1" fontId="29" fillId="0" borderId="1" xfId="2" applyNumberFormat="1" applyFont="1" applyBorder="1" applyAlignment="1">
      <alignment horizontal="center" vertical="center"/>
    </xf>
    <xf numFmtId="1" fontId="29" fillId="0" borderId="2" xfId="2" applyNumberFormat="1" applyFont="1" applyBorder="1" applyAlignment="1">
      <alignment horizontal="center" vertical="center"/>
    </xf>
    <xf numFmtId="1" fontId="29" fillId="0" borderId="3" xfId="2" applyNumberFormat="1" applyFont="1" applyBorder="1" applyAlignment="1">
      <alignment horizontal="center" vertical="center"/>
    </xf>
    <xf numFmtId="179" fontId="29" fillId="3" borderId="5" xfId="2" applyNumberFormat="1" applyFont="1" applyFill="1" applyBorder="1" applyAlignment="1">
      <alignment horizontal="center" vertical="center"/>
    </xf>
    <xf numFmtId="179" fontId="29" fillId="3" borderId="52" xfId="2" applyNumberFormat="1" applyFont="1" applyFill="1" applyBorder="1" applyAlignment="1">
      <alignment horizontal="center" vertical="center"/>
    </xf>
    <xf numFmtId="179" fontId="29" fillId="3" borderId="6" xfId="2" applyNumberFormat="1" applyFont="1" applyFill="1" applyBorder="1" applyAlignment="1">
      <alignment horizontal="center" vertical="center"/>
    </xf>
    <xf numFmtId="0" fontId="30" fillId="3" borderId="0" xfId="2" applyFont="1" applyFill="1" applyAlignment="1">
      <alignment horizontal="center" vertical="center"/>
    </xf>
    <xf numFmtId="181" fontId="29" fillId="3" borderId="1" xfId="0" applyNumberFormat="1" applyFont="1" applyFill="1" applyBorder="1" applyAlignment="1">
      <alignment horizontal="center" vertical="center"/>
    </xf>
    <xf numFmtId="181" fontId="29" fillId="3" borderId="3" xfId="0" applyNumberFormat="1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180" fontId="29" fillId="3" borderId="1" xfId="0" applyNumberFormat="1" applyFont="1" applyFill="1" applyBorder="1" applyAlignment="1">
      <alignment horizontal="center" vertical="center"/>
    </xf>
    <xf numFmtId="180" fontId="29" fillId="3" borderId="3" xfId="0" applyNumberFormat="1" applyFont="1" applyFill="1" applyBorder="1" applyAlignment="1">
      <alignment horizontal="center" vertical="center"/>
    </xf>
    <xf numFmtId="164" fontId="29" fillId="3" borderId="1" xfId="0" applyNumberFormat="1" applyFont="1" applyFill="1" applyBorder="1" applyAlignment="1">
      <alignment horizontal="center" vertical="center"/>
    </xf>
    <xf numFmtId="164" fontId="29" fillId="3" borderId="3" xfId="0" applyNumberFormat="1" applyFont="1" applyFill="1" applyBorder="1" applyAlignment="1">
      <alignment horizontal="center" vertical="center"/>
    </xf>
    <xf numFmtId="0" fontId="58" fillId="0" borderId="1" xfId="2" applyBorder="1" applyAlignment="1" applyProtection="1">
      <alignment horizontal="center" vertical="center"/>
      <protection locked="0"/>
    </xf>
    <xf numFmtId="0" fontId="58" fillId="0" borderId="3" xfId="2" applyBorder="1" applyAlignment="1" applyProtection="1">
      <alignment horizontal="center" vertical="center"/>
      <protection locked="0"/>
    </xf>
    <xf numFmtId="174" fontId="31" fillId="3" borderId="0" xfId="2" applyNumberFormat="1" applyFont="1" applyFill="1" applyAlignment="1" applyProtection="1">
      <alignment horizontal="center" vertical="center"/>
      <protection locked="0"/>
    </xf>
    <xf numFmtId="1" fontId="90" fillId="0" borderId="42" xfId="1" applyNumberFormat="1" applyFont="1" applyBorder="1" applyAlignment="1">
      <alignment horizontal="center" vertical="center"/>
    </xf>
    <xf numFmtId="1" fontId="90" fillId="0" borderId="55" xfId="1" applyNumberFormat="1" applyFont="1" applyBorder="1" applyAlignment="1">
      <alignment horizontal="center" vertical="center"/>
    </xf>
    <xf numFmtId="1" fontId="90" fillId="0" borderId="19" xfId="1" applyNumberFormat="1" applyFont="1" applyBorder="1" applyAlignment="1">
      <alignment horizontal="center" vertical="center"/>
    </xf>
    <xf numFmtId="1" fontId="90" fillId="0" borderId="53" xfId="1" applyNumberFormat="1" applyFont="1" applyBorder="1" applyAlignment="1">
      <alignment horizontal="center" vertical="center"/>
    </xf>
    <xf numFmtId="0" fontId="29" fillId="0" borderId="1" xfId="2" applyFont="1" applyBorder="1" applyAlignment="1" applyProtection="1">
      <alignment horizontal="center" vertical="center"/>
      <protection locked="0"/>
    </xf>
    <xf numFmtId="0" fontId="29" fillId="0" borderId="2" xfId="2" applyFont="1" applyBorder="1" applyAlignment="1" applyProtection="1">
      <alignment horizontal="center" vertical="center"/>
      <protection locked="0"/>
    </xf>
    <xf numFmtId="0" fontId="29" fillId="0" borderId="3" xfId="2" applyFont="1" applyBorder="1" applyAlignment="1" applyProtection="1">
      <alignment horizontal="center" vertical="center"/>
      <protection locked="0"/>
    </xf>
    <xf numFmtId="0" fontId="29" fillId="0" borderId="4" xfId="0" applyFont="1" applyBorder="1" applyAlignment="1" applyProtection="1">
      <alignment horizontal="center" vertical="center"/>
      <protection locked="0"/>
    </xf>
    <xf numFmtId="0" fontId="58" fillId="3" borderId="3" xfId="2" applyFill="1" applyBorder="1" applyAlignment="1" applyProtection="1">
      <alignment horizontal="center" vertical="center"/>
      <protection locked="0"/>
    </xf>
    <xf numFmtId="0" fontId="58" fillId="3" borderId="4" xfId="2" applyFill="1" applyBorder="1" applyAlignment="1" applyProtection="1">
      <alignment horizontal="center" vertical="center"/>
      <protection locked="0"/>
    </xf>
    <xf numFmtId="0" fontId="58" fillId="0" borderId="4" xfId="2" applyBorder="1" applyAlignment="1" applyProtection="1">
      <alignment horizontal="center" vertical="center"/>
      <protection locked="0"/>
    </xf>
    <xf numFmtId="0" fontId="29" fillId="6" borderId="25" xfId="0" applyFont="1" applyFill="1" applyBorder="1" applyAlignment="1">
      <alignment horizontal="center" vertical="center"/>
    </xf>
    <xf numFmtId="0" fontId="29" fillId="6" borderId="26" xfId="0" applyFont="1" applyFill="1" applyBorder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4" xfId="0" applyNumberFormat="1" applyFont="1" applyFill="1" applyBorder="1" applyAlignment="1">
      <alignment horizontal="center" vertical="center"/>
    </xf>
    <xf numFmtId="176" fontId="6" fillId="2" borderId="8" xfId="2" applyNumberFormat="1" applyFont="1" applyFill="1" applyBorder="1" applyAlignment="1">
      <alignment horizontal="center" vertical="center" wrapText="1"/>
    </xf>
    <xf numFmtId="176" fontId="6" fillId="2" borderId="4" xfId="2" applyNumberFormat="1" applyFont="1" applyFill="1" applyBorder="1" applyAlignment="1">
      <alignment horizontal="center" vertical="center" wrapText="1"/>
    </xf>
    <xf numFmtId="176" fontId="7" fillId="2" borderId="8" xfId="2" applyNumberFormat="1" applyFont="1" applyFill="1" applyBorder="1" applyAlignment="1">
      <alignment horizontal="center"/>
    </xf>
    <xf numFmtId="176" fontId="7" fillId="2" borderId="9" xfId="2" applyNumberFormat="1" applyFont="1" applyFill="1" applyBorder="1" applyAlignment="1">
      <alignment horizontal="center"/>
    </xf>
    <xf numFmtId="176" fontId="3" fillId="2" borderId="4" xfId="2" applyNumberFormat="1" applyFont="1" applyFill="1" applyBorder="1" applyAlignment="1">
      <alignment horizontal="center" vertical="center"/>
    </xf>
    <xf numFmtId="176" fontId="3" fillId="2" borderId="5" xfId="2" applyNumberFormat="1" applyFont="1" applyFill="1" applyBorder="1" applyAlignment="1">
      <alignment horizontal="center"/>
    </xf>
    <xf numFmtId="176" fontId="3" fillId="2" borderId="6" xfId="2" applyNumberFormat="1" applyFont="1" applyFill="1" applyBorder="1" applyAlignment="1">
      <alignment horizontal="center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 wrapText="1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4" xfId="6" xr:uid="{00000000-0005-0000-0000-000005000000}"/>
    <cellStyle name="Normal_Daftar kelistrikan (ecg)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08358" y="561975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1" name="Object 1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2" name="Object 2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3" name="Object 3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4" name="Object 4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5" name="Object 5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6" name="Object 6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7" name="Object 7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8" name="Object 8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30</xdr:row>
          <xdr:rowOff>0</xdr:rowOff>
        </xdr:from>
        <xdr:to>
          <xdr:col>11</xdr:col>
          <xdr:colOff>412750</xdr:colOff>
          <xdr:row>30</xdr:row>
          <xdr:rowOff>0</xdr:rowOff>
        </xdr:to>
        <xdr:sp macro="" textlink="">
          <xdr:nvSpPr>
            <xdr:cNvPr id="3099" name="Object 9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0" name="Object 10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1" name="Object 11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2" name="Object 12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3" name="Object 13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4" name="Object 14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5" name="Object 15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6" name="Object 16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7" name="Object 17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8" name="Object 18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17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157D-CD93-40A7-AE2F-11F6B31D4763}">
  <sheetPr>
    <tabColor rgb="FF00B050"/>
  </sheetPr>
  <dimension ref="A1:O61"/>
  <sheetViews>
    <sheetView topLeftCell="A15" zoomScaleNormal="100" zoomScaleSheetLayoutView="90" workbookViewId="0">
      <selection activeCell="A32" sqref="A32"/>
    </sheetView>
  </sheetViews>
  <sheetFormatPr defaultColWidth="9.26953125" defaultRowHeight="12.5"/>
  <cols>
    <col min="1" max="1" width="18.26953125" style="380" customWidth="1"/>
    <col min="2" max="2" width="26.26953125" style="380" customWidth="1"/>
    <col min="3" max="3" width="3.26953125" style="380" customWidth="1"/>
    <col min="4" max="4" width="11.54296875" style="380" customWidth="1"/>
    <col min="5" max="5" width="9.453125" style="380" customWidth="1"/>
    <col min="6" max="6" width="22.54296875" style="380" customWidth="1"/>
    <col min="7" max="7" width="9.26953125" style="380"/>
    <col min="8" max="8" width="18.7265625" style="380" customWidth="1"/>
    <col min="9" max="9" width="12.26953125" style="380" customWidth="1"/>
    <col min="10" max="16384" width="9.26953125" style="380"/>
  </cols>
  <sheetData>
    <row r="1" spans="1:15">
      <c r="H1" s="748"/>
      <c r="I1" s="749"/>
      <c r="J1" s="749"/>
    </row>
    <row r="2" spans="1:15" ht="30">
      <c r="A2" s="840" t="str">
        <f>B46</f>
        <v>SERTIFIKAT KALIBRASI</v>
      </c>
      <c r="B2" s="840"/>
      <c r="C2" s="840"/>
      <c r="D2" s="840"/>
      <c r="E2" s="840"/>
      <c r="F2" s="840"/>
      <c r="H2" s="750"/>
      <c r="I2" s="841"/>
      <c r="J2" s="842"/>
    </row>
    <row r="3" spans="1:15" ht="14">
      <c r="A3" s="843" t="str">
        <f>LH!A2</f>
        <v>Nomor Sertifikat : 13 / 1 / IV - 21 / E - 03.000 DL</v>
      </c>
      <c r="B3" s="843"/>
      <c r="C3" s="843"/>
      <c r="D3" s="843"/>
      <c r="E3" s="843"/>
      <c r="F3" s="843"/>
    </row>
    <row r="4" spans="1:15" ht="13">
      <c r="C4" s="380" t="s">
        <v>404</v>
      </c>
      <c r="D4" s="844" t="str">
        <f>LH!E13</f>
        <v>MK 015 - 18</v>
      </c>
      <c r="E4" s="844"/>
      <c r="F4" s="844"/>
      <c r="H4" s="751"/>
      <c r="I4" s="751"/>
      <c r="J4" s="751"/>
    </row>
    <row r="5" spans="1:15" ht="14.5">
      <c r="H5" s="845"/>
      <c r="I5" s="845"/>
      <c r="J5" s="845"/>
    </row>
    <row r="6" spans="1:15" ht="14">
      <c r="A6" s="747" t="s">
        <v>405</v>
      </c>
      <c r="B6" s="381" t="s">
        <v>478</v>
      </c>
      <c r="C6" s="752"/>
      <c r="D6" s="827" t="s">
        <v>406</v>
      </c>
      <c r="E6" s="828"/>
      <c r="F6" s="753" t="str">
        <f>MID(A3,SEARCH("E - ",A3),LEN(A3))</f>
        <v>E - 03.000 DL</v>
      </c>
    </row>
    <row r="7" spans="1:15" ht="14">
      <c r="A7" s="382"/>
      <c r="B7" s="382"/>
      <c r="C7" s="382"/>
    </row>
    <row r="8" spans="1:15" ht="14">
      <c r="A8" s="822" t="s">
        <v>0</v>
      </c>
      <c r="B8" s="822"/>
      <c r="C8" s="383" t="s">
        <v>14</v>
      </c>
      <c r="D8" s="822" t="str">
        <f>LH!E5</f>
        <v>bistos</v>
      </c>
      <c r="E8" s="822"/>
      <c r="F8" s="822"/>
      <c r="I8" s="837"/>
      <c r="J8" s="837"/>
    </row>
    <row r="9" spans="1:15" ht="14" customHeight="1">
      <c r="A9" s="822" t="s">
        <v>407</v>
      </c>
      <c r="B9" s="822"/>
      <c r="C9" s="383" t="s">
        <v>14</v>
      </c>
      <c r="D9" s="822" t="str">
        <f>LH!E6</f>
        <v>BT - 200</v>
      </c>
      <c r="E9" s="822"/>
      <c r="F9" s="822"/>
      <c r="I9" s="837"/>
      <c r="J9" s="837"/>
    </row>
    <row r="10" spans="1:15" ht="14.5" customHeight="1">
      <c r="A10" s="822" t="s">
        <v>363</v>
      </c>
      <c r="B10" s="822"/>
      <c r="C10" s="383" t="s">
        <v>14</v>
      </c>
      <c r="D10" s="822" t="str">
        <f>LH!E7</f>
        <v>BDH10736</v>
      </c>
      <c r="E10" s="822"/>
      <c r="F10" s="822"/>
      <c r="I10" s="838"/>
      <c r="J10" s="829"/>
      <c r="O10" s="754"/>
    </row>
    <row r="11" spans="1:15" s="749" customFormat="1" ht="14.5" hidden="1">
      <c r="A11" s="839" t="s">
        <v>467</v>
      </c>
      <c r="B11" s="839"/>
      <c r="C11" s="755" t="s">
        <v>14</v>
      </c>
      <c r="D11" s="756" t="str">
        <f>I11&amp;"    "&amp;J11&amp;""</f>
        <v xml:space="preserve">    </v>
      </c>
      <c r="E11" s="756"/>
      <c r="F11" s="757">
        <f>J11</f>
        <v>0</v>
      </c>
      <c r="I11" s="758"/>
      <c r="J11" s="759"/>
      <c r="O11" s="759"/>
    </row>
    <row r="12" spans="1:15" s="749" customFormat="1" ht="14.5" hidden="1">
      <c r="A12" s="839" t="s">
        <v>4</v>
      </c>
      <c r="B12" s="839"/>
      <c r="C12" s="755" t="s">
        <v>14</v>
      </c>
      <c r="D12" s="760">
        <f>[1]LH!E8</f>
        <v>1</v>
      </c>
      <c r="E12" s="760"/>
      <c r="F12" s="757"/>
      <c r="I12" s="761"/>
      <c r="J12" s="759"/>
      <c r="O12" s="759"/>
    </row>
    <row r="13" spans="1:15" ht="14.5">
      <c r="A13" s="762"/>
      <c r="B13" s="762"/>
      <c r="C13" s="382"/>
      <c r="I13" s="836"/>
      <c r="J13" s="836"/>
      <c r="O13" s="754"/>
    </row>
    <row r="14" spans="1:15" ht="28.5" customHeight="1">
      <c r="A14" s="384" t="s">
        <v>408</v>
      </c>
      <c r="B14" s="385"/>
      <c r="C14" s="382"/>
      <c r="D14" s="827" t="s">
        <v>409</v>
      </c>
      <c r="E14" s="828"/>
      <c r="F14" s="386"/>
      <c r="I14" s="829"/>
      <c r="J14" s="829"/>
      <c r="O14" s="754"/>
    </row>
    <row r="15" spans="1:15" ht="14.5">
      <c r="A15" s="387"/>
      <c r="B15" s="382"/>
      <c r="C15" s="382"/>
      <c r="D15" s="382"/>
      <c r="E15" s="382"/>
      <c r="I15" s="830"/>
      <c r="J15" s="830"/>
    </row>
    <row r="16" spans="1:15" s="749" customFormat="1" ht="42.75" customHeight="1">
      <c r="A16" s="831" t="s">
        <v>410</v>
      </c>
      <c r="B16" s="831"/>
      <c r="C16" s="388" t="s">
        <v>14</v>
      </c>
      <c r="D16" s="832" t="s">
        <v>431</v>
      </c>
      <c r="E16" s="832"/>
      <c r="F16" s="832"/>
      <c r="H16" s="763"/>
      <c r="I16" s="833"/>
      <c r="J16" s="834"/>
    </row>
    <row r="17" spans="1:10" ht="14.5">
      <c r="A17" s="822" t="str">
        <f>"Nama Ruang "</f>
        <v xml:space="preserve">Nama Ruang </v>
      </c>
      <c r="B17" s="822"/>
      <c r="C17" s="383" t="s">
        <v>14</v>
      </c>
      <c r="D17" s="824" t="str">
        <f>LH!E12</f>
        <v>IGD</v>
      </c>
      <c r="E17" s="824"/>
      <c r="F17" s="824"/>
      <c r="H17" s="835"/>
      <c r="I17" s="835"/>
      <c r="J17" s="835"/>
    </row>
    <row r="18" spans="1:10" ht="14.5">
      <c r="A18" s="822" t="s">
        <v>398</v>
      </c>
      <c r="B18" s="822"/>
      <c r="C18" s="383" t="s">
        <v>14</v>
      </c>
      <c r="D18" s="826">
        <f>LH!E9</f>
        <v>44624</v>
      </c>
      <c r="E18" s="826"/>
      <c r="F18" s="826"/>
      <c r="H18" s="764"/>
      <c r="I18" s="764"/>
      <c r="J18" s="764"/>
    </row>
    <row r="19" spans="1:10" ht="14.25" customHeight="1">
      <c r="A19" s="822" t="str">
        <f>"Tanggal "&amp;B50</f>
        <v>Tanggal Kalibrasi</v>
      </c>
      <c r="B19" s="822"/>
      <c r="C19" s="383" t="s">
        <v>14</v>
      </c>
      <c r="D19" s="826">
        <f>LH!E10</f>
        <v>44625</v>
      </c>
      <c r="E19" s="826"/>
      <c r="F19" s="826"/>
    </row>
    <row r="20" spans="1:10" ht="14">
      <c r="A20" s="822" t="str">
        <f>"Penanggungjawab "&amp;B50</f>
        <v>Penanggungjawab Kalibrasi</v>
      </c>
      <c r="B20" s="822"/>
      <c r="C20" s="383" t="s">
        <v>14</v>
      </c>
      <c r="D20" s="822" t="str">
        <f>LH!B58</f>
        <v>Septia Khairunnisa</v>
      </c>
      <c r="E20" s="822"/>
      <c r="F20" s="822"/>
    </row>
    <row r="21" spans="1:10" ht="14.5">
      <c r="A21" s="822" t="str">
        <f>"Lokasi "&amp;B50</f>
        <v>Lokasi Kalibrasi</v>
      </c>
      <c r="B21" s="822"/>
      <c r="C21" s="383" t="s">
        <v>14</v>
      </c>
      <c r="D21" s="824" t="str">
        <f>LH!E11</f>
        <v>IGD</v>
      </c>
      <c r="E21" s="824"/>
      <c r="F21" s="824"/>
      <c r="H21" s="765"/>
    </row>
    <row r="22" spans="1:10" ht="31.5" customHeight="1">
      <c r="A22" s="824" t="str">
        <f>"Hasil "&amp;B50</f>
        <v>Hasil Kalibrasi</v>
      </c>
      <c r="B22" s="824"/>
      <c r="C22" s="389" t="s">
        <v>14</v>
      </c>
      <c r="D22" s="825" t="str">
        <f>LH!B54</f>
        <v>Alat yang dikalibrasi dalam batas toleransi dan dinyatakan LAIK PAKAI, dimana hasil atau skor akhir sama dengan atau melampaui 70 % berdasarkan Keputusan Direktur Jenderal Pelayanan Kesehatan No : HK.02.02/V/0412/2020</v>
      </c>
      <c r="E22" s="825"/>
      <c r="F22" s="825"/>
    </row>
    <row r="23" spans="1:10" ht="14">
      <c r="A23" s="822" t="s">
        <v>64</v>
      </c>
      <c r="B23" s="822"/>
      <c r="C23" s="383" t="s">
        <v>14</v>
      </c>
      <c r="D23" s="822" t="str">
        <f>D4</f>
        <v>MK 015 - 18</v>
      </c>
      <c r="E23" s="822"/>
      <c r="F23" s="822"/>
    </row>
    <row r="26" spans="1:10" ht="26.25" customHeight="1">
      <c r="D26" s="390" t="s">
        <v>411</v>
      </c>
      <c r="E26" s="823">
        <f ca="1">TODAY()</f>
        <v>45187</v>
      </c>
      <c r="F26" s="823"/>
    </row>
    <row r="27" spans="1:10" ht="14">
      <c r="D27" s="822" t="s">
        <v>412</v>
      </c>
      <c r="E27" s="822"/>
      <c r="F27" s="822"/>
    </row>
    <row r="28" spans="1:10" ht="14">
      <c r="D28" s="822" t="s">
        <v>413</v>
      </c>
      <c r="E28" s="822"/>
      <c r="F28" s="822"/>
    </row>
    <row r="29" spans="1:10" ht="14">
      <c r="D29" s="391"/>
      <c r="E29" s="391"/>
    </row>
    <row r="30" spans="1:10" ht="14">
      <c r="D30" s="391"/>
      <c r="E30" s="391"/>
    </row>
    <row r="31" spans="1:10" ht="14">
      <c r="D31" s="391"/>
      <c r="E31" s="391"/>
    </row>
    <row r="32" spans="1:10" ht="14">
      <c r="D32" s="822" t="s">
        <v>414</v>
      </c>
      <c r="E32" s="822"/>
      <c r="F32" s="822"/>
    </row>
    <row r="33" spans="1:6" ht="14">
      <c r="D33" s="821" t="s">
        <v>415</v>
      </c>
      <c r="E33" s="821"/>
      <c r="F33" s="821"/>
    </row>
    <row r="36" spans="1:6" ht="13">
      <c r="A36" s="392"/>
      <c r="B36" s="392"/>
      <c r="C36" s="392"/>
      <c r="D36" s="392"/>
      <c r="E36" s="392"/>
      <c r="F36" s="392"/>
    </row>
    <row r="42" spans="1:6" ht="13" thickBot="1"/>
    <row r="43" spans="1:6" ht="31.5" customHeight="1">
      <c r="A43" s="393" t="s">
        <v>416</v>
      </c>
      <c r="B43" s="394" t="str">
        <f>MID([2]ID!I2,SEARCH("E - ",[2]ID!I2),LEN([2]ID!I2))</f>
        <v>E - 003.30 DL</v>
      </c>
    </row>
    <row r="44" spans="1:6">
      <c r="A44" s="395"/>
      <c r="B44" s="396"/>
    </row>
    <row r="45" spans="1:6" ht="24" customHeight="1">
      <c r="A45" s="401" t="s">
        <v>417</v>
      </c>
      <c r="B45" s="408" t="str">
        <f>[2]ID!A1</f>
        <v>INPUT DATA KALIBRASI ELECTROCARDIOGRAPH</v>
      </c>
    </row>
    <row r="46" spans="1:6" ht="39" customHeight="1">
      <c r="A46" s="401" t="s">
        <v>418</v>
      </c>
      <c r="B46" s="397" t="str">
        <f>IF(B45="INPUT DATA KALIBRASI ELECTROCARDIOGRAPH",B47,B48)</f>
        <v>SERTIFIKAT KALIBRASI</v>
      </c>
    </row>
    <row r="47" spans="1:6" ht="22.5" customHeight="1">
      <c r="A47" s="401" t="s">
        <v>419</v>
      </c>
      <c r="B47" s="396" t="s">
        <v>420</v>
      </c>
    </row>
    <row r="48" spans="1:6">
      <c r="A48" s="395"/>
      <c r="B48" s="396" t="s">
        <v>421</v>
      </c>
    </row>
    <row r="49" spans="1:2">
      <c r="A49" s="395"/>
      <c r="B49" s="396"/>
    </row>
    <row r="50" spans="1:2" ht="48" customHeight="1">
      <c r="A50" s="401" t="s">
        <v>422</v>
      </c>
      <c r="B50" s="396" t="str">
        <f>IF(RIGHT(A2,10)=" KALIBRASI","Kalibrasi","Pengujian")</f>
        <v>Kalibrasi</v>
      </c>
    </row>
    <row r="51" spans="1:2">
      <c r="A51" s="395"/>
      <c r="B51" s="396"/>
    </row>
    <row r="52" spans="1:2" s="403" customFormat="1" ht="34.5" customHeight="1">
      <c r="A52" s="401" t="s">
        <v>423</v>
      </c>
      <c r="B52" s="402" t="s">
        <v>424</v>
      </c>
    </row>
    <row r="53" spans="1:2">
      <c r="A53" s="395"/>
      <c r="B53" s="396"/>
    </row>
    <row r="54" spans="1:2" ht="50.25" customHeight="1">
      <c r="A54" s="404" t="s">
        <v>425</v>
      </c>
      <c r="B54" s="399">
        <f>DATE(YEAR(D19)+1,MONTH(D19),DAY(D19))</f>
        <v>44990</v>
      </c>
    </row>
    <row r="55" spans="1:2" ht="27" customHeight="1">
      <c r="A55" s="401" t="s">
        <v>426</v>
      </c>
      <c r="B55" s="409" t="str">
        <f>TEXT(B54,"d mmmm yyyy")</f>
        <v>5 March 2023</v>
      </c>
    </row>
    <row r="56" spans="1:2">
      <c r="A56" s="395"/>
      <c r="B56" s="396"/>
    </row>
    <row r="57" spans="1:2" ht="30" customHeight="1">
      <c r="A57" s="404" t="s">
        <v>427</v>
      </c>
      <c r="B57" s="407" t="str">
        <f>IF(B46=B47,B58,B59)</f>
        <v>Laik Pakai, disarankan untuk dikalibrasi ulang pada tanggal 5 March 2023</v>
      </c>
    </row>
    <row r="58" spans="1:2" ht="42">
      <c r="A58" s="395" t="s">
        <v>428</v>
      </c>
      <c r="B58" s="405" t="str">
        <f>CONCATENATE(B60,B55)</f>
        <v>Laik Pakai, disarankan untuk dikalibrasi ulang pada tanggal 5 March 2023</v>
      </c>
    </row>
    <row r="59" spans="1:2" ht="42">
      <c r="A59" s="395"/>
      <c r="B59" s="405" t="str">
        <f>CONCATENATE(B61,B55)</f>
        <v>Laik Pakai, disarankan untuk diuji ulang pada tanggal 5 March 2023</v>
      </c>
    </row>
    <row r="60" spans="1:2" ht="42" customHeight="1">
      <c r="A60" s="398" t="s">
        <v>419</v>
      </c>
      <c r="B60" s="405" t="s">
        <v>429</v>
      </c>
    </row>
    <row r="61" spans="1:2" ht="39.75" customHeight="1" thickBot="1">
      <c r="A61" s="400"/>
      <c r="B61" s="406" t="s">
        <v>430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17EC16BC-DBF4-4956-813D-C897426E520F}">
      <formula1>$O$9:$O$14</formula1>
    </dataValidation>
    <dataValidation type="list" allowBlank="1" showInputMessage="1" showErrorMessage="1" sqref="J11" xr:uid="{6F4BC0B3-F747-4978-B484-873D911285D4}">
      <formula1>$M$2:$M$22</formula1>
    </dataValidation>
    <dataValidation type="list" allowBlank="1" showInputMessage="1" showErrorMessage="1" sqref="A2:F2" xr:uid="{93DCB90A-7073-41D4-99BB-8159F16F9F92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R72"/>
  <sheetViews>
    <sheetView tabSelected="1" topLeftCell="C6" workbookViewId="0">
      <selection activeCell="P16" sqref="P16"/>
    </sheetView>
  </sheetViews>
  <sheetFormatPr defaultColWidth="9.1796875" defaultRowHeight="14"/>
  <cols>
    <col min="1" max="1" width="9.1796875" style="131"/>
    <col min="2" max="2" width="10.54296875" style="131" customWidth="1"/>
    <col min="3" max="3" width="12.1796875" style="131" customWidth="1"/>
    <col min="4" max="4" width="10.26953125" style="131" bestFit="1" customWidth="1"/>
    <col min="5" max="5" width="9.54296875" style="131" bestFit="1" customWidth="1"/>
    <col min="6" max="7" width="11.26953125" style="131" customWidth="1"/>
    <col min="8" max="8" width="10.7265625" style="131" customWidth="1"/>
    <col min="9" max="9" width="11.453125" style="131" customWidth="1"/>
    <col min="10" max="10" width="11.54296875" style="131" customWidth="1"/>
    <col min="11" max="11" width="10.1796875" style="131" customWidth="1"/>
    <col min="12" max="12" width="12.7265625" style="131" customWidth="1"/>
    <col min="13" max="13" width="10.26953125" style="131" customWidth="1"/>
    <col min="14" max="14" width="11.453125" style="131" bestFit="1" customWidth="1"/>
    <col min="15" max="15" width="7.1796875" style="131" bestFit="1" customWidth="1"/>
    <col min="16" max="17" width="9.26953125" style="131" bestFit="1" customWidth="1"/>
    <col min="18" max="16384" width="9.1796875" style="131"/>
  </cols>
  <sheetData>
    <row r="5" spans="2:14" ht="14.5" thickBot="1">
      <c r="B5" s="569" t="s">
        <v>351</v>
      </c>
    </row>
    <row r="6" spans="2:14" ht="14.5" thickBot="1">
      <c r="B6" s="570"/>
      <c r="C6" s="571"/>
      <c r="D6" s="571"/>
      <c r="E6" s="571"/>
      <c r="F6" s="571"/>
      <c r="G6" s="571"/>
      <c r="H6" s="571"/>
      <c r="I6" s="571"/>
      <c r="J6" s="571"/>
      <c r="K6" s="571"/>
      <c r="L6" s="571"/>
      <c r="M6" s="571"/>
      <c r="N6" s="572"/>
    </row>
    <row r="7" spans="2:14" ht="40" customHeight="1" thickBot="1">
      <c r="B7" s="573">
        <f>'DATA SERTIFIKAT PS320'!A149</f>
        <v>12</v>
      </c>
      <c r="C7" s="1103" t="str">
        <f>'DATA SERTIFIKAT PS320'!B149</f>
        <v>Fetal Simulator, Merek : Fluke Biomedical, Model : PS 320, SN : 4662033</v>
      </c>
      <c r="D7" s="1103"/>
      <c r="E7" s="1103"/>
      <c r="I7" s="1099" t="s">
        <v>360</v>
      </c>
      <c r="J7" s="1100"/>
      <c r="K7" s="1100"/>
      <c r="L7" s="1100"/>
      <c r="M7" s="1101"/>
      <c r="N7" s="574"/>
    </row>
    <row r="8" spans="2:14">
      <c r="B8" s="575"/>
      <c r="C8" s="555" t="s">
        <v>63</v>
      </c>
      <c r="D8" s="250" t="s">
        <v>87</v>
      </c>
      <c r="N8" s="576"/>
    </row>
    <row r="9" spans="2:14">
      <c r="B9" s="575"/>
      <c r="C9" s="577">
        <v>0</v>
      </c>
      <c r="D9" s="492">
        <f>'DATA SERTIFIKAT PS320'!B153</f>
        <v>9.9999999999999995E-7</v>
      </c>
      <c r="E9" s="568" t="s">
        <v>90</v>
      </c>
      <c r="N9" s="576"/>
    </row>
    <row r="10" spans="2:14">
      <c r="B10" s="575"/>
      <c r="C10" s="555">
        <v>30</v>
      </c>
      <c r="D10" s="492">
        <f>'DATA SERTIFIKAT PS320'!B154</f>
        <v>9.9999999999999995E-7</v>
      </c>
      <c r="E10" s="568">
        <f>'DATA SERTIFIKAT PS320'!E154</f>
        <v>1E-3</v>
      </c>
      <c r="I10" s="488"/>
      <c r="J10" s="578"/>
      <c r="K10" s="578"/>
      <c r="N10" s="576"/>
    </row>
    <row r="11" spans="2:14">
      <c r="B11" s="575"/>
      <c r="C11" s="555">
        <v>60</v>
      </c>
      <c r="D11" s="492">
        <f>'DATA SERTIFIKAT PS320'!B155</f>
        <v>9.9999999999999995E-7</v>
      </c>
      <c r="E11" s="568">
        <f>'DATA SERTIFIKAT PS320'!E155</f>
        <v>1E-3</v>
      </c>
      <c r="I11" s="131" t="s">
        <v>350</v>
      </c>
      <c r="K11" s="578"/>
      <c r="N11" s="576"/>
    </row>
    <row r="12" spans="2:14" ht="25" customHeight="1">
      <c r="B12" s="575"/>
      <c r="C12" s="250">
        <v>90</v>
      </c>
      <c r="D12" s="492">
        <f>'DATA SERTIFIKAT PS320'!B156</f>
        <v>9.9999999999999995E-7</v>
      </c>
      <c r="E12" s="568">
        <f>'DATA SERTIFIKAT PS320'!E156</f>
        <v>1E-3</v>
      </c>
      <c r="I12" s="250" t="s">
        <v>63</v>
      </c>
      <c r="J12" s="544" t="s">
        <v>319</v>
      </c>
      <c r="K12" s="579" t="s">
        <v>87</v>
      </c>
      <c r="L12" s="544" t="s">
        <v>231</v>
      </c>
      <c r="M12" s="250" t="s">
        <v>87</v>
      </c>
      <c r="N12" s="131" t="s">
        <v>479</v>
      </c>
    </row>
    <row r="13" spans="2:14">
      <c r="B13" s="575"/>
      <c r="C13" s="555">
        <v>120</v>
      </c>
      <c r="D13" s="492">
        <f>'DATA SERTIFIKAT PS320'!B157</f>
        <v>9.9999999999999995E-7</v>
      </c>
      <c r="E13" s="568">
        <f>'DATA SERTIFIKAT PS320'!E157</f>
        <v>1E-3</v>
      </c>
      <c r="I13" s="555">
        <v>30</v>
      </c>
      <c r="J13" s="492">
        <f>ID!D83</f>
        <v>29</v>
      </c>
      <c r="K13" s="492">
        <f>FORECAST(J13,$D$9:$D$17,$C$9:$C$17)</f>
        <v>9.9999999999999995E-7</v>
      </c>
      <c r="L13" s="492">
        <f>J13+K13</f>
        <v>29.000001000000001</v>
      </c>
      <c r="M13" s="176">
        <f>L13-I13</f>
        <v>-0.99999899999999897</v>
      </c>
      <c r="N13" s="131">
        <f>E10%*J13</f>
        <v>2.9E-4</v>
      </c>
    </row>
    <row r="14" spans="2:14">
      <c r="B14" s="575"/>
      <c r="C14" s="555">
        <v>150</v>
      </c>
      <c r="D14" s="492">
        <f>'DATA SERTIFIKAT PS320'!B158</f>
        <v>9.9999999999999995E-7</v>
      </c>
      <c r="E14" s="568">
        <f>'DATA SERTIFIKAT PS320'!E158</f>
        <v>1E-3</v>
      </c>
      <c r="I14" s="555">
        <v>60</v>
      </c>
      <c r="J14" s="492">
        <f>ID!D84</f>
        <v>60</v>
      </c>
      <c r="K14" s="492">
        <f t="shared" ref="K14:K19" si="0">FORECAST(J14,$D$9:$D$17,$C$9:$C$17)</f>
        <v>9.9999999999999995E-7</v>
      </c>
      <c r="L14" s="492">
        <f t="shared" ref="L14:L19" si="1">J14+K14</f>
        <v>60.000000999999997</v>
      </c>
      <c r="M14" s="176">
        <f t="shared" ref="M14:M19" si="2">L14-I14</f>
        <v>9.9999999747524271E-7</v>
      </c>
      <c r="N14" s="131">
        <f t="shared" ref="N14:N19" si="3">E11%*J14</f>
        <v>6.0000000000000006E-4</v>
      </c>
    </row>
    <row r="15" spans="2:14">
      <c r="B15" s="575"/>
      <c r="C15" s="555">
        <v>180</v>
      </c>
      <c r="D15" s="492">
        <f>'DATA SERTIFIKAT PS320'!B159</f>
        <v>9.9999999999999995E-7</v>
      </c>
      <c r="E15" s="568">
        <f>'DATA SERTIFIKAT PS320'!E159</f>
        <v>1E-3</v>
      </c>
      <c r="I15" s="555">
        <v>90</v>
      </c>
      <c r="J15" s="492">
        <f>ID!D85</f>
        <v>91</v>
      </c>
      <c r="K15" s="492">
        <f t="shared" si="0"/>
        <v>9.9999999999999995E-7</v>
      </c>
      <c r="L15" s="492">
        <f t="shared" si="1"/>
        <v>91.000000999999997</v>
      </c>
      <c r="M15" s="176">
        <f t="shared" si="2"/>
        <v>1.0000009999999975</v>
      </c>
      <c r="N15" s="131">
        <f t="shared" si="3"/>
        <v>9.1000000000000011E-4</v>
      </c>
    </row>
    <row r="16" spans="2:14">
      <c r="B16" s="575"/>
      <c r="C16" s="555">
        <v>240</v>
      </c>
      <c r="D16" s="492">
        <f>'DATA SERTIFIKAT PS320'!B160</f>
        <v>9.9999999999999995E-7</v>
      </c>
      <c r="E16" s="568">
        <f>'DATA SERTIFIKAT PS320'!E160</f>
        <v>1E-3</v>
      </c>
      <c r="I16" s="555">
        <v>120</v>
      </c>
      <c r="J16" s="492">
        <f>ID!D86</f>
        <v>120</v>
      </c>
      <c r="K16" s="492">
        <f t="shared" si="0"/>
        <v>9.9999999999999995E-7</v>
      </c>
      <c r="L16" s="492">
        <f t="shared" si="1"/>
        <v>120.000001</v>
      </c>
      <c r="M16" s="176">
        <f t="shared" si="2"/>
        <v>9.9999999747524271E-7</v>
      </c>
      <c r="N16" s="131">
        <f t="shared" si="3"/>
        <v>1.2000000000000001E-3</v>
      </c>
    </row>
    <row r="17" spans="2:18">
      <c r="B17" s="575"/>
      <c r="C17" s="555">
        <v>240</v>
      </c>
      <c r="D17" s="492">
        <f>'DATA SERTIFIKAT PS320'!B161</f>
        <v>9.9999999999999995E-7</v>
      </c>
      <c r="I17" s="555">
        <v>150</v>
      </c>
      <c r="J17" s="492">
        <f>ID!D87</f>
        <v>150</v>
      </c>
      <c r="K17" s="492">
        <f t="shared" si="0"/>
        <v>9.9999999999999995E-7</v>
      </c>
      <c r="L17" s="492">
        <f t="shared" si="1"/>
        <v>150.000001</v>
      </c>
      <c r="M17" s="176">
        <f t="shared" si="2"/>
        <v>9.9999999747524271E-7</v>
      </c>
      <c r="N17" s="131">
        <f t="shared" si="3"/>
        <v>1.5E-3</v>
      </c>
    </row>
    <row r="18" spans="2:18">
      <c r="B18" s="575"/>
      <c r="I18" s="555">
        <v>180</v>
      </c>
      <c r="J18" s="492">
        <f>ID!D88</f>
        <v>180</v>
      </c>
      <c r="K18" s="492">
        <f t="shared" si="0"/>
        <v>9.9999999999999995E-7</v>
      </c>
      <c r="L18" s="492">
        <f t="shared" si="1"/>
        <v>180.000001</v>
      </c>
      <c r="M18" s="176">
        <f t="shared" si="2"/>
        <v>9.9999999747524271E-7</v>
      </c>
      <c r="N18" s="131">
        <f t="shared" si="3"/>
        <v>1.8000000000000002E-3</v>
      </c>
    </row>
    <row r="19" spans="2:18">
      <c r="B19" s="575"/>
      <c r="I19" s="555">
        <v>240</v>
      </c>
      <c r="J19" s="492">
        <f>ID!D89</f>
        <v>240</v>
      </c>
      <c r="K19" s="492">
        <f t="shared" si="0"/>
        <v>9.9999999999999995E-7</v>
      </c>
      <c r="L19" s="492">
        <f t="shared" si="1"/>
        <v>240.000001</v>
      </c>
      <c r="M19" s="176">
        <f t="shared" si="2"/>
        <v>9.9999999747524271E-7</v>
      </c>
      <c r="N19" s="131">
        <f t="shared" si="3"/>
        <v>2.4000000000000002E-3</v>
      </c>
    </row>
    <row r="20" spans="2:18">
      <c r="B20" s="575"/>
      <c r="J20" s="164"/>
      <c r="N20" s="576"/>
    </row>
    <row r="21" spans="2:18" ht="14.5" thickBot="1">
      <c r="B21" s="580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2"/>
    </row>
    <row r="23" spans="2:18" ht="14.5" thickBot="1">
      <c r="B23" s="569" t="s">
        <v>353</v>
      </c>
    </row>
    <row r="24" spans="2:18" ht="14.5" thickBot="1">
      <c r="B24" s="570"/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2"/>
    </row>
    <row r="25" spans="2:18" ht="46" customHeight="1" thickBot="1">
      <c r="B25" s="581"/>
      <c r="C25" s="809"/>
      <c r="D25" s="809"/>
      <c r="E25" s="809"/>
      <c r="I25" s="1099" t="s">
        <v>360</v>
      </c>
      <c r="J25" s="1100"/>
      <c r="K25" s="1100"/>
      <c r="L25" s="1100"/>
      <c r="M25" s="1100"/>
      <c r="N25" s="1100"/>
      <c r="O25" s="1100"/>
      <c r="P25" s="1100"/>
      <c r="Q25" s="1101"/>
      <c r="R25" s="576"/>
    </row>
    <row r="26" spans="2:18">
      <c r="B26" s="575"/>
      <c r="R26" s="576"/>
    </row>
    <row r="27" spans="2:18" ht="14.5">
      <c r="B27" s="575"/>
      <c r="C27" s="582" t="s">
        <v>352</v>
      </c>
      <c r="F27" s="582" t="s">
        <v>153</v>
      </c>
      <c r="I27" s="1102" t="s">
        <v>361</v>
      </c>
      <c r="J27" s="1102"/>
      <c r="K27" s="1102"/>
      <c r="L27" s="1102"/>
      <c r="M27" s="1102"/>
      <c r="N27" s="1102"/>
      <c r="O27" s="1102"/>
      <c r="P27" s="1102"/>
      <c r="Q27" s="1102"/>
      <c r="R27" s="576"/>
    </row>
    <row r="28" spans="2:18">
      <c r="B28" s="575"/>
      <c r="C28" s="250" t="s">
        <v>68</v>
      </c>
      <c r="D28" s="250" t="s">
        <v>87</v>
      </c>
      <c r="F28" s="250" t="s">
        <v>70</v>
      </c>
      <c r="G28" s="250" t="s">
        <v>87</v>
      </c>
      <c r="I28" s="250" t="s">
        <v>152</v>
      </c>
      <c r="J28" s="250" t="s">
        <v>354</v>
      </c>
      <c r="K28" s="250" t="s">
        <v>355</v>
      </c>
      <c r="L28" s="250" t="s">
        <v>90</v>
      </c>
      <c r="N28" s="250" t="s">
        <v>153</v>
      </c>
      <c r="O28" s="250" t="s">
        <v>354</v>
      </c>
      <c r="P28" s="250" t="s">
        <v>355</v>
      </c>
      <c r="Q28" s="250" t="s">
        <v>90</v>
      </c>
      <c r="R28" s="576"/>
    </row>
    <row r="29" spans="2:18">
      <c r="B29" s="575"/>
      <c r="C29" s="583">
        <v>15</v>
      </c>
      <c r="D29" s="250"/>
      <c r="F29" s="583">
        <v>35</v>
      </c>
      <c r="G29" s="250"/>
      <c r="I29" s="250">
        <f>ID!N16</f>
        <v>24.35</v>
      </c>
      <c r="J29" s="360"/>
      <c r="K29" s="360"/>
      <c r="L29" s="250"/>
      <c r="N29" s="250">
        <f>ID!N17</f>
        <v>65.55</v>
      </c>
      <c r="O29" s="360"/>
      <c r="P29" s="360"/>
      <c r="Q29" s="538"/>
      <c r="R29" s="576"/>
    </row>
    <row r="30" spans="2:18">
      <c r="B30" s="575"/>
      <c r="C30" s="583">
        <v>20</v>
      </c>
      <c r="D30" s="250"/>
      <c r="F30" s="583">
        <v>40</v>
      </c>
      <c r="G30" s="250"/>
      <c r="I30" s="584"/>
      <c r="R30" s="576"/>
    </row>
    <row r="31" spans="2:18">
      <c r="B31" s="575"/>
      <c r="C31" s="583">
        <v>25</v>
      </c>
      <c r="D31" s="250"/>
      <c r="F31" s="583">
        <v>50</v>
      </c>
      <c r="G31" s="250"/>
      <c r="I31" s="585" t="s">
        <v>356</v>
      </c>
      <c r="R31" s="576"/>
    </row>
    <row r="32" spans="2:18">
      <c r="B32" s="575"/>
      <c r="C32" s="583">
        <v>30</v>
      </c>
      <c r="D32" s="250"/>
      <c r="F32" s="586">
        <v>60</v>
      </c>
      <c r="G32" s="250"/>
      <c r="I32" s="585" t="s">
        <v>152</v>
      </c>
      <c r="R32" s="576"/>
    </row>
    <row r="33" spans="2:18">
      <c r="B33" s="575"/>
      <c r="C33" s="583">
        <v>35</v>
      </c>
      <c r="D33" s="250"/>
      <c r="F33" s="586">
        <v>70</v>
      </c>
      <c r="G33" s="250"/>
      <c r="I33" s="585" t="s">
        <v>153</v>
      </c>
      <c r="J33" s="131" t="str">
        <f>I37&amp;I36&amp;J37&amp;J36&amp;K37&amp;K36</f>
        <v>( 00 ± 0.0 ) %RH</v>
      </c>
      <c r="R33" s="576"/>
    </row>
    <row r="34" spans="2:18" ht="14.5" thickBot="1">
      <c r="B34" s="575"/>
      <c r="C34" s="583">
        <v>37</v>
      </c>
      <c r="D34" s="250"/>
      <c r="F34" s="586">
        <v>80</v>
      </c>
      <c r="G34" s="250"/>
      <c r="I34" s="584"/>
      <c r="M34" s="131">
        <v>33</v>
      </c>
      <c r="R34" s="576"/>
    </row>
    <row r="35" spans="2:18" ht="14.5" thickBot="1">
      <c r="B35" s="575"/>
      <c r="C35" s="583">
        <v>40</v>
      </c>
      <c r="D35" s="250"/>
      <c r="F35" s="586">
        <v>90</v>
      </c>
      <c r="G35" s="250"/>
      <c r="I35" s="596" t="str">
        <f>TEXT(K29,"0,0")</f>
        <v>00</v>
      </c>
      <c r="J35" s="596"/>
      <c r="K35" s="587" t="s">
        <v>201</v>
      </c>
      <c r="M35" s="596" t="str">
        <f>I35</f>
        <v>00</v>
      </c>
      <c r="N35" s="588" t="str">
        <f>J37</f>
        <v xml:space="preserve"> ± </v>
      </c>
      <c r="O35" s="596"/>
      <c r="P35" s="589" t="str">
        <f>K35</f>
        <v xml:space="preserve"> °C</v>
      </c>
      <c r="R35" s="576"/>
    </row>
    <row r="36" spans="2:18">
      <c r="B36" s="575"/>
      <c r="I36" s="596" t="str">
        <f>TEXT(P29,"0,0")</f>
        <v>00</v>
      </c>
      <c r="J36" s="596" t="str">
        <f>TEXT(Q29,"0.0")</f>
        <v>0.0</v>
      </c>
      <c r="K36" s="587" t="s">
        <v>202</v>
      </c>
      <c r="M36" s="596" t="str">
        <f>I36</f>
        <v>00</v>
      </c>
      <c r="N36" s="590" t="str">
        <f>J37</f>
        <v xml:space="preserve"> ± </v>
      </c>
      <c r="O36" s="596">
        <f>Q29</f>
        <v>0</v>
      </c>
      <c r="P36" s="589" t="str">
        <f>K36</f>
        <v xml:space="preserve"> %RH</v>
      </c>
      <c r="R36" s="576"/>
    </row>
    <row r="37" spans="2:18">
      <c r="B37" s="575"/>
      <c r="I37" s="591" t="s">
        <v>203</v>
      </c>
      <c r="J37" s="592" t="s">
        <v>204</v>
      </c>
      <c r="K37" s="592" t="s">
        <v>205</v>
      </c>
      <c r="N37" s="588" t="str">
        <f>J37</f>
        <v xml:space="preserve"> ± </v>
      </c>
      <c r="R37" s="576"/>
    </row>
    <row r="38" spans="2:18" ht="14.5" thickBot="1">
      <c r="B38" s="580"/>
      <c r="C38" s="481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2"/>
    </row>
    <row r="40" spans="2:18" ht="14.5" thickBot="1">
      <c r="B40" s="569" t="s">
        <v>290</v>
      </c>
    </row>
    <row r="41" spans="2:18" ht="14.5" thickBot="1">
      <c r="B41" s="570"/>
      <c r="C41" s="571"/>
      <c r="D41" s="571"/>
      <c r="E41" s="571"/>
      <c r="F41" s="571"/>
      <c r="G41" s="571"/>
      <c r="H41" s="571"/>
      <c r="I41" s="571"/>
      <c r="J41" s="571"/>
      <c r="K41" s="571"/>
      <c r="L41" s="572"/>
    </row>
    <row r="42" spans="2:18" ht="14.5" customHeight="1" thickBot="1">
      <c r="B42" s="581">
        <f>'DB ESA'!A195</f>
        <v>7</v>
      </c>
      <c r="C42" s="809" t="str">
        <f>'DB ESA'!B195</f>
        <v>Electrical Safety Analyzer, Merek : Fluke, Model : ESA 615, SN : 3699030</v>
      </c>
      <c r="D42" s="809"/>
      <c r="E42" s="809"/>
      <c r="F42" s="809"/>
      <c r="H42" s="1099" t="s">
        <v>360</v>
      </c>
      <c r="I42" s="1100"/>
      <c r="J42" s="1100"/>
      <c r="K42" s="1101"/>
      <c r="L42" s="593"/>
      <c r="M42" s="181"/>
      <c r="N42" s="181"/>
      <c r="O42" s="181"/>
      <c r="P42" s="181"/>
    </row>
    <row r="43" spans="2:18">
      <c r="B43" s="575"/>
      <c r="L43" s="576"/>
    </row>
    <row r="44" spans="2:18" ht="26.5" customHeight="1" thickBot="1">
      <c r="B44" s="575"/>
      <c r="C44" s="594" t="s">
        <v>357</v>
      </c>
      <c r="D44" s="250" t="s">
        <v>87</v>
      </c>
      <c r="E44" s="250" t="s">
        <v>90</v>
      </c>
      <c r="H44" s="595" t="s">
        <v>229</v>
      </c>
      <c r="I44" s="250" t="s">
        <v>87</v>
      </c>
      <c r="J44" s="250" t="s">
        <v>359</v>
      </c>
      <c r="K44" s="250" t="s">
        <v>231</v>
      </c>
      <c r="L44" s="576"/>
    </row>
    <row r="45" spans="2:18">
      <c r="B45" s="575"/>
      <c r="C45" s="556">
        <v>150</v>
      </c>
      <c r="D45" s="492">
        <f>'DB ESA'!C199</f>
        <v>0.21</v>
      </c>
      <c r="E45" s="492">
        <f>'DB ESA'!E199</f>
        <v>1.2</v>
      </c>
      <c r="H45" s="538">
        <f>ID!E18</f>
        <v>221.7</v>
      </c>
      <c r="I45" s="360">
        <f>FORECAST(H45,D45:D50,C45:C50)</f>
        <v>0.27595855111959289</v>
      </c>
      <c r="J45" s="360">
        <f>H45+I45</f>
        <v>221.97595855111959</v>
      </c>
      <c r="K45" s="596">
        <f>IF(H45="-","-",J45)</f>
        <v>221.97595855111959</v>
      </c>
      <c r="L45" s="576"/>
    </row>
    <row r="46" spans="2:18">
      <c r="B46" s="575"/>
      <c r="C46" s="556">
        <v>180</v>
      </c>
      <c r="D46" s="492">
        <f>'DB ESA'!C200</f>
        <v>0.33</v>
      </c>
      <c r="E46" s="492">
        <f>'DB ESA'!E200</f>
        <v>1.2</v>
      </c>
      <c r="H46" s="250" t="str">
        <f>ID!I27</f>
        <v>OL</v>
      </c>
      <c r="I46" s="360" t="e">
        <f>FORECAST(H46,D53:D56,C53:C56)</f>
        <v>#VALUE!</v>
      </c>
      <c r="J46" s="360" t="e">
        <f t="shared" ref="J46:J49" si="4">H46+I46</f>
        <v>#VALUE!</v>
      </c>
      <c r="K46" s="597" t="str">
        <f>IF(H46="OL","OL",IF(H46="NC","NC",IF(H46="OR","OR",IFERROR(J46,"-"))))</f>
        <v>OL</v>
      </c>
      <c r="L46" s="576"/>
    </row>
    <row r="47" spans="2:18">
      <c r="B47" s="575"/>
      <c r="C47" s="556">
        <v>200</v>
      </c>
      <c r="D47" s="492">
        <f>'DB ESA'!C201</f>
        <v>0.34</v>
      </c>
      <c r="E47" s="492">
        <f>'DB ESA'!E201</f>
        <v>1.2</v>
      </c>
      <c r="H47" s="250">
        <f>ID!I28</f>
        <v>8.8999999999999996E-2</v>
      </c>
      <c r="I47" s="411">
        <f>FORECAST(H47,D59:D62,C59:C62)</f>
        <v>-4.3826123954746673E-4</v>
      </c>
      <c r="J47" s="360">
        <f t="shared" si="4"/>
        <v>8.8561738760452535E-2</v>
      </c>
      <c r="K47" s="597">
        <f>IF(H47="OL","OL",IF(H47="NC","NC",IF(H47="OR","OR",IFERROR(J47,"-"))))</f>
        <v>8.8561738760452535E-2</v>
      </c>
      <c r="L47" s="576"/>
    </row>
    <row r="48" spans="2:18">
      <c r="B48" s="575"/>
      <c r="C48" s="556">
        <v>220</v>
      </c>
      <c r="D48" s="492">
        <f>'DB ESA'!C202</f>
        <v>0.37</v>
      </c>
      <c r="E48" s="492">
        <f>'DB ESA'!E202</f>
        <v>1.2</v>
      </c>
      <c r="G48" s="598" t="s">
        <v>345</v>
      </c>
      <c r="H48" s="250">
        <f>ID!I29</f>
        <v>56.6</v>
      </c>
      <c r="I48" s="250">
        <f>FORECAST(H48,$D$67:$D$71,$C$67:$C$71)</f>
        <v>0.84375325044846794</v>
      </c>
      <c r="J48" s="360">
        <f t="shared" si="4"/>
        <v>57.443753250448466</v>
      </c>
      <c r="K48" s="599">
        <f>IFERROR(J48,"-")</f>
        <v>57.443753250448466</v>
      </c>
      <c r="L48" s="576"/>
    </row>
    <row r="49" spans="2:12" ht="14.5" thickBot="1">
      <c r="B49" s="575"/>
      <c r="C49" s="556">
        <v>230</v>
      </c>
      <c r="D49" s="492">
        <f>'DB ESA'!C203</f>
        <v>0.47</v>
      </c>
      <c r="E49" s="492">
        <f>'DB ESA'!E203</f>
        <v>1.2</v>
      </c>
      <c r="G49" s="598" t="s">
        <v>331</v>
      </c>
      <c r="H49" s="250">
        <f>ID!N29</f>
        <v>12</v>
      </c>
      <c r="I49" s="250">
        <f>FORECAST(H49,$D$67:$D$71,$C$67:$C$71)</f>
        <v>0.72691120966573819</v>
      </c>
      <c r="J49" s="360">
        <f t="shared" si="4"/>
        <v>12.726911209665738</v>
      </c>
      <c r="K49" s="600">
        <f>IFERROR(J49,"-")</f>
        <v>12.726911209665738</v>
      </c>
      <c r="L49" s="576"/>
    </row>
    <row r="50" spans="2:12">
      <c r="B50" s="575"/>
      <c r="C50" s="556">
        <v>250</v>
      </c>
      <c r="D50" s="492">
        <f>'DB ESA'!C204</f>
        <v>9.9999999999999995E-7</v>
      </c>
      <c r="E50" s="492">
        <f>'DB ESA'!E204</f>
        <v>1.2</v>
      </c>
      <c r="L50" s="576"/>
    </row>
    <row r="51" spans="2:12">
      <c r="B51" s="575"/>
      <c r="D51" s="164"/>
      <c r="E51" s="164"/>
      <c r="G51" s="601"/>
      <c r="H51" s="601"/>
      <c r="I51" s="601"/>
      <c r="J51" s="601"/>
      <c r="K51" s="601"/>
      <c r="L51" s="602"/>
    </row>
    <row r="52" spans="2:12" ht="14.5">
      <c r="B52" s="575"/>
      <c r="C52" s="603" t="s">
        <v>358</v>
      </c>
      <c r="D52" s="492" t="s">
        <v>87</v>
      </c>
      <c r="E52" s="492" t="s">
        <v>90</v>
      </c>
      <c r="G52" s="601"/>
      <c r="H52" s="601"/>
      <c r="I52" s="601"/>
      <c r="J52" s="601"/>
      <c r="K52" s="601"/>
      <c r="L52" s="602"/>
    </row>
    <row r="53" spans="2:12">
      <c r="B53" s="575"/>
      <c r="C53" s="556">
        <v>10</v>
      </c>
      <c r="D53" s="492">
        <f>'DB ESA'!C215</f>
        <v>9.9999999999999995E-7</v>
      </c>
      <c r="E53" s="492">
        <f>'DB ESA'!E215</f>
        <v>1.7</v>
      </c>
      <c r="G53" s="601"/>
      <c r="H53" s="601"/>
      <c r="I53" s="601"/>
      <c r="J53" s="601"/>
      <c r="K53" s="601"/>
      <c r="L53" s="602"/>
    </row>
    <row r="54" spans="2:12">
      <c r="B54" s="575"/>
      <c r="C54" s="556">
        <v>20</v>
      </c>
      <c r="D54" s="492">
        <f>'DB ESA'!C216</f>
        <v>0.1</v>
      </c>
      <c r="E54" s="492">
        <f>'DB ESA'!E216</f>
        <v>1.7</v>
      </c>
      <c r="G54" s="601"/>
      <c r="H54" s="601"/>
      <c r="I54" s="601"/>
      <c r="J54" s="601"/>
      <c r="K54" s="601"/>
      <c r="L54" s="602"/>
    </row>
    <row r="55" spans="2:12">
      <c r="B55" s="575"/>
      <c r="C55" s="556">
        <v>50</v>
      </c>
      <c r="D55" s="492">
        <f>'DB ESA'!C217</f>
        <v>0.4</v>
      </c>
      <c r="E55" s="492">
        <f>'DB ESA'!E217</f>
        <v>1.7</v>
      </c>
      <c r="G55" s="601"/>
      <c r="H55" s="601"/>
      <c r="I55" s="601"/>
      <c r="J55" s="601"/>
      <c r="K55" s="601"/>
      <c r="L55" s="602"/>
    </row>
    <row r="56" spans="2:12">
      <c r="B56" s="575"/>
      <c r="C56" s="556">
        <v>100</v>
      </c>
      <c r="D56" s="492">
        <f>'DB ESA'!C218</f>
        <v>1.4</v>
      </c>
      <c r="E56" s="492">
        <f>'DB ESA'!E218</f>
        <v>1.7</v>
      </c>
      <c r="G56" s="601"/>
      <c r="H56" s="601"/>
      <c r="I56" s="601"/>
      <c r="J56" s="601"/>
      <c r="K56" s="601"/>
      <c r="L56" s="602"/>
    </row>
    <row r="57" spans="2:12">
      <c r="B57" s="575"/>
      <c r="D57" s="164"/>
      <c r="E57" s="164"/>
      <c r="G57" s="601"/>
      <c r="H57" s="601"/>
      <c r="I57" s="601"/>
      <c r="J57" s="601"/>
      <c r="K57" s="601"/>
      <c r="L57" s="602"/>
    </row>
    <row r="58" spans="2:12">
      <c r="B58" s="575"/>
      <c r="C58" s="555" t="s">
        <v>222</v>
      </c>
      <c r="D58" s="493" t="s">
        <v>87</v>
      </c>
      <c r="E58" s="493" t="s">
        <v>90</v>
      </c>
      <c r="G58" s="601"/>
      <c r="H58" s="601"/>
      <c r="I58" s="601"/>
      <c r="J58" s="601"/>
      <c r="K58" s="601"/>
      <c r="L58" s="602"/>
    </row>
    <row r="59" spans="2:12">
      <c r="B59" s="575"/>
      <c r="C59" s="604">
        <v>0.01</v>
      </c>
      <c r="D59" s="493">
        <f>'DB ESA'!C221</f>
        <v>9.9999999999999995E-7</v>
      </c>
      <c r="E59" s="493">
        <f>'DB ESA'!E221</f>
        <v>1.2</v>
      </c>
      <c r="G59" s="601"/>
      <c r="H59" s="601"/>
      <c r="I59" s="601"/>
      <c r="J59" s="601"/>
      <c r="K59" s="601"/>
      <c r="L59" s="602"/>
    </row>
    <row r="60" spans="2:12">
      <c r="B60" s="575"/>
      <c r="C60" s="605">
        <v>0.1</v>
      </c>
      <c r="D60" s="493">
        <f>'DB ESA'!C222</f>
        <v>9.9999999999999995E-7</v>
      </c>
      <c r="E60" s="493">
        <f>'DB ESA'!E222</f>
        <v>1.2</v>
      </c>
      <c r="G60" s="601"/>
      <c r="H60" s="601"/>
      <c r="I60" s="601"/>
      <c r="J60" s="601"/>
      <c r="K60" s="601"/>
      <c r="L60" s="602"/>
    </row>
    <row r="61" spans="2:12">
      <c r="B61" s="575"/>
      <c r="C61" s="605">
        <v>1</v>
      </c>
      <c r="D61" s="493">
        <f>'DB ESA'!C223</f>
        <v>-2.3E-3</v>
      </c>
      <c r="E61" s="493">
        <f>'DB ESA'!E223</f>
        <v>1.2</v>
      </c>
      <c r="G61" s="601"/>
      <c r="H61" s="601"/>
      <c r="I61" s="601"/>
      <c r="J61" s="601"/>
      <c r="K61" s="601"/>
      <c r="L61" s="602"/>
    </row>
    <row r="62" spans="2:12">
      <c r="B62" s="575"/>
      <c r="C62" s="605">
        <v>2</v>
      </c>
      <c r="D62" s="493">
        <f>'DB ESA'!C224</f>
        <v>9.9999999999999995E-7</v>
      </c>
      <c r="E62" s="493">
        <f>'DB ESA'!E224</f>
        <v>1.2</v>
      </c>
      <c r="G62" s="601"/>
      <c r="H62" s="601"/>
      <c r="I62" s="601"/>
      <c r="J62" s="601"/>
      <c r="K62" s="601"/>
      <c r="L62" s="602"/>
    </row>
    <row r="63" spans="2:12">
      <c r="B63" s="606"/>
      <c r="D63" s="164"/>
      <c r="E63" s="164"/>
      <c r="G63" s="601"/>
      <c r="H63" s="601"/>
      <c r="I63" s="601"/>
      <c r="J63" s="601"/>
      <c r="K63" s="601"/>
      <c r="L63" s="602"/>
    </row>
    <row r="64" spans="2:12">
      <c r="B64" s="606"/>
      <c r="D64" s="164"/>
      <c r="E64" s="164"/>
      <c r="G64" s="601"/>
      <c r="H64" s="601"/>
      <c r="I64" s="601"/>
      <c r="J64" s="601"/>
      <c r="K64" s="601"/>
      <c r="L64" s="602"/>
    </row>
    <row r="65" spans="2:12">
      <c r="B65" s="575"/>
      <c r="D65" s="164"/>
      <c r="E65" s="164"/>
      <c r="G65" s="601"/>
      <c r="H65" s="601"/>
      <c r="I65" s="601"/>
      <c r="J65" s="601"/>
      <c r="K65" s="601"/>
      <c r="L65" s="602"/>
    </row>
    <row r="66" spans="2:12" ht="29">
      <c r="B66" s="575"/>
      <c r="C66" s="603" t="s">
        <v>219</v>
      </c>
      <c r="D66" s="492" t="s">
        <v>87</v>
      </c>
      <c r="E66" s="492" t="s">
        <v>90</v>
      </c>
      <c r="G66" s="601"/>
      <c r="H66" s="601"/>
      <c r="I66" s="601"/>
      <c r="J66" s="601"/>
      <c r="K66" s="601"/>
      <c r="L66" s="602"/>
    </row>
    <row r="67" spans="2:12">
      <c r="B67" s="575"/>
      <c r="C67" s="556">
        <v>0</v>
      </c>
      <c r="D67" s="492">
        <f>'DB ESA'!C207</f>
        <v>9.9999999999999995E-7</v>
      </c>
      <c r="E67" s="492">
        <f>'DB ESA'!E207</f>
        <v>0.59</v>
      </c>
      <c r="G67" s="601"/>
      <c r="H67" s="601"/>
      <c r="I67" s="601"/>
      <c r="J67" s="601"/>
      <c r="K67" s="601"/>
      <c r="L67" s="602"/>
    </row>
    <row r="68" spans="2:12">
      <c r="B68" s="575"/>
      <c r="C68" s="556">
        <v>50</v>
      </c>
      <c r="D68" s="492">
        <f>'DB ESA'!C208</f>
        <v>1.7</v>
      </c>
      <c r="E68" s="492">
        <f>'DB ESA'!E208</f>
        <v>0.59</v>
      </c>
      <c r="L68" s="576"/>
    </row>
    <row r="69" spans="2:12">
      <c r="B69" s="575"/>
      <c r="C69" s="556">
        <v>100</v>
      </c>
      <c r="D69" s="492">
        <f>'DB ESA'!C209</f>
        <v>1.7</v>
      </c>
      <c r="E69" s="492">
        <f>'DB ESA'!E209</f>
        <v>0.59</v>
      </c>
      <c r="L69" s="576"/>
    </row>
    <row r="70" spans="2:12">
      <c r="B70" s="575"/>
      <c r="C70" s="556">
        <v>500</v>
      </c>
      <c r="D70" s="492">
        <f>'DB ESA'!C210</f>
        <v>0.4</v>
      </c>
      <c r="E70" s="492">
        <f>'DB ESA'!E210</f>
        <v>0.59</v>
      </c>
      <c r="L70" s="576"/>
    </row>
    <row r="71" spans="2:12">
      <c r="B71" s="575"/>
      <c r="C71" s="556">
        <v>1000</v>
      </c>
      <c r="D71" s="492">
        <f>'DB ESA'!C212</f>
        <v>4</v>
      </c>
      <c r="E71" s="492">
        <f>'DB ESA'!E212</f>
        <v>0.59</v>
      </c>
      <c r="L71" s="576"/>
    </row>
    <row r="72" spans="2:12" ht="14.5" thickBot="1">
      <c r="B72" s="580"/>
      <c r="C72" s="481"/>
      <c r="D72" s="481"/>
      <c r="E72" s="481"/>
      <c r="F72" s="481"/>
      <c r="G72" s="481"/>
      <c r="H72" s="481"/>
      <c r="I72" s="481"/>
      <c r="J72" s="481"/>
      <c r="K72" s="481"/>
      <c r="L72" s="482"/>
    </row>
  </sheetData>
  <mergeCells count="5">
    <mergeCell ref="H42:K42"/>
    <mergeCell ref="I27:Q27"/>
    <mergeCell ref="C7:E7"/>
    <mergeCell ref="I7:M7"/>
    <mergeCell ref="I25:Q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1"/>
  <sheetViews>
    <sheetView view="pageBreakPreview" topLeftCell="A142" zoomScaleNormal="100" zoomScaleSheetLayoutView="100" workbookViewId="0">
      <selection activeCell="F154" sqref="F154"/>
    </sheetView>
  </sheetViews>
  <sheetFormatPr defaultColWidth="9" defaultRowHeight="12.5"/>
  <cols>
    <col min="1" max="1" width="20.81640625" style="412" bestFit="1" customWidth="1"/>
    <col min="2" max="3" width="12" style="412" bestFit="1" customWidth="1"/>
    <col min="4" max="5" width="12.1796875" style="412" bestFit="1" customWidth="1"/>
    <col min="6" max="6" width="10.26953125" style="413" bestFit="1" customWidth="1"/>
    <col min="7" max="7" width="9.81640625" style="412" bestFit="1" customWidth="1"/>
    <col min="8" max="8" width="10.54296875" style="412" bestFit="1" customWidth="1"/>
    <col min="9" max="10" width="11.54296875" style="412" bestFit="1" customWidth="1"/>
    <col min="11" max="12" width="9.453125" style="412" bestFit="1" customWidth="1"/>
    <col min="13" max="13" width="9" style="412"/>
    <col min="14" max="14" width="10.54296875" style="412" bestFit="1" customWidth="1"/>
    <col min="15" max="16" width="11.54296875" style="412" bestFit="1" customWidth="1"/>
    <col min="17" max="18" width="9.453125" style="412" bestFit="1" customWidth="1"/>
    <col min="19" max="16384" width="9" style="412"/>
  </cols>
  <sheetData>
    <row r="1" spans="1:26">
      <c r="A1" s="532"/>
      <c r="B1" s="532"/>
      <c r="C1" s="532"/>
      <c r="D1" s="532"/>
      <c r="E1" s="532"/>
      <c r="F1" s="533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</row>
    <row r="2" spans="1:26">
      <c r="A2" s="532"/>
      <c r="B2" s="532"/>
      <c r="C2" s="532"/>
      <c r="D2" s="532"/>
      <c r="E2" s="532"/>
      <c r="F2" s="533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</row>
    <row r="3" spans="1:26">
      <c r="A3" s="532"/>
      <c r="B3" s="532"/>
      <c r="C3" s="532"/>
      <c r="D3" s="532"/>
      <c r="E3" s="532"/>
      <c r="F3" s="533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532"/>
      <c r="Y3" s="532"/>
      <c r="Z3" s="532"/>
    </row>
    <row r="4" spans="1:26" ht="16.5" customHeight="1">
      <c r="A4" s="532"/>
      <c r="B4" s="1104" t="s">
        <v>264</v>
      </c>
      <c r="C4" s="1105"/>
      <c r="D4" s="1105"/>
      <c r="E4" s="1105"/>
      <c r="F4" s="1106"/>
      <c r="G4" s="532"/>
      <c r="H4" s="1104" t="s">
        <v>265</v>
      </c>
      <c r="I4" s="1105"/>
      <c r="J4" s="1105"/>
      <c r="K4" s="1105"/>
      <c r="L4" s="1106"/>
      <c r="M4" s="532"/>
      <c r="N4" s="1104" t="s">
        <v>266</v>
      </c>
      <c r="O4" s="1105"/>
      <c r="P4" s="1105"/>
      <c r="Q4" s="1105"/>
      <c r="R4" s="1106"/>
      <c r="S4" s="532"/>
      <c r="T4" s="532"/>
      <c r="U4" s="532"/>
      <c r="V4" s="532"/>
      <c r="W4" s="532"/>
      <c r="X4" s="532"/>
      <c r="Y4" s="532"/>
      <c r="Z4" s="532"/>
    </row>
    <row r="5" spans="1:26" ht="13">
      <c r="A5" s="532"/>
      <c r="B5" s="1107" t="s">
        <v>267</v>
      </c>
      <c r="C5" s="1107"/>
      <c r="D5" s="1107"/>
      <c r="E5" s="1107"/>
      <c r="F5" s="1107"/>
      <c r="G5" s="532"/>
      <c r="H5" s="1107" t="s">
        <v>267</v>
      </c>
      <c r="I5" s="1107"/>
      <c r="J5" s="1107"/>
      <c r="K5" s="1107"/>
      <c r="L5" s="1107"/>
      <c r="M5" s="532"/>
      <c r="N5" s="1107" t="s">
        <v>267</v>
      </c>
      <c r="O5" s="1107"/>
      <c r="P5" s="1107"/>
      <c r="Q5" s="1107"/>
      <c r="R5" s="1107"/>
      <c r="S5" s="532"/>
      <c r="T5" s="532"/>
      <c r="U5" s="532"/>
      <c r="V5" s="532"/>
      <c r="W5" s="532"/>
      <c r="X5" s="532"/>
      <c r="Y5" s="532"/>
      <c r="Z5" s="532"/>
    </row>
    <row r="6" spans="1:26" ht="13">
      <c r="A6" s="532"/>
      <c r="B6" s="1108" t="s">
        <v>268</v>
      </c>
      <c r="C6" s="1109"/>
      <c r="D6" s="1110"/>
      <c r="E6" s="1111" t="s">
        <v>217</v>
      </c>
      <c r="F6" s="1111" t="s">
        <v>90</v>
      </c>
      <c r="G6" s="532"/>
      <c r="H6" s="1108" t="s">
        <v>268</v>
      </c>
      <c r="I6" s="1109"/>
      <c r="J6" s="1110"/>
      <c r="K6" s="1111" t="s">
        <v>217</v>
      </c>
      <c r="L6" s="1111" t="s">
        <v>90</v>
      </c>
      <c r="M6" s="532"/>
      <c r="N6" s="1108" t="s">
        <v>268</v>
      </c>
      <c r="O6" s="1109"/>
      <c r="P6" s="1110"/>
      <c r="Q6" s="1111" t="s">
        <v>217</v>
      </c>
      <c r="R6" s="1111" t="s">
        <v>90</v>
      </c>
      <c r="S6" s="532"/>
      <c r="T6" s="532"/>
      <c r="U6" s="532"/>
      <c r="V6" s="532"/>
      <c r="W6" s="532"/>
      <c r="X6" s="532"/>
      <c r="Y6" s="532"/>
      <c r="Z6" s="532"/>
    </row>
    <row r="7" spans="1:26">
      <c r="A7" s="532"/>
      <c r="B7" s="509" t="s">
        <v>63</v>
      </c>
      <c r="C7" s="509">
        <v>2016</v>
      </c>
      <c r="D7" s="509">
        <v>2019</v>
      </c>
      <c r="E7" s="1112"/>
      <c r="F7" s="1112"/>
      <c r="G7" s="532"/>
      <c r="H7" s="509" t="s">
        <v>63</v>
      </c>
      <c r="I7" s="509">
        <v>2018</v>
      </c>
      <c r="J7" s="509">
        <v>2019</v>
      </c>
      <c r="K7" s="1112"/>
      <c r="L7" s="1112"/>
      <c r="M7" s="532"/>
      <c r="N7" s="509" t="s">
        <v>63</v>
      </c>
      <c r="O7" s="509">
        <v>2018</v>
      </c>
      <c r="P7" s="509">
        <v>2019</v>
      </c>
      <c r="Q7" s="1112"/>
      <c r="R7" s="1112"/>
      <c r="S7" s="532"/>
      <c r="T7" s="532"/>
      <c r="U7" s="532"/>
      <c r="V7" s="532"/>
      <c r="W7" s="532"/>
      <c r="X7" s="532"/>
      <c r="Y7" s="532"/>
      <c r="Z7" s="532"/>
    </row>
    <row r="8" spans="1:26">
      <c r="A8" s="532"/>
      <c r="B8" s="509">
        <v>9.9999999999999995E-7</v>
      </c>
      <c r="C8" s="414">
        <v>9.9999999999999995E-7</v>
      </c>
      <c r="D8" s="414">
        <v>9.9999999999999995E-7</v>
      </c>
      <c r="E8" s="509">
        <v>9.9999999999999995E-7</v>
      </c>
      <c r="F8" s="414">
        <v>0.55000000000000004</v>
      </c>
      <c r="G8" s="532"/>
      <c r="H8" s="509">
        <v>9.9999999999999995E-7</v>
      </c>
      <c r="I8" s="414">
        <v>9.9999999999999995E-7</v>
      </c>
      <c r="J8" s="414">
        <v>9.9999999999999995E-7</v>
      </c>
      <c r="K8" s="509">
        <v>9.9999999999999995E-7</v>
      </c>
      <c r="L8" s="414">
        <v>0.12</v>
      </c>
      <c r="M8" s="532"/>
      <c r="N8" s="509">
        <v>9.9999999999999995E-7</v>
      </c>
      <c r="O8" s="414">
        <v>9.9999999999999995E-7</v>
      </c>
      <c r="P8" s="414">
        <v>9.9999999999999995E-7</v>
      </c>
      <c r="Q8" s="509">
        <v>9.9999999999999995E-7</v>
      </c>
      <c r="R8" s="414">
        <v>0.12</v>
      </c>
      <c r="S8" s="532"/>
      <c r="T8" s="532"/>
      <c r="U8" s="532"/>
      <c r="V8" s="532"/>
      <c r="W8" s="532"/>
      <c r="X8" s="532"/>
      <c r="Y8" s="532"/>
      <c r="Z8" s="532"/>
    </row>
    <row r="9" spans="1:26">
      <c r="A9" s="532"/>
      <c r="B9" s="509">
        <v>30</v>
      </c>
      <c r="C9" s="414">
        <v>9.9999999999999995E-7</v>
      </c>
      <c r="D9" s="414">
        <v>9.9999999999999995E-7</v>
      </c>
      <c r="E9" s="509">
        <v>9.9999999999999995E-7</v>
      </c>
      <c r="F9" s="414">
        <v>0.55000000000000004</v>
      </c>
      <c r="G9" s="532"/>
      <c r="H9" s="509">
        <v>30</v>
      </c>
      <c r="I9" s="414">
        <v>9.9999999999999995E-7</v>
      </c>
      <c r="J9" s="414">
        <v>9.9999999999999995E-7</v>
      </c>
      <c r="K9" s="509">
        <v>9.9999999999999995E-7</v>
      </c>
      <c r="L9" s="414">
        <v>0.12</v>
      </c>
      <c r="M9" s="532"/>
      <c r="N9" s="509">
        <v>30</v>
      </c>
      <c r="O9" s="414">
        <v>9.9999999999999995E-7</v>
      </c>
      <c r="P9" s="414">
        <v>9.9999999999999995E-7</v>
      </c>
      <c r="Q9" s="509">
        <v>9.9999999999999995E-7</v>
      </c>
      <c r="R9" s="414">
        <v>0.12</v>
      </c>
      <c r="S9" s="532"/>
      <c r="T9" s="532"/>
      <c r="U9" s="532"/>
      <c r="V9" s="532"/>
      <c r="W9" s="532"/>
      <c r="X9" s="532"/>
      <c r="Y9" s="532"/>
      <c r="Z9" s="532"/>
    </row>
    <row r="10" spans="1:26">
      <c r="A10" s="532"/>
      <c r="B10" s="509">
        <v>60</v>
      </c>
      <c r="C10" s="414">
        <v>9.9999999999999995E-7</v>
      </c>
      <c r="D10" s="414">
        <v>9.9999999999999995E-7</v>
      </c>
      <c r="E10" s="509">
        <v>9.9999999999999995E-7</v>
      </c>
      <c r="F10" s="414">
        <v>0.55000000000000004</v>
      </c>
      <c r="G10" s="532"/>
      <c r="H10" s="509">
        <v>60</v>
      </c>
      <c r="I10" s="414">
        <v>9.9999999999999995E-7</v>
      </c>
      <c r="J10" s="414">
        <v>9.9999999999999995E-7</v>
      </c>
      <c r="K10" s="509">
        <v>9.9999999999999995E-7</v>
      </c>
      <c r="L10" s="414">
        <v>0.12</v>
      </c>
      <c r="M10" s="532"/>
      <c r="N10" s="509">
        <v>60</v>
      </c>
      <c r="O10" s="414">
        <v>9.9999999999999995E-7</v>
      </c>
      <c r="P10" s="414">
        <v>9.9999999999999995E-7</v>
      </c>
      <c r="Q10" s="509">
        <v>9.9999999999999995E-7</v>
      </c>
      <c r="R10" s="414">
        <v>0.12</v>
      </c>
      <c r="S10" s="532"/>
      <c r="T10" s="532"/>
      <c r="U10" s="532"/>
      <c r="V10" s="532"/>
      <c r="W10" s="532"/>
      <c r="X10" s="532"/>
      <c r="Y10" s="532"/>
      <c r="Z10" s="532"/>
    </row>
    <row r="11" spans="1:26" ht="14.5">
      <c r="A11" s="532"/>
      <c r="B11" s="531">
        <v>90</v>
      </c>
      <c r="C11" s="414">
        <v>9.9999999999999995E-7</v>
      </c>
      <c r="D11" s="414">
        <v>9.9999999999999995E-7</v>
      </c>
      <c r="E11" s="509">
        <v>9.9999999999999995E-7</v>
      </c>
      <c r="F11" s="414">
        <v>0.55000000000000004</v>
      </c>
      <c r="G11" s="532"/>
      <c r="H11" s="531">
        <v>90</v>
      </c>
      <c r="I11" s="414">
        <v>9.9999999999999995E-7</v>
      </c>
      <c r="J11" s="414">
        <v>9.9999999999999995E-7</v>
      </c>
      <c r="K11" s="509">
        <v>9.9999999999999995E-7</v>
      </c>
      <c r="L11" s="414">
        <v>0.12</v>
      </c>
      <c r="M11" s="532"/>
      <c r="N11" s="531">
        <v>90</v>
      </c>
      <c r="O11" s="414">
        <v>9.9999999999999995E-7</v>
      </c>
      <c r="P11" s="414">
        <v>9.9999999999999995E-7</v>
      </c>
      <c r="Q11" s="509">
        <v>9.9999999999999995E-7</v>
      </c>
      <c r="R11" s="414">
        <v>0.12</v>
      </c>
      <c r="S11" s="532"/>
      <c r="T11" s="532"/>
      <c r="U11" s="532"/>
      <c r="V11" s="532"/>
      <c r="W11" s="532"/>
      <c r="X11" s="532"/>
      <c r="Y11" s="532"/>
      <c r="Z11" s="532"/>
    </row>
    <row r="12" spans="1:26" ht="14.5">
      <c r="A12" s="532"/>
      <c r="B12" s="531">
        <v>120</v>
      </c>
      <c r="C12" s="414">
        <v>9.9999999999999995E-7</v>
      </c>
      <c r="D12" s="414">
        <v>9.9999999999999995E-7</v>
      </c>
      <c r="E12" s="509">
        <v>9.9999999999999995E-7</v>
      </c>
      <c r="F12" s="414">
        <v>0.55000000000000004</v>
      </c>
      <c r="G12" s="532"/>
      <c r="H12" s="531">
        <v>120</v>
      </c>
      <c r="I12" s="414">
        <v>9.9999999999999995E-7</v>
      </c>
      <c r="J12" s="414">
        <v>9.9999999999999995E-7</v>
      </c>
      <c r="K12" s="509">
        <v>9.9999999999999995E-7</v>
      </c>
      <c r="L12" s="414">
        <v>0.12</v>
      </c>
      <c r="M12" s="532"/>
      <c r="N12" s="531">
        <v>120</v>
      </c>
      <c r="O12" s="414">
        <v>9.9999999999999995E-7</v>
      </c>
      <c r="P12" s="414">
        <v>9.9999999999999995E-7</v>
      </c>
      <c r="Q12" s="509">
        <v>9.9999999999999995E-7</v>
      </c>
      <c r="R12" s="414">
        <v>0.12</v>
      </c>
      <c r="S12" s="532"/>
      <c r="T12" s="532"/>
      <c r="U12" s="532"/>
      <c r="V12" s="532"/>
      <c r="W12" s="532"/>
      <c r="X12" s="532"/>
      <c r="Y12" s="532"/>
      <c r="Z12" s="532"/>
    </row>
    <row r="13" spans="1:26">
      <c r="A13" s="532"/>
      <c r="B13" s="509">
        <v>150</v>
      </c>
      <c r="C13" s="414">
        <v>9.9999999999999995E-7</v>
      </c>
      <c r="D13" s="414">
        <v>9.9999999999999995E-7</v>
      </c>
      <c r="E13" s="509">
        <v>9.9999999999999995E-7</v>
      </c>
      <c r="F13" s="414">
        <v>0.55000000000000004</v>
      </c>
      <c r="G13" s="532"/>
      <c r="H13" s="509">
        <v>150</v>
      </c>
      <c r="I13" s="414">
        <v>9.9999999999999995E-7</v>
      </c>
      <c r="J13" s="414">
        <v>9.9999999999999995E-7</v>
      </c>
      <c r="K13" s="509">
        <v>9.9999999999999995E-7</v>
      </c>
      <c r="L13" s="414">
        <v>0.12</v>
      </c>
      <c r="M13" s="532"/>
      <c r="N13" s="509">
        <v>150</v>
      </c>
      <c r="O13" s="414">
        <v>9.9999999999999995E-7</v>
      </c>
      <c r="P13" s="414">
        <v>9.9999999999999995E-7</v>
      </c>
      <c r="Q13" s="509">
        <v>9.9999999999999995E-7</v>
      </c>
      <c r="R13" s="414">
        <v>0.12</v>
      </c>
      <c r="S13" s="532"/>
      <c r="T13" s="532"/>
      <c r="U13" s="532"/>
      <c r="V13" s="532"/>
      <c r="W13" s="532"/>
      <c r="X13" s="532"/>
      <c r="Y13" s="532"/>
      <c r="Z13" s="532"/>
    </row>
    <row r="14" spans="1:26">
      <c r="A14" s="532"/>
      <c r="B14" s="509">
        <v>180</v>
      </c>
      <c r="C14" s="414">
        <v>9.9999999999999995E-7</v>
      </c>
      <c r="D14" s="414">
        <v>9.9999999999999995E-7</v>
      </c>
      <c r="E14" s="414">
        <v>9.9999999999999995E-7</v>
      </c>
      <c r="F14" s="414">
        <v>0.55000000000000004</v>
      </c>
      <c r="G14" s="532"/>
      <c r="H14" s="509">
        <v>180</v>
      </c>
      <c r="I14" s="414">
        <v>9.9999999999999995E-7</v>
      </c>
      <c r="J14" s="414">
        <v>9.9999999999999995E-7</v>
      </c>
      <c r="K14" s="509">
        <v>9.9999999999999995E-7</v>
      </c>
      <c r="L14" s="414">
        <v>0.12</v>
      </c>
      <c r="M14" s="532"/>
      <c r="N14" s="509">
        <v>180</v>
      </c>
      <c r="O14" s="414">
        <v>9.9999999999999995E-7</v>
      </c>
      <c r="P14" s="414">
        <v>9.9999999999999995E-7</v>
      </c>
      <c r="Q14" s="509">
        <v>9.9999999999999995E-7</v>
      </c>
      <c r="R14" s="414">
        <v>0.12</v>
      </c>
      <c r="S14" s="532"/>
      <c r="T14" s="532"/>
      <c r="U14" s="532"/>
      <c r="V14" s="532"/>
      <c r="W14" s="532"/>
      <c r="X14" s="532"/>
      <c r="Y14" s="532"/>
      <c r="Z14" s="532"/>
    </row>
    <row r="15" spans="1:26">
      <c r="A15" s="532"/>
      <c r="B15" s="509">
        <v>210</v>
      </c>
      <c r="C15" s="414">
        <v>9.9999999999999995E-7</v>
      </c>
      <c r="D15" s="414">
        <v>9.9999999999999995E-7</v>
      </c>
      <c r="E15" s="509">
        <v>9.9999999999999995E-7</v>
      </c>
      <c r="F15" s="414">
        <v>0.55000000000000004</v>
      </c>
      <c r="G15" s="532"/>
      <c r="H15" s="509">
        <v>210</v>
      </c>
      <c r="I15" s="414">
        <v>9.9999999999999995E-7</v>
      </c>
      <c r="J15" s="414">
        <v>9.9999999999999995E-7</v>
      </c>
      <c r="K15" s="509">
        <v>9.9999999999999995E-7</v>
      </c>
      <c r="L15" s="414">
        <v>0.12</v>
      </c>
      <c r="M15" s="532"/>
      <c r="N15" s="509">
        <v>210</v>
      </c>
      <c r="O15" s="414">
        <v>9.9999999999999995E-7</v>
      </c>
      <c r="P15" s="414">
        <v>9.9999999999999995E-7</v>
      </c>
      <c r="Q15" s="509">
        <v>9.9999999999999995E-7</v>
      </c>
      <c r="R15" s="414">
        <v>0.12</v>
      </c>
      <c r="S15" s="532"/>
      <c r="T15" s="532"/>
      <c r="U15" s="532"/>
      <c r="V15" s="532"/>
      <c r="W15" s="532"/>
      <c r="X15" s="532"/>
      <c r="Y15" s="532"/>
      <c r="Z15" s="532"/>
    </row>
    <row r="16" spans="1:26">
      <c r="A16" s="532"/>
      <c r="B16" s="509">
        <v>240</v>
      </c>
      <c r="C16" s="414">
        <v>9.9999999999999995E-7</v>
      </c>
      <c r="D16" s="414">
        <v>9.9999999999999995E-7</v>
      </c>
      <c r="E16" s="509">
        <v>9.9999999999999995E-7</v>
      </c>
      <c r="F16" s="414">
        <v>0.55000000000000004</v>
      </c>
      <c r="G16" s="532"/>
      <c r="H16" s="509">
        <v>240</v>
      </c>
      <c r="I16" s="414">
        <v>9.9999999999999995E-7</v>
      </c>
      <c r="J16" s="414">
        <v>9.9999999999999995E-7</v>
      </c>
      <c r="K16" s="509">
        <v>9.9999999999999995E-7</v>
      </c>
      <c r="L16" s="414">
        <v>0.12</v>
      </c>
      <c r="M16" s="532"/>
      <c r="N16" s="509">
        <v>240</v>
      </c>
      <c r="O16" s="414">
        <v>9.9999999999999995E-7</v>
      </c>
      <c r="P16" s="414">
        <v>9.9999999999999995E-7</v>
      </c>
      <c r="Q16" s="509">
        <v>9.9999999999999995E-7</v>
      </c>
      <c r="R16" s="414">
        <v>0.12</v>
      </c>
      <c r="S16" s="532"/>
      <c r="T16" s="532"/>
      <c r="U16" s="532"/>
      <c r="V16" s="532"/>
      <c r="W16" s="532"/>
      <c r="X16" s="532"/>
      <c r="Y16" s="532"/>
      <c r="Z16" s="532"/>
    </row>
    <row r="17" spans="1:26">
      <c r="A17" s="532"/>
      <c r="B17" s="532"/>
      <c r="C17" s="532"/>
      <c r="D17" s="532"/>
      <c r="E17" s="532"/>
      <c r="F17" s="532"/>
      <c r="G17" s="532"/>
      <c r="H17" s="532"/>
      <c r="I17" s="532"/>
      <c r="J17" s="532"/>
      <c r="K17" s="532"/>
      <c r="L17" s="532"/>
      <c r="M17" s="532"/>
      <c r="N17" s="532"/>
      <c r="O17" s="532"/>
      <c r="P17" s="532"/>
      <c r="Q17" s="532"/>
      <c r="R17" s="532"/>
      <c r="S17" s="532"/>
      <c r="T17" s="532"/>
      <c r="U17" s="532"/>
      <c r="V17" s="532"/>
      <c r="W17" s="532"/>
      <c r="X17" s="532"/>
      <c r="Y17" s="532"/>
      <c r="Z17" s="532"/>
    </row>
    <row r="18" spans="1:26" ht="13">
      <c r="A18" s="532"/>
      <c r="B18" s="1104" t="s">
        <v>269</v>
      </c>
      <c r="C18" s="1105"/>
      <c r="D18" s="1105"/>
      <c r="E18" s="1105"/>
      <c r="F18" s="1106"/>
      <c r="G18" s="532"/>
      <c r="H18" s="1104" t="s">
        <v>270</v>
      </c>
      <c r="I18" s="1105"/>
      <c r="J18" s="1105"/>
      <c r="K18" s="1105"/>
      <c r="L18" s="1106"/>
      <c r="M18" s="532"/>
      <c r="N18" s="1104" t="s">
        <v>297</v>
      </c>
      <c r="O18" s="1105"/>
      <c r="P18" s="1105"/>
      <c r="Q18" s="1105"/>
      <c r="R18" s="1106"/>
      <c r="S18" s="532"/>
      <c r="T18" s="532"/>
      <c r="U18" s="532"/>
      <c r="V18" s="532"/>
      <c r="W18" s="532"/>
      <c r="X18" s="532"/>
      <c r="Y18" s="532"/>
      <c r="Z18" s="532"/>
    </row>
    <row r="19" spans="1:26" ht="13">
      <c r="A19" s="532"/>
      <c r="B19" s="1107" t="s">
        <v>267</v>
      </c>
      <c r="C19" s="1107"/>
      <c r="D19" s="1107"/>
      <c r="E19" s="1107"/>
      <c r="F19" s="1107"/>
      <c r="G19" s="532"/>
      <c r="H19" s="1107" t="s">
        <v>267</v>
      </c>
      <c r="I19" s="1107"/>
      <c r="J19" s="1107"/>
      <c r="K19" s="1107"/>
      <c r="L19" s="1107"/>
      <c r="M19" s="532"/>
      <c r="N19" s="1107" t="s">
        <v>267</v>
      </c>
      <c r="O19" s="1107"/>
      <c r="P19" s="1107"/>
      <c r="Q19" s="1107"/>
      <c r="R19" s="1107"/>
      <c r="S19" s="532"/>
      <c r="T19" s="532"/>
      <c r="U19" s="532"/>
      <c r="V19" s="532"/>
      <c r="W19" s="532"/>
      <c r="X19" s="532"/>
      <c r="Y19" s="532"/>
      <c r="Z19" s="532"/>
    </row>
    <row r="20" spans="1:26" ht="13">
      <c r="A20" s="532"/>
      <c r="B20" s="1108" t="s">
        <v>268</v>
      </c>
      <c r="C20" s="1109"/>
      <c r="D20" s="1110"/>
      <c r="E20" s="1111" t="s">
        <v>217</v>
      </c>
      <c r="F20" s="1111" t="s">
        <v>90</v>
      </c>
      <c r="G20" s="532"/>
      <c r="H20" s="1108" t="s">
        <v>268</v>
      </c>
      <c r="I20" s="1109"/>
      <c r="J20" s="1110"/>
      <c r="K20" s="1111" t="s">
        <v>217</v>
      </c>
      <c r="L20" s="1111" t="s">
        <v>90</v>
      </c>
      <c r="M20" s="532"/>
      <c r="N20" s="1108" t="s">
        <v>268</v>
      </c>
      <c r="O20" s="1109"/>
      <c r="P20" s="1110"/>
      <c r="Q20" s="1111" t="s">
        <v>217</v>
      </c>
      <c r="R20" s="1111" t="s">
        <v>90</v>
      </c>
      <c r="S20" s="532"/>
      <c r="T20" s="532"/>
      <c r="U20" s="532"/>
      <c r="V20" s="532"/>
      <c r="W20" s="532"/>
      <c r="X20" s="532"/>
      <c r="Y20" s="532"/>
      <c r="Z20" s="532"/>
    </row>
    <row r="21" spans="1:26">
      <c r="A21" s="532"/>
      <c r="B21" s="509" t="s">
        <v>63</v>
      </c>
      <c r="C21" s="509">
        <v>2022</v>
      </c>
      <c r="D21" s="509">
        <v>2019</v>
      </c>
      <c r="E21" s="1112"/>
      <c r="F21" s="1112"/>
      <c r="G21" s="532"/>
      <c r="H21" s="509" t="s">
        <v>63</v>
      </c>
      <c r="I21" s="509">
        <v>2022</v>
      </c>
      <c r="J21" s="509">
        <v>2021</v>
      </c>
      <c r="K21" s="1112"/>
      <c r="L21" s="1112"/>
      <c r="M21" s="532"/>
      <c r="N21" s="509" t="s">
        <v>63</v>
      </c>
      <c r="O21" s="509">
        <v>2017</v>
      </c>
      <c r="P21" s="509">
        <v>2018</v>
      </c>
      <c r="Q21" s="1112"/>
      <c r="R21" s="1112"/>
      <c r="S21" s="532"/>
      <c r="T21" s="532"/>
      <c r="U21" s="532"/>
      <c r="V21" s="532"/>
      <c r="W21" s="532"/>
      <c r="X21" s="532"/>
      <c r="Y21" s="532"/>
      <c r="Z21" s="532"/>
    </row>
    <row r="22" spans="1:26">
      <c r="A22" s="532"/>
      <c r="B22" s="509">
        <v>9.9999999999999995E-7</v>
      </c>
      <c r="C22" s="414">
        <v>9.9999999999999995E-7</v>
      </c>
      <c r="D22" s="414">
        <v>9.9999999999999995E-7</v>
      </c>
      <c r="E22" s="509">
        <v>9.9999999999999995E-7</v>
      </c>
      <c r="F22" s="414">
        <v>0.57999999999999996</v>
      </c>
      <c r="G22" s="532"/>
      <c r="H22" s="509">
        <v>9.9999999999999995E-7</v>
      </c>
      <c r="I22" s="414">
        <v>9.9999999999999995E-7</v>
      </c>
      <c r="J22" s="414">
        <v>9.9999999999999995E-7</v>
      </c>
      <c r="K22" s="509">
        <v>9.9999999999999995E-7</v>
      </c>
      <c r="L22" s="414">
        <v>1E-3</v>
      </c>
      <c r="M22" s="532"/>
      <c r="N22" s="509">
        <v>9.9999999999999995E-7</v>
      </c>
      <c r="O22" s="414">
        <v>9.9999999999999995E-7</v>
      </c>
      <c r="P22" s="414">
        <v>9.9999999999999995E-7</v>
      </c>
      <c r="Q22" s="509">
        <v>9.9999999999999995E-7</v>
      </c>
      <c r="R22" s="414">
        <v>1E-3</v>
      </c>
      <c r="S22" s="532"/>
      <c r="T22" s="532"/>
      <c r="U22" s="532"/>
      <c r="V22" s="532"/>
      <c r="W22" s="532"/>
      <c r="X22" s="532"/>
      <c r="Y22" s="532"/>
      <c r="Z22" s="532"/>
    </row>
    <row r="23" spans="1:26">
      <c r="A23" s="532"/>
      <c r="B23" s="509">
        <v>30</v>
      </c>
      <c r="C23" s="414">
        <v>9.9999999999999995E-7</v>
      </c>
      <c r="D23" s="414">
        <v>9.9999999999999995E-7</v>
      </c>
      <c r="E23" s="509">
        <v>9.9999999999999995E-7</v>
      </c>
      <c r="F23" s="414">
        <v>0.57999999999999996</v>
      </c>
      <c r="G23" s="532"/>
      <c r="H23" s="509">
        <v>30</v>
      </c>
      <c r="I23" s="414">
        <v>9.9999999999999995E-7</v>
      </c>
      <c r="J23" s="414">
        <v>9.9999999999999995E-7</v>
      </c>
      <c r="K23" s="509">
        <v>9.9999999999999995E-7</v>
      </c>
      <c r="L23" s="414">
        <v>1E-3</v>
      </c>
      <c r="M23" s="532"/>
      <c r="N23" s="509">
        <v>30</v>
      </c>
      <c r="O23" s="414">
        <v>9.9999999999999995E-7</v>
      </c>
      <c r="P23" s="414">
        <v>9.9999999999999995E-7</v>
      </c>
      <c r="Q23" s="509">
        <v>9.9999999999999995E-7</v>
      </c>
      <c r="R23" s="414">
        <v>1E-3</v>
      </c>
      <c r="S23" s="532"/>
      <c r="T23" s="532"/>
      <c r="U23" s="532"/>
      <c r="V23" s="532"/>
      <c r="W23" s="532"/>
      <c r="X23" s="532"/>
      <c r="Y23" s="532"/>
      <c r="Z23" s="532"/>
    </row>
    <row r="24" spans="1:26">
      <c r="A24" s="532"/>
      <c r="B24" s="509">
        <v>60</v>
      </c>
      <c r="C24" s="414">
        <v>9.9999999999999995E-7</v>
      </c>
      <c r="D24" s="414">
        <v>9.9999999999999995E-7</v>
      </c>
      <c r="E24" s="509">
        <v>9.9999999999999995E-7</v>
      </c>
      <c r="F24" s="414">
        <v>0.57999999999999996</v>
      </c>
      <c r="G24" s="532"/>
      <c r="H24" s="509">
        <v>60</v>
      </c>
      <c r="I24" s="414">
        <v>9.9999999999999995E-7</v>
      </c>
      <c r="J24" s="414">
        <v>9.9999999999999995E-7</v>
      </c>
      <c r="K24" s="509">
        <v>9.9999999999999995E-7</v>
      </c>
      <c r="L24" s="414">
        <v>1E-3</v>
      </c>
      <c r="M24" s="532"/>
      <c r="N24" s="509">
        <v>60</v>
      </c>
      <c r="O24" s="414">
        <v>9.9999999999999995E-7</v>
      </c>
      <c r="P24" s="414">
        <v>9.9999999999999995E-7</v>
      </c>
      <c r="Q24" s="509">
        <v>9.9999999999999995E-7</v>
      </c>
      <c r="R24" s="414">
        <v>1E-3</v>
      </c>
      <c r="S24" s="532"/>
      <c r="T24" s="532"/>
      <c r="U24" s="532"/>
      <c r="V24" s="532"/>
      <c r="W24" s="532"/>
      <c r="X24" s="532"/>
      <c r="Y24" s="532"/>
      <c r="Z24" s="532"/>
    </row>
    <row r="25" spans="1:26" ht="14.5">
      <c r="A25" s="532"/>
      <c r="B25" s="531">
        <v>90</v>
      </c>
      <c r="C25" s="414">
        <v>9.9999999999999995E-7</v>
      </c>
      <c r="D25" s="414">
        <v>9.9999999999999995E-7</v>
      </c>
      <c r="E25" s="509">
        <v>9.9999999999999995E-7</v>
      </c>
      <c r="F25" s="414">
        <v>0.57999999999999996</v>
      </c>
      <c r="G25" s="532"/>
      <c r="H25" s="531">
        <v>90</v>
      </c>
      <c r="I25" s="414">
        <v>9.9999999999999995E-7</v>
      </c>
      <c r="J25" s="414">
        <v>9.9999999999999995E-7</v>
      </c>
      <c r="K25" s="509">
        <v>9.9999999999999995E-7</v>
      </c>
      <c r="L25" s="414">
        <v>1E-3</v>
      </c>
      <c r="M25" s="532"/>
      <c r="N25" s="531">
        <v>90</v>
      </c>
      <c r="O25" s="414">
        <v>9.9999999999999995E-7</v>
      </c>
      <c r="P25" s="414">
        <v>9.9999999999999995E-7</v>
      </c>
      <c r="Q25" s="509">
        <v>9.9999999999999995E-7</v>
      </c>
      <c r="R25" s="414">
        <v>1E-3</v>
      </c>
      <c r="S25" s="532"/>
      <c r="T25" s="532"/>
      <c r="U25" s="532"/>
      <c r="V25" s="532"/>
      <c r="W25" s="532"/>
      <c r="X25" s="532"/>
      <c r="Y25" s="532"/>
      <c r="Z25" s="532"/>
    </row>
    <row r="26" spans="1:26" ht="14.5">
      <c r="A26" s="532"/>
      <c r="B26" s="531">
        <v>120</v>
      </c>
      <c r="C26" s="414">
        <v>9.9999999999999995E-7</v>
      </c>
      <c r="D26" s="414">
        <v>9.9999999999999995E-7</v>
      </c>
      <c r="E26" s="509">
        <v>9.9999999999999995E-7</v>
      </c>
      <c r="F26" s="414">
        <v>0.57999999999999996</v>
      </c>
      <c r="G26" s="532"/>
      <c r="H26" s="531">
        <v>120</v>
      </c>
      <c r="I26" s="414">
        <v>9.9999999999999995E-7</v>
      </c>
      <c r="J26" s="414">
        <v>9.9999999999999995E-7</v>
      </c>
      <c r="K26" s="509">
        <v>9.9999999999999995E-7</v>
      </c>
      <c r="L26" s="414">
        <v>1E-3</v>
      </c>
      <c r="M26" s="532"/>
      <c r="N26" s="531">
        <v>120</v>
      </c>
      <c r="O26" s="414">
        <v>9.9999999999999995E-7</v>
      </c>
      <c r="P26" s="414">
        <v>9.9999999999999995E-7</v>
      </c>
      <c r="Q26" s="509">
        <v>9.9999999999999995E-7</v>
      </c>
      <c r="R26" s="414">
        <v>1E-3</v>
      </c>
      <c r="S26" s="532"/>
      <c r="T26" s="532"/>
      <c r="U26" s="532"/>
      <c r="V26" s="532"/>
      <c r="W26" s="532"/>
      <c r="X26" s="532"/>
      <c r="Y26" s="532"/>
      <c r="Z26" s="532"/>
    </row>
    <row r="27" spans="1:26">
      <c r="A27" s="532"/>
      <c r="B27" s="509">
        <v>150</v>
      </c>
      <c r="C27" s="414">
        <v>9.9999999999999995E-7</v>
      </c>
      <c r="D27" s="414">
        <v>9.9999999999999995E-7</v>
      </c>
      <c r="E27" s="509">
        <v>9.9999999999999995E-7</v>
      </c>
      <c r="F27" s="414">
        <v>0.57999999999999996</v>
      </c>
      <c r="G27" s="532"/>
      <c r="H27" s="509">
        <v>150</v>
      </c>
      <c r="I27" s="414">
        <v>9.9999999999999995E-7</v>
      </c>
      <c r="J27" s="414">
        <v>9.9999999999999995E-7</v>
      </c>
      <c r="K27" s="509">
        <v>9.9999999999999995E-7</v>
      </c>
      <c r="L27" s="414">
        <v>1E-3</v>
      </c>
      <c r="M27" s="532"/>
      <c r="N27" s="509">
        <v>150</v>
      </c>
      <c r="O27" s="414">
        <v>9.9999999999999995E-7</v>
      </c>
      <c r="P27" s="414">
        <v>9.9999999999999995E-7</v>
      </c>
      <c r="Q27" s="509">
        <v>9.9999999999999995E-7</v>
      </c>
      <c r="R27" s="414">
        <v>1E-3</v>
      </c>
      <c r="S27" s="532"/>
      <c r="T27" s="532"/>
      <c r="U27" s="532"/>
      <c r="V27" s="532"/>
      <c r="W27" s="532"/>
      <c r="X27" s="532"/>
      <c r="Y27" s="532"/>
      <c r="Z27" s="532"/>
    </row>
    <row r="28" spans="1:26">
      <c r="A28" s="532"/>
      <c r="B28" s="509">
        <v>180</v>
      </c>
      <c r="C28" s="414">
        <v>9.9999999999999995E-7</v>
      </c>
      <c r="D28" s="414">
        <v>9.9999999999999995E-7</v>
      </c>
      <c r="E28" s="509">
        <v>9.9999999999999995E-7</v>
      </c>
      <c r="F28" s="414">
        <v>0.57999999999999996</v>
      </c>
      <c r="G28" s="532"/>
      <c r="H28" s="509">
        <v>180</v>
      </c>
      <c r="I28" s="414">
        <v>9.9999999999999995E-7</v>
      </c>
      <c r="J28" s="414">
        <v>9.9999999999999995E-7</v>
      </c>
      <c r="K28" s="509">
        <v>9.9999999999999995E-7</v>
      </c>
      <c r="L28" s="414">
        <v>1E-3</v>
      </c>
      <c r="M28" s="532"/>
      <c r="N28" s="509">
        <v>180</v>
      </c>
      <c r="O28" s="414">
        <v>9.9999999999999995E-7</v>
      </c>
      <c r="P28" s="414">
        <v>9.9999999999999995E-7</v>
      </c>
      <c r="Q28" s="509">
        <v>9.9999999999999995E-7</v>
      </c>
      <c r="R28" s="414">
        <v>1E-3</v>
      </c>
      <c r="S28" s="532"/>
      <c r="T28" s="532"/>
      <c r="U28" s="532"/>
      <c r="V28" s="532"/>
      <c r="W28" s="532"/>
      <c r="X28" s="532"/>
      <c r="Y28" s="532"/>
      <c r="Z28" s="532"/>
    </row>
    <row r="29" spans="1:26">
      <c r="A29" s="532"/>
      <c r="B29" s="509">
        <v>210</v>
      </c>
      <c r="C29" s="414">
        <v>9.9999999999999995E-7</v>
      </c>
      <c r="D29" s="414">
        <v>9.9999999999999995E-7</v>
      </c>
      <c r="E29" s="509">
        <v>9.9999999999999995E-7</v>
      </c>
      <c r="F29" s="414">
        <v>0.57999999999999996</v>
      </c>
      <c r="G29" s="532"/>
      <c r="H29" s="509">
        <v>210</v>
      </c>
      <c r="I29" s="414">
        <v>9.9999999999999995E-7</v>
      </c>
      <c r="J29" s="414">
        <v>9.9999999999999995E-7</v>
      </c>
      <c r="K29" s="509">
        <v>9.9999999999999995E-7</v>
      </c>
      <c r="L29" s="414">
        <v>1E-3</v>
      </c>
      <c r="M29" s="532"/>
      <c r="N29" s="509">
        <v>210</v>
      </c>
      <c r="O29" s="414">
        <v>9.9999999999999995E-7</v>
      </c>
      <c r="P29" s="414">
        <v>9.9999999999999995E-7</v>
      </c>
      <c r="Q29" s="509">
        <v>9.9999999999999995E-7</v>
      </c>
      <c r="R29" s="414">
        <v>1E-3</v>
      </c>
      <c r="S29" s="532"/>
      <c r="T29" s="532"/>
      <c r="U29" s="532"/>
      <c r="V29" s="532"/>
      <c r="W29" s="532"/>
      <c r="X29" s="532"/>
      <c r="Y29" s="532"/>
      <c r="Z29" s="532"/>
    </row>
    <row r="30" spans="1:26">
      <c r="A30" s="532"/>
      <c r="B30" s="509">
        <v>240</v>
      </c>
      <c r="C30" s="414">
        <v>9.9999999999999995E-7</v>
      </c>
      <c r="D30" s="414">
        <v>9.9999999999999995E-7</v>
      </c>
      <c r="E30" s="509">
        <v>9.9999999999999995E-7</v>
      </c>
      <c r="F30" s="414">
        <v>0.57999999999999996</v>
      </c>
      <c r="G30" s="532"/>
      <c r="H30" s="509">
        <v>240</v>
      </c>
      <c r="I30" s="414">
        <v>9.9999999999999995E-7</v>
      </c>
      <c r="J30" s="414">
        <v>9.9999999999999995E-7</v>
      </c>
      <c r="K30" s="509">
        <v>9.9999999999999995E-7</v>
      </c>
      <c r="L30" s="414">
        <v>1E-3</v>
      </c>
      <c r="M30" s="532"/>
      <c r="N30" s="509">
        <v>240</v>
      </c>
      <c r="O30" s="414">
        <v>9.9999999999999995E-7</v>
      </c>
      <c r="P30" s="414">
        <v>9.9999999999999995E-7</v>
      </c>
      <c r="Q30" s="509">
        <v>9.9999999999999995E-7</v>
      </c>
      <c r="R30" s="414">
        <v>1E-3</v>
      </c>
      <c r="S30" s="532"/>
      <c r="T30" s="532"/>
      <c r="U30" s="532"/>
      <c r="V30" s="532"/>
      <c r="W30" s="532"/>
      <c r="X30" s="532"/>
      <c r="Y30" s="532"/>
      <c r="Z30" s="532"/>
    </row>
    <row r="31" spans="1:26">
      <c r="A31" s="532"/>
      <c r="B31" s="532"/>
      <c r="C31" s="532"/>
      <c r="D31" s="532"/>
      <c r="E31" s="532"/>
      <c r="F31" s="532"/>
      <c r="G31" s="532"/>
      <c r="H31" s="532"/>
      <c r="I31" s="532"/>
      <c r="J31" s="532"/>
      <c r="K31" s="532"/>
      <c r="L31" s="532"/>
      <c r="M31" s="532"/>
      <c r="N31" s="532"/>
      <c r="O31" s="532"/>
      <c r="P31" s="532"/>
      <c r="Q31" s="532"/>
      <c r="R31" s="532"/>
      <c r="S31" s="532"/>
      <c r="T31" s="532"/>
      <c r="U31" s="532"/>
      <c r="V31" s="532"/>
      <c r="W31" s="532"/>
      <c r="X31" s="532"/>
      <c r="Y31" s="532"/>
      <c r="Z31" s="532"/>
    </row>
    <row r="32" spans="1:26" ht="13">
      <c r="A32" s="532"/>
      <c r="B32" s="1104" t="s">
        <v>298</v>
      </c>
      <c r="C32" s="1105"/>
      <c r="D32" s="1105"/>
      <c r="E32" s="1105"/>
      <c r="F32" s="1106"/>
      <c r="G32" s="532"/>
      <c r="H32" s="1104" t="s">
        <v>271</v>
      </c>
      <c r="I32" s="1105"/>
      <c r="J32" s="1105"/>
      <c r="K32" s="1105"/>
      <c r="L32" s="1106"/>
      <c r="M32" s="532"/>
      <c r="N32" s="1104" t="s">
        <v>271</v>
      </c>
      <c r="O32" s="1105"/>
      <c r="P32" s="1105"/>
      <c r="Q32" s="1105"/>
      <c r="R32" s="1106"/>
      <c r="S32" s="532"/>
      <c r="T32" s="532"/>
      <c r="U32" s="532"/>
      <c r="V32" s="532"/>
      <c r="W32" s="532"/>
      <c r="X32" s="532"/>
      <c r="Y32" s="532"/>
      <c r="Z32" s="532"/>
    </row>
    <row r="33" spans="1:26" ht="13">
      <c r="A33" s="532"/>
      <c r="B33" s="1107" t="s">
        <v>267</v>
      </c>
      <c r="C33" s="1107"/>
      <c r="D33" s="1107"/>
      <c r="E33" s="1107"/>
      <c r="F33" s="1107"/>
      <c r="G33" s="532"/>
      <c r="H33" s="1107" t="s">
        <v>267</v>
      </c>
      <c r="I33" s="1107"/>
      <c r="J33" s="1107"/>
      <c r="K33" s="1107"/>
      <c r="L33" s="1107"/>
      <c r="M33" s="532"/>
      <c r="N33" s="1107" t="s">
        <v>267</v>
      </c>
      <c r="O33" s="1107"/>
      <c r="P33" s="1107"/>
      <c r="Q33" s="1107"/>
      <c r="R33" s="1107"/>
      <c r="S33" s="532"/>
      <c r="T33" s="532"/>
      <c r="U33" s="532"/>
      <c r="V33" s="532"/>
      <c r="W33" s="532"/>
      <c r="X33" s="532"/>
      <c r="Y33" s="532"/>
      <c r="Z33" s="532"/>
    </row>
    <row r="34" spans="1:26" ht="13">
      <c r="A34" s="532"/>
      <c r="B34" s="1108" t="s">
        <v>268</v>
      </c>
      <c r="C34" s="1109"/>
      <c r="D34" s="1110"/>
      <c r="E34" s="1111" t="s">
        <v>217</v>
      </c>
      <c r="F34" s="1111" t="s">
        <v>90</v>
      </c>
      <c r="G34" s="532"/>
      <c r="H34" s="1108" t="s">
        <v>268</v>
      </c>
      <c r="I34" s="1109"/>
      <c r="J34" s="1110"/>
      <c r="K34" s="1111" t="s">
        <v>217</v>
      </c>
      <c r="L34" s="1111" t="s">
        <v>90</v>
      </c>
      <c r="M34" s="532"/>
      <c r="N34" s="1108" t="s">
        <v>268</v>
      </c>
      <c r="O34" s="1109"/>
      <c r="P34" s="1110"/>
      <c r="Q34" s="1111" t="s">
        <v>217</v>
      </c>
      <c r="R34" s="1111" t="s">
        <v>90</v>
      </c>
      <c r="S34" s="532"/>
      <c r="T34" s="532"/>
      <c r="U34" s="532"/>
      <c r="V34" s="532"/>
      <c r="W34" s="532"/>
      <c r="X34" s="532"/>
      <c r="Y34" s="532"/>
      <c r="Z34" s="532"/>
    </row>
    <row r="35" spans="1:26">
      <c r="A35" s="532"/>
      <c r="B35" s="509" t="s">
        <v>63</v>
      </c>
      <c r="C35" s="509">
        <v>2017</v>
      </c>
      <c r="D35" s="509">
        <v>2018</v>
      </c>
      <c r="E35" s="1112"/>
      <c r="F35" s="1112"/>
      <c r="G35" s="532"/>
      <c r="H35" s="509" t="s">
        <v>63</v>
      </c>
      <c r="I35" s="509">
        <v>2017</v>
      </c>
      <c r="J35" s="509">
        <v>2018</v>
      </c>
      <c r="K35" s="1112"/>
      <c r="L35" s="1112"/>
      <c r="M35" s="532"/>
      <c r="N35" s="509" t="s">
        <v>63</v>
      </c>
      <c r="O35" s="509">
        <v>2017</v>
      </c>
      <c r="P35" s="509">
        <v>2018</v>
      </c>
      <c r="Q35" s="1112"/>
      <c r="R35" s="1112"/>
      <c r="S35" s="532"/>
      <c r="T35" s="532"/>
      <c r="U35" s="532"/>
      <c r="V35" s="532"/>
      <c r="W35" s="532"/>
      <c r="X35" s="532"/>
      <c r="Y35" s="532"/>
      <c r="Z35" s="532"/>
    </row>
    <row r="36" spans="1:26">
      <c r="A36" s="532"/>
      <c r="B36" s="509">
        <v>9.9999999999999995E-7</v>
      </c>
      <c r="C36" s="414">
        <v>9.9999999999999995E-7</v>
      </c>
      <c r="D36" s="414">
        <v>9.9999999999999995E-7</v>
      </c>
      <c r="E36" s="509">
        <v>9.9999999999999995E-7</v>
      </c>
      <c r="F36" s="414">
        <v>1E-3</v>
      </c>
      <c r="G36" s="532"/>
      <c r="H36" s="509">
        <v>9.9999999999999995E-7</v>
      </c>
      <c r="I36" s="414">
        <v>9.9999999999999995E-7</v>
      </c>
      <c r="J36" s="414">
        <v>9.9999999999999995E-7</v>
      </c>
      <c r="K36" s="509">
        <v>9.9999999999999995E-7</v>
      </c>
      <c r="L36" s="414">
        <v>1E-3</v>
      </c>
      <c r="M36" s="532"/>
      <c r="N36" s="509">
        <v>9.9999999999999995E-7</v>
      </c>
      <c r="O36" s="414">
        <v>9.9999999999999995E-7</v>
      </c>
      <c r="P36" s="414">
        <v>9.9999999999999995E-7</v>
      </c>
      <c r="Q36" s="509">
        <v>9.9999999999999995E-7</v>
      </c>
      <c r="R36" s="414">
        <v>1E-3</v>
      </c>
      <c r="S36" s="532"/>
      <c r="T36" s="532"/>
      <c r="U36" s="532"/>
      <c r="V36" s="532"/>
      <c r="W36" s="532"/>
      <c r="X36" s="532"/>
      <c r="Y36" s="532"/>
      <c r="Z36" s="532"/>
    </row>
    <row r="37" spans="1:26">
      <c r="A37" s="532"/>
      <c r="B37" s="509">
        <v>30</v>
      </c>
      <c r="C37" s="414">
        <v>9.9999999999999995E-7</v>
      </c>
      <c r="D37" s="414">
        <v>9.9999999999999995E-7</v>
      </c>
      <c r="E37" s="509">
        <v>9.9999999999999995E-7</v>
      </c>
      <c r="F37" s="414">
        <v>1E-3</v>
      </c>
      <c r="G37" s="532"/>
      <c r="H37" s="509">
        <v>30</v>
      </c>
      <c r="I37" s="414">
        <v>9.9999999999999995E-7</v>
      </c>
      <c r="J37" s="414">
        <v>9.9999999999999995E-7</v>
      </c>
      <c r="K37" s="509">
        <v>9.9999999999999995E-7</v>
      </c>
      <c r="L37" s="414">
        <v>1E-3</v>
      </c>
      <c r="M37" s="532"/>
      <c r="N37" s="509">
        <v>30</v>
      </c>
      <c r="O37" s="414">
        <v>9.9999999999999995E-7</v>
      </c>
      <c r="P37" s="414">
        <v>9.9999999999999995E-7</v>
      </c>
      <c r="Q37" s="509">
        <v>9.9999999999999995E-7</v>
      </c>
      <c r="R37" s="414">
        <v>1E-3</v>
      </c>
      <c r="S37" s="532"/>
      <c r="T37" s="532"/>
      <c r="U37" s="532"/>
      <c r="V37" s="532"/>
      <c r="W37" s="532"/>
      <c r="X37" s="532"/>
      <c r="Y37" s="532"/>
      <c r="Z37" s="532"/>
    </row>
    <row r="38" spans="1:26">
      <c r="A38" s="532"/>
      <c r="B38" s="509">
        <v>60</v>
      </c>
      <c r="C38" s="414">
        <v>9.9999999999999995E-7</v>
      </c>
      <c r="D38" s="414">
        <v>9.9999999999999995E-7</v>
      </c>
      <c r="E38" s="509">
        <v>9.9999999999999995E-7</v>
      </c>
      <c r="F38" s="414">
        <v>1E-3</v>
      </c>
      <c r="G38" s="532"/>
      <c r="H38" s="509">
        <v>60</v>
      </c>
      <c r="I38" s="414">
        <v>9.9999999999999995E-7</v>
      </c>
      <c r="J38" s="414">
        <v>9.9999999999999995E-7</v>
      </c>
      <c r="K38" s="509">
        <v>9.9999999999999995E-7</v>
      </c>
      <c r="L38" s="414">
        <v>1E-3</v>
      </c>
      <c r="M38" s="532"/>
      <c r="N38" s="509">
        <v>60</v>
      </c>
      <c r="O38" s="414">
        <v>9.9999999999999995E-7</v>
      </c>
      <c r="P38" s="414">
        <v>9.9999999999999995E-7</v>
      </c>
      <c r="Q38" s="509">
        <v>9.9999999999999995E-7</v>
      </c>
      <c r="R38" s="414">
        <v>1E-3</v>
      </c>
      <c r="S38" s="532"/>
      <c r="T38" s="532"/>
      <c r="U38" s="532"/>
      <c r="V38" s="532"/>
      <c r="W38" s="532"/>
      <c r="X38" s="532"/>
      <c r="Y38" s="532"/>
      <c r="Z38" s="532"/>
    </row>
    <row r="39" spans="1:26" ht="14.5">
      <c r="A39" s="532"/>
      <c r="B39" s="531">
        <v>90</v>
      </c>
      <c r="C39" s="414">
        <v>9.9999999999999995E-7</v>
      </c>
      <c r="D39" s="414">
        <v>9.9999999999999995E-7</v>
      </c>
      <c r="E39" s="509">
        <v>9.9999999999999995E-7</v>
      </c>
      <c r="F39" s="414">
        <v>1E-3</v>
      </c>
      <c r="G39" s="532"/>
      <c r="H39" s="531">
        <v>90</v>
      </c>
      <c r="I39" s="414">
        <v>9.9999999999999995E-7</v>
      </c>
      <c r="J39" s="414">
        <v>9.9999999999999995E-7</v>
      </c>
      <c r="K39" s="509">
        <v>9.9999999999999995E-7</v>
      </c>
      <c r="L39" s="414">
        <v>1E-3</v>
      </c>
      <c r="M39" s="532"/>
      <c r="N39" s="531">
        <v>90</v>
      </c>
      <c r="O39" s="414">
        <v>9.9999999999999995E-7</v>
      </c>
      <c r="P39" s="414">
        <v>9.9999999999999995E-7</v>
      </c>
      <c r="Q39" s="509">
        <v>9.9999999999999995E-7</v>
      </c>
      <c r="R39" s="414">
        <v>1E-3</v>
      </c>
      <c r="S39" s="532"/>
      <c r="T39" s="532"/>
      <c r="U39" s="532"/>
      <c r="V39" s="532"/>
      <c r="W39" s="532"/>
      <c r="X39" s="532"/>
      <c r="Y39" s="532"/>
      <c r="Z39" s="532"/>
    </row>
    <row r="40" spans="1:26" ht="14.5">
      <c r="A40" s="532"/>
      <c r="B40" s="531">
        <v>120</v>
      </c>
      <c r="C40" s="414">
        <v>9.9999999999999995E-7</v>
      </c>
      <c r="D40" s="414">
        <v>9.9999999999999995E-7</v>
      </c>
      <c r="E40" s="509">
        <v>9.9999999999999995E-7</v>
      </c>
      <c r="F40" s="414">
        <v>1E-3</v>
      </c>
      <c r="G40" s="532"/>
      <c r="H40" s="531">
        <v>120</v>
      </c>
      <c r="I40" s="414">
        <v>9.9999999999999995E-7</v>
      </c>
      <c r="J40" s="414">
        <v>9.9999999999999995E-7</v>
      </c>
      <c r="K40" s="509">
        <v>9.9999999999999995E-7</v>
      </c>
      <c r="L40" s="414">
        <v>1E-3</v>
      </c>
      <c r="M40" s="532"/>
      <c r="N40" s="531">
        <v>120</v>
      </c>
      <c r="O40" s="414">
        <v>9.9999999999999995E-7</v>
      </c>
      <c r="P40" s="414">
        <v>9.9999999999999995E-7</v>
      </c>
      <c r="Q40" s="509">
        <v>9.9999999999999995E-7</v>
      </c>
      <c r="R40" s="414">
        <v>1E-3</v>
      </c>
      <c r="S40" s="532"/>
      <c r="T40" s="532"/>
      <c r="U40" s="532"/>
      <c r="V40" s="532"/>
      <c r="W40" s="532"/>
      <c r="X40" s="532"/>
      <c r="Y40" s="532"/>
      <c r="Z40" s="532"/>
    </row>
    <row r="41" spans="1:26">
      <c r="A41" s="532"/>
      <c r="B41" s="509">
        <v>150</v>
      </c>
      <c r="C41" s="414">
        <v>9.9999999999999995E-7</v>
      </c>
      <c r="D41" s="414">
        <v>9.9999999999999995E-7</v>
      </c>
      <c r="E41" s="509">
        <v>9.9999999999999995E-7</v>
      </c>
      <c r="F41" s="414">
        <v>1E-3</v>
      </c>
      <c r="G41" s="532"/>
      <c r="H41" s="509">
        <v>150</v>
      </c>
      <c r="I41" s="414">
        <v>9.9999999999999995E-7</v>
      </c>
      <c r="J41" s="414">
        <v>9.9999999999999995E-7</v>
      </c>
      <c r="K41" s="509">
        <v>9.9999999999999995E-7</v>
      </c>
      <c r="L41" s="414">
        <v>1E-3</v>
      </c>
      <c r="M41" s="532"/>
      <c r="N41" s="509">
        <v>150</v>
      </c>
      <c r="O41" s="414">
        <v>9.9999999999999995E-7</v>
      </c>
      <c r="P41" s="414">
        <v>9.9999999999999995E-7</v>
      </c>
      <c r="Q41" s="509">
        <v>9.9999999999999995E-7</v>
      </c>
      <c r="R41" s="414">
        <v>1E-3</v>
      </c>
      <c r="S41" s="532"/>
      <c r="T41" s="532"/>
      <c r="U41" s="532"/>
      <c r="V41" s="532"/>
      <c r="W41" s="532"/>
      <c r="X41" s="532"/>
      <c r="Y41" s="532"/>
      <c r="Z41" s="532"/>
    </row>
    <row r="42" spans="1:26">
      <c r="A42" s="532"/>
      <c r="B42" s="509">
        <v>180</v>
      </c>
      <c r="C42" s="414">
        <v>9.9999999999999995E-7</v>
      </c>
      <c r="D42" s="414">
        <v>9.9999999999999995E-7</v>
      </c>
      <c r="E42" s="509">
        <v>9.9999999999999995E-7</v>
      </c>
      <c r="F42" s="414">
        <v>1E-3</v>
      </c>
      <c r="G42" s="532"/>
      <c r="H42" s="509">
        <v>180</v>
      </c>
      <c r="I42" s="414">
        <v>9.9999999999999995E-7</v>
      </c>
      <c r="J42" s="414">
        <v>9.9999999999999995E-7</v>
      </c>
      <c r="K42" s="509">
        <v>9.9999999999999995E-7</v>
      </c>
      <c r="L42" s="414">
        <v>1E-3</v>
      </c>
      <c r="M42" s="532"/>
      <c r="N42" s="509">
        <v>180</v>
      </c>
      <c r="O42" s="414">
        <v>9.9999999999999995E-7</v>
      </c>
      <c r="P42" s="414">
        <v>9.9999999999999995E-7</v>
      </c>
      <c r="Q42" s="509">
        <v>9.9999999999999995E-7</v>
      </c>
      <c r="R42" s="414">
        <v>1E-3</v>
      </c>
      <c r="S42" s="532"/>
      <c r="T42" s="532"/>
      <c r="U42" s="532"/>
      <c r="V42" s="532"/>
      <c r="W42" s="532"/>
      <c r="X42" s="532"/>
      <c r="Y42" s="532"/>
      <c r="Z42" s="532"/>
    </row>
    <row r="43" spans="1:26">
      <c r="A43" s="532"/>
      <c r="B43" s="509">
        <v>210</v>
      </c>
      <c r="C43" s="414">
        <v>9.9999999999999995E-7</v>
      </c>
      <c r="D43" s="414">
        <v>9.9999999999999995E-7</v>
      </c>
      <c r="E43" s="509">
        <v>9.9999999999999995E-7</v>
      </c>
      <c r="F43" s="414">
        <v>1E-3</v>
      </c>
      <c r="G43" s="532"/>
      <c r="H43" s="509">
        <v>210</v>
      </c>
      <c r="I43" s="414">
        <v>9.9999999999999995E-7</v>
      </c>
      <c r="J43" s="414">
        <v>9.9999999999999995E-7</v>
      </c>
      <c r="K43" s="509">
        <v>9.9999999999999995E-7</v>
      </c>
      <c r="L43" s="414">
        <v>1E-3</v>
      </c>
      <c r="M43" s="532"/>
      <c r="N43" s="509">
        <v>210</v>
      </c>
      <c r="O43" s="414">
        <v>9.9999999999999995E-7</v>
      </c>
      <c r="P43" s="414">
        <v>9.9999999999999995E-7</v>
      </c>
      <c r="Q43" s="509">
        <v>9.9999999999999995E-7</v>
      </c>
      <c r="R43" s="414">
        <v>1E-3</v>
      </c>
      <c r="S43" s="532"/>
      <c r="T43" s="532"/>
      <c r="U43" s="532"/>
      <c r="V43" s="532"/>
      <c r="W43" s="532"/>
      <c r="X43" s="532"/>
      <c r="Y43" s="532"/>
      <c r="Z43" s="532"/>
    </row>
    <row r="44" spans="1:26">
      <c r="A44" s="532"/>
      <c r="B44" s="509">
        <v>240</v>
      </c>
      <c r="C44" s="414">
        <v>9.9999999999999995E-7</v>
      </c>
      <c r="D44" s="414">
        <v>9.9999999999999995E-7</v>
      </c>
      <c r="E44" s="509">
        <v>9.9999999999999995E-7</v>
      </c>
      <c r="F44" s="414">
        <v>1E-3</v>
      </c>
      <c r="G44" s="532"/>
      <c r="H44" s="509">
        <v>240</v>
      </c>
      <c r="I44" s="414">
        <v>9.9999999999999995E-7</v>
      </c>
      <c r="J44" s="414">
        <v>9.9999999999999995E-7</v>
      </c>
      <c r="K44" s="509">
        <v>9.9999999999999995E-7</v>
      </c>
      <c r="L44" s="414">
        <v>1E-3</v>
      </c>
      <c r="M44" s="532"/>
      <c r="N44" s="509">
        <v>240</v>
      </c>
      <c r="O44" s="414">
        <v>9.9999999999999995E-7</v>
      </c>
      <c r="P44" s="414">
        <v>9.9999999999999995E-7</v>
      </c>
      <c r="Q44" s="509">
        <v>9.9999999999999995E-7</v>
      </c>
      <c r="R44" s="414">
        <v>1E-3</v>
      </c>
      <c r="S44" s="532"/>
      <c r="T44" s="532"/>
      <c r="U44" s="532"/>
      <c r="V44" s="532"/>
      <c r="W44" s="532"/>
      <c r="X44" s="532"/>
      <c r="Y44" s="532"/>
      <c r="Z44" s="532"/>
    </row>
    <row r="47" spans="1:26" ht="14">
      <c r="A47" s="1113">
        <v>30</v>
      </c>
      <c r="B47" s="1116" t="s">
        <v>23</v>
      </c>
      <c r="C47" s="1118" t="s">
        <v>272</v>
      </c>
      <c r="D47" s="1118"/>
      <c r="E47" s="1118"/>
      <c r="F47" s="1118"/>
      <c r="G47" s="1119"/>
    </row>
    <row r="48" spans="1:26" ht="13">
      <c r="A48" s="1114"/>
      <c r="B48" s="1117"/>
      <c r="C48" s="1120" t="str">
        <f>B6</f>
        <v>Setting BPM</v>
      </c>
      <c r="D48" s="1120"/>
      <c r="E48" s="1120"/>
      <c r="F48" s="1121" t="s">
        <v>217</v>
      </c>
      <c r="G48" s="1126" t="s">
        <v>90</v>
      </c>
    </row>
    <row r="49" spans="1:7" ht="14">
      <c r="A49" s="1114"/>
      <c r="B49" s="1117"/>
      <c r="C49" s="496" t="s">
        <v>63</v>
      </c>
      <c r="D49" s="497">
        <v>2017</v>
      </c>
      <c r="E49" s="497">
        <v>2018</v>
      </c>
      <c r="F49" s="1122"/>
      <c r="G49" s="1127"/>
    </row>
    <row r="50" spans="1:7" ht="14">
      <c r="A50" s="1114"/>
      <c r="B50" s="498"/>
      <c r="C50" s="498"/>
      <c r="D50" s="498"/>
      <c r="E50" s="498"/>
      <c r="F50" s="499"/>
      <c r="G50" s="500"/>
    </row>
    <row r="51" spans="1:7" ht="14">
      <c r="A51" s="1114"/>
      <c r="B51" s="498"/>
      <c r="C51" s="501"/>
      <c r="D51" s="501"/>
      <c r="E51" s="501"/>
      <c r="F51" s="502"/>
      <c r="G51" s="503"/>
    </row>
    <row r="52" spans="1:7" ht="13">
      <c r="A52" s="1114"/>
      <c r="B52" s="504"/>
      <c r="C52" s="501"/>
      <c r="D52" s="501"/>
      <c r="E52" s="501"/>
      <c r="F52" s="502"/>
      <c r="G52" s="503"/>
    </row>
    <row r="53" spans="1:7" ht="13">
      <c r="A53" s="1114"/>
      <c r="B53" s="504"/>
      <c r="C53" s="501"/>
      <c r="D53" s="501"/>
      <c r="E53" s="501"/>
      <c r="F53" s="502"/>
      <c r="G53" s="503"/>
    </row>
    <row r="54" spans="1:7" ht="13">
      <c r="A54" s="1114"/>
      <c r="B54" s="504"/>
      <c r="C54" s="501"/>
      <c r="D54" s="501"/>
      <c r="E54" s="501"/>
      <c r="F54" s="502"/>
      <c r="G54" s="503"/>
    </row>
    <row r="55" spans="1:7" ht="14">
      <c r="A55" s="1114"/>
      <c r="B55" s="504">
        <v>6</v>
      </c>
      <c r="C55" s="501">
        <v>30</v>
      </c>
      <c r="D55" s="501">
        <f>$C$9</f>
        <v>9.9999999999999995E-7</v>
      </c>
      <c r="E55" s="498">
        <f>$D$9</f>
        <v>9.9999999999999995E-7</v>
      </c>
      <c r="F55" s="502">
        <f>$E$9</f>
        <v>9.9999999999999995E-7</v>
      </c>
      <c r="G55" s="503">
        <f>$F$9</f>
        <v>0.55000000000000004</v>
      </c>
    </row>
    <row r="56" spans="1:7" ht="13">
      <c r="A56" s="1114"/>
      <c r="B56" s="504">
        <v>7</v>
      </c>
      <c r="C56" s="501">
        <v>30</v>
      </c>
      <c r="D56" s="501">
        <f>$I$9</f>
        <v>9.9999999999999995E-7</v>
      </c>
      <c r="E56" s="501">
        <f>$J$9</f>
        <v>9.9999999999999995E-7</v>
      </c>
      <c r="F56" s="502">
        <f>$K$9</f>
        <v>9.9999999999999995E-7</v>
      </c>
      <c r="G56" s="503">
        <f>$L$9</f>
        <v>0.12</v>
      </c>
    </row>
    <row r="57" spans="1:7" ht="13">
      <c r="A57" s="1114"/>
      <c r="B57" s="504">
        <v>8</v>
      </c>
      <c r="C57" s="501">
        <v>30</v>
      </c>
      <c r="D57" s="501">
        <f>$O$9</f>
        <v>9.9999999999999995E-7</v>
      </c>
      <c r="E57" s="501">
        <f>$P$9</f>
        <v>9.9999999999999995E-7</v>
      </c>
      <c r="F57" s="502">
        <f>$Q$9</f>
        <v>9.9999999999999995E-7</v>
      </c>
      <c r="G57" s="503">
        <f>$R$9</f>
        <v>0.12</v>
      </c>
    </row>
    <row r="58" spans="1:7" ht="13">
      <c r="A58" s="1114"/>
      <c r="B58" s="504">
        <v>9</v>
      </c>
      <c r="C58" s="501">
        <v>30</v>
      </c>
      <c r="D58" s="501">
        <f>$C$23</f>
        <v>9.9999999999999995E-7</v>
      </c>
      <c r="E58" s="501">
        <f>$D$23</f>
        <v>9.9999999999999995E-7</v>
      </c>
      <c r="F58" s="502">
        <f>$E$23</f>
        <v>9.9999999999999995E-7</v>
      </c>
      <c r="G58" s="503">
        <f>$F$23</f>
        <v>0.57999999999999996</v>
      </c>
    </row>
    <row r="59" spans="1:7" ht="14">
      <c r="A59" s="1114"/>
      <c r="B59" s="505">
        <v>10</v>
      </c>
      <c r="C59" s="505">
        <v>30</v>
      </c>
      <c r="D59" s="506">
        <f>$I$23</f>
        <v>9.9999999999999995E-7</v>
      </c>
      <c r="E59" s="506">
        <f>$J$23</f>
        <v>9.9999999999999995E-7</v>
      </c>
      <c r="F59" s="507">
        <f>$K$23</f>
        <v>9.9999999999999995E-7</v>
      </c>
      <c r="G59" s="508">
        <f>$L$23</f>
        <v>1E-3</v>
      </c>
    </row>
    <row r="60" spans="1:7" ht="14">
      <c r="A60" s="1114"/>
      <c r="B60" s="498">
        <v>11</v>
      </c>
      <c r="C60" s="505">
        <v>30</v>
      </c>
      <c r="D60" s="501">
        <f>$O$23</f>
        <v>9.9999999999999995E-7</v>
      </c>
      <c r="E60" s="501">
        <f>$P$23</f>
        <v>9.9999999999999995E-7</v>
      </c>
      <c r="F60" s="502">
        <f>$Q$23</f>
        <v>9.9999999999999995E-7</v>
      </c>
      <c r="G60" s="501">
        <f>$R$23</f>
        <v>1E-3</v>
      </c>
    </row>
    <row r="61" spans="1:7" ht="14.5" thickBot="1">
      <c r="A61" s="1115"/>
      <c r="B61" s="509">
        <v>12</v>
      </c>
      <c r="C61" s="505">
        <v>30</v>
      </c>
      <c r="D61" s="510">
        <f>$C$37</f>
        <v>9.9999999999999995E-7</v>
      </c>
      <c r="E61" s="510">
        <f>$D$37</f>
        <v>9.9999999999999995E-7</v>
      </c>
      <c r="F61" s="510">
        <f>$E$37</f>
        <v>9.9999999999999995E-7</v>
      </c>
      <c r="G61" s="510">
        <f>$F$37</f>
        <v>1E-3</v>
      </c>
    </row>
    <row r="62" spans="1:7" ht="15" customHeight="1">
      <c r="A62" s="1113">
        <v>60</v>
      </c>
      <c r="B62" s="511"/>
      <c r="C62" s="512"/>
      <c r="D62" s="512"/>
      <c r="E62" s="513"/>
      <c r="F62" s="514"/>
      <c r="G62" s="515"/>
    </row>
    <row r="63" spans="1:7" ht="12.75" customHeight="1">
      <c r="A63" s="1114"/>
      <c r="B63" s="504"/>
      <c r="C63" s="504"/>
      <c r="D63" s="504"/>
      <c r="E63" s="516"/>
      <c r="F63" s="517"/>
      <c r="G63" s="518"/>
    </row>
    <row r="64" spans="1:7" ht="12.75" customHeight="1">
      <c r="A64" s="1114"/>
      <c r="B64" s="504"/>
      <c r="C64" s="504"/>
      <c r="D64" s="504"/>
      <c r="E64" s="516"/>
      <c r="F64" s="517"/>
      <c r="G64" s="518"/>
    </row>
    <row r="65" spans="1:7" ht="12.75" customHeight="1">
      <c r="A65" s="1114"/>
      <c r="B65" s="504"/>
      <c r="C65" s="504"/>
      <c r="D65" s="504"/>
      <c r="E65" s="516"/>
      <c r="F65" s="517"/>
      <c r="G65" s="518"/>
    </row>
    <row r="66" spans="1:7" ht="12.75" customHeight="1">
      <c r="A66" s="1114"/>
      <c r="B66" s="504"/>
      <c r="C66" s="504"/>
      <c r="D66" s="504"/>
      <c r="E66" s="504"/>
      <c r="F66" s="517"/>
      <c r="G66" s="518"/>
    </row>
    <row r="67" spans="1:7" ht="12.75" customHeight="1">
      <c r="A67" s="1114"/>
      <c r="B67" s="504">
        <v>6</v>
      </c>
      <c r="C67" s="504">
        <v>60</v>
      </c>
      <c r="D67" s="512">
        <f>$C$10</f>
        <v>9.9999999999999995E-7</v>
      </c>
      <c r="E67" s="504">
        <f>$D$10</f>
        <v>9.9999999999999995E-7</v>
      </c>
      <c r="F67" s="514">
        <f>$E$10</f>
        <v>9.9999999999999995E-7</v>
      </c>
      <c r="G67" s="515">
        <f>$F$10</f>
        <v>0.55000000000000004</v>
      </c>
    </row>
    <row r="68" spans="1:7" ht="12.75" customHeight="1">
      <c r="A68" s="1114"/>
      <c r="B68" s="504">
        <v>7</v>
      </c>
      <c r="C68" s="504">
        <v>60</v>
      </c>
      <c r="D68" s="504">
        <f>$I$10</f>
        <v>9.9999999999999995E-7</v>
      </c>
      <c r="E68" s="504">
        <f>$J$10</f>
        <v>9.9999999999999995E-7</v>
      </c>
      <c r="F68" s="517">
        <f>$K$10</f>
        <v>9.9999999999999995E-7</v>
      </c>
      <c r="G68" s="518">
        <f>$L$10</f>
        <v>0.12</v>
      </c>
    </row>
    <row r="69" spans="1:7" ht="12.75" customHeight="1">
      <c r="A69" s="1114"/>
      <c r="B69" s="504">
        <v>8</v>
      </c>
      <c r="C69" s="504">
        <v>60</v>
      </c>
      <c r="D69" s="504">
        <f>$O$10</f>
        <v>9.9999999999999995E-7</v>
      </c>
      <c r="E69" s="504">
        <f>$P$10</f>
        <v>9.9999999999999995E-7</v>
      </c>
      <c r="F69" s="517">
        <f>$Q$10</f>
        <v>9.9999999999999995E-7</v>
      </c>
      <c r="G69" s="518">
        <f>$R$10</f>
        <v>0.12</v>
      </c>
    </row>
    <row r="70" spans="1:7" ht="15" customHeight="1">
      <c r="A70" s="1114"/>
      <c r="B70" s="498">
        <v>9</v>
      </c>
      <c r="C70" s="498">
        <v>60</v>
      </c>
      <c r="D70" s="504">
        <f>$C$24</f>
        <v>9.9999999999999995E-7</v>
      </c>
      <c r="E70" s="504">
        <f>$D$24</f>
        <v>9.9999999999999995E-7</v>
      </c>
      <c r="F70" s="517">
        <f>$E$24</f>
        <v>9.9999999999999995E-7</v>
      </c>
      <c r="G70" s="518">
        <f>$F$24</f>
        <v>0.57999999999999996</v>
      </c>
    </row>
    <row r="71" spans="1:7" ht="15" customHeight="1">
      <c r="A71" s="1114"/>
      <c r="B71" s="505">
        <v>10</v>
      </c>
      <c r="C71" s="505">
        <v>60</v>
      </c>
      <c r="D71" s="519">
        <f>$I$24</f>
        <v>9.9999999999999995E-7</v>
      </c>
      <c r="E71" s="519">
        <f>$J$24</f>
        <v>9.9999999999999995E-7</v>
      </c>
      <c r="F71" s="520">
        <f>$K$24</f>
        <v>9.9999999999999995E-7</v>
      </c>
      <c r="G71" s="521">
        <f>$L$24</f>
        <v>1E-3</v>
      </c>
    </row>
    <row r="72" spans="1:7" ht="15" customHeight="1">
      <c r="A72" s="1114"/>
      <c r="B72" s="498">
        <v>11</v>
      </c>
      <c r="C72" s="505">
        <v>60</v>
      </c>
      <c r="D72" s="504">
        <f>$O$24</f>
        <v>9.9999999999999995E-7</v>
      </c>
      <c r="E72" s="504">
        <f>$P$24</f>
        <v>9.9999999999999995E-7</v>
      </c>
      <c r="F72" s="517">
        <f>$Q$24</f>
        <v>9.9999999999999995E-7</v>
      </c>
      <c r="G72" s="504">
        <f>$R$24</f>
        <v>1E-3</v>
      </c>
    </row>
    <row r="73" spans="1:7" ht="15" customHeight="1" thickBot="1">
      <c r="A73" s="1115"/>
      <c r="B73" s="509">
        <v>12</v>
      </c>
      <c r="C73" s="505">
        <v>60</v>
      </c>
      <c r="D73" s="509">
        <f>$C$38</f>
        <v>9.9999999999999995E-7</v>
      </c>
      <c r="E73" s="509">
        <f>$D$38</f>
        <v>9.9999999999999995E-7</v>
      </c>
      <c r="F73" s="509">
        <f>$E$38</f>
        <v>9.9999999999999995E-7</v>
      </c>
      <c r="G73" s="509">
        <f>$F$38</f>
        <v>1E-3</v>
      </c>
    </row>
    <row r="74" spans="1:7" ht="12.75" customHeight="1">
      <c r="A74" s="1113">
        <v>90</v>
      </c>
      <c r="B74" s="511"/>
      <c r="C74" s="512"/>
      <c r="D74" s="512"/>
      <c r="E74" s="513"/>
      <c r="F74" s="514"/>
      <c r="G74" s="515"/>
    </row>
    <row r="75" spans="1:7" ht="12.75" customHeight="1">
      <c r="A75" s="1114"/>
      <c r="B75" s="504"/>
      <c r="C75" s="504"/>
      <c r="D75" s="504"/>
      <c r="E75" s="516"/>
      <c r="F75" s="517"/>
      <c r="G75" s="518"/>
    </row>
    <row r="76" spans="1:7" ht="12.75" customHeight="1">
      <c r="A76" s="1114"/>
      <c r="B76" s="504"/>
      <c r="C76" s="504"/>
      <c r="D76" s="504"/>
      <c r="E76" s="516"/>
      <c r="F76" s="517"/>
      <c r="G76" s="518"/>
    </row>
    <row r="77" spans="1:7">
      <c r="A77" s="1114"/>
      <c r="B77" s="504"/>
      <c r="C77" s="504"/>
      <c r="D77" s="504"/>
      <c r="E77" s="516"/>
      <c r="F77" s="517"/>
      <c r="G77" s="518"/>
    </row>
    <row r="78" spans="1:7">
      <c r="A78" s="1114"/>
      <c r="B78" s="504"/>
      <c r="C78" s="504"/>
      <c r="D78" s="504"/>
      <c r="E78" s="504"/>
      <c r="F78" s="517"/>
      <c r="G78" s="518"/>
    </row>
    <row r="79" spans="1:7">
      <c r="A79" s="1114"/>
      <c r="B79" s="504">
        <v>6</v>
      </c>
      <c r="C79" s="504">
        <v>90</v>
      </c>
      <c r="D79" s="512">
        <f>$C$11</f>
        <v>9.9999999999999995E-7</v>
      </c>
      <c r="E79" s="504">
        <f>$D$11</f>
        <v>9.9999999999999995E-7</v>
      </c>
      <c r="F79" s="514">
        <f>$E$11</f>
        <v>9.9999999999999995E-7</v>
      </c>
      <c r="G79" s="515">
        <f>$F$11</f>
        <v>0.55000000000000004</v>
      </c>
    </row>
    <row r="80" spans="1:7">
      <c r="A80" s="1114"/>
      <c r="B80" s="504">
        <v>7</v>
      </c>
      <c r="C80" s="504">
        <v>90</v>
      </c>
      <c r="D80" s="504">
        <f>$I$11</f>
        <v>9.9999999999999995E-7</v>
      </c>
      <c r="E80" s="504">
        <f>$J$11</f>
        <v>9.9999999999999995E-7</v>
      </c>
      <c r="F80" s="517">
        <f>$K$11</f>
        <v>9.9999999999999995E-7</v>
      </c>
      <c r="G80" s="518">
        <f>$L$11</f>
        <v>0.12</v>
      </c>
    </row>
    <row r="81" spans="1:7">
      <c r="A81" s="1114"/>
      <c r="B81" s="504">
        <v>8</v>
      </c>
      <c r="C81" s="504">
        <v>90</v>
      </c>
      <c r="D81" s="504">
        <f>$O$11</f>
        <v>9.9999999999999995E-7</v>
      </c>
      <c r="E81" s="504">
        <f>$P$11</f>
        <v>9.9999999999999995E-7</v>
      </c>
      <c r="F81" s="517">
        <f>$Q$11</f>
        <v>9.9999999999999995E-7</v>
      </c>
      <c r="G81" s="518">
        <f>$R$11</f>
        <v>0.12</v>
      </c>
    </row>
    <row r="82" spans="1:7" ht="14">
      <c r="A82" s="1114"/>
      <c r="B82" s="498">
        <v>9</v>
      </c>
      <c r="C82" s="498">
        <v>90</v>
      </c>
      <c r="D82" s="504">
        <f>$C$25</f>
        <v>9.9999999999999995E-7</v>
      </c>
      <c r="E82" s="504">
        <f>$D$25</f>
        <v>9.9999999999999995E-7</v>
      </c>
      <c r="F82" s="517">
        <f>$E$25</f>
        <v>9.9999999999999995E-7</v>
      </c>
      <c r="G82" s="518">
        <f>$F$25</f>
        <v>0.57999999999999996</v>
      </c>
    </row>
    <row r="83" spans="1:7" ht="14">
      <c r="A83" s="1114"/>
      <c r="B83" s="505">
        <v>10</v>
      </c>
      <c r="C83" s="505">
        <v>90</v>
      </c>
      <c r="D83" s="519">
        <f>$I$25</f>
        <v>9.9999999999999995E-7</v>
      </c>
      <c r="E83" s="519">
        <f>$J$25</f>
        <v>9.9999999999999995E-7</v>
      </c>
      <c r="F83" s="520">
        <f>$K$25</f>
        <v>9.9999999999999995E-7</v>
      </c>
      <c r="G83" s="521">
        <f>$L$25</f>
        <v>1E-3</v>
      </c>
    </row>
    <row r="84" spans="1:7" ht="14">
      <c r="A84" s="1114"/>
      <c r="B84" s="498">
        <v>11</v>
      </c>
      <c r="C84" s="505">
        <v>90</v>
      </c>
      <c r="D84" s="504">
        <f>$O$25</f>
        <v>9.9999999999999995E-7</v>
      </c>
      <c r="E84" s="504">
        <f>$P$25</f>
        <v>9.9999999999999995E-7</v>
      </c>
      <c r="F84" s="517">
        <f>$Q$25</f>
        <v>9.9999999999999995E-7</v>
      </c>
      <c r="G84" s="504">
        <f>$R$25</f>
        <v>1E-3</v>
      </c>
    </row>
    <row r="85" spans="1:7" ht="14.5" thickBot="1">
      <c r="A85" s="1114"/>
      <c r="B85" s="522">
        <v>12</v>
      </c>
      <c r="C85" s="505">
        <v>90</v>
      </c>
      <c r="D85" s="509">
        <f>$C$39</f>
        <v>9.9999999999999995E-7</v>
      </c>
      <c r="E85" s="509">
        <f>$D$39</f>
        <v>9.9999999999999995E-7</v>
      </c>
      <c r="F85" s="509">
        <f>$E$39</f>
        <v>9.9999999999999995E-7</v>
      </c>
      <c r="G85" s="509">
        <f>$F$39</f>
        <v>1E-3</v>
      </c>
    </row>
    <row r="86" spans="1:7" ht="14">
      <c r="A86" s="1113">
        <v>120</v>
      </c>
      <c r="B86" s="523"/>
      <c r="C86" s="524"/>
      <c r="D86" s="512"/>
      <c r="E86" s="513"/>
      <c r="F86" s="514"/>
      <c r="G86" s="515"/>
    </row>
    <row r="87" spans="1:7">
      <c r="A87" s="1114"/>
      <c r="B87" s="525"/>
      <c r="C87" s="526"/>
      <c r="D87" s="504"/>
      <c r="E87" s="516"/>
      <c r="F87" s="517"/>
      <c r="G87" s="518"/>
    </row>
    <row r="88" spans="1:7">
      <c r="A88" s="1114"/>
      <c r="B88" s="525"/>
      <c r="C88" s="526"/>
      <c r="D88" s="504"/>
      <c r="E88" s="516"/>
      <c r="F88" s="517"/>
      <c r="G88" s="518"/>
    </row>
    <row r="89" spans="1:7" ht="11.25" customHeight="1">
      <c r="A89" s="1114"/>
      <c r="B89" s="525"/>
      <c r="C89" s="526"/>
      <c r="D89" s="519"/>
      <c r="E89" s="516"/>
      <c r="F89" s="517"/>
      <c r="G89" s="518"/>
    </row>
    <row r="90" spans="1:7" ht="11.25" customHeight="1">
      <c r="A90" s="1114"/>
      <c r="B90" s="525"/>
      <c r="C90" s="526"/>
      <c r="D90" s="504"/>
      <c r="E90" s="504"/>
      <c r="F90" s="517"/>
      <c r="G90" s="518"/>
    </row>
    <row r="91" spans="1:7">
      <c r="A91" s="1114"/>
      <c r="B91" s="525">
        <v>6</v>
      </c>
      <c r="C91" s="526">
        <v>120</v>
      </c>
      <c r="D91" s="512">
        <f>$C$12</f>
        <v>9.9999999999999995E-7</v>
      </c>
      <c r="E91" s="504">
        <f>$D$12</f>
        <v>9.9999999999999995E-7</v>
      </c>
      <c r="F91" s="514">
        <f>$E$12</f>
        <v>9.9999999999999995E-7</v>
      </c>
      <c r="G91" s="518">
        <f>$F$12</f>
        <v>0.55000000000000004</v>
      </c>
    </row>
    <row r="92" spans="1:7">
      <c r="A92" s="1114"/>
      <c r="B92" s="525">
        <v>7</v>
      </c>
      <c r="C92" s="526">
        <v>120</v>
      </c>
      <c r="D92" s="504">
        <f>$I$12</f>
        <v>9.9999999999999995E-7</v>
      </c>
      <c r="E92" s="504">
        <f>$J$12</f>
        <v>9.9999999999999995E-7</v>
      </c>
      <c r="F92" s="517">
        <f>$K$12</f>
        <v>9.9999999999999995E-7</v>
      </c>
      <c r="G92" s="518">
        <f>$L$12</f>
        <v>0.12</v>
      </c>
    </row>
    <row r="93" spans="1:7">
      <c r="A93" s="1114"/>
      <c r="B93" s="525">
        <v>8</v>
      </c>
      <c r="C93" s="526">
        <v>120</v>
      </c>
      <c r="D93" s="504">
        <f>$O$12</f>
        <v>9.9999999999999995E-7</v>
      </c>
      <c r="E93" s="504">
        <f>$P$12</f>
        <v>9.9999999999999995E-7</v>
      </c>
      <c r="F93" s="517">
        <f>$Q$12</f>
        <v>9.9999999999999995E-7</v>
      </c>
      <c r="G93" s="518">
        <f>$R$12</f>
        <v>0.12</v>
      </c>
    </row>
    <row r="94" spans="1:7" ht="14">
      <c r="A94" s="1114"/>
      <c r="B94" s="527">
        <v>9</v>
      </c>
      <c r="C94" s="526">
        <v>120</v>
      </c>
      <c r="D94" s="504">
        <f>$C$26</f>
        <v>9.9999999999999995E-7</v>
      </c>
      <c r="E94" s="504">
        <f>$D$26</f>
        <v>9.9999999999999995E-7</v>
      </c>
      <c r="F94" s="517">
        <f>$E$26</f>
        <v>9.9999999999999995E-7</v>
      </c>
      <c r="G94" s="518">
        <f>$F$26</f>
        <v>0.57999999999999996</v>
      </c>
    </row>
    <row r="95" spans="1:7" ht="14">
      <c r="A95" s="1114"/>
      <c r="B95" s="528">
        <v>10</v>
      </c>
      <c r="C95" s="529">
        <v>120</v>
      </c>
      <c r="D95" s="519">
        <f>$I$26</f>
        <v>9.9999999999999995E-7</v>
      </c>
      <c r="E95" s="811">
        <f>$J$26</f>
        <v>9.9999999999999995E-7</v>
      </c>
      <c r="F95" s="520">
        <f>$K$26</f>
        <v>9.9999999999999995E-7</v>
      </c>
      <c r="G95" s="521">
        <f>$L$26</f>
        <v>1E-3</v>
      </c>
    </row>
    <row r="96" spans="1:7" ht="14">
      <c r="A96" s="1114"/>
      <c r="B96" s="498">
        <v>11</v>
      </c>
      <c r="C96" s="529">
        <v>120</v>
      </c>
      <c r="D96" s="504">
        <f>$O$26</f>
        <v>9.9999999999999995E-7</v>
      </c>
      <c r="E96" s="504">
        <f>$P$26</f>
        <v>9.9999999999999995E-7</v>
      </c>
      <c r="F96" s="517">
        <f>$Q$26</f>
        <v>9.9999999999999995E-7</v>
      </c>
      <c r="G96" s="504">
        <f>$R$26</f>
        <v>1E-3</v>
      </c>
    </row>
    <row r="97" spans="1:7" ht="13" thickBot="1">
      <c r="A97" s="1115"/>
      <c r="B97" s="509">
        <v>12</v>
      </c>
      <c r="C97" s="529">
        <v>120</v>
      </c>
      <c r="D97" s="510">
        <f>$C$40</f>
        <v>9.9999999999999995E-7</v>
      </c>
      <c r="E97" s="510">
        <f>$D$40</f>
        <v>9.9999999999999995E-7</v>
      </c>
      <c r="F97" s="510">
        <f>$E$40</f>
        <v>9.9999999999999995E-7</v>
      </c>
      <c r="G97" s="510">
        <f>F40</f>
        <v>1E-3</v>
      </c>
    </row>
    <row r="98" spans="1:7" ht="14">
      <c r="A98" s="1114">
        <v>150</v>
      </c>
      <c r="B98" s="511"/>
      <c r="C98" s="512"/>
      <c r="D98" s="512"/>
      <c r="E98" s="513"/>
      <c r="F98" s="514"/>
      <c r="G98" s="515"/>
    </row>
    <row r="99" spans="1:7">
      <c r="A99" s="1114"/>
      <c r="B99" s="504"/>
      <c r="C99" s="504"/>
      <c r="D99" s="504"/>
      <c r="E99" s="516"/>
      <c r="F99" s="517"/>
      <c r="G99" s="518"/>
    </row>
    <row r="100" spans="1:7">
      <c r="A100" s="1114"/>
      <c r="B100" s="504"/>
      <c r="C100" s="504"/>
      <c r="D100" s="504"/>
      <c r="E100" s="516"/>
      <c r="F100" s="517"/>
      <c r="G100" s="518"/>
    </row>
    <row r="101" spans="1:7">
      <c r="A101" s="1114"/>
      <c r="B101" s="504"/>
      <c r="C101" s="504"/>
      <c r="D101" s="504"/>
      <c r="E101" s="516"/>
      <c r="F101" s="517"/>
      <c r="G101" s="518"/>
    </row>
    <row r="102" spans="1:7">
      <c r="A102" s="1114"/>
      <c r="B102" s="504"/>
      <c r="C102" s="504"/>
      <c r="D102" s="504"/>
      <c r="E102" s="504"/>
      <c r="F102" s="517"/>
      <c r="G102" s="518"/>
    </row>
    <row r="103" spans="1:7">
      <c r="A103" s="1114"/>
      <c r="B103" s="504">
        <v>6</v>
      </c>
      <c r="C103" s="504">
        <v>150</v>
      </c>
      <c r="D103" s="512">
        <f>$C$13</f>
        <v>9.9999999999999995E-7</v>
      </c>
      <c r="E103" s="519">
        <f>$D$13</f>
        <v>9.9999999999999995E-7</v>
      </c>
      <c r="F103" s="514">
        <f>$E$13</f>
        <v>9.9999999999999995E-7</v>
      </c>
      <c r="G103" s="515">
        <f>$F$13</f>
        <v>0.55000000000000004</v>
      </c>
    </row>
    <row r="104" spans="1:7">
      <c r="A104" s="1114"/>
      <c r="B104" s="504">
        <v>7</v>
      </c>
      <c r="C104" s="504">
        <v>150</v>
      </c>
      <c r="D104" s="504">
        <f>$I$13</f>
        <v>9.9999999999999995E-7</v>
      </c>
      <c r="E104" s="519">
        <f>$J$13</f>
        <v>9.9999999999999995E-7</v>
      </c>
      <c r="F104" s="517">
        <f>$K$13</f>
        <v>9.9999999999999995E-7</v>
      </c>
      <c r="G104" s="518">
        <f>$L$13</f>
        <v>0.12</v>
      </c>
    </row>
    <row r="105" spans="1:7">
      <c r="A105" s="1114"/>
      <c r="B105" s="504">
        <v>8</v>
      </c>
      <c r="C105" s="504">
        <v>150</v>
      </c>
      <c r="D105" s="504">
        <f>$O$13</f>
        <v>9.9999999999999995E-7</v>
      </c>
      <c r="E105" s="519">
        <f>$P$13</f>
        <v>9.9999999999999995E-7</v>
      </c>
      <c r="F105" s="517">
        <f>$Q$13</f>
        <v>9.9999999999999995E-7</v>
      </c>
      <c r="G105" s="518">
        <f>$R$13</f>
        <v>0.12</v>
      </c>
    </row>
    <row r="106" spans="1:7" ht="14">
      <c r="A106" s="1114"/>
      <c r="B106" s="498">
        <v>9</v>
      </c>
      <c r="C106" s="498">
        <v>150</v>
      </c>
      <c r="D106" s="504">
        <f>$C$27</f>
        <v>9.9999999999999995E-7</v>
      </c>
      <c r="E106" s="519">
        <f>$D$27</f>
        <v>9.9999999999999995E-7</v>
      </c>
      <c r="F106" s="517">
        <f>$E$27</f>
        <v>9.9999999999999995E-7</v>
      </c>
      <c r="G106" s="518">
        <f>$F$27</f>
        <v>0.57999999999999996</v>
      </c>
    </row>
    <row r="107" spans="1:7" ht="14">
      <c r="A107" s="1114"/>
      <c r="B107" s="505">
        <v>10</v>
      </c>
      <c r="C107" s="505">
        <v>150</v>
      </c>
      <c r="D107" s="519">
        <f>$I$27</f>
        <v>9.9999999999999995E-7</v>
      </c>
      <c r="E107" s="519">
        <f>$J$27</f>
        <v>9.9999999999999995E-7</v>
      </c>
      <c r="F107" s="520">
        <f>$K$27</f>
        <v>9.9999999999999995E-7</v>
      </c>
      <c r="G107" s="521">
        <f>$L$27</f>
        <v>1E-3</v>
      </c>
    </row>
    <row r="108" spans="1:7" ht="14">
      <c r="A108" s="1114"/>
      <c r="B108" s="498">
        <v>11</v>
      </c>
      <c r="C108" s="505">
        <v>150</v>
      </c>
      <c r="D108" s="504">
        <f>$O$27</f>
        <v>9.9999999999999995E-7</v>
      </c>
      <c r="E108" s="504">
        <f>$P$27</f>
        <v>9.9999999999999995E-7</v>
      </c>
      <c r="F108" s="517">
        <f>$Q$27</f>
        <v>9.9999999999999995E-7</v>
      </c>
      <c r="G108" s="504">
        <f>$R$27</f>
        <v>1E-3</v>
      </c>
    </row>
    <row r="109" spans="1:7" ht="14.5" thickBot="1">
      <c r="A109" s="1115"/>
      <c r="B109" s="509">
        <v>12</v>
      </c>
      <c r="C109" s="505">
        <v>150</v>
      </c>
      <c r="D109" s="509">
        <f>$C$41</f>
        <v>9.9999999999999995E-7</v>
      </c>
      <c r="E109" s="509">
        <f>$D$41</f>
        <v>9.9999999999999995E-7</v>
      </c>
      <c r="F109" s="509">
        <f>$E$41</f>
        <v>9.9999999999999995E-7</v>
      </c>
      <c r="G109" s="509">
        <f>$F$41</f>
        <v>1E-3</v>
      </c>
    </row>
    <row r="110" spans="1:7" ht="14">
      <c r="A110" s="1113">
        <v>180</v>
      </c>
      <c r="B110" s="511"/>
      <c r="C110" s="512"/>
      <c r="D110" s="512"/>
      <c r="E110" s="513"/>
      <c r="F110" s="514"/>
      <c r="G110" s="515"/>
    </row>
    <row r="111" spans="1:7">
      <c r="A111" s="1114"/>
      <c r="B111" s="504"/>
      <c r="C111" s="504"/>
      <c r="D111" s="504"/>
      <c r="E111" s="516"/>
      <c r="F111" s="517"/>
      <c r="G111" s="518"/>
    </row>
    <row r="112" spans="1:7">
      <c r="A112" s="1114"/>
      <c r="B112" s="504"/>
      <c r="C112" s="504"/>
      <c r="D112" s="504"/>
      <c r="E112" s="516"/>
      <c r="F112" s="517"/>
      <c r="G112" s="518"/>
    </row>
    <row r="113" spans="1:7">
      <c r="A113" s="1114"/>
      <c r="B113" s="504"/>
      <c r="C113" s="504"/>
      <c r="D113" s="504"/>
      <c r="E113" s="516"/>
      <c r="F113" s="517"/>
      <c r="G113" s="518"/>
    </row>
    <row r="114" spans="1:7">
      <c r="A114" s="1114"/>
      <c r="B114" s="504"/>
      <c r="C114" s="504"/>
      <c r="D114" s="504"/>
      <c r="E114" s="504"/>
      <c r="F114" s="517"/>
      <c r="G114" s="518"/>
    </row>
    <row r="115" spans="1:7">
      <c r="A115" s="1114"/>
      <c r="B115" s="504">
        <v>6</v>
      </c>
      <c r="C115" s="504">
        <v>180</v>
      </c>
      <c r="D115" s="512">
        <f>$C$14</f>
        <v>9.9999999999999995E-7</v>
      </c>
      <c r="E115" s="519">
        <f>$D$14</f>
        <v>9.9999999999999995E-7</v>
      </c>
      <c r="F115" s="514">
        <f>$E$14</f>
        <v>9.9999999999999995E-7</v>
      </c>
      <c r="G115" s="515">
        <f>$F$14</f>
        <v>0.55000000000000004</v>
      </c>
    </row>
    <row r="116" spans="1:7">
      <c r="A116" s="1114"/>
      <c r="B116" s="504">
        <v>7</v>
      </c>
      <c r="C116" s="504">
        <v>180</v>
      </c>
      <c r="D116" s="504">
        <f>$I$14</f>
        <v>9.9999999999999995E-7</v>
      </c>
      <c r="E116" s="519">
        <f>$J$14</f>
        <v>9.9999999999999995E-7</v>
      </c>
      <c r="F116" s="517">
        <f>$K$14</f>
        <v>9.9999999999999995E-7</v>
      </c>
      <c r="G116" s="518">
        <f>$L$14</f>
        <v>0.12</v>
      </c>
    </row>
    <row r="117" spans="1:7">
      <c r="A117" s="1114"/>
      <c r="B117" s="504">
        <v>8</v>
      </c>
      <c r="C117" s="504">
        <v>180</v>
      </c>
      <c r="D117" s="504">
        <f>$O$14</f>
        <v>9.9999999999999995E-7</v>
      </c>
      <c r="E117" s="519">
        <f>$P$14</f>
        <v>9.9999999999999995E-7</v>
      </c>
      <c r="F117" s="517">
        <f>$Q$14</f>
        <v>9.9999999999999995E-7</v>
      </c>
      <c r="G117" s="518">
        <f>$R$14</f>
        <v>0.12</v>
      </c>
    </row>
    <row r="118" spans="1:7" ht="14">
      <c r="A118" s="1114"/>
      <c r="B118" s="498">
        <v>9</v>
      </c>
      <c r="C118" s="498">
        <v>180</v>
      </c>
      <c r="D118" s="504">
        <f>$C$28</f>
        <v>9.9999999999999995E-7</v>
      </c>
      <c r="E118" s="519">
        <f>$D$28</f>
        <v>9.9999999999999995E-7</v>
      </c>
      <c r="F118" s="517">
        <f>$E$28</f>
        <v>9.9999999999999995E-7</v>
      </c>
      <c r="G118" s="518">
        <f>$F$28</f>
        <v>0.57999999999999996</v>
      </c>
    </row>
    <row r="119" spans="1:7" ht="14">
      <c r="A119" s="1114"/>
      <c r="B119" s="505">
        <v>10</v>
      </c>
      <c r="C119" s="505">
        <v>180</v>
      </c>
      <c r="D119" s="519">
        <f>$I$28</f>
        <v>9.9999999999999995E-7</v>
      </c>
      <c r="E119" s="519">
        <f>$J$28</f>
        <v>9.9999999999999995E-7</v>
      </c>
      <c r="F119" s="520">
        <f>$K$42</f>
        <v>9.9999999999999995E-7</v>
      </c>
      <c r="G119" s="521">
        <f>$L$28</f>
        <v>1E-3</v>
      </c>
    </row>
    <row r="120" spans="1:7" ht="14">
      <c r="A120" s="1114"/>
      <c r="B120" s="498">
        <v>11</v>
      </c>
      <c r="C120" s="505">
        <v>180</v>
      </c>
      <c r="D120" s="504">
        <f>$O$28</f>
        <v>9.9999999999999995E-7</v>
      </c>
      <c r="E120" s="504">
        <f>$P$28</f>
        <v>9.9999999999999995E-7</v>
      </c>
      <c r="F120" s="517">
        <f>$Q$28</f>
        <v>9.9999999999999995E-7</v>
      </c>
      <c r="G120" s="504">
        <f>$R$28</f>
        <v>1E-3</v>
      </c>
    </row>
    <row r="121" spans="1:7" ht="14.5" thickBot="1">
      <c r="A121" s="1115"/>
      <c r="B121" s="509">
        <v>12</v>
      </c>
      <c r="C121" s="505">
        <v>180</v>
      </c>
      <c r="D121" s="509">
        <f>$C$42</f>
        <v>9.9999999999999995E-7</v>
      </c>
      <c r="E121" s="509">
        <f>$D$42</f>
        <v>9.9999999999999995E-7</v>
      </c>
      <c r="F121" s="509">
        <f>$E$42</f>
        <v>9.9999999999999995E-7</v>
      </c>
      <c r="G121" s="509">
        <f>$F$42</f>
        <v>1E-3</v>
      </c>
    </row>
    <row r="122" spans="1:7" ht="14">
      <c r="A122" s="1113">
        <v>210</v>
      </c>
      <c r="B122" s="511"/>
      <c r="C122" s="512"/>
      <c r="D122" s="512"/>
      <c r="E122" s="513"/>
      <c r="F122" s="514"/>
      <c r="G122" s="515"/>
    </row>
    <row r="123" spans="1:7">
      <c r="A123" s="1114"/>
      <c r="B123" s="504"/>
      <c r="C123" s="504"/>
      <c r="D123" s="504"/>
      <c r="E123" s="516"/>
      <c r="F123" s="517"/>
      <c r="G123" s="518"/>
    </row>
    <row r="124" spans="1:7">
      <c r="A124" s="1114"/>
      <c r="B124" s="504"/>
      <c r="C124" s="504"/>
      <c r="D124" s="504"/>
      <c r="E124" s="516"/>
      <c r="F124" s="517"/>
      <c r="G124" s="518"/>
    </row>
    <row r="125" spans="1:7">
      <c r="A125" s="1114"/>
      <c r="B125" s="504"/>
      <c r="C125" s="504"/>
      <c r="D125" s="504"/>
      <c r="E125" s="516"/>
      <c r="F125" s="517"/>
      <c r="G125" s="518"/>
    </row>
    <row r="126" spans="1:7">
      <c r="A126" s="1114"/>
      <c r="B126" s="504"/>
      <c r="C126" s="504"/>
      <c r="D126" s="504"/>
      <c r="E126" s="504"/>
      <c r="F126" s="517"/>
      <c r="G126" s="518"/>
    </row>
    <row r="127" spans="1:7">
      <c r="A127" s="1114"/>
      <c r="B127" s="504">
        <v>6</v>
      </c>
      <c r="C127" s="504">
        <v>210</v>
      </c>
      <c r="D127" s="512">
        <f>$C$15</f>
        <v>9.9999999999999995E-7</v>
      </c>
      <c r="E127" s="519">
        <f>$D$15</f>
        <v>9.9999999999999995E-7</v>
      </c>
      <c r="F127" s="514">
        <f>$E$15</f>
        <v>9.9999999999999995E-7</v>
      </c>
      <c r="G127" s="515">
        <f>$F$15</f>
        <v>0.55000000000000004</v>
      </c>
    </row>
    <row r="128" spans="1:7">
      <c r="A128" s="1114"/>
      <c r="B128" s="504">
        <v>7</v>
      </c>
      <c r="C128" s="504">
        <v>210</v>
      </c>
      <c r="D128" s="504">
        <f>$I$15</f>
        <v>9.9999999999999995E-7</v>
      </c>
      <c r="E128" s="519">
        <f>$J$15</f>
        <v>9.9999999999999995E-7</v>
      </c>
      <c r="F128" s="517">
        <f>$K$15</f>
        <v>9.9999999999999995E-7</v>
      </c>
      <c r="G128" s="518">
        <f>$L$15</f>
        <v>0.12</v>
      </c>
    </row>
    <row r="129" spans="1:7">
      <c r="A129" s="1114"/>
      <c r="B129" s="504">
        <v>8</v>
      </c>
      <c r="C129" s="504">
        <v>210</v>
      </c>
      <c r="D129" s="504">
        <f>$O$15</f>
        <v>9.9999999999999995E-7</v>
      </c>
      <c r="E129" s="519">
        <f>$P$15</f>
        <v>9.9999999999999995E-7</v>
      </c>
      <c r="F129" s="517">
        <f>$Q$15</f>
        <v>9.9999999999999995E-7</v>
      </c>
      <c r="G129" s="518">
        <f>$R$15</f>
        <v>0.12</v>
      </c>
    </row>
    <row r="130" spans="1:7" ht="14">
      <c r="A130" s="1114"/>
      <c r="B130" s="498">
        <v>9</v>
      </c>
      <c r="C130" s="498">
        <v>210</v>
      </c>
      <c r="D130" s="504">
        <f>$C$29</f>
        <v>9.9999999999999995E-7</v>
      </c>
      <c r="E130" s="519">
        <f>$D$29</f>
        <v>9.9999999999999995E-7</v>
      </c>
      <c r="F130" s="517">
        <f>$E$29</f>
        <v>9.9999999999999995E-7</v>
      </c>
      <c r="G130" s="518">
        <f>$F$29</f>
        <v>0.57999999999999996</v>
      </c>
    </row>
    <row r="131" spans="1:7" ht="14">
      <c r="A131" s="1114"/>
      <c r="B131" s="505">
        <v>10</v>
      </c>
      <c r="C131" s="505">
        <v>210</v>
      </c>
      <c r="D131" s="519">
        <f>$I$29</f>
        <v>9.9999999999999995E-7</v>
      </c>
      <c r="E131" s="519">
        <f>$J$29</f>
        <v>9.9999999999999995E-7</v>
      </c>
      <c r="F131" s="520">
        <f>$K$29</f>
        <v>9.9999999999999995E-7</v>
      </c>
      <c r="G131" s="521">
        <f>$L$29</f>
        <v>1E-3</v>
      </c>
    </row>
    <row r="132" spans="1:7" ht="14">
      <c r="A132" s="1114"/>
      <c r="B132" s="498">
        <v>11</v>
      </c>
      <c r="C132" s="505">
        <v>210</v>
      </c>
      <c r="D132" s="504">
        <f>$O$29</f>
        <v>9.9999999999999995E-7</v>
      </c>
      <c r="E132" s="504">
        <f>$P$29</f>
        <v>9.9999999999999995E-7</v>
      </c>
      <c r="F132" s="517">
        <f>$Q$29</f>
        <v>9.9999999999999995E-7</v>
      </c>
      <c r="G132" s="504">
        <f>$R$29</f>
        <v>1E-3</v>
      </c>
    </row>
    <row r="133" spans="1:7" ht="14.5" thickBot="1">
      <c r="A133" s="1115"/>
      <c r="B133" s="509">
        <v>12</v>
      </c>
      <c r="C133" s="505">
        <v>210</v>
      </c>
      <c r="D133" s="509">
        <f>$C$43</f>
        <v>9.9999999999999995E-7</v>
      </c>
      <c r="E133" s="509">
        <f>$D$43</f>
        <v>9.9999999999999995E-7</v>
      </c>
      <c r="F133" s="509">
        <f>$E$43</f>
        <v>9.9999999999999995E-7</v>
      </c>
      <c r="G133" s="509">
        <f>$F$43</f>
        <v>1E-3</v>
      </c>
    </row>
    <row r="134" spans="1:7" ht="14">
      <c r="A134" s="1113">
        <v>240</v>
      </c>
      <c r="B134" s="511"/>
      <c r="C134" s="512"/>
      <c r="D134" s="512"/>
      <c r="E134" s="513"/>
      <c r="F134" s="514"/>
      <c r="G134" s="515"/>
    </row>
    <row r="135" spans="1:7">
      <c r="A135" s="1114"/>
      <c r="B135" s="504"/>
      <c r="C135" s="504"/>
      <c r="D135" s="504"/>
      <c r="E135" s="516"/>
      <c r="F135" s="517"/>
      <c r="G135" s="518"/>
    </row>
    <row r="136" spans="1:7">
      <c r="A136" s="1114"/>
      <c r="B136" s="504"/>
      <c r="C136" s="504"/>
      <c r="D136" s="504"/>
      <c r="E136" s="516"/>
      <c r="F136" s="517"/>
      <c r="G136" s="518"/>
    </row>
    <row r="137" spans="1:7">
      <c r="A137" s="1114"/>
      <c r="B137" s="504"/>
      <c r="C137" s="504"/>
      <c r="D137" s="504"/>
      <c r="E137" s="516"/>
      <c r="F137" s="517"/>
      <c r="G137" s="518"/>
    </row>
    <row r="138" spans="1:7">
      <c r="A138" s="1114"/>
      <c r="B138" s="504"/>
      <c r="C138" s="504"/>
      <c r="D138" s="504"/>
      <c r="E138" s="504"/>
      <c r="F138" s="517"/>
      <c r="G138" s="518"/>
    </row>
    <row r="139" spans="1:7">
      <c r="A139" s="1114"/>
      <c r="B139" s="504">
        <v>6</v>
      </c>
      <c r="C139" s="504">
        <v>240</v>
      </c>
      <c r="D139" s="512">
        <f>$C$16</f>
        <v>9.9999999999999995E-7</v>
      </c>
      <c r="E139" s="519">
        <f>$D$16</f>
        <v>9.9999999999999995E-7</v>
      </c>
      <c r="F139" s="514">
        <f>$E$16</f>
        <v>9.9999999999999995E-7</v>
      </c>
      <c r="G139" s="515">
        <f>$F$16</f>
        <v>0.55000000000000004</v>
      </c>
    </row>
    <row r="140" spans="1:7">
      <c r="A140" s="1114"/>
      <c r="B140" s="504">
        <v>7</v>
      </c>
      <c r="C140" s="504">
        <v>240</v>
      </c>
      <c r="D140" s="504">
        <f>$I$16</f>
        <v>9.9999999999999995E-7</v>
      </c>
      <c r="E140" s="519">
        <f>$J$16</f>
        <v>9.9999999999999995E-7</v>
      </c>
      <c r="F140" s="517">
        <f>$K$16</f>
        <v>9.9999999999999995E-7</v>
      </c>
      <c r="G140" s="518">
        <f>$L$16</f>
        <v>0.12</v>
      </c>
    </row>
    <row r="141" spans="1:7">
      <c r="A141" s="1114"/>
      <c r="B141" s="504">
        <v>8</v>
      </c>
      <c r="C141" s="504">
        <v>240</v>
      </c>
      <c r="D141" s="504">
        <f>$O$16</f>
        <v>9.9999999999999995E-7</v>
      </c>
      <c r="E141" s="519">
        <f>$P$16</f>
        <v>9.9999999999999995E-7</v>
      </c>
      <c r="F141" s="517">
        <f>$Q$16</f>
        <v>9.9999999999999995E-7</v>
      </c>
      <c r="G141" s="518">
        <f>$R$16</f>
        <v>0.12</v>
      </c>
    </row>
    <row r="142" spans="1:7" ht="14">
      <c r="A142" s="1114"/>
      <c r="B142" s="498">
        <v>9</v>
      </c>
      <c r="C142" s="498">
        <v>240</v>
      </c>
      <c r="D142" s="504">
        <f>$C$30</f>
        <v>9.9999999999999995E-7</v>
      </c>
      <c r="E142" s="519">
        <f>$D$30</f>
        <v>9.9999999999999995E-7</v>
      </c>
      <c r="F142" s="517">
        <f>$E$30</f>
        <v>9.9999999999999995E-7</v>
      </c>
      <c r="G142" s="518">
        <f>$F$30</f>
        <v>0.57999999999999996</v>
      </c>
    </row>
    <row r="143" spans="1:7" ht="14">
      <c r="A143" s="1114"/>
      <c r="B143" s="505">
        <v>10</v>
      </c>
      <c r="C143" s="505">
        <v>240</v>
      </c>
      <c r="D143" s="519">
        <f>$I$30</f>
        <v>9.9999999999999995E-7</v>
      </c>
      <c r="E143" s="519">
        <f>$J$30</f>
        <v>9.9999999999999995E-7</v>
      </c>
      <c r="F143" s="520">
        <f>$K$30</f>
        <v>9.9999999999999995E-7</v>
      </c>
      <c r="G143" s="521">
        <f>$L$30</f>
        <v>1E-3</v>
      </c>
    </row>
    <row r="144" spans="1:7" ht="14">
      <c r="A144" s="1114"/>
      <c r="B144" s="498">
        <v>11</v>
      </c>
      <c r="C144" s="505">
        <v>240</v>
      </c>
      <c r="D144" s="504">
        <f>$O$30</f>
        <v>9.9999999999999995E-7</v>
      </c>
      <c r="E144" s="504">
        <f>$P$30</f>
        <v>9.9999999999999995E-7</v>
      </c>
      <c r="F144" s="517">
        <f>$Q$30</f>
        <v>9.9999999999999995E-7</v>
      </c>
      <c r="G144" s="504">
        <f>$R$30</f>
        <v>1E-3</v>
      </c>
    </row>
    <row r="145" spans="1:7" ht="14.5" thickBot="1">
      <c r="A145" s="1115"/>
      <c r="B145" s="509">
        <v>12</v>
      </c>
      <c r="C145" s="498">
        <v>240</v>
      </c>
      <c r="D145" s="509">
        <f>$C$44</f>
        <v>9.9999999999999995E-7</v>
      </c>
      <c r="E145" s="509">
        <f>$D$44</f>
        <v>9.9999999999999995E-7</v>
      </c>
      <c r="F145" s="509">
        <f>$E$44</f>
        <v>9.9999999999999995E-7</v>
      </c>
      <c r="G145" s="509">
        <f>$F$44</f>
        <v>1E-3</v>
      </c>
    </row>
    <row r="148" spans="1:7">
      <c r="A148" s="530"/>
      <c r="B148" s="530"/>
      <c r="C148" s="530"/>
      <c r="D148" s="530"/>
      <c r="E148" s="530"/>
    </row>
    <row r="149" spans="1:7" s="419" customFormat="1" ht="42" customHeight="1">
      <c r="A149" s="812">
        <f>cetik!C1</f>
        <v>12</v>
      </c>
      <c r="B149" s="1123" t="str">
        <f>cetik!B1</f>
        <v>Fetal Simulator, Merek : Fluke Biomedical, Model : PS 320, SN : 4662033</v>
      </c>
      <c r="C149" s="1124"/>
      <c r="D149" s="1124"/>
      <c r="E149" s="1125"/>
      <c r="F149" s="413"/>
    </row>
    <row r="150" spans="1:7" ht="13">
      <c r="A150" s="1107" t="s">
        <v>267</v>
      </c>
      <c r="B150" s="1107"/>
      <c r="C150" s="1107"/>
      <c r="D150" s="1107"/>
      <c r="E150" s="1107"/>
    </row>
    <row r="151" spans="1:7" ht="13">
      <c r="A151" s="1108" t="s">
        <v>268</v>
      </c>
      <c r="B151" s="1109"/>
      <c r="C151" s="1110"/>
      <c r="D151" s="1111" t="s">
        <v>217</v>
      </c>
      <c r="E151" s="1111" t="s">
        <v>90</v>
      </c>
    </row>
    <row r="152" spans="1:7">
      <c r="A152" s="509" t="s">
        <v>63</v>
      </c>
      <c r="B152" s="509">
        <v>2018</v>
      </c>
      <c r="C152" s="509">
        <v>2019</v>
      </c>
      <c r="D152" s="1112"/>
      <c r="E152" s="1112"/>
    </row>
    <row r="153" spans="1:7">
      <c r="A153" s="509">
        <v>9.9999999999999995E-7</v>
      </c>
      <c r="B153" s="509">
        <v>9.9999999999999995E-7</v>
      </c>
      <c r="C153" s="509">
        <v>9.9999999999999995E-7</v>
      </c>
      <c r="D153" s="509">
        <v>9.9999999999999995E-7</v>
      </c>
      <c r="E153" s="810">
        <v>9.9999999999999995E-7</v>
      </c>
    </row>
    <row r="154" spans="1:7">
      <c r="A154" s="509">
        <v>30</v>
      </c>
      <c r="B154" s="414">
        <f>VLOOKUP($A$149,$B$55:$G$61,3,FALSE)</f>
        <v>9.9999999999999995E-7</v>
      </c>
      <c r="C154" s="414">
        <f>VLOOKUP($A$149,B55:G61,4,FALSE)</f>
        <v>9.9999999999999995E-7</v>
      </c>
      <c r="D154" s="509">
        <f>1/3*E154</f>
        <v>3.3333333333333332E-4</v>
      </c>
      <c r="E154" s="414">
        <f>VLOOKUP($A$149,B55:G61,6,(FALSE))</f>
        <v>1E-3</v>
      </c>
    </row>
    <row r="155" spans="1:7">
      <c r="A155" s="509">
        <v>60</v>
      </c>
      <c r="B155" s="414">
        <f>VLOOKUP($A$149,B67:G73,3,FALSE)</f>
        <v>9.9999999999999995E-7</v>
      </c>
      <c r="C155" s="414">
        <f>VLOOKUP($A$149,B67:G73,4,FALSE)</f>
        <v>9.9999999999999995E-7</v>
      </c>
      <c r="D155" s="509">
        <f t="shared" ref="D155:D161" si="0">1/3*E155</f>
        <v>3.3333333333333332E-4</v>
      </c>
      <c r="E155" s="414">
        <f>VLOOKUP($A$149,B67:G73,6,(FALSE))</f>
        <v>1E-3</v>
      </c>
    </row>
    <row r="156" spans="1:7" ht="14.5">
      <c r="A156" s="531">
        <v>90</v>
      </c>
      <c r="B156" s="414">
        <f>VLOOKUP($A$149,B79:G85,3,FALSE)</f>
        <v>9.9999999999999995E-7</v>
      </c>
      <c r="C156" s="414">
        <f>VLOOKUP($A$149,B79:G85,4,FALSE)</f>
        <v>9.9999999999999995E-7</v>
      </c>
      <c r="D156" s="509">
        <f t="shared" si="0"/>
        <v>3.3333333333333332E-4</v>
      </c>
      <c r="E156" s="414">
        <f>VLOOKUP($A$149,B79:G85,6,(FALSE))</f>
        <v>1E-3</v>
      </c>
    </row>
    <row r="157" spans="1:7" ht="14.5">
      <c r="A157" s="531">
        <v>120</v>
      </c>
      <c r="B157" s="414">
        <f>VLOOKUP($A$149,B91:G97,3,FALSE)</f>
        <v>9.9999999999999995E-7</v>
      </c>
      <c r="C157" s="414">
        <f>VLOOKUP($A$149,B91:G97,4,FALSE)</f>
        <v>9.9999999999999995E-7</v>
      </c>
      <c r="D157" s="509">
        <f t="shared" si="0"/>
        <v>3.3333333333333332E-4</v>
      </c>
      <c r="E157" s="414">
        <f>VLOOKUP($A$149,B91:G97,6,(FALSE))</f>
        <v>1E-3</v>
      </c>
    </row>
    <row r="158" spans="1:7">
      <c r="A158" s="509">
        <v>150</v>
      </c>
      <c r="B158" s="414">
        <f>VLOOKUP($A$149,B103:G109,3,FALSE)</f>
        <v>9.9999999999999995E-7</v>
      </c>
      <c r="C158" s="414">
        <f>VLOOKUP($A$149,B103:G109,4,FALSE)</f>
        <v>9.9999999999999995E-7</v>
      </c>
      <c r="D158" s="509">
        <f t="shared" si="0"/>
        <v>3.3333333333333332E-4</v>
      </c>
      <c r="E158" s="414">
        <f>VLOOKUP($A$149,B103:G109,6,(FALSE))</f>
        <v>1E-3</v>
      </c>
    </row>
    <row r="159" spans="1:7">
      <c r="A159" s="509">
        <v>180</v>
      </c>
      <c r="B159" s="414">
        <f>VLOOKUP($A$149,B115:G121,3,FALSE)</f>
        <v>9.9999999999999995E-7</v>
      </c>
      <c r="C159" s="414">
        <f>VLOOKUP($A$149,B115:G121,4,FALSE)</f>
        <v>9.9999999999999995E-7</v>
      </c>
      <c r="D159" s="509">
        <f t="shared" si="0"/>
        <v>3.3333333333333332E-4</v>
      </c>
      <c r="E159" s="414">
        <f>VLOOKUP($A$149,B115:G121,6,(FALSE))</f>
        <v>1E-3</v>
      </c>
    </row>
    <row r="160" spans="1:7">
      <c r="A160" s="509">
        <v>210</v>
      </c>
      <c r="B160" s="414">
        <f>VLOOKUP($A$149,B127:G138,3,FALSE)</f>
        <v>9.9999999999999995E-7</v>
      </c>
      <c r="C160" s="414">
        <f>VLOOKUP($A$149,B127:G133,4,FALSE)</f>
        <v>9.9999999999999995E-7</v>
      </c>
      <c r="D160" s="509">
        <f t="shared" si="0"/>
        <v>3.3333333333333332E-4</v>
      </c>
      <c r="E160" s="414">
        <f>VLOOKUP($A$149,B127:G133,6,(FALSE))</f>
        <v>1E-3</v>
      </c>
    </row>
    <row r="161" spans="1:5">
      <c r="A161" s="509">
        <v>240</v>
      </c>
      <c r="B161" s="414">
        <f>VLOOKUP($A$149,B139:G145,3,FALSE)</f>
        <v>9.9999999999999995E-7</v>
      </c>
      <c r="C161" s="414">
        <f>VLOOKUP($A$149,B139:G145,4,FALSE)</f>
        <v>9.9999999999999995E-7</v>
      </c>
      <c r="D161" s="509">
        <f t="shared" si="0"/>
        <v>3.3333333333333332E-4</v>
      </c>
      <c r="E161" s="414">
        <f>VLOOKUP($A$149,B139:G145,6,(FALSE))</f>
        <v>1E-3</v>
      </c>
    </row>
  </sheetData>
  <mergeCells count="63">
    <mergeCell ref="Q34:Q35"/>
    <mergeCell ref="R6:R7"/>
    <mergeCell ref="R20:R21"/>
    <mergeCell ref="R34:R35"/>
    <mergeCell ref="B149:E149"/>
    <mergeCell ref="B34:D34"/>
    <mergeCell ref="H34:J34"/>
    <mergeCell ref="N34:P34"/>
    <mergeCell ref="E34:E35"/>
    <mergeCell ref="F34:F35"/>
    <mergeCell ref="G48:G49"/>
    <mergeCell ref="K34:K35"/>
    <mergeCell ref="L34:L35"/>
    <mergeCell ref="B32:F32"/>
    <mergeCell ref="H32:L32"/>
    <mergeCell ref="N32:R32"/>
    <mergeCell ref="A150:E150"/>
    <mergeCell ref="A151:C151"/>
    <mergeCell ref="A47:A61"/>
    <mergeCell ref="A62:A73"/>
    <mergeCell ref="A74:A85"/>
    <mergeCell ref="A86:A97"/>
    <mergeCell ref="A98:A109"/>
    <mergeCell ref="A110:A121"/>
    <mergeCell ref="A122:A133"/>
    <mergeCell ref="A134:A145"/>
    <mergeCell ref="B47:B49"/>
    <mergeCell ref="D151:D152"/>
    <mergeCell ref="E151:E152"/>
    <mergeCell ref="C47:G47"/>
    <mergeCell ref="C48:E48"/>
    <mergeCell ref="F48:F49"/>
    <mergeCell ref="B33:F33"/>
    <mergeCell ref="H33:L33"/>
    <mergeCell ref="N33:R33"/>
    <mergeCell ref="B19:F19"/>
    <mergeCell ref="H19:L19"/>
    <mergeCell ref="N19:R19"/>
    <mergeCell ref="B20:D20"/>
    <mergeCell ref="H20:J20"/>
    <mergeCell ref="N20:P20"/>
    <mergeCell ref="E20:E21"/>
    <mergeCell ref="F20:F21"/>
    <mergeCell ref="K20:K21"/>
    <mergeCell ref="L20:L21"/>
    <mergeCell ref="Q20:Q21"/>
    <mergeCell ref="B6:D6"/>
    <mergeCell ref="H6:J6"/>
    <mergeCell ref="N6:P6"/>
    <mergeCell ref="B18:F18"/>
    <mergeCell ref="H18:L18"/>
    <mergeCell ref="N18:R18"/>
    <mergeCell ref="E6:E7"/>
    <mergeCell ref="F6:F7"/>
    <mergeCell ref="K6:K7"/>
    <mergeCell ref="L6:L7"/>
    <mergeCell ref="Q6:Q7"/>
    <mergeCell ref="B4:F4"/>
    <mergeCell ref="H4:L4"/>
    <mergeCell ref="N4:R4"/>
    <mergeCell ref="B5:F5"/>
    <mergeCell ref="H5:L5"/>
    <mergeCell ref="N5:R5"/>
  </mergeCell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topLeftCell="B1" workbookViewId="0">
      <selection activeCell="C16" sqref="C16"/>
    </sheetView>
  </sheetViews>
  <sheetFormatPr defaultColWidth="9" defaultRowHeight="12.5"/>
  <cols>
    <col min="1" max="1" width="102" style="379" customWidth="1"/>
    <col min="2" max="2" width="96" style="379" customWidth="1"/>
    <col min="3" max="3" width="6.7265625" style="379" customWidth="1"/>
    <col min="4" max="4" width="74.1796875" style="379" customWidth="1"/>
    <col min="5" max="5" width="12" style="379" customWidth="1"/>
    <col min="6" max="6" width="100.81640625" style="379" customWidth="1"/>
    <col min="7" max="7" width="64.26953125" style="379" customWidth="1"/>
    <col min="8" max="8" width="35.81640625" style="379" customWidth="1"/>
    <col min="9" max="9" width="9" style="379"/>
    <col min="10" max="10" width="54.7265625" style="379" customWidth="1"/>
    <col min="11" max="11" width="9" style="379"/>
    <col min="12" max="12" width="60.453125" style="379" customWidth="1"/>
    <col min="13" max="13" width="87.81640625" style="379" customWidth="1"/>
    <col min="14" max="16384" width="9" style="379"/>
  </cols>
  <sheetData>
    <row r="1" spans="1:13" ht="14">
      <c r="A1" s="131" t="s">
        <v>77</v>
      </c>
      <c r="B1" s="167" t="str">
        <f>ID!B50</f>
        <v>Fetal Simulator, Merek : Fluke Biomedical, Model : PS 320, SN : 4662033</v>
      </c>
      <c r="C1" s="563">
        <f>VLOOKUP(B1,B7:C13,2,FALSE)</f>
        <v>12</v>
      </c>
      <c r="D1" s="564" t="str">
        <f>ID!B51</f>
        <v>Electrical Safety Analyzer, Merek : Fluke, Model : ESA 615, SN : 3699030</v>
      </c>
      <c r="E1" s="565">
        <f>VLOOKUP(D1,D2:E10,2,FALSE)</f>
        <v>7</v>
      </c>
      <c r="F1" s="131"/>
      <c r="G1" s="131" t="s">
        <v>232</v>
      </c>
      <c r="H1" s="566" t="s">
        <v>98</v>
      </c>
    </row>
    <row r="2" spans="1:13" ht="14">
      <c r="A2" s="131" t="s">
        <v>234</v>
      </c>
      <c r="B2" s="132" t="s">
        <v>235</v>
      </c>
      <c r="C2" s="562">
        <v>1</v>
      </c>
      <c r="D2" s="614" t="s">
        <v>436</v>
      </c>
      <c r="E2" s="567">
        <v>1</v>
      </c>
      <c r="F2" s="568" t="s">
        <v>236</v>
      </c>
      <c r="G2" s="131" t="s">
        <v>237</v>
      </c>
      <c r="H2" s="566" t="s">
        <v>96</v>
      </c>
    </row>
    <row r="3" spans="1:13" ht="14">
      <c r="A3" s="131"/>
      <c r="B3" s="132" t="s">
        <v>238</v>
      </c>
      <c r="C3" s="562">
        <v>2</v>
      </c>
      <c r="D3" s="614" t="s">
        <v>437</v>
      </c>
      <c r="E3" s="567">
        <v>2</v>
      </c>
      <c r="F3" s="568" t="s">
        <v>236</v>
      </c>
      <c r="G3" s="131" t="s">
        <v>239</v>
      </c>
      <c r="H3" s="566" t="s">
        <v>97</v>
      </c>
      <c r="L3" s="379" t="str">
        <f>B1</f>
        <v>Fetal Simulator, Merek : Fluke Biomedical, Model : PS 320, SN : 4662033</v>
      </c>
      <c r="M3" s="379" t="str">
        <f>VLOOKUP(L3,L4:M10,2,FALSE)</f>
        <v>Hasil Kalibrasi Frekuensi Heart Rate (BPM) tertelusur ke Satuan Internasional ( SI ) melalui PT.KALIMAN</v>
      </c>
    </row>
    <row r="4" spans="1:13" ht="14">
      <c r="A4" s="131"/>
      <c r="B4" s="132" t="s">
        <v>240</v>
      </c>
      <c r="C4" s="562">
        <v>3</v>
      </c>
      <c r="D4" s="614" t="s">
        <v>301</v>
      </c>
      <c r="E4" s="567">
        <v>3</v>
      </c>
      <c r="F4" s="568" t="s">
        <v>241</v>
      </c>
      <c r="G4" s="131" t="s">
        <v>242</v>
      </c>
      <c r="H4" s="566" t="s">
        <v>259</v>
      </c>
      <c r="L4" s="561" t="s">
        <v>440</v>
      </c>
      <c r="M4" s="379" t="s">
        <v>328</v>
      </c>
    </row>
    <row r="5" spans="1:13" ht="14">
      <c r="A5" s="131"/>
      <c r="B5" s="132" t="s">
        <v>244</v>
      </c>
      <c r="C5" s="562">
        <v>4</v>
      </c>
      <c r="D5" s="614" t="s">
        <v>438</v>
      </c>
      <c r="E5" s="567">
        <v>4</v>
      </c>
      <c r="F5" s="568" t="s">
        <v>241</v>
      </c>
      <c r="G5" s="131" t="s">
        <v>245</v>
      </c>
      <c r="H5" s="566" t="s">
        <v>251</v>
      </c>
      <c r="L5" s="561" t="s">
        <v>441</v>
      </c>
      <c r="M5" s="379" t="s">
        <v>328</v>
      </c>
    </row>
    <row r="6" spans="1:13" ht="14">
      <c r="A6" s="131"/>
      <c r="B6" s="132" t="s">
        <v>247</v>
      </c>
      <c r="C6" s="562">
        <v>5</v>
      </c>
      <c r="D6" s="614" t="s">
        <v>439</v>
      </c>
      <c r="E6" s="567">
        <v>5</v>
      </c>
      <c r="F6" s="568" t="s">
        <v>241</v>
      </c>
      <c r="G6" s="131" t="s">
        <v>248</v>
      </c>
      <c r="H6" s="566" t="s">
        <v>103</v>
      </c>
      <c r="L6" s="561" t="s">
        <v>313</v>
      </c>
      <c r="M6" s="379" t="s">
        <v>328</v>
      </c>
    </row>
    <row r="7" spans="1:13" ht="14">
      <c r="A7" s="131"/>
      <c r="B7" s="132" t="s">
        <v>440</v>
      </c>
      <c r="C7" s="562">
        <v>6</v>
      </c>
      <c r="D7" s="614" t="s">
        <v>302</v>
      </c>
      <c r="E7" s="567">
        <v>6</v>
      </c>
      <c r="F7" s="568" t="s">
        <v>241</v>
      </c>
      <c r="G7" s="131" t="s">
        <v>250</v>
      </c>
      <c r="H7" s="566" t="s">
        <v>100</v>
      </c>
      <c r="L7" s="561" t="s">
        <v>464</v>
      </c>
      <c r="M7" s="379" t="s">
        <v>328</v>
      </c>
    </row>
    <row r="8" spans="1:13" ht="14">
      <c r="A8" s="131"/>
      <c r="B8" s="132" t="s">
        <v>441</v>
      </c>
      <c r="C8" s="562">
        <v>7</v>
      </c>
      <c r="D8" s="614" t="s">
        <v>303</v>
      </c>
      <c r="E8" s="567">
        <v>7</v>
      </c>
      <c r="F8" s="568" t="s">
        <v>241</v>
      </c>
      <c r="G8" s="131" t="s">
        <v>252</v>
      </c>
      <c r="H8" s="566" t="s">
        <v>101</v>
      </c>
      <c r="L8" s="561" t="s">
        <v>314</v>
      </c>
      <c r="M8" s="379" t="s">
        <v>328</v>
      </c>
    </row>
    <row r="9" spans="1:13" ht="14">
      <c r="A9" s="131"/>
      <c r="B9" s="132" t="s">
        <v>313</v>
      </c>
      <c r="C9" s="562">
        <v>8</v>
      </c>
      <c r="D9" s="614" t="s">
        <v>346</v>
      </c>
      <c r="E9" s="567">
        <v>8</v>
      </c>
      <c r="F9" s="568" t="s">
        <v>241</v>
      </c>
      <c r="G9" s="131" t="s">
        <v>254</v>
      </c>
      <c r="H9" s="566" t="s">
        <v>253</v>
      </c>
      <c r="L9" s="561" t="s">
        <v>315</v>
      </c>
      <c r="M9" s="379" t="s">
        <v>399</v>
      </c>
    </row>
    <row r="10" spans="1:13" ht="14">
      <c r="A10" s="131"/>
      <c r="B10" s="132" t="s">
        <v>464</v>
      </c>
      <c r="C10" s="562">
        <v>9</v>
      </c>
      <c r="D10" s="614" t="s">
        <v>347</v>
      </c>
      <c r="E10" s="567">
        <v>9</v>
      </c>
      <c r="F10" s="568" t="s">
        <v>241</v>
      </c>
      <c r="G10" s="131" t="s">
        <v>255</v>
      </c>
      <c r="H10" s="566" t="s">
        <v>249</v>
      </c>
      <c r="L10" s="561" t="s">
        <v>316</v>
      </c>
      <c r="M10" s="379" t="s">
        <v>399</v>
      </c>
    </row>
    <row r="11" spans="1:13" ht="14">
      <c r="A11" s="131"/>
      <c r="B11" s="132" t="s">
        <v>314</v>
      </c>
      <c r="C11" s="562">
        <v>10</v>
      </c>
      <c r="D11" s="131"/>
      <c r="E11" s="131"/>
      <c r="F11" s="131"/>
      <c r="G11" s="131" t="s">
        <v>256</v>
      </c>
      <c r="H11" s="566" t="s">
        <v>258</v>
      </c>
    </row>
    <row r="12" spans="1:13" ht="14">
      <c r="A12" s="131"/>
      <c r="B12" s="132" t="s">
        <v>315</v>
      </c>
      <c r="C12" s="562">
        <v>11</v>
      </c>
      <c r="D12" s="131"/>
      <c r="E12" s="131"/>
      <c r="F12" s="131"/>
      <c r="G12" s="131"/>
      <c r="H12" s="566" t="s">
        <v>308</v>
      </c>
    </row>
    <row r="13" spans="1:13" ht="14">
      <c r="A13" s="131"/>
      <c r="B13" s="132" t="s">
        <v>316</v>
      </c>
      <c r="C13" s="562">
        <v>12</v>
      </c>
      <c r="D13" s="131"/>
      <c r="E13" s="131"/>
      <c r="F13" s="131"/>
      <c r="G13" s="131"/>
      <c r="H13" s="566" t="s">
        <v>82</v>
      </c>
    </row>
    <row r="14" spans="1:13" ht="14">
      <c r="A14" s="131"/>
      <c r="B14" s="131"/>
      <c r="C14" s="131"/>
      <c r="D14" s="131"/>
      <c r="E14" s="131"/>
      <c r="F14" s="131"/>
      <c r="G14" s="131"/>
      <c r="H14" s="566" t="s">
        <v>260</v>
      </c>
    </row>
    <row r="15" spans="1:13" ht="14">
      <c r="A15" s="131"/>
      <c r="B15" s="131"/>
      <c r="C15" s="131"/>
      <c r="D15" s="131"/>
      <c r="E15" s="131"/>
      <c r="F15" s="131"/>
      <c r="G15" s="131"/>
      <c r="H15" s="566" t="s">
        <v>257</v>
      </c>
    </row>
    <row r="16" spans="1:13" ht="14">
      <c r="A16" s="131"/>
      <c r="B16" s="131"/>
      <c r="C16" s="131"/>
      <c r="D16" s="131"/>
      <c r="E16" s="131"/>
      <c r="F16" s="131"/>
      <c r="G16" s="131"/>
      <c r="H16" s="566" t="s">
        <v>333</v>
      </c>
    </row>
    <row r="17" spans="1:8" ht="14">
      <c r="A17" s="131"/>
      <c r="B17" s="131"/>
      <c r="C17" s="131"/>
      <c r="D17" s="131"/>
      <c r="E17" s="131"/>
      <c r="F17" s="131"/>
      <c r="G17" s="131"/>
      <c r="H17" s="566" t="s">
        <v>261</v>
      </c>
    </row>
    <row r="18" spans="1:8" ht="14">
      <c r="A18" s="131"/>
      <c r="B18" s="131"/>
      <c r="C18" s="131"/>
      <c r="D18" s="131"/>
      <c r="E18" s="131"/>
      <c r="F18" s="131"/>
      <c r="G18" s="131"/>
      <c r="H18" s="566" t="s">
        <v>334</v>
      </c>
    </row>
    <row r="19" spans="1:8" ht="14">
      <c r="A19" s="131"/>
      <c r="B19" s="131"/>
      <c r="C19" s="131"/>
      <c r="D19" s="131"/>
      <c r="E19" s="131"/>
      <c r="F19" s="131"/>
      <c r="G19" s="131"/>
      <c r="H19" s="566" t="s">
        <v>233</v>
      </c>
    </row>
    <row r="20" spans="1:8" ht="14">
      <c r="A20" s="131"/>
      <c r="B20" s="131"/>
      <c r="C20" s="131"/>
      <c r="D20" s="131"/>
      <c r="E20" s="131"/>
      <c r="F20" s="131"/>
      <c r="G20" s="131"/>
      <c r="H20" s="566" t="s">
        <v>335</v>
      </c>
    </row>
    <row r="21" spans="1:8" ht="14">
      <c r="A21" s="131"/>
      <c r="B21" s="131"/>
      <c r="C21" s="131"/>
      <c r="D21" s="131"/>
      <c r="E21" s="131"/>
      <c r="F21" s="131"/>
      <c r="G21" s="131"/>
      <c r="H21" s="566" t="s">
        <v>336</v>
      </c>
    </row>
    <row r="22" spans="1:8" ht="14">
      <c r="A22" s="131"/>
      <c r="B22" s="131"/>
      <c r="C22" s="131"/>
      <c r="D22" s="131"/>
      <c r="E22" s="131"/>
      <c r="F22" s="131"/>
      <c r="G22" s="131"/>
      <c r="H22" s="566" t="s">
        <v>337</v>
      </c>
    </row>
  </sheetData>
  <sortState xmlns:xlrd2="http://schemas.microsoft.com/office/spreadsheetml/2017/richdata2" ref="H1:H18">
    <sortCondition ref="H1"/>
  </sortState>
  <pageMargins left="0.69930555555555596" right="0.69930555555555596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topLeftCell="E1" workbookViewId="0">
      <selection activeCell="E12" sqref="E12"/>
    </sheetView>
  </sheetViews>
  <sheetFormatPr defaultColWidth="9" defaultRowHeight="12.5"/>
  <cols>
    <col min="4" max="4" width="78.7265625" customWidth="1"/>
    <col min="5" max="5" width="77.1796875" customWidth="1"/>
  </cols>
  <sheetData>
    <row r="11" spans="4:5" ht="13">
      <c r="D11" s="7" t="s">
        <v>262</v>
      </c>
      <c r="E11" s="7" t="s">
        <v>263</v>
      </c>
    </row>
    <row r="12" spans="4:5" ht="45.75" customHeight="1">
      <c r="D12" s="8" t="s">
        <v>471</v>
      </c>
      <c r="E12" s="9" t="s">
        <v>329</v>
      </c>
    </row>
    <row r="13" spans="4:5" ht="39.75" customHeight="1">
      <c r="D13" s="10" t="s">
        <v>472</v>
      </c>
      <c r="E13" s="9" t="s">
        <v>330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1"/>
  <sheetViews>
    <sheetView showGridLines="0" view="pageLayout" zoomScaleNormal="100" zoomScaleSheetLayoutView="100" workbookViewId="0">
      <selection activeCell="M11" sqref="M11"/>
    </sheetView>
  </sheetViews>
  <sheetFormatPr defaultColWidth="9.1796875" defaultRowHeight="14"/>
  <cols>
    <col min="1" max="1" width="4.26953125" style="131" customWidth="1"/>
    <col min="2" max="2" width="5.453125" style="131" customWidth="1"/>
    <col min="3" max="3" width="12.453125" style="131" customWidth="1"/>
    <col min="4" max="4" width="12" style="131" customWidth="1"/>
    <col min="5" max="6" width="9.1796875" style="131"/>
    <col min="7" max="8" width="9.1796875" style="131" customWidth="1"/>
    <col min="9" max="9" width="9.453125" style="131" customWidth="1"/>
    <col min="10" max="10" width="10.54296875" style="131" customWidth="1"/>
    <col min="11" max="11" width="10.7265625" style="131" customWidth="1"/>
    <col min="12" max="12" width="9.81640625" style="131" customWidth="1"/>
    <col min="13" max="13" width="6.1796875" style="131" customWidth="1"/>
    <col min="14" max="14" width="16.7265625" style="131" customWidth="1"/>
    <col min="15" max="16384" width="9.1796875" style="131"/>
  </cols>
  <sheetData>
    <row r="1" spans="1:14" ht="18">
      <c r="A1" s="846" t="s">
        <v>474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</row>
    <row r="2" spans="1:14" ht="15.5">
      <c r="A2" s="847" t="s">
        <v>473</v>
      </c>
      <c r="B2" s="848"/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</row>
    <row r="3" spans="1:14" ht="16.5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</row>
    <row r="4" spans="1:14" ht="16.5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</row>
    <row r="5" spans="1:14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</row>
    <row r="6" spans="1:14">
      <c r="A6" s="134" t="s">
        <v>0</v>
      </c>
      <c r="C6" s="134"/>
      <c r="D6" s="134"/>
      <c r="E6" s="179" t="s">
        <v>1</v>
      </c>
      <c r="F6" s="849"/>
      <c r="G6" s="849"/>
      <c r="H6" s="849"/>
      <c r="I6" s="849"/>
      <c r="J6" s="849"/>
      <c r="K6" s="849"/>
      <c r="L6" s="849"/>
      <c r="M6" s="134"/>
    </row>
    <row r="7" spans="1:14">
      <c r="A7" s="134" t="s">
        <v>2</v>
      </c>
      <c r="C7" s="134"/>
      <c r="D7" s="134"/>
      <c r="E7" s="180" t="s">
        <v>1</v>
      </c>
      <c r="F7" s="850"/>
      <c r="G7" s="850"/>
      <c r="H7" s="850"/>
      <c r="I7" s="850"/>
      <c r="J7" s="850"/>
      <c r="K7" s="850"/>
      <c r="L7" s="850"/>
      <c r="M7" s="134"/>
    </row>
    <row r="8" spans="1:14">
      <c r="A8" s="134" t="s">
        <v>3</v>
      </c>
      <c r="C8" s="134"/>
      <c r="D8" s="134"/>
      <c r="E8" s="180" t="s">
        <v>1</v>
      </c>
      <c r="F8" s="180"/>
      <c r="G8" s="180"/>
      <c r="H8" s="180"/>
      <c r="I8" s="180"/>
      <c r="J8" s="180"/>
      <c r="K8" s="180"/>
      <c r="L8" s="180"/>
      <c r="M8" s="134"/>
    </row>
    <row r="9" spans="1:14">
      <c r="A9" s="134" t="s">
        <v>4</v>
      </c>
      <c r="C9" s="134"/>
      <c r="D9" s="134"/>
      <c r="E9" s="180" t="s">
        <v>1</v>
      </c>
      <c r="F9" s="180"/>
      <c r="G9" s="180"/>
      <c r="H9" s="180"/>
      <c r="I9" s="180"/>
      <c r="J9" s="180"/>
      <c r="K9" s="180"/>
      <c r="L9" s="180"/>
      <c r="M9" s="134"/>
    </row>
    <row r="10" spans="1:14">
      <c r="A10" s="134" t="s">
        <v>398</v>
      </c>
      <c r="C10" s="134"/>
      <c r="D10" s="134"/>
      <c r="E10" s="180" t="s">
        <v>1</v>
      </c>
      <c r="F10" s="180"/>
      <c r="G10" s="180"/>
      <c r="H10" s="180"/>
      <c r="I10" s="180"/>
      <c r="J10" s="180"/>
      <c r="K10" s="180"/>
      <c r="L10" s="180"/>
      <c r="M10" s="134"/>
    </row>
    <row r="11" spans="1:14">
      <c r="A11" s="134" t="s">
        <v>326</v>
      </c>
      <c r="C11" s="134"/>
      <c r="D11" s="134"/>
      <c r="E11" s="180" t="s">
        <v>1</v>
      </c>
      <c r="F11" s="180"/>
      <c r="G11" s="180"/>
      <c r="H11" s="180"/>
      <c r="I11" s="180"/>
      <c r="J11" s="180"/>
      <c r="K11" s="180"/>
      <c r="L11" s="180"/>
      <c r="M11" s="134"/>
    </row>
    <row r="12" spans="1:14">
      <c r="A12" s="134" t="s">
        <v>327</v>
      </c>
      <c r="C12" s="134"/>
      <c r="D12" s="134"/>
      <c r="E12" s="180" t="s">
        <v>1</v>
      </c>
      <c r="F12" s="180"/>
      <c r="G12" s="180"/>
      <c r="H12" s="180"/>
      <c r="I12" s="180"/>
      <c r="J12" s="180"/>
      <c r="K12" s="180"/>
      <c r="L12" s="180"/>
      <c r="M12" s="134"/>
    </row>
    <row r="13" spans="1:14">
      <c r="A13" s="134" t="s">
        <v>5</v>
      </c>
      <c r="C13" s="134"/>
      <c r="D13" s="134"/>
      <c r="E13" s="180" t="s">
        <v>1</v>
      </c>
      <c r="F13" s="180"/>
      <c r="G13" s="180"/>
      <c r="H13" s="180"/>
      <c r="I13" s="180"/>
      <c r="J13" s="180"/>
      <c r="K13" s="180"/>
      <c r="L13" s="180"/>
      <c r="M13" s="134"/>
    </row>
    <row r="14" spans="1:14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>
      <c r="A15" s="145" t="s">
        <v>6</v>
      </c>
      <c r="B15" s="145" t="s">
        <v>291</v>
      </c>
      <c r="D15" s="145"/>
      <c r="E15" s="145"/>
      <c r="F15" s="181"/>
      <c r="G15" s="181"/>
      <c r="H15" s="181"/>
      <c r="I15" s="145"/>
      <c r="J15" s="145"/>
      <c r="K15" s="145"/>
      <c r="L15" s="145"/>
      <c r="M15" s="145"/>
    </row>
    <row r="16" spans="1:14">
      <c r="B16" s="145"/>
      <c r="C16" s="145"/>
      <c r="D16" s="145"/>
      <c r="E16" s="54" t="s">
        <v>7</v>
      </c>
      <c r="F16" s="54" t="s">
        <v>8</v>
      </c>
      <c r="G16" s="145"/>
      <c r="H16" s="145"/>
      <c r="I16" s="181"/>
      <c r="J16" s="145"/>
      <c r="K16" s="145"/>
      <c r="L16" s="145"/>
      <c r="M16" s="145"/>
    </row>
    <row r="17" spans="1:14" ht="16.5">
      <c r="B17" s="134" t="s">
        <v>9</v>
      </c>
      <c r="D17" s="134"/>
      <c r="E17" s="55"/>
      <c r="F17" s="55"/>
      <c r="G17" s="182" t="s">
        <v>10</v>
      </c>
      <c r="H17" s="182"/>
      <c r="I17" s="181"/>
      <c r="J17" s="134"/>
      <c r="K17" s="134"/>
      <c r="L17" s="134"/>
      <c r="M17" s="134"/>
    </row>
    <row r="18" spans="1:14">
      <c r="B18" s="134" t="s">
        <v>11</v>
      </c>
      <c r="D18" s="134"/>
      <c r="E18" s="55"/>
      <c r="F18" s="55"/>
      <c r="G18" s="134" t="s">
        <v>12</v>
      </c>
      <c r="H18" s="134"/>
      <c r="I18" s="181"/>
      <c r="J18" s="134"/>
      <c r="K18" s="134"/>
      <c r="L18" s="134"/>
      <c r="M18" s="134"/>
    </row>
    <row r="19" spans="1:14">
      <c r="B19" s="134" t="s">
        <v>13</v>
      </c>
      <c r="D19" s="134"/>
      <c r="E19" s="183" t="s">
        <v>14</v>
      </c>
      <c r="F19" s="184" t="s">
        <v>15</v>
      </c>
      <c r="I19" s="134"/>
      <c r="J19" s="134"/>
      <c r="K19" s="134"/>
      <c r="L19" s="134"/>
      <c r="M19" s="134"/>
    </row>
    <row r="20" spans="1:14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4">
      <c r="A21" s="145" t="s">
        <v>16</v>
      </c>
      <c r="B21" s="145" t="s">
        <v>292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34"/>
      <c r="N21" s="65" t="s">
        <v>17</v>
      </c>
    </row>
    <row r="22" spans="1:14">
      <c r="B22" s="133" t="s">
        <v>18</v>
      </c>
      <c r="D22" s="134"/>
      <c r="E22" s="134" t="s">
        <v>19</v>
      </c>
      <c r="F22" s="181"/>
      <c r="G22" s="134"/>
      <c r="H22" s="134"/>
      <c r="I22" s="134"/>
      <c r="J22" s="134"/>
      <c r="K22" s="134"/>
      <c r="L22" s="134"/>
      <c r="M22" s="134"/>
      <c r="N22" s="199" t="s">
        <v>20</v>
      </c>
    </row>
    <row r="23" spans="1:14">
      <c r="B23" s="133" t="s">
        <v>21</v>
      </c>
      <c r="D23" s="134"/>
      <c r="E23" s="134" t="s">
        <v>19</v>
      </c>
      <c r="F23" s="181"/>
      <c r="G23" s="134"/>
      <c r="H23" s="134"/>
      <c r="I23" s="134"/>
      <c r="J23" s="134"/>
      <c r="K23" s="134"/>
      <c r="L23" s="134"/>
      <c r="M23" s="134"/>
      <c r="N23" s="199" t="s">
        <v>20</v>
      </c>
    </row>
    <row r="24" spans="1:14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26"/>
    </row>
    <row r="25" spans="1:14">
      <c r="A25" s="145" t="s">
        <v>22</v>
      </c>
      <c r="B25" s="145" t="s">
        <v>290</v>
      </c>
      <c r="D25" s="134"/>
      <c r="E25" s="134"/>
      <c r="F25" s="134"/>
      <c r="G25" s="146"/>
      <c r="H25" s="146"/>
      <c r="I25" s="147"/>
      <c r="J25" s="148"/>
      <c r="K25" s="134"/>
      <c r="L25" s="134"/>
      <c r="M25" s="134"/>
      <c r="N25" s="26"/>
    </row>
    <row r="26" spans="1:14" ht="15.75" customHeight="1">
      <c r="B26" s="874" t="s">
        <v>23</v>
      </c>
      <c r="C26" s="861" t="s">
        <v>24</v>
      </c>
      <c r="D26" s="862"/>
      <c r="E26" s="862"/>
      <c r="F26" s="862"/>
      <c r="G26" s="862"/>
      <c r="H26" s="863"/>
      <c r="I26" s="853" t="s">
        <v>25</v>
      </c>
      <c r="J26" s="854"/>
      <c r="K26" s="857" t="s">
        <v>26</v>
      </c>
      <c r="L26" s="858"/>
      <c r="N26" s="23"/>
    </row>
    <row r="27" spans="1:14" ht="15" customHeight="1">
      <c r="B27" s="875"/>
      <c r="C27" s="864"/>
      <c r="D27" s="865"/>
      <c r="E27" s="865"/>
      <c r="F27" s="865"/>
      <c r="G27" s="865"/>
      <c r="H27" s="866"/>
      <c r="I27" s="855"/>
      <c r="J27" s="856"/>
      <c r="K27" s="859"/>
      <c r="L27" s="860"/>
      <c r="N27" s="65" t="s">
        <v>27</v>
      </c>
    </row>
    <row r="28" spans="1:14" ht="18" customHeight="1">
      <c r="B28" s="185">
        <v>1</v>
      </c>
      <c r="C28" s="34" t="s">
        <v>317</v>
      </c>
      <c r="D28" s="35"/>
      <c r="E28" s="35"/>
      <c r="F28" s="35"/>
      <c r="G28" s="35"/>
      <c r="H28" s="35"/>
      <c r="I28" s="153"/>
      <c r="J28" s="154" t="s">
        <v>28</v>
      </c>
      <c r="K28" s="851" t="s">
        <v>287</v>
      </c>
      <c r="L28" s="852"/>
      <c r="N28" s="200" t="s">
        <v>29</v>
      </c>
    </row>
    <row r="29" spans="1:14">
      <c r="B29" s="153">
        <v>2</v>
      </c>
      <c r="C29" s="34" t="s">
        <v>30</v>
      </c>
      <c r="D29" s="35"/>
      <c r="E29" s="35"/>
      <c r="F29" s="35"/>
      <c r="G29" s="35"/>
      <c r="H29" s="35"/>
      <c r="I29" s="34"/>
      <c r="J29" s="154" t="s">
        <v>31</v>
      </c>
      <c r="K29" s="867" t="s">
        <v>32</v>
      </c>
      <c r="L29" s="867"/>
      <c r="N29" s="200" t="s">
        <v>29</v>
      </c>
    </row>
    <row r="30" spans="1:14">
      <c r="B30" s="153">
        <v>3</v>
      </c>
      <c r="C30" s="34" t="s">
        <v>33</v>
      </c>
      <c r="D30" s="35"/>
      <c r="E30" s="35"/>
      <c r="F30" s="35"/>
      <c r="G30" s="35"/>
      <c r="H30" s="35"/>
      <c r="I30" s="34"/>
      <c r="J30" s="154" t="s">
        <v>34</v>
      </c>
      <c r="K30" s="867" t="s">
        <v>35</v>
      </c>
      <c r="L30" s="867"/>
      <c r="N30" s="200" t="s">
        <v>36</v>
      </c>
    </row>
    <row r="31" spans="1:14">
      <c r="B31" s="163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90"/>
      <c r="N31" s="26"/>
    </row>
    <row r="32" spans="1:14">
      <c r="A32" s="145" t="s">
        <v>37</v>
      </c>
      <c r="B32" s="145" t="s">
        <v>318</v>
      </c>
      <c r="D32" s="145"/>
      <c r="E32" s="145"/>
      <c r="F32" s="145"/>
      <c r="G32" s="145"/>
      <c r="H32" s="145"/>
      <c r="I32" s="163"/>
      <c r="J32" s="134"/>
      <c r="K32" s="134"/>
      <c r="L32" s="134"/>
      <c r="M32" s="134"/>
      <c r="N32" s="26"/>
    </row>
    <row r="33" spans="1:14">
      <c r="B33" s="876" t="s">
        <v>23</v>
      </c>
      <c r="C33" s="876" t="s">
        <v>24</v>
      </c>
      <c r="D33" s="876" t="s">
        <v>159</v>
      </c>
      <c r="E33" s="868" t="s">
        <v>39</v>
      </c>
      <c r="F33" s="869"/>
      <c r="G33" s="869"/>
      <c r="H33" s="869"/>
      <c r="I33" s="870"/>
      <c r="J33" s="160" t="s">
        <v>40</v>
      </c>
      <c r="M33" s="181"/>
    </row>
    <row r="34" spans="1:14">
      <c r="B34" s="876"/>
      <c r="C34" s="876"/>
      <c r="D34" s="876"/>
      <c r="E34" s="54" t="s">
        <v>41</v>
      </c>
      <c r="F34" s="54" t="s">
        <v>42</v>
      </c>
      <c r="G34" s="54" t="s">
        <v>43</v>
      </c>
      <c r="H34" s="54" t="s">
        <v>44</v>
      </c>
      <c r="I34" s="54" t="s">
        <v>45</v>
      </c>
      <c r="J34" s="880" t="s">
        <v>46</v>
      </c>
      <c r="M34" s="181"/>
      <c r="N34" s="65" t="s">
        <v>325</v>
      </c>
    </row>
    <row r="35" spans="1:14" ht="20.149999999999999" customHeight="1">
      <c r="B35" s="152">
        <v>1</v>
      </c>
      <c r="C35" s="877" t="s">
        <v>47</v>
      </c>
      <c r="D35" s="152">
        <v>30</v>
      </c>
      <c r="E35" s="54"/>
      <c r="F35" s="54"/>
      <c r="G35" s="54"/>
      <c r="H35" s="54"/>
      <c r="I35" s="54"/>
      <c r="J35" s="881"/>
      <c r="M35" s="181"/>
      <c r="N35" s="871" t="s">
        <v>348</v>
      </c>
    </row>
    <row r="36" spans="1:14" ht="20.149999999999999" customHeight="1">
      <c r="B36" s="186" t="s">
        <v>48</v>
      </c>
      <c r="C36" s="878"/>
      <c r="D36" s="187">
        <v>60</v>
      </c>
      <c r="E36" s="188"/>
      <c r="F36" s="189"/>
      <c r="G36" s="189"/>
      <c r="H36" s="189"/>
      <c r="I36" s="189"/>
      <c r="J36" s="881"/>
      <c r="M36" s="181"/>
      <c r="N36" s="872"/>
    </row>
    <row r="37" spans="1:14" ht="20.149999999999999" customHeight="1">
      <c r="B37" s="152">
        <v>3</v>
      </c>
      <c r="C37" s="878"/>
      <c r="D37" s="187">
        <v>90</v>
      </c>
      <c r="E37" s="188"/>
      <c r="F37" s="189"/>
      <c r="G37" s="189"/>
      <c r="H37" s="189"/>
      <c r="I37" s="189"/>
      <c r="J37" s="881"/>
      <c r="M37" s="181"/>
      <c r="N37" s="872"/>
    </row>
    <row r="38" spans="1:14" ht="20.149999999999999" customHeight="1">
      <c r="B38" s="186" t="s">
        <v>49</v>
      </c>
      <c r="C38" s="878"/>
      <c r="D38" s="187">
        <v>120</v>
      </c>
      <c r="E38" s="188"/>
      <c r="F38" s="189"/>
      <c r="G38" s="189"/>
      <c r="H38" s="189"/>
      <c r="I38" s="189"/>
      <c r="J38" s="881"/>
      <c r="M38" s="181"/>
      <c r="N38" s="872"/>
    </row>
    <row r="39" spans="1:14" ht="20.149999999999999" customHeight="1">
      <c r="B39" s="152">
        <v>5</v>
      </c>
      <c r="C39" s="878"/>
      <c r="D39" s="187">
        <v>150</v>
      </c>
      <c r="E39" s="188"/>
      <c r="F39" s="189"/>
      <c r="G39" s="189"/>
      <c r="H39" s="189"/>
      <c r="I39" s="189"/>
      <c r="J39" s="881"/>
      <c r="M39" s="181"/>
      <c r="N39" s="872"/>
    </row>
    <row r="40" spans="1:14" ht="20.149999999999999" customHeight="1">
      <c r="B40" s="186" t="s">
        <v>50</v>
      </c>
      <c r="C40" s="878"/>
      <c r="D40" s="187">
        <v>180</v>
      </c>
      <c r="E40" s="188"/>
      <c r="F40" s="189"/>
      <c r="G40" s="189"/>
      <c r="H40" s="189"/>
      <c r="I40" s="189"/>
      <c r="J40" s="881"/>
      <c r="M40" s="181"/>
      <c r="N40" s="872"/>
    </row>
    <row r="41" spans="1:14" ht="20.149999999999999" customHeight="1">
      <c r="B41" s="152">
        <v>7</v>
      </c>
      <c r="C41" s="879"/>
      <c r="D41" s="187">
        <v>240</v>
      </c>
      <c r="E41" s="188"/>
      <c r="F41" s="189"/>
      <c r="G41" s="189"/>
      <c r="H41" s="189"/>
      <c r="I41" s="189"/>
      <c r="J41" s="882"/>
      <c r="M41" s="181"/>
      <c r="N41" s="873"/>
    </row>
    <row r="42" spans="1:14">
      <c r="B42" s="163"/>
      <c r="C42" s="163"/>
      <c r="D42" s="190"/>
      <c r="E42" s="163"/>
      <c r="F42" s="163"/>
      <c r="G42" s="163"/>
      <c r="H42" s="163"/>
      <c r="I42" s="163"/>
      <c r="J42" s="163"/>
      <c r="K42" s="163"/>
      <c r="L42" s="163"/>
      <c r="M42" s="195"/>
    </row>
    <row r="43" spans="1:14">
      <c r="A43" s="145" t="s">
        <v>51</v>
      </c>
      <c r="B43" s="145" t="s">
        <v>52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4">
      <c r="B44" s="134" t="s">
        <v>53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</row>
    <row r="45" spans="1:14">
      <c r="B45" s="190" t="s">
        <v>53</v>
      </c>
      <c r="D45" s="134"/>
      <c r="E45" s="134"/>
      <c r="F45" s="134"/>
      <c r="G45" s="134"/>
      <c r="H45" s="134"/>
      <c r="I45" s="134"/>
      <c r="J45" s="134"/>
      <c r="K45" s="134"/>
      <c r="L45" s="134" t="s">
        <v>54</v>
      </c>
      <c r="M45" s="134"/>
    </row>
    <row r="46" spans="1:14" ht="15.75" customHeight="1">
      <c r="B46" s="134"/>
      <c r="C46" s="190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4">
      <c r="A47" s="145" t="s">
        <v>55</v>
      </c>
      <c r="B47" s="145" t="s">
        <v>310</v>
      </c>
      <c r="D47" s="145"/>
      <c r="E47" s="134"/>
      <c r="F47" s="134"/>
      <c r="G47" s="134"/>
      <c r="H47" s="134"/>
      <c r="I47" s="134"/>
      <c r="J47" s="134"/>
      <c r="K47" s="134"/>
      <c r="L47" s="134"/>
      <c r="M47" s="134"/>
    </row>
    <row r="48" spans="1:14">
      <c r="B48" s="55"/>
      <c r="C48" s="284" t="s">
        <v>294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</row>
    <row r="49" spans="1:13" ht="15.5">
      <c r="B49" s="55"/>
      <c r="C49" s="285" t="s">
        <v>295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</row>
    <row r="50" spans="1:13" ht="15.5">
      <c r="B50" s="55"/>
      <c r="C50" s="285" t="s">
        <v>56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</row>
    <row r="51" spans="1:13" ht="15.5">
      <c r="B51" s="55"/>
      <c r="C51" s="286" t="s">
        <v>57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</row>
    <row r="52" spans="1:13" ht="15.5">
      <c r="B52" s="55"/>
      <c r="C52" s="286" t="s">
        <v>58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</row>
    <row r="53" spans="1:13" ht="15.5">
      <c r="B53" s="55"/>
      <c r="C53" s="286" t="s">
        <v>296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</row>
    <row r="54" spans="1:13" ht="15.5">
      <c r="B54" s="55"/>
      <c r="C54" s="287" t="s">
        <v>339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</row>
    <row r="55" spans="1:13">
      <c r="B55" s="163"/>
      <c r="C55" s="288" t="s">
        <v>340</v>
      </c>
      <c r="D55" s="192"/>
      <c r="E55" s="192"/>
      <c r="F55" s="192"/>
      <c r="G55" s="192"/>
      <c r="H55" s="192"/>
      <c r="I55" s="192"/>
      <c r="J55" s="192"/>
      <c r="K55" s="192"/>
      <c r="L55" s="192"/>
      <c r="M55" s="192"/>
    </row>
    <row r="56" spans="1:13">
      <c r="A56" s="145" t="s">
        <v>59</v>
      </c>
      <c r="B56" s="145" t="s">
        <v>60</v>
      </c>
      <c r="D56" s="134"/>
      <c r="E56" s="134"/>
      <c r="F56" s="134"/>
      <c r="G56" s="134"/>
      <c r="H56" s="134"/>
      <c r="I56" s="134"/>
      <c r="J56" s="134"/>
      <c r="K56" s="134"/>
      <c r="L56" s="134"/>
      <c r="M56" s="134"/>
    </row>
    <row r="57" spans="1:13">
      <c r="B57" s="134" t="s">
        <v>293</v>
      </c>
      <c r="D57" s="134"/>
      <c r="E57" s="134"/>
      <c r="F57" s="134"/>
      <c r="G57" s="134"/>
      <c r="H57" s="134"/>
      <c r="I57" s="134"/>
      <c r="J57" s="134"/>
      <c r="K57" s="134"/>
      <c r="L57" s="134"/>
      <c r="M57" s="134"/>
    </row>
    <row r="58" spans="1:13">
      <c r="B58" s="145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</row>
    <row r="59" spans="1:13">
      <c r="A59" s="145" t="s">
        <v>61</v>
      </c>
      <c r="B59" s="145" t="s">
        <v>62</v>
      </c>
      <c r="D59" s="134"/>
      <c r="E59" s="134"/>
      <c r="F59" s="134"/>
      <c r="G59" s="134"/>
      <c r="H59" s="134"/>
      <c r="I59" s="134"/>
      <c r="J59" s="134"/>
      <c r="K59" s="134"/>
      <c r="L59" s="196"/>
      <c r="M59" s="134"/>
    </row>
    <row r="60" spans="1:13">
      <c r="B60" s="179"/>
      <c r="C60" s="193"/>
      <c r="D60" s="134"/>
      <c r="E60" s="134"/>
      <c r="F60" s="134"/>
      <c r="G60" s="134"/>
      <c r="H60" s="134"/>
      <c r="I60" s="134"/>
      <c r="J60" s="134"/>
      <c r="K60" s="134"/>
      <c r="L60" s="197"/>
      <c r="M60" s="134"/>
    </row>
    <row r="61" spans="1:13">
      <c r="L61" s="198"/>
    </row>
  </sheetData>
  <mergeCells count="18">
    <mergeCell ref="K30:L30"/>
    <mergeCell ref="E33:I33"/>
    <mergeCell ref="N35:N41"/>
    <mergeCell ref="B26:B27"/>
    <mergeCell ref="B33:B34"/>
    <mergeCell ref="C33:C34"/>
    <mergeCell ref="C35:C41"/>
    <mergeCell ref="D33:D34"/>
    <mergeCell ref="J34:J41"/>
    <mergeCell ref="K29:L29"/>
    <mergeCell ref="A1:N1"/>
    <mergeCell ref="A2:N2"/>
    <mergeCell ref="F6:L6"/>
    <mergeCell ref="F7:L7"/>
    <mergeCell ref="K28:L28"/>
    <mergeCell ref="I26:J27"/>
    <mergeCell ref="K26:L27"/>
    <mergeCell ref="C26:H27"/>
  </mergeCells>
  <printOptions horizontalCentered="1"/>
  <pageMargins left="0.5" right="0.45" top="0.5" bottom="0.5" header="0.3" footer="0.3"/>
  <pageSetup paperSize="9" scale="70" orientation="portrait" r:id="rId1"/>
  <headerFooter>
    <oddHeader xml:space="preserve">&amp;R&amp;8OA.015-18 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"/>
  <sheetViews>
    <sheetView workbookViewId="0">
      <selection activeCell="B13" sqref="B13"/>
    </sheetView>
  </sheetViews>
  <sheetFormatPr defaultRowHeight="12.5"/>
  <cols>
    <col min="2" max="2" width="19" customWidth="1"/>
    <col min="3" max="3" width="42.1796875" bestFit="1" customWidth="1"/>
    <col min="4" max="4" width="57.453125" customWidth="1"/>
  </cols>
  <sheetData>
    <row r="2" spans="1:5">
      <c r="A2" s="883" t="s">
        <v>158</v>
      </c>
      <c r="B2" s="883" t="s">
        <v>164</v>
      </c>
      <c r="C2" s="883" t="s">
        <v>341</v>
      </c>
      <c r="D2" s="883"/>
      <c r="E2" s="884" t="s">
        <v>349</v>
      </c>
    </row>
    <row r="3" spans="1:5">
      <c r="A3" s="883"/>
      <c r="B3" s="883"/>
      <c r="C3" s="289" t="s">
        <v>7</v>
      </c>
      <c r="D3" s="289" t="s">
        <v>8</v>
      </c>
      <c r="E3" s="884"/>
    </row>
    <row r="4" spans="1:5" ht="14">
      <c r="A4" s="289"/>
      <c r="B4" s="290"/>
      <c r="C4" s="291"/>
      <c r="D4" s="291"/>
      <c r="E4" s="5"/>
    </row>
    <row r="5" spans="1:5">
      <c r="A5" s="289"/>
      <c r="B5" s="292"/>
      <c r="C5" s="295"/>
      <c r="D5" s="293"/>
      <c r="E5" s="5"/>
    </row>
    <row r="6" spans="1:5">
      <c r="A6" s="289"/>
      <c r="B6" s="292"/>
      <c r="C6" s="294"/>
      <c r="D6" s="294"/>
      <c r="E6" s="5"/>
    </row>
    <row r="7" spans="1:5">
      <c r="A7" s="289"/>
      <c r="B7" s="292"/>
      <c r="C7" s="289"/>
      <c r="D7" s="289"/>
      <c r="E7" s="5"/>
    </row>
    <row r="8" spans="1:5">
      <c r="A8" s="289"/>
      <c r="B8" s="292"/>
      <c r="C8" s="289"/>
      <c r="D8" s="289"/>
      <c r="E8" s="359"/>
    </row>
    <row r="9" spans="1:5">
      <c r="A9" s="289"/>
      <c r="B9" s="292"/>
      <c r="C9" s="289"/>
      <c r="D9" s="289"/>
      <c r="E9" s="359"/>
    </row>
    <row r="10" spans="1:5">
      <c r="A10" s="289"/>
      <c r="B10" s="292"/>
      <c r="C10" s="289"/>
      <c r="D10" s="289"/>
      <c r="E10" s="5"/>
    </row>
    <row r="11" spans="1:5">
      <c r="A11" s="289"/>
      <c r="B11" s="292"/>
      <c r="C11" s="289"/>
      <c r="D11" s="289"/>
      <c r="E11" s="5"/>
    </row>
    <row r="12" spans="1:5">
      <c r="A12" s="289"/>
      <c r="B12" s="292"/>
      <c r="C12" s="289"/>
      <c r="D12" s="289"/>
      <c r="E12" s="5"/>
    </row>
    <row r="13" spans="1:5">
      <c r="A13" s="289"/>
      <c r="B13" s="292"/>
      <c r="C13" s="289"/>
      <c r="D13" s="289"/>
      <c r="E13" s="5"/>
    </row>
    <row r="14" spans="1:5">
      <c r="A14" s="289"/>
      <c r="B14" s="292"/>
      <c r="C14" s="289"/>
      <c r="D14" s="289"/>
      <c r="E14" s="5"/>
    </row>
    <row r="15" spans="1:5">
      <c r="A15" s="289"/>
      <c r="B15" s="292"/>
      <c r="C15" s="289"/>
      <c r="D15" s="289"/>
      <c r="E15" s="5"/>
    </row>
    <row r="16" spans="1:5">
      <c r="A16" s="289"/>
      <c r="B16" s="292"/>
      <c r="C16" s="289"/>
      <c r="D16" s="289"/>
      <c r="E16" s="5"/>
    </row>
    <row r="17" spans="1:5">
      <c r="A17" s="289"/>
      <c r="B17" s="292"/>
      <c r="C17" s="289"/>
      <c r="D17" s="289"/>
      <c r="E17" s="5"/>
    </row>
    <row r="18" spans="1:5">
      <c r="A18" s="289"/>
      <c r="B18" s="292"/>
      <c r="C18" s="289"/>
      <c r="D18" s="289"/>
      <c r="E18" s="5"/>
    </row>
    <row r="19" spans="1:5">
      <c r="A19" s="289"/>
      <c r="B19" s="292"/>
      <c r="C19" s="289"/>
      <c r="D19" s="289"/>
      <c r="E19" s="5"/>
    </row>
    <row r="20" spans="1:5">
      <c r="A20" s="289"/>
      <c r="B20" s="292"/>
      <c r="C20" s="289"/>
      <c r="D20" s="289"/>
      <c r="E20" s="5"/>
    </row>
    <row r="21" spans="1:5">
      <c r="A21" s="289"/>
      <c r="B21" s="292"/>
      <c r="C21" s="289"/>
      <c r="D21" s="289"/>
      <c r="E21" s="5"/>
    </row>
    <row r="22" spans="1:5">
      <c r="A22" s="289"/>
      <c r="B22" s="292"/>
      <c r="C22" s="289"/>
      <c r="D22" s="289"/>
      <c r="E22" s="5"/>
    </row>
    <row r="23" spans="1:5">
      <c r="A23" s="289"/>
      <c r="B23" s="292"/>
      <c r="C23" s="289"/>
      <c r="D23" s="289"/>
      <c r="E23" s="5"/>
    </row>
    <row r="24" spans="1:5">
      <c r="A24" s="289"/>
      <c r="B24" s="292"/>
      <c r="C24" s="289"/>
      <c r="D24" s="289"/>
      <c r="E24" s="5"/>
    </row>
    <row r="25" spans="1:5">
      <c r="A25" s="289"/>
      <c r="B25" s="292"/>
      <c r="C25" s="289"/>
      <c r="D25" s="289"/>
      <c r="E25" s="5"/>
    </row>
    <row r="26" spans="1:5">
      <c r="A26" s="289"/>
      <c r="B26" s="292"/>
      <c r="C26" s="289"/>
      <c r="D26" s="289"/>
      <c r="E26" s="5"/>
    </row>
    <row r="27" spans="1:5">
      <c r="A27" s="289"/>
      <c r="B27" s="292"/>
      <c r="C27" s="289"/>
      <c r="D27" s="289"/>
      <c r="E27" s="5"/>
    </row>
    <row r="28" spans="1:5">
      <c r="A28" s="289"/>
      <c r="B28" s="292"/>
      <c r="C28" s="289"/>
      <c r="D28" s="289"/>
      <c r="E28" s="5"/>
    </row>
    <row r="29" spans="1:5">
      <c r="A29" s="289"/>
      <c r="B29" s="292"/>
      <c r="C29" s="289"/>
      <c r="D29" s="289"/>
      <c r="E29" s="5"/>
    </row>
    <row r="30" spans="1:5">
      <c r="A30" s="289"/>
      <c r="B30" s="292"/>
      <c r="C30" s="289"/>
      <c r="D30" s="289"/>
      <c r="E30" s="5"/>
    </row>
    <row r="31" spans="1:5">
      <c r="A31" s="289"/>
      <c r="B31" s="292"/>
      <c r="C31" s="289"/>
      <c r="D31" s="289"/>
      <c r="E31" s="5"/>
    </row>
    <row r="100" spans="1:1">
      <c r="A100" s="358" t="s">
        <v>432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7"/>
  <sheetViews>
    <sheetView showGridLines="0" view="pageBreakPreview" zoomScale="72" zoomScaleNormal="100" zoomScaleSheetLayoutView="72" workbookViewId="0">
      <selection activeCell="A33" sqref="A33:I33"/>
    </sheetView>
  </sheetViews>
  <sheetFormatPr defaultColWidth="9" defaultRowHeight="12.5"/>
  <cols>
    <col min="1" max="1" width="15.7265625" customWidth="1"/>
    <col min="3" max="3" width="8.7265625" customWidth="1"/>
    <col min="4" max="4" width="8.26953125" customWidth="1"/>
    <col min="5" max="5" width="8.453125" customWidth="1"/>
    <col min="6" max="6" width="6.81640625" customWidth="1"/>
    <col min="7" max="7" width="7.1796875" customWidth="1"/>
    <col min="8" max="8" width="7" customWidth="1"/>
    <col min="9" max="9" width="6.54296875" customWidth="1"/>
    <col min="10" max="10" width="10.54296875" customWidth="1"/>
    <col min="11" max="11" width="13.453125" customWidth="1"/>
    <col min="12" max="12" width="5.7265625" customWidth="1"/>
    <col min="13" max="13" width="5.26953125" customWidth="1"/>
    <col min="14" max="14" width="6.54296875" customWidth="1"/>
    <col min="15" max="15" width="8.7265625" customWidth="1"/>
    <col min="16" max="16" width="7.7265625" customWidth="1"/>
    <col min="17" max="17" width="8.26953125" customWidth="1"/>
    <col min="18" max="18" width="7" customWidth="1"/>
    <col min="19" max="19" width="7.54296875" customWidth="1"/>
    <col min="21" max="21" width="8" customWidth="1"/>
    <col min="22" max="23" width="7.26953125" customWidth="1"/>
    <col min="24" max="24" width="10.1796875" customWidth="1"/>
    <col min="26" max="26" width="6.54296875" customWidth="1"/>
    <col min="27" max="27" width="6.81640625" customWidth="1"/>
    <col min="28" max="28" width="7.26953125" customWidth="1"/>
    <col min="29" max="29" width="7" customWidth="1"/>
    <col min="31" max="31" width="7" customWidth="1"/>
    <col min="32" max="32" width="6.453125" customWidth="1"/>
    <col min="33" max="33" width="7" customWidth="1"/>
    <col min="34" max="34" width="7.453125" customWidth="1"/>
  </cols>
  <sheetData>
    <row r="1" spans="1:25" ht="18.5" thickBot="1">
      <c r="A1" s="885" t="s">
        <v>106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5"/>
    </row>
    <row r="2" spans="1:25" ht="18.5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85"/>
      <c r="M2" s="85"/>
      <c r="N2" s="894" t="s">
        <v>279</v>
      </c>
      <c r="O2" s="895"/>
      <c r="P2" s="895"/>
      <c r="Q2" s="895"/>
      <c r="R2" s="895"/>
      <c r="S2" s="895"/>
      <c r="T2" s="895"/>
      <c r="U2" s="895"/>
      <c r="V2" s="895"/>
      <c r="W2" s="895"/>
      <c r="X2" s="895"/>
      <c r="Y2" s="896"/>
    </row>
    <row r="3" spans="1:25" ht="18">
      <c r="A3" s="71" t="s">
        <v>280</v>
      </c>
      <c r="B3" s="72"/>
      <c r="C3" s="13"/>
      <c r="D3" s="13"/>
      <c r="E3" s="13"/>
      <c r="F3" s="13"/>
      <c r="G3" s="13"/>
      <c r="H3" s="13"/>
      <c r="I3" s="13"/>
      <c r="J3" s="13"/>
      <c r="K3" s="13"/>
      <c r="L3" s="85"/>
      <c r="M3" s="85"/>
      <c r="N3" s="238" t="s">
        <v>280</v>
      </c>
    </row>
    <row r="4" spans="1:25" ht="18">
      <c r="A4" s="73" t="s">
        <v>107</v>
      </c>
      <c r="B4" s="74" t="s">
        <v>108</v>
      </c>
      <c r="C4" s="75" t="s">
        <v>109</v>
      </c>
      <c r="D4" s="74" t="s">
        <v>117</v>
      </c>
      <c r="E4" s="76" t="s">
        <v>110</v>
      </c>
      <c r="F4" s="74" t="s">
        <v>112</v>
      </c>
      <c r="G4" s="75" t="s">
        <v>111</v>
      </c>
      <c r="H4" s="74" t="s">
        <v>113</v>
      </c>
      <c r="I4" s="75" t="s">
        <v>114</v>
      </c>
      <c r="J4" s="74" t="s">
        <v>115</v>
      </c>
      <c r="K4" s="86" t="s">
        <v>116</v>
      </c>
      <c r="L4" s="85"/>
      <c r="M4" s="85"/>
      <c r="N4" s="886" t="s">
        <v>107</v>
      </c>
      <c r="O4" s="887"/>
      <c r="P4" s="205" t="s">
        <v>108</v>
      </c>
      <c r="Q4" s="205" t="s">
        <v>109</v>
      </c>
      <c r="R4" s="205" t="s">
        <v>117</v>
      </c>
      <c r="S4" s="205" t="s">
        <v>110</v>
      </c>
      <c r="T4" s="206" t="s">
        <v>273</v>
      </c>
      <c r="U4" s="205" t="s">
        <v>274</v>
      </c>
      <c r="V4" s="205" t="s">
        <v>275</v>
      </c>
      <c r="W4" s="205" t="s">
        <v>276</v>
      </c>
      <c r="X4" s="205" t="s">
        <v>277</v>
      </c>
      <c r="Y4" s="205" t="s">
        <v>278</v>
      </c>
    </row>
    <row r="5" spans="1:25" ht="18">
      <c r="A5" s="77" t="s">
        <v>118</v>
      </c>
      <c r="B5" s="2" t="s">
        <v>119</v>
      </c>
      <c r="C5" s="77" t="s">
        <v>120</v>
      </c>
      <c r="D5" s="802">
        <f>ID!L74</f>
        <v>0</v>
      </c>
      <c r="E5" s="79">
        <f>SQRT(6)</f>
        <v>2.4494897427831779</v>
      </c>
      <c r="F5" s="79">
        <f>D5/E5</f>
        <v>0</v>
      </c>
      <c r="G5" s="80">
        <f>6-1</f>
        <v>5</v>
      </c>
      <c r="H5" s="80">
        <v>1</v>
      </c>
      <c r="I5" s="79">
        <f>F5*H5</f>
        <v>0</v>
      </c>
      <c r="J5" s="79">
        <f>I5^2</f>
        <v>0</v>
      </c>
      <c r="K5" s="79">
        <f>(J5^2)/G5</f>
        <v>0</v>
      </c>
      <c r="L5" s="85"/>
      <c r="M5" s="85"/>
      <c r="N5" s="888" t="s">
        <v>121</v>
      </c>
      <c r="O5" s="889"/>
      <c r="P5" s="207" t="s">
        <v>122</v>
      </c>
      <c r="Q5" s="207" t="s">
        <v>123</v>
      </c>
      <c r="R5" s="207" t="s">
        <v>124</v>
      </c>
      <c r="S5" s="207" t="s">
        <v>125</v>
      </c>
      <c r="T5" s="207" t="s">
        <v>126</v>
      </c>
      <c r="U5" s="207" t="s">
        <v>127</v>
      </c>
      <c r="V5" s="207" t="s">
        <v>128</v>
      </c>
      <c r="W5" s="207" t="s">
        <v>129</v>
      </c>
      <c r="X5" s="207" t="s">
        <v>130</v>
      </c>
      <c r="Y5" s="207" t="s">
        <v>131</v>
      </c>
    </row>
    <row r="6" spans="1:25" ht="18">
      <c r="A6" s="77" t="s">
        <v>132</v>
      </c>
      <c r="B6" s="2" t="s">
        <v>119</v>
      </c>
      <c r="C6" s="77" t="s">
        <v>133</v>
      </c>
      <c r="D6" s="802">
        <f>'DATA SERTIFIKAT PS320'!D154</f>
        <v>3.3333333333333332E-4</v>
      </c>
      <c r="E6" s="79">
        <f>SQRT(3)</f>
        <v>1.7320508075688772</v>
      </c>
      <c r="F6" s="79">
        <f>D6/E6</f>
        <v>1.9245008972987527E-4</v>
      </c>
      <c r="G6" s="80">
        <v>50</v>
      </c>
      <c r="H6" s="80">
        <v>1</v>
      </c>
      <c r="I6" s="79">
        <f>F6*H6</f>
        <v>1.9245008972987527E-4</v>
      </c>
      <c r="J6" s="79">
        <f>I6^2</f>
        <v>3.7037037037037043E-8</v>
      </c>
      <c r="K6" s="79">
        <f>(J6^2)/G6</f>
        <v>2.7434842249657072E-17</v>
      </c>
      <c r="L6" s="85"/>
      <c r="M6" s="85"/>
      <c r="N6" s="208" t="s">
        <v>134</v>
      </c>
      <c r="O6" s="209"/>
      <c r="P6" s="210"/>
      <c r="Q6" s="211" t="s">
        <v>120</v>
      </c>
      <c r="R6" s="212">
        <f>D5</f>
        <v>0</v>
      </c>
      <c r="S6" s="213">
        <v>2.4500000000000002</v>
      </c>
      <c r="T6" s="214">
        <v>5</v>
      </c>
      <c r="U6" s="215">
        <f>R6/S6</f>
        <v>0</v>
      </c>
      <c r="V6" s="216">
        <v>1</v>
      </c>
      <c r="W6" s="217">
        <f>U6*V6</f>
        <v>0</v>
      </c>
      <c r="X6" s="218">
        <f>W6^2</f>
        <v>0</v>
      </c>
      <c r="Y6" s="219">
        <f>W6^4/T6</f>
        <v>0</v>
      </c>
    </row>
    <row r="7" spans="1:25" ht="18">
      <c r="A7" s="77" t="s">
        <v>4</v>
      </c>
      <c r="B7" s="2" t="s">
        <v>119</v>
      </c>
      <c r="C7" s="77" t="s">
        <v>133</v>
      </c>
      <c r="D7" s="77">
        <f>ID!E7*0.5</f>
        <v>0.5</v>
      </c>
      <c r="E7" s="79">
        <f>SQRT(3)</f>
        <v>1.7320508075688772</v>
      </c>
      <c r="F7" s="79">
        <f>D7/E7</f>
        <v>0.28867513459481292</v>
      </c>
      <c r="G7" s="80">
        <v>50</v>
      </c>
      <c r="H7" s="80">
        <v>1</v>
      </c>
      <c r="I7" s="79">
        <f>F7*H7</f>
        <v>0.28867513459481292</v>
      </c>
      <c r="J7" s="79">
        <f>I7^2</f>
        <v>8.3333333333333356E-2</v>
      </c>
      <c r="K7" s="79">
        <f>(J7^2)/G7</f>
        <v>1.3888888888888897E-4</v>
      </c>
      <c r="L7" s="85"/>
      <c r="M7" s="85"/>
      <c r="N7" s="208" t="s">
        <v>135</v>
      </c>
      <c r="O7" s="209"/>
      <c r="P7" s="220"/>
      <c r="Q7" s="211" t="s">
        <v>133</v>
      </c>
      <c r="R7" s="212">
        <f t="shared" ref="R7:R9" si="0">D6</f>
        <v>3.3333333333333332E-4</v>
      </c>
      <c r="S7" s="213">
        <v>1.73</v>
      </c>
      <c r="T7" s="214">
        <v>50</v>
      </c>
      <c r="U7" s="221">
        <f>R7/S7</f>
        <v>1.9267822736030829E-4</v>
      </c>
      <c r="V7" s="214">
        <v>1</v>
      </c>
      <c r="W7" s="221">
        <f>U7*V7</f>
        <v>1.9267822736030829E-4</v>
      </c>
      <c r="X7" s="222">
        <f>W7^2</f>
        <v>3.7124899298710656E-8</v>
      </c>
      <c r="Y7" s="223">
        <f>W7^4/T7</f>
        <v>2.7565162958788137E-17</v>
      </c>
    </row>
    <row r="8" spans="1:25" ht="18">
      <c r="A8" s="77" t="s">
        <v>136</v>
      </c>
      <c r="B8" s="2" t="s">
        <v>119</v>
      </c>
      <c r="C8" s="77" t="s">
        <v>120</v>
      </c>
      <c r="D8" s="814">
        <f>FORECAST!N13</f>
        <v>2.9E-4</v>
      </c>
      <c r="E8" s="79">
        <v>2</v>
      </c>
      <c r="F8" s="79">
        <f>D8/E8</f>
        <v>1.45E-4</v>
      </c>
      <c r="G8" s="80">
        <v>50</v>
      </c>
      <c r="H8" s="80">
        <v>1</v>
      </c>
      <c r="I8" s="79">
        <f>F8*H8</f>
        <v>1.45E-4</v>
      </c>
      <c r="J8" s="79">
        <f>I8^2</f>
        <v>2.1025000000000001E-8</v>
      </c>
      <c r="K8" s="79">
        <f>(J8^2)/G8</f>
        <v>8.8410125000000002E-18</v>
      </c>
      <c r="L8" s="85"/>
      <c r="M8" s="85"/>
      <c r="N8" s="208" t="s">
        <v>137</v>
      </c>
      <c r="O8" s="209"/>
      <c r="P8" s="220"/>
      <c r="Q8" s="211" t="s">
        <v>133</v>
      </c>
      <c r="R8" s="212">
        <f t="shared" si="0"/>
        <v>0.5</v>
      </c>
      <c r="S8" s="224">
        <f>SQRT(3)</f>
        <v>1.7320508075688772</v>
      </c>
      <c r="T8" s="214">
        <v>50</v>
      </c>
      <c r="U8" s="225">
        <f>R8/S8</f>
        <v>0.28867513459481292</v>
      </c>
      <c r="V8" s="214">
        <v>1</v>
      </c>
      <c r="W8" s="225">
        <f>U8*V8</f>
        <v>0.28867513459481292</v>
      </c>
      <c r="X8" s="222">
        <f>W8^2</f>
        <v>8.3333333333333356E-2</v>
      </c>
      <c r="Y8" s="222">
        <f>W8^4/T8</f>
        <v>1.3888888888888897E-4</v>
      </c>
    </row>
    <row r="9" spans="1:25" ht="18">
      <c r="A9" s="890" t="s">
        <v>138</v>
      </c>
      <c r="B9" s="890"/>
      <c r="C9" s="890"/>
      <c r="D9" s="890"/>
      <c r="E9" s="890"/>
      <c r="F9" s="890"/>
      <c r="G9" s="890"/>
      <c r="H9" s="890"/>
      <c r="I9" s="890"/>
      <c r="J9" s="79">
        <f>SUM(J5:J8)</f>
        <v>8.3333391395370396E-2</v>
      </c>
      <c r="K9" s="79">
        <f>SUM(K5:K8)</f>
        <v>1.3888888888892524E-4</v>
      </c>
      <c r="L9" s="85"/>
      <c r="M9" s="85"/>
      <c r="N9" s="226" t="s">
        <v>139</v>
      </c>
      <c r="O9" s="209"/>
      <c r="P9" s="211"/>
      <c r="Q9" s="210" t="s">
        <v>120</v>
      </c>
      <c r="R9" s="224">
        <f t="shared" si="0"/>
        <v>2.9E-4</v>
      </c>
      <c r="S9" s="224">
        <v>2</v>
      </c>
      <c r="T9" s="214">
        <v>50</v>
      </c>
      <c r="U9" s="221">
        <f>R9/S9</f>
        <v>1.45E-4</v>
      </c>
      <c r="V9" s="214">
        <v>1</v>
      </c>
      <c r="W9" s="221">
        <f>U9*V9</f>
        <v>1.45E-4</v>
      </c>
      <c r="X9" s="222">
        <f>W9^2</f>
        <v>2.1025000000000001E-8</v>
      </c>
      <c r="Y9" s="222">
        <f>W9^4/T9</f>
        <v>8.8410125000000002E-18</v>
      </c>
    </row>
    <row r="10" spans="1:25" ht="18.5">
      <c r="A10" s="890" t="s">
        <v>140</v>
      </c>
      <c r="B10" s="890"/>
      <c r="C10" s="890"/>
      <c r="D10" s="890"/>
      <c r="E10" s="890"/>
      <c r="F10" s="890"/>
      <c r="G10" s="891" t="s">
        <v>141</v>
      </c>
      <c r="H10" s="891"/>
      <c r="I10" s="891"/>
      <c r="J10" s="79">
        <f>SQRT(J9)</f>
        <v>0.28867523516119353</v>
      </c>
      <c r="K10" s="79"/>
      <c r="L10" s="85"/>
      <c r="M10" s="85"/>
      <c r="N10" s="229"/>
      <c r="O10" s="227"/>
      <c r="P10" s="230"/>
      <c r="Q10" s="214"/>
      <c r="R10" s="228"/>
      <c r="S10" s="224"/>
      <c r="T10" s="214"/>
      <c r="U10" s="221"/>
      <c r="V10" s="214"/>
      <c r="W10" s="221"/>
      <c r="X10" s="222"/>
      <c r="Y10" s="222"/>
    </row>
    <row r="11" spans="1:25" ht="18.5">
      <c r="A11" s="890" t="s">
        <v>142</v>
      </c>
      <c r="B11" s="890"/>
      <c r="C11" s="890"/>
      <c r="D11" s="890"/>
      <c r="E11" s="890"/>
      <c r="F11" s="890"/>
      <c r="G11" s="892" t="s">
        <v>143</v>
      </c>
      <c r="H11" s="892"/>
      <c r="I11" s="892"/>
      <c r="J11" s="79">
        <f>J10^4/(K9)</f>
        <v>50.000069674455645</v>
      </c>
      <c r="K11" s="79"/>
      <c r="L11" s="85"/>
      <c r="M11" s="85"/>
      <c r="N11" s="897" t="s">
        <v>138</v>
      </c>
      <c r="O11" s="898"/>
      <c r="P11" s="898"/>
      <c r="Q11" s="898"/>
      <c r="R11" s="898"/>
      <c r="S11" s="898"/>
      <c r="T11" s="898"/>
      <c r="U11" s="898"/>
      <c r="V11" s="899"/>
      <c r="W11" s="221"/>
      <c r="X11" s="222">
        <f>SUM(X6:X9)</f>
        <v>8.3333391483232655E-2</v>
      </c>
      <c r="Y11" s="222">
        <f>SUM(Y6:Y9)</f>
        <v>1.3888888888892537E-4</v>
      </c>
    </row>
    <row r="12" spans="1:25" ht="18">
      <c r="A12" s="890" t="s">
        <v>144</v>
      </c>
      <c r="B12" s="890"/>
      <c r="C12" s="890"/>
      <c r="D12" s="890"/>
      <c r="E12" s="890"/>
      <c r="F12" s="890"/>
      <c r="G12" s="893" t="s">
        <v>145</v>
      </c>
      <c r="H12" s="893"/>
      <c r="I12" s="893"/>
      <c r="J12" s="79">
        <f>1.95996+(2.37356/J11)+(2.818745/J11^2)+(2.546662/J11^3)+(1.761829/J11^4)+(0.245458/J11^5)+(1.000764/J11^6)</f>
        <v>2.0085792846585937</v>
      </c>
      <c r="K12" s="79"/>
      <c r="L12" s="85"/>
      <c r="M12" s="85"/>
      <c r="N12" s="897" t="s">
        <v>140</v>
      </c>
      <c r="O12" s="898"/>
      <c r="P12" s="898"/>
      <c r="Q12" s="898"/>
      <c r="R12" s="898"/>
      <c r="S12" s="898"/>
      <c r="T12" s="898"/>
      <c r="U12" s="898"/>
      <c r="V12" s="899"/>
      <c r="W12" s="221"/>
      <c r="X12" s="231">
        <f>SQRT(X11)</f>
        <v>0.28867523531337541</v>
      </c>
      <c r="Y12" s="222"/>
    </row>
    <row r="13" spans="1:25" ht="18">
      <c r="A13" s="890" t="s">
        <v>146</v>
      </c>
      <c r="B13" s="890"/>
      <c r="C13" s="890"/>
      <c r="D13" s="890"/>
      <c r="E13" s="890"/>
      <c r="F13" s="890"/>
      <c r="G13" s="893" t="s">
        <v>147</v>
      </c>
      <c r="H13" s="893"/>
      <c r="I13" s="893"/>
      <c r="J13" s="239">
        <f>J12*J10</f>
        <v>0.5798270973387214</v>
      </c>
      <c r="K13" s="87" t="s">
        <v>63</v>
      </c>
      <c r="L13" s="85"/>
      <c r="M13" s="85"/>
      <c r="N13" s="897" t="s">
        <v>142</v>
      </c>
      <c r="O13" s="898"/>
      <c r="P13" s="898"/>
      <c r="Q13" s="898"/>
      <c r="R13" s="898"/>
      <c r="S13" s="898"/>
      <c r="T13" s="898"/>
      <c r="U13" s="898"/>
      <c r="V13" s="899"/>
      <c r="W13" s="232"/>
      <c r="X13" s="233">
        <f>X12^4/(Y11)</f>
        <v>50.00006977989041</v>
      </c>
      <c r="Y13" s="234"/>
    </row>
    <row r="14" spans="1:25" ht="18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85"/>
      <c r="M14" s="85"/>
      <c r="N14" s="897" t="s">
        <v>148</v>
      </c>
      <c r="O14" s="898"/>
      <c r="P14" s="898"/>
      <c r="Q14" s="898"/>
      <c r="R14" s="898"/>
      <c r="S14" s="898"/>
      <c r="T14" s="898"/>
      <c r="U14" s="898"/>
      <c r="V14" s="899"/>
      <c r="W14" s="232"/>
      <c r="X14" s="235">
        <f>1.95996+(2.37356/X13)+(2.818745/X13^2)+(2.546662/X13^3)+(1.761829/X13^4)+(0.245458/X13^5)+(1.000764/X13^6)</f>
        <v>2.0085792845536052</v>
      </c>
      <c r="Y14" s="234"/>
    </row>
    <row r="15" spans="1:25" ht="18">
      <c r="A15" s="71" t="s">
        <v>281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85"/>
      <c r="M15" s="85"/>
      <c r="N15" s="897" t="s">
        <v>149</v>
      </c>
      <c r="O15" s="898"/>
      <c r="P15" s="898"/>
      <c r="Q15" s="898"/>
      <c r="R15" s="898"/>
      <c r="S15" s="898"/>
      <c r="T15" s="898"/>
      <c r="U15" s="898"/>
      <c r="V15" s="899"/>
      <c r="W15" s="232"/>
      <c r="X15" s="237">
        <f>X14*X12</f>
        <v>0.57982709761408324</v>
      </c>
      <c r="Y15" s="236" t="s">
        <v>150</v>
      </c>
    </row>
    <row r="16" spans="1:25" ht="18">
      <c r="A16" s="73" t="s">
        <v>107</v>
      </c>
      <c r="B16" s="74" t="s">
        <v>108</v>
      </c>
      <c r="C16" s="75" t="s">
        <v>109</v>
      </c>
      <c r="D16" s="74" t="s">
        <v>117</v>
      </c>
      <c r="E16" s="76" t="s">
        <v>110</v>
      </c>
      <c r="F16" s="74" t="s">
        <v>112</v>
      </c>
      <c r="G16" s="75" t="s">
        <v>111</v>
      </c>
      <c r="H16" s="74" t="s">
        <v>113</v>
      </c>
      <c r="I16" s="75" t="s">
        <v>114</v>
      </c>
      <c r="J16" s="74" t="s">
        <v>115</v>
      </c>
      <c r="K16" s="86" t="s">
        <v>116</v>
      </c>
      <c r="L16" s="85"/>
      <c r="M16" s="85"/>
    </row>
    <row r="17" spans="1:25" ht="18">
      <c r="A17" s="77" t="s">
        <v>118</v>
      </c>
      <c r="B17" s="77" t="s">
        <v>119</v>
      </c>
      <c r="C17" s="77" t="s">
        <v>120</v>
      </c>
      <c r="D17" s="78">
        <f>ID!L75</f>
        <v>0</v>
      </c>
      <c r="E17" s="79">
        <f>SQRT(6)</f>
        <v>2.4494897427831779</v>
      </c>
      <c r="F17" s="79">
        <f>D17/E17</f>
        <v>0</v>
      </c>
      <c r="G17" s="80">
        <f>6-1</f>
        <v>5</v>
      </c>
      <c r="H17" s="80">
        <v>1</v>
      </c>
      <c r="I17" s="79">
        <f>F17*H17</f>
        <v>0</v>
      </c>
      <c r="J17" s="79">
        <f>I17^2</f>
        <v>0</v>
      </c>
      <c r="K17" s="79">
        <f>(J17^2)/G17</f>
        <v>0</v>
      </c>
      <c r="L17" s="85"/>
      <c r="M17" s="85"/>
      <c r="N17" s="238" t="s">
        <v>281</v>
      </c>
    </row>
    <row r="18" spans="1:25" ht="18">
      <c r="A18" s="77" t="s">
        <v>132</v>
      </c>
      <c r="B18" s="77" t="s">
        <v>119</v>
      </c>
      <c r="C18" s="77" t="s">
        <v>133</v>
      </c>
      <c r="D18" s="78">
        <f>'DATA SERTIFIKAT PS320'!D155</f>
        <v>3.3333333333333332E-4</v>
      </c>
      <c r="E18" s="79">
        <f>SQRT(3)</f>
        <v>1.7320508075688772</v>
      </c>
      <c r="F18" s="79">
        <f>D18/E18</f>
        <v>1.9245008972987527E-4</v>
      </c>
      <c r="G18" s="80">
        <v>50</v>
      </c>
      <c r="H18" s="80">
        <v>1</v>
      </c>
      <c r="I18" s="79">
        <f>F18*H18</f>
        <v>1.9245008972987527E-4</v>
      </c>
      <c r="J18" s="79">
        <f>I18^2</f>
        <v>3.7037037037037043E-8</v>
      </c>
      <c r="K18" s="79">
        <f>(J18^2)/G18</f>
        <v>2.7434842249657072E-17</v>
      </c>
      <c r="L18" s="85"/>
      <c r="M18" s="85"/>
      <c r="N18" s="886" t="s">
        <v>107</v>
      </c>
      <c r="O18" s="887"/>
      <c r="P18" s="205" t="s">
        <v>108</v>
      </c>
      <c r="Q18" s="205" t="s">
        <v>109</v>
      </c>
      <c r="R18" s="205" t="s">
        <v>117</v>
      </c>
      <c r="S18" s="205" t="s">
        <v>110</v>
      </c>
      <c r="T18" s="206" t="s">
        <v>273</v>
      </c>
      <c r="U18" s="205" t="s">
        <v>274</v>
      </c>
      <c r="V18" s="205" t="s">
        <v>275</v>
      </c>
      <c r="W18" s="205" t="s">
        <v>276</v>
      </c>
      <c r="X18" s="205" t="s">
        <v>277</v>
      </c>
      <c r="Y18" s="205" t="s">
        <v>278</v>
      </c>
    </row>
    <row r="19" spans="1:25" ht="18">
      <c r="A19" s="77" t="s">
        <v>4</v>
      </c>
      <c r="B19" s="77" t="s">
        <v>119</v>
      </c>
      <c r="C19" s="77" t="s">
        <v>133</v>
      </c>
      <c r="D19" s="78">
        <f>ID!E7*0.5</f>
        <v>0.5</v>
      </c>
      <c r="E19" s="79">
        <f>SQRT(3)</f>
        <v>1.7320508075688772</v>
      </c>
      <c r="F19" s="79">
        <f>D19/E19</f>
        <v>0.28867513459481292</v>
      </c>
      <c r="G19" s="80">
        <v>50</v>
      </c>
      <c r="H19" s="80">
        <v>1</v>
      </c>
      <c r="I19" s="79">
        <f>F19*H19</f>
        <v>0.28867513459481292</v>
      </c>
      <c r="J19" s="79">
        <f>I19^2</f>
        <v>8.3333333333333356E-2</v>
      </c>
      <c r="K19" s="79">
        <f>(J19^2)/G19</f>
        <v>1.3888888888888897E-4</v>
      </c>
      <c r="L19" s="85"/>
      <c r="M19" s="85"/>
      <c r="N19" s="888" t="s">
        <v>121</v>
      </c>
      <c r="O19" s="889"/>
      <c r="P19" s="207" t="s">
        <v>122</v>
      </c>
      <c r="Q19" s="207" t="s">
        <v>123</v>
      </c>
      <c r="R19" s="207" t="s">
        <v>124</v>
      </c>
      <c r="S19" s="207" t="s">
        <v>125</v>
      </c>
      <c r="T19" s="207" t="s">
        <v>126</v>
      </c>
      <c r="U19" s="207" t="s">
        <v>127</v>
      </c>
      <c r="V19" s="207" t="s">
        <v>128</v>
      </c>
      <c r="W19" s="207" t="s">
        <v>129</v>
      </c>
      <c r="X19" s="207" t="s">
        <v>130</v>
      </c>
      <c r="Y19" s="207" t="s">
        <v>131</v>
      </c>
    </row>
    <row r="20" spans="1:25" ht="18">
      <c r="A20" s="77" t="s">
        <v>136</v>
      </c>
      <c r="B20" s="77" t="s">
        <v>119</v>
      </c>
      <c r="C20" s="77" t="s">
        <v>120</v>
      </c>
      <c r="D20" s="78">
        <f>FORECAST!N14</f>
        <v>6.0000000000000006E-4</v>
      </c>
      <c r="E20" s="79">
        <v>2</v>
      </c>
      <c r="F20" s="79">
        <f>D20/E20</f>
        <v>3.0000000000000003E-4</v>
      </c>
      <c r="G20" s="80">
        <v>50</v>
      </c>
      <c r="H20" s="80">
        <v>1</v>
      </c>
      <c r="I20" s="79">
        <f>F20*H20</f>
        <v>3.0000000000000003E-4</v>
      </c>
      <c r="J20" s="79">
        <f>I20^2</f>
        <v>9.0000000000000012E-8</v>
      </c>
      <c r="K20" s="79">
        <f>(J20^2)/G20</f>
        <v>1.6200000000000002E-16</v>
      </c>
      <c r="L20" s="85"/>
      <c r="M20" s="85"/>
      <c r="N20" s="208" t="s">
        <v>134</v>
      </c>
      <c r="O20" s="209"/>
      <c r="P20" s="210"/>
      <c r="Q20" s="211" t="s">
        <v>120</v>
      </c>
      <c r="R20" s="212">
        <f>D17</f>
        <v>0</v>
      </c>
      <c r="S20" s="213">
        <v>2.4500000000000002</v>
      </c>
      <c r="T20" s="214">
        <v>5</v>
      </c>
      <c r="U20" s="215">
        <f>R20/S20</f>
        <v>0</v>
      </c>
      <c r="V20" s="216">
        <v>1</v>
      </c>
      <c r="W20" s="217">
        <f>U20*V20</f>
        <v>0</v>
      </c>
      <c r="X20" s="218">
        <f>W20^2</f>
        <v>0</v>
      </c>
      <c r="Y20" s="219">
        <f>W20^4/T20</f>
        <v>0</v>
      </c>
    </row>
    <row r="21" spans="1:25" ht="18">
      <c r="A21" s="890" t="s">
        <v>138</v>
      </c>
      <c r="B21" s="890"/>
      <c r="C21" s="890"/>
      <c r="D21" s="890"/>
      <c r="E21" s="890"/>
      <c r="F21" s="890"/>
      <c r="G21" s="890"/>
      <c r="H21" s="890"/>
      <c r="I21" s="890"/>
      <c r="J21" s="79">
        <f>SUM(J17:J20)</f>
        <v>8.3333460370370385E-2</v>
      </c>
      <c r="K21" s="79">
        <f>SUM(K17:K20)</f>
        <v>1.3888888888907841E-4</v>
      </c>
      <c r="L21" s="85"/>
      <c r="M21" s="85"/>
      <c r="N21" s="208" t="s">
        <v>135</v>
      </c>
      <c r="O21" s="209"/>
      <c r="P21" s="220"/>
      <c r="Q21" s="211" t="s">
        <v>133</v>
      </c>
      <c r="R21" s="212">
        <f t="shared" ref="R21:R23" si="1">D18</f>
        <v>3.3333333333333332E-4</v>
      </c>
      <c r="S21" s="213">
        <v>1.73</v>
      </c>
      <c r="T21" s="214">
        <v>50</v>
      </c>
      <c r="U21" s="221">
        <f>R21/S21</f>
        <v>1.9267822736030829E-4</v>
      </c>
      <c r="V21" s="214">
        <v>1</v>
      </c>
      <c r="W21" s="221">
        <f>U21*V21</f>
        <v>1.9267822736030829E-4</v>
      </c>
      <c r="X21" s="222">
        <f>W21^2</f>
        <v>3.7124899298710656E-8</v>
      </c>
      <c r="Y21" s="223">
        <f>W21^4/T21</f>
        <v>2.7565162958788137E-17</v>
      </c>
    </row>
    <row r="22" spans="1:25" ht="18.5">
      <c r="A22" s="890" t="s">
        <v>140</v>
      </c>
      <c r="B22" s="890"/>
      <c r="C22" s="890"/>
      <c r="D22" s="890"/>
      <c r="E22" s="890"/>
      <c r="F22" s="890"/>
      <c r="G22" s="891" t="s">
        <v>141</v>
      </c>
      <c r="H22" s="891"/>
      <c r="I22" s="891"/>
      <c r="J22" s="79">
        <f>SQRT(J21)</f>
        <v>0.28867535462933164</v>
      </c>
      <c r="K22" s="79"/>
      <c r="L22" s="85"/>
      <c r="M22" s="85"/>
      <c r="N22" s="208" t="s">
        <v>137</v>
      </c>
      <c r="O22" s="209"/>
      <c r="P22" s="220"/>
      <c r="Q22" s="211" t="s">
        <v>133</v>
      </c>
      <c r="R22" s="212">
        <f t="shared" si="1"/>
        <v>0.5</v>
      </c>
      <c r="S22" s="224">
        <f>SQRT(3)</f>
        <v>1.7320508075688772</v>
      </c>
      <c r="T22" s="214">
        <v>50</v>
      </c>
      <c r="U22" s="225">
        <f>R22/S22</f>
        <v>0.28867513459481292</v>
      </c>
      <c r="V22" s="214">
        <v>1</v>
      </c>
      <c r="W22" s="225">
        <f>U22*V22</f>
        <v>0.28867513459481292</v>
      </c>
      <c r="X22" s="222">
        <f>W22^2</f>
        <v>8.3333333333333356E-2</v>
      </c>
      <c r="Y22" s="222">
        <f>W22^4/T22</f>
        <v>1.3888888888888897E-4</v>
      </c>
    </row>
    <row r="23" spans="1:25" ht="18.5">
      <c r="A23" s="890" t="s">
        <v>142</v>
      </c>
      <c r="B23" s="890"/>
      <c r="C23" s="890"/>
      <c r="D23" s="890"/>
      <c r="E23" s="890"/>
      <c r="F23" s="890"/>
      <c r="G23" s="892" t="s">
        <v>143</v>
      </c>
      <c r="H23" s="892"/>
      <c r="I23" s="892"/>
      <c r="J23" s="79">
        <f>J22^4/(K21)</f>
        <v>50.000152444492436</v>
      </c>
      <c r="K23" s="79"/>
      <c r="L23" s="85"/>
      <c r="M23" s="85"/>
      <c r="N23" s="226" t="s">
        <v>139</v>
      </c>
      <c r="O23" s="209"/>
      <c r="P23" s="211"/>
      <c r="Q23" s="210" t="s">
        <v>120</v>
      </c>
      <c r="R23" s="224">
        <f t="shared" si="1"/>
        <v>6.0000000000000006E-4</v>
      </c>
      <c r="S23" s="224">
        <v>2</v>
      </c>
      <c r="T23" s="214">
        <v>50</v>
      </c>
      <c r="U23" s="221">
        <f>R23/S23</f>
        <v>3.0000000000000003E-4</v>
      </c>
      <c r="V23" s="214">
        <v>1</v>
      </c>
      <c r="W23" s="221">
        <f>U23*V23</f>
        <v>3.0000000000000003E-4</v>
      </c>
      <c r="X23" s="222">
        <f>W23^2</f>
        <v>9.0000000000000012E-8</v>
      </c>
      <c r="Y23" s="222">
        <f>W23^4/T23</f>
        <v>1.6200000000000002E-16</v>
      </c>
    </row>
    <row r="24" spans="1:25" ht="18">
      <c r="A24" s="890" t="s">
        <v>144</v>
      </c>
      <c r="B24" s="890"/>
      <c r="C24" s="890"/>
      <c r="D24" s="890"/>
      <c r="E24" s="890"/>
      <c r="F24" s="890"/>
      <c r="G24" s="893" t="s">
        <v>145</v>
      </c>
      <c r="H24" s="893"/>
      <c r="I24" s="893"/>
      <c r="J24" s="79">
        <f>1.95996+(2.37356/J23)+(2.818745/J23^2)+(2.546662/J23^3)+(1.761829/J23^4)+(0.245458/J23^5)+(1.000764/J23^6)</f>
        <v>2.0085792022391358</v>
      </c>
      <c r="K24" s="79"/>
      <c r="L24" s="85"/>
      <c r="M24" s="85"/>
      <c r="N24" s="229"/>
      <c r="O24" s="227"/>
      <c r="P24" s="230"/>
      <c r="Q24" s="214"/>
      <c r="R24" s="228"/>
      <c r="S24" s="224"/>
      <c r="T24" s="214"/>
      <c r="U24" s="221"/>
      <c r="V24" s="214"/>
      <c r="W24" s="221"/>
      <c r="X24" s="222"/>
      <c r="Y24" s="222"/>
    </row>
    <row r="25" spans="1:25" ht="18">
      <c r="A25" s="890" t="s">
        <v>146</v>
      </c>
      <c r="B25" s="890"/>
      <c r="C25" s="890"/>
      <c r="D25" s="890"/>
      <c r="E25" s="890"/>
      <c r="F25" s="890"/>
      <c r="G25" s="893" t="s">
        <v>147</v>
      </c>
      <c r="H25" s="893"/>
      <c r="I25" s="893"/>
      <c r="J25" s="239">
        <f>J24*J22</f>
        <v>0.57982731350748251</v>
      </c>
      <c r="K25" s="87" t="s">
        <v>63</v>
      </c>
      <c r="L25" s="85"/>
      <c r="M25" s="85"/>
      <c r="N25" s="897" t="s">
        <v>138</v>
      </c>
      <c r="O25" s="898"/>
      <c r="P25" s="898"/>
      <c r="Q25" s="898"/>
      <c r="R25" s="898"/>
      <c r="S25" s="898"/>
      <c r="T25" s="898"/>
      <c r="U25" s="898"/>
      <c r="V25" s="899"/>
      <c r="W25" s="221"/>
      <c r="X25" s="222">
        <f>SUM(X20:X23)</f>
        <v>8.3333460458232644E-2</v>
      </c>
      <c r="Y25" s="222">
        <f>SUM(Y20:Y23)</f>
        <v>1.3888888888907854E-4</v>
      </c>
    </row>
    <row r="26" spans="1:25" ht="18">
      <c r="A26" s="81"/>
      <c r="B26" s="81"/>
      <c r="C26" s="81"/>
      <c r="D26" s="81"/>
      <c r="E26" s="81"/>
      <c r="F26" s="81"/>
      <c r="G26" s="82"/>
      <c r="H26" s="82"/>
      <c r="I26" s="82"/>
      <c r="J26" s="88"/>
      <c r="K26" s="89"/>
      <c r="L26" s="85"/>
      <c r="M26" s="85"/>
      <c r="N26" s="897" t="s">
        <v>140</v>
      </c>
      <c r="O26" s="898"/>
      <c r="P26" s="898"/>
      <c r="Q26" s="898"/>
      <c r="R26" s="898"/>
      <c r="S26" s="898"/>
      <c r="T26" s="898"/>
      <c r="U26" s="898"/>
      <c r="V26" s="899"/>
      <c r="W26" s="221"/>
      <c r="X26" s="231">
        <f>SQRT(X25)</f>
        <v>0.2886753547815134</v>
      </c>
      <c r="Y26" s="222"/>
    </row>
    <row r="27" spans="1:25" ht="14">
      <c r="A27" s="71" t="s">
        <v>282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N27" s="897" t="s">
        <v>142</v>
      </c>
      <c r="O27" s="898"/>
      <c r="P27" s="898"/>
      <c r="Q27" s="898"/>
      <c r="R27" s="898"/>
      <c r="S27" s="898"/>
      <c r="T27" s="898"/>
      <c r="U27" s="898"/>
      <c r="V27" s="899"/>
      <c r="W27" s="232"/>
      <c r="X27" s="233">
        <f>X26^4/(Y25)</f>
        <v>50.000152549927236</v>
      </c>
      <c r="Y27" s="234"/>
    </row>
    <row r="28" spans="1:25" ht="21" customHeight="1">
      <c r="A28" s="73" t="s">
        <v>107</v>
      </c>
      <c r="B28" s="74" t="s">
        <v>108</v>
      </c>
      <c r="C28" s="75" t="s">
        <v>109</v>
      </c>
      <c r="D28" s="74" t="s">
        <v>117</v>
      </c>
      <c r="E28" s="76" t="s">
        <v>110</v>
      </c>
      <c r="F28" s="74" t="s">
        <v>112</v>
      </c>
      <c r="G28" s="75" t="s">
        <v>111</v>
      </c>
      <c r="H28" s="74" t="s">
        <v>113</v>
      </c>
      <c r="I28" s="75" t="s">
        <v>114</v>
      </c>
      <c r="J28" s="74" t="s">
        <v>115</v>
      </c>
      <c r="K28" s="86" t="s">
        <v>116</v>
      </c>
      <c r="N28" s="897" t="s">
        <v>148</v>
      </c>
      <c r="O28" s="898"/>
      <c r="P28" s="898"/>
      <c r="Q28" s="898"/>
      <c r="R28" s="898"/>
      <c r="S28" s="898"/>
      <c r="T28" s="898"/>
      <c r="U28" s="898"/>
      <c r="V28" s="899"/>
      <c r="W28" s="232"/>
      <c r="X28" s="235">
        <f>1.95996+(2.37356/X27)+(2.818745/X27^2)+(2.546662/X27^3)+(1.761829/X27^4)+(0.245458/X27^5)+(1.000764/X27^6)</f>
        <v>2.0085792021341473</v>
      </c>
      <c r="Y28" s="234"/>
    </row>
    <row r="29" spans="1:25" ht="21" customHeight="1">
      <c r="A29" s="77" t="s">
        <v>118</v>
      </c>
      <c r="B29" s="77" t="s">
        <v>119</v>
      </c>
      <c r="C29" s="77" t="s">
        <v>120</v>
      </c>
      <c r="D29" s="78">
        <f>ID!L76</f>
        <v>0</v>
      </c>
      <c r="E29" s="79">
        <f>SQRT(6)</f>
        <v>2.4494897427831779</v>
      </c>
      <c r="F29" s="79">
        <f>D29/E29</f>
        <v>0</v>
      </c>
      <c r="G29" s="83">
        <f>6-1</f>
        <v>5</v>
      </c>
      <c r="H29" s="83">
        <v>1</v>
      </c>
      <c r="I29" s="79">
        <f>F29*H29</f>
        <v>0</v>
      </c>
      <c r="J29" s="79">
        <f>I29^2</f>
        <v>0</v>
      </c>
      <c r="K29" s="79">
        <f>(J29^2)/G29</f>
        <v>0</v>
      </c>
      <c r="N29" s="897" t="s">
        <v>149</v>
      </c>
      <c r="O29" s="898"/>
      <c r="P29" s="898"/>
      <c r="Q29" s="898"/>
      <c r="R29" s="898"/>
      <c r="S29" s="898"/>
      <c r="T29" s="898"/>
      <c r="U29" s="898"/>
      <c r="V29" s="899"/>
      <c r="W29" s="232"/>
      <c r="X29" s="237">
        <f>X28*X26</f>
        <v>0.57982731378284413</v>
      </c>
      <c r="Y29" s="236" t="s">
        <v>150</v>
      </c>
    </row>
    <row r="30" spans="1:25" ht="21" customHeight="1">
      <c r="A30" s="77" t="s">
        <v>132</v>
      </c>
      <c r="B30" s="77" t="s">
        <v>119</v>
      </c>
      <c r="C30" s="77" t="s">
        <v>133</v>
      </c>
      <c r="D30" s="78">
        <f>'DATA SERTIFIKAT PS320'!D156</f>
        <v>3.3333333333333332E-4</v>
      </c>
      <c r="E30" s="79">
        <f>SQRT(3)</f>
        <v>1.7320508075688772</v>
      </c>
      <c r="F30" s="79">
        <f>D30/E30</f>
        <v>1.9245008972987527E-4</v>
      </c>
      <c r="G30" s="83">
        <v>50</v>
      </c>
      <c r="H30" s="83">
        <v>1</v>
      </c>
      <c r="I30" s="79">
        <f>F30*H30</f>
        <v>1.9245008972987527E-4</v>
      </c>
      <c r="J30" s="79">
        <f>I30^2</f>
        <v>3.7037037037037043E-8</v>
      </c>
      <c r="K30" s="79">
        <f>(J30^2)/G30</f>
        <v>2.7434842249657072E-17</v>
      </c>
      <c r="T30" s="18"/>
      <c r="U30" s="18"/>
      <c r="V30" s="18"/>
      <c r="W30" s="18"/>
    </row>
    <row r="31" spans="1:25" ht="21" customHeight="1">
      <c r="A31" s="77" t="s">
        <v>4</v>
      </c>
      <c r="B31" s="77" t="s">
        <v>119</v>
      </c>
      <c r="C31" s="77" t="s">
        <v>133</v>
      </c>
      <c r="D31" s="78">
        <f>ID!E7*0.5</f>
        <v>0.5</v>
      </c>
      <c r="E31" s="79">
        <f>SQRT(3)</f>
        <v>1.7320508075688772</v>
      </c>
      <c r="F31" s="79">
        <f>D31/E31</f>
        <v>0.28867513459481292</v>
      </c>
      <c r="G31" s="83">
        <v>50</v>
      </c>
      <c r="H31" s="83">
        <v>1</v>
      </c>
      <c r="I31" s="79">
        <f>F31*H31</f>
        <v>0.28867513459481292</v>
      </c>
      <c r="J31" s="79">
        <f>I31^2</f>
        <v>8.3333333333333356E-2</v>
      </c>
      <c r="K31" s="79">
        <f>(J31^2)/G31</f>
        <v>1.3888888888888897E-4</v>
      </c>
      <c r="N31" s="238" t="s">
        <v>282</v>
      </c>
    </row>
    <row r="32" spans="1:25" ht="21" customHeight="1">
      <c r="A32" s="77" t="s">
        <v>136</v>
      </c>
      <c r="B32" s="77" t="s">
        <v>119</v>
      </c>
      <c r="C32" s="77" t="s">
        <v>120</v>
      </c>
      <c r="D32" s="78">
        <f>FORECAST!N15</f>
        <v>9.1000000000000011E-4</v>
      </c>
      <c r="E32" s="79">
        <v>2</v>
      </c>
      <c r="F32" s="79">
        <f>D32/E32</f>
        <v>4.5500000000000006E-4</v>
      </c>
      <c r="G32" s="83">
        <v>50</v>
      </c>
      <c r="H32" s="83">
        <v>1</v>
      </c>
      <c r="I32" s="79">
        <f>F32*H32</f>
        <v>4.5500000000000006E-4</v>
      </c>
      <c r="J32" s="79">
        <f>I32^2</f>
        <v>2.0702500000000004E-7</v>
      </c>
      <c r="K32" s="79">
        <f>(J32^2)/G32</f>
        <v>8.5718701250000027E-16</v>
      </c>
      <c r="N32" s="886" t="s">
        <v>107</v>
      </c>
      <c r="O32" s="887"/>
      <c r="P32" s="205" t="s">
        <v>108</v>
      </c>
      <c r="Q32" s="205" t="s">
        <v>109</v>
      </c>
      <c r="R32" s="205" t="s">
        <v>117</v>
      </c>
      <c r="S32" s="205" t="s">
        <v>110</v>
      </c>
      <c r="T32" s="206" t="s">
        <v>273</v>
      </c>
      <c r="U32" s="205" t="s">
        <v>274</v>
      </c>
      <c r="V32" s="205" t="s">
        <v>275</v>
      </c>
      <c r="W32" s="205" t="s">
        <v>276</v>
      </c>
      <c r="X32" s="205" t="s">
        <v>277</v>
      </c>
      <c r="Y32" s="205" t="s">
        <v>278</v>
      </c>
    </row>
    <row r="33" spans="1:25" ht="21" customHeight="1">
      <c r="A33" s="890" t="s">
        <v>138</v>
      </c>
      <c r="B33" s="890"/>
      <c r="C33" s="890"/>
      <c r="D33" s="890"/>
      <c r="E33" s="890"/>
      <c r="F33" s="890"/>
      <c r="G33" s="890"/>
      <c r="H33" s="890"/>
      <c r="I33" s="890"/>
      <c r="J33" s="79">
        <f>SUM(J29:J32)</f>
        <v>8.3333577395370395E-2</v>
      </c>
      <c r="K33" s="79">
        <f>SUM(K29:K32)</f>
        <v>1.388888888897736E-4</v>
      </c>
      <c r="N33" s="888" t="s">
        <v>121</v>
      </c>
      <c r="O33" s="889"/>
      <c r="P33" s="207" t="s">
        <v>122</v>
      </c>
      <c r="Q33" s="207" t="s">
        <v>123</v>
      </c>
      <c r="R33" s="207" t="s">
        <v>124</v>
      </c>
      <c r="S33" s="207" t="s">
        <v>125</v>
      </c>
      <c r="T33" s="207" t="s">
        <v>126</v>
      </c>
      <c r="U33" s="207" t="s">
        <v>127</v>
      </c>
      <c r="V33" s="207" t="s">
        <v>128</v>
      </c>
      <c r="W33" s="207" t="s">
        <v>129</v>
      </c>
      <c r="X33" s="207" t="s">
        <v>130</v>
      </c>
      <c r="Y33" s="207" t="s">
        <v>131</v>
      </c>
    </row>
    <row r="34" spans="1:25" ht="21" customHeight="1">
      <c r="A34" s="890" t="s">
        <v>140</v>
      </c>
      <c r="B34" s="890"/>
      <c r="C34" s="890"/>
      <c r="D34" s="890"/>
      <c r="E34" s="890"/>
      <c r="F34" s="890"/>
      <c r="G34" s="891" t="s">
        <v>141</v>
      </c>
      <c r="H34" s="891"/>
      <c r="I34" s="891"/>
      <c r="J34" s="79">
        <f>SQRT(J33)</f>
        <v>0.28867555732235178</v>
      </c>
      <c r="K34" s="79"/>
      <c r="N34" s="208" t="s">
        <v>134</v>
      </c>
      <c r="O34" s="209"/>
      <c r="P34" s="210"/>
      <c r="Q34" s="211" t="s">
        <v>120</v>
      </c>
      <c r="R34" s="212">
        <f>D29</f>
        <v>0</v>
      </c>
      <c r="S34" s="213">
        <v>2.4500000000000002</v>
      </c>
      <c r="T34" s="214">
        <v>5</v>
      </c>
      <c r="U34" s="215">
        <f>R34/S34</f>
        <v>0</v>
      </c>
      <c r="V34" s="216">
        <v>1</v>
      </c>
      <c r="W34" s="217">
        <f>U34*V34</f>
        <v>0</v>
      </c>
      <c r="X34" s="218">
        <f>W34^2</f>
        <v>0</v>
      </c>
      <c r="Y34" s="219">
        <f>W34^4/T34</f>
        <v>0</v>
      </c>
    </row>
    <row r="35" spans="1:25" ht="21" customHeight="1">
      <c r="A35" s="890" t="s">
        <v>142</v>
      </c>
      <c r="B35" s="890"/>
      <c r="C35" s="890"/>
      <c r="D35" s="890"/>
      <c r="E35" s="890"/>
      <c r="F35" s="890"/>
      <c r="G35" s="892" t="s">
        <v>143</v>
      </c>
      <c r="H35" s="892"/>
      <c r="I35" s="892"/>
      <c r="J35" s="79">
        <f>J34^4/(K33)</f>
        <v>50.000292874554873</v>
      </c>
      <c r="K35" s="79"/>
      <c r="N35" s="208" t="s">
        <v>135</v>
      </c>
      <c r="O35" s="209"/>
      <c r="P35" s="220"/>
      <c r="Q35" s="211" t="s">
        <v>133</v>
      </c>
      <c r="R35" s="212">
        <f t="shared" ref="R35:R37" si="2">D30</f>
        <v>3.3333333333333332E-4</v>
      </c>
      <c r="S35" s="213">
        <v>1.73</v>
      </c>
      <c r="T35" s="214">
        <v>50</v>
      </c>
      <c r="U35" s="221">
        <f>R35/S35</f>
        <v>1.9267822736030829E-4</v>
      </c>
      <c r="V35" s="214">
        <v>1</v>
      </c>
      <c r="W35" s="221">
        <f>U35*V35</f>
        <v>1.9267822736030829E-4</v>
      </c>
      <c r="X35" s="222">
        <f>W35^2</f>
        <v>3.7124899298710656E-8</v>
      </c>
      <c r="Y35" s="223">
        <f>W35^4/T35</f>
        <v>2.7565162958788137E-17</v>
      </c>
    </row>
    <row r="36" spans="1:25" ht="21" customHeight="1">
      <c r="A36" s="890" t="s">
        <v>144</v>
      </c>
      <c r="B36" s="890"/>
      <c r="C36" s="890"/>
      <c r="D36" s="890"/>
      <c r="E36" s="890"/>
      <c r="F36" s="890"/>
      <c r="G36" s="893" t="s">
        <v>145</v>
      </c>
      <c r="H36" s="893"/>
      <c r="I36" s="893"/>
      <c r="J36" s="79">
        <f>1.95996+(2.37356/J35)+(2.818745/J35^2)+(2.546662/J35^3)+(1.761829/J35^4)+(0.245458/J35^5)+(1.000764/J35^6)</f>
        <v>2.0085790624045137</v>
      </c>
      <c r="K36" s="79"/>
      <c r="N36" s="208" t="s">
        <v>137</v>
      </c>
      <c r="O36" s="209"/>
      <c r="P36" s="220"/>
      <c r="Q36" s="211" t="s">
        <v>133</v>
      </c>
      <c r="R36" s="212">
        <f t="shared" si="2"/>
        <v>0.5</v>
      </c>
      <c r="S36" s="224">
        <f>SQRT(3)</f>
        <v>1.7320508075688772</v>
      </c>
      <c r="T36" s="214">
        <v>50</v>
      </c>
      <c r="U36" s="225">
        <f>R36/S36</f>
        <v>0.28867513459481292</v>
      </c>
      <c r="V36" s="214">
        <v>1</v>
      </c>
      <c r="W36" s="225">
        <f>U36*V36</f>
        <v>0.28867513459481292</v>
      </c>
      <c r="X36" s="222">
        <f>W36^2</f>
        <v>8.3333333333333356E-2</v>
      </c>
      <c r="Y36" s="222">
        <f>W36^4/T36</f>
        <v>1.3888888888888897E-4</v>
      </c>
    </row>
    <row r="37" spans="1:25" ht="21" customHeight="1">
      <c r="A37" s="890" t="s">
        <v>146</v>
      </c>
      <c r="B37" s="890"/>
      <c r="C37" s="890"/>
      <c r="D37" s="890"/>
      <c r="E37" s="890"/>
      <c r="F37" s="890"/>
      <c r="G37" s="893" t="s">
        <v>147</v>
      </c>
      <c r="H37" s="893"/>
      <c r="I37" s="893"/>
      <c r="J37" s="239">
        <f>J36*J34</f>
        <v>0.57982768026562981</v>
      </c>
      <c r="K37" s="87" t="s">
        <v>63</v>
      </c>
      <c r="N37" s="226" t="s">
        <v>139</v>
      </c>
      <c r="O37" s="209"/>
      <c r="P37" s="211"/>
      <c r="Q37" s="210" t="s">
        <v>120</v>
      </c>
      <c r="R37" s="224">
        <f t="shared" si="2"/>
        <v>9.1000000000000011E-4</v>
      </c>
      <c r="S37" s="224">
        <v>2</v>
      </c>
      <c r="T37" s="214">
        <v>50</v>
      </c>
      <c r="U37" s="221">
        <f>R37/S37</f>
        <v>4.5500000000000006E-4</v>
      </c>
      <c r="V37" s="214">
        <v>1</v>
      </c>
      <c r="W37" s="221">
        <f>U37*V37</f>
        <v>4.5500000000000006E-4</v>
      </c>
      <c r="X37" s="222">
        <f>W37^2</f>
        <v>2.0702500000000004E-7</v>
      </c>
      <c r="Y37" s="222">
        <f>W37^4/T37</f>
        <v>8.5718701250000027E-16</v>
      </c>
    </row>
    <row r="38" spans="1:25" ht="14">
      <c r="A38" s="81"/>
      <c r="B38" s="81"/>
      <c r="C38" s="81"/>
      <c r="D38" s="81"/>
      <c r="E38" s="81"/>
      <c r="F38" s="81"/>
      <c r="G38" s="82"/>
      <c r="H38" s="82"/>
      <c r="I38" s="82"/>
      <c r="J38" s="13"/>
      <c r="K38" s="90"/>
      <c r="N38" s="229"/>
      <c r="O38" s="227"/>
      <c r="P38" s="230"/>
      <c r="Q38" s="214"/>
      <c r="R38" s="228"/>
      <c r="S38" s="224"/>
      <c r="T38" s="214"/>
      <c r="U38" s="221"/>
      <c r="V38" s="214"/>
      <c r="W38" s="221"/>
      <c r="X38" s="222"/>
      <c r="Y38" s="222"/>
    </row>
    <row r="39" spans="1:25" ht="13">
      <c r="A39" s="71" t="s">
        <v>283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N39" s="897" t="s">
        <v>138</v>
      </c>
      <c r="O39" s="898"/>
      <c r="P39" s="898"/>
      <c r="Q39" s="898"/>
      <c r="R39" s="898"/>
      <c r="S39" s="898"/>
      <c r="T39" s="898"/>
      <c r="U39" s="898"/>
      <c r="V39" s="899"/>
      <c r="W39" s="221"/>
      <c r="X39" s="222">
        <f>SUM(X34:X37)</f>
        <v>8.3333577483232654E-2</v>
      </c>
      <c r="Y39" s="222">
        <f>SUM(Y34:Y37)</f>
        <v>1.3888888888977373E-4</v>
      </c>
    </row>
    <row r="40" spans="1:25" ht="21.75" customHeight="1">
      <c r="A40" s="73" t="s">
        <v>107</v>
      </c>
      <c r="B40" s="74" t="s">
        <v>108</v>
      </c>
      <c r="C40" s="75" t="s">
        <v>109</v>
      </c>
      <c r="D40" s="74" t="s">
        <v>117</v>
      </c>
      <c r="E40" s="76" t="s">
        <v>110</v>
      </c>
      <c r="F40" s="74" t="s">
        <v>112</v>
      </c>
      <c r="G40" s="75" t="s">
        <v>111</v>
      </c>
      <c r="H40" s="74" t="s">
        <v>113</v>
      </c>
      <c r="I40" s="75" t="s">
        <v>114</v>
      </c>
      <c r="J40" s="74" t="s">
        <v>115</v>
      </c>
      <c r="K40" s="86" t="s">
        <v>116</v>
      </c>
      <c r="N40" s="897" t="s">
        <v>140</v>
      </c>
      <c r="O40" s="898"/>
      <c r="P40" s="898"/>
      <c r="Q40" s="898"/>
      <c r="R40" s="898"/>
      <c r="S40" s="898"/>
      <c r="T40" s="898"/>
      <c r="U40" s="898"/>
      <c r="V40" s="899"/>
      <c r="W40" s="221"/>
      <c r="X40" s="231">
        <f>SQRT(X39)</f>
        <v>0.28867555747453344</v>
      </c>
      <c r="Y40" s="222"/>
    </row>
    <row r="41" spans="1:25" ht="21.75" customHeight="1">
      <c r="A41" s="77" t="s">
        <v>118</v>
      </c>
      <c r="B41" s="77" t="s">
        <v>119</v>
      </c>
      <c r="C41" s="77" t="s">
        <v>120</v>
      </c>
      <c r="D41" s="84">
        <f>ID!L77</f>
        <v>0</v>
      </c>
      <c r="E41" s="79">
        <f>SQRT(6)</f>
        <v>2.4494897427831779</v>
      </c>
      <c r="F41" s="79">
        <f>D41/E41</f>
        <v>0</v>
      </c>
      <c r="G41" s="83">
        <f>6-1</f>
        <v>5</v>
      </c>
      <c r="H41" s="83">
        <v>1</v>
      </c>
      <c r="I41" s="79">
        <f>F41*H41</f>
        <v>0</v>
      </c>
      <c r="J41" s="79">
        <f>I41^2</f>
        <v>0</v>
      </c>
      <c r="K41" s="79">
        <f>(J41^2)/G41</f>
        <v>0</v>
      </c>
      <c r="N41" s="897" t="s">
        <v>142</v>
      </c>
      <c r="O41" s="898"/>
      <c r="P41" s="898"/>
      <c r="Q41" s="898"/>
      <c r="R41" s="898"/>
      <c r="S41" s="898"/>
      <c r="T41" s="898"/>
      <c r="U41" s="898"/>
      <c r="V41" s="899"/>
      <c r="W41" s="232"/>
      <c r="X41" s="233">
        <f>X40^4/(Y39)</f>
        <v>50.00029297998983</v>
      </c>
      <c r="Y41" s="234"/>
    </row>
    <row r="42" spans="1:25" ht="21.75" customHeight="1">
      <c r="A42" s="77" t="s">
        <v>132</v>
      </c>
      <c r="B42" s="77" t="s">
        <v>119</v>
      </c>
      <c r="C42" s="77" t="s">
        <v>133</v>
      </c>
      <c r="D42" s="84">
        <f>'DATA SERTIFIKAT PS320'!D157</f>
        <v>3.3333333333333332E-4</v>
      </c>
      <c r="E42" s="79">
        <f>SQRT(3)</f>
        <v>1.7320508075688772</v>
      </c>
      <c r="F42" s="79">
        <f>D42/E42</f>
        <v>1.9245008972987527E-4</v>
      </c>
      <c r="G42" s="83">
        <v>50</v>
      </c>
      <c r="H42" s="83">
        <v>1</v>
      </c>
      <c r="I42" s="79">
        <f>F42*H42</f>
        <v>1.9245008972987527E-4</v>
      </c>
      <c r="J42" s="79">
        <f>I42^2</f>
        <v>3.7037037037037043E-8</v>
      </c>
      <c r="K42" s="79">
        <f>(J42^2)/G42</f>
        <v>2.7434842249657072E-17</v>
      </c>
      <c r="N42" s="897" t="s">
        <v>148</v>
      </c>
      <c r="O42" s="898"/>
      <c r="P42" s="898"/>
      <c r="Q42" s="898"/>
      <c r="R42" s="898"/>
      <c r="S42" s="898"/>
      <c r="T42" s="898"/>
      <c r="U42" s="898"/>
      <c r="V42" s="899"/>
      <c r="W42" s="232"/>
      <c r="X42" s="235">
        <f>1.95996+(2.37356/X41)+(2.818745/X41^2)+(2.546662/X41^3)+(1.761829/X41^4)+(0.245458/X41^5)+(1.000764/X41^6)</f>
        <v>2.0085790622995261</v>
      </c>
      <c r="Y42" s="234"/>
    </row>
    <row r="43" spans="1:25" ht="21.75" customHeight="1">
      <c r="A43" s="77" t="s">
        <v>4</v>
      </c>
      <c r="B43" s="77" t="s">
        <v>119</v>
      </c>
      <c r="C43" s="77" t="s">
        <v>133</v>
      </c>
      <c r="D43" s="84">
        <f>ID!E7*0.5</f>
        <v>0.5</v>
      </c>
      <c r="E43" s="79">
        <f>SQRT(3)</f>
        <v>1.7320508075688772</v>
      </c>
      <c r="F43" s="79">
        <f>D43/E43</f>
        <v>0.28867513459481292</v>
      </c>
      <c r="G43" s="83">
        <v>50</v>
      </c>
      <c r="H43" s="83">
        <v>1</v>
      </c>
      <c r="I43" s="79">
        <f>F43*H43</f>
        <v>0.28867513459481292</v>
      </c>
      <c r="J43" s="79">
        <f>I43^2</f>
        <v>8.3333333333333356E-2</v>
      </c>
      <c r="K43" s="79">
        <f>(J43^2)/G43</f>
        <v>1.3888888888888897E-4</v>
      </c>
      <c r="N43" s="897" t="s">
        <v>149</v>
      </c>
      <c r="O43" s="898"/>
      <c r="P43" s="898"/>
      <c r="Q43" s="898"/>
      <c r="R43" s="898"/>
      <c r="S43" s="898"/>
      <c r="T43" s="898"/>
      <c r="U43" s="898"/>
      <c r="V43" s="899"/>
      <c r="W43" s="232"/>
      <c r="X43" s="237">
        <f>X42*X40</f>
        <v>0.57982768054099132</v>
      </c>
      <c r="Y43" s="236" t="s">
        <v>150</v>
      </c>
    </row>
    <row r="44" spans="1:25" ht="21.75" customHeight="1">
      <c r="A44" s="77" t="s">
        <v>136</v>
      </c>
      <c r="B44" s="77" t="s">
        <v>119</v>
      </c>
      <c r="C44" s="77" t="s">
        <v>120</v>
      </c>
      <c r="D44" s="84">
        <f>FORECAST!N16</f>
        <v>1.2000000000000001E-3</v>
      </c>
      <c r="E44" s="79">
        <v>2</v>
      </c>
      <c r="F44" s="79">
        <f>D44/E44</f>
        <v>6.0000000000000006E-4</v>
      </c>
      <c r="G44" s="83">
        <v>50</v>
      </c>
      <c r="H44" s="83">
        <v>1</v>
      </c>
      <c r="I44" s="79">
        <f>F44*H44</f>
        <v>6.0000000000000006E-4</v>
      </c>
      <c r="J44" s="79">
        <f>I44^2</f>
        <v>3.6000000000000005E-7</v>
      </c>
      <c r="K44" s="79">
        <f>(J44^2)/G44</f>
        <v>2.5920000000000003E-15</v>
      </c>
    </row>
    <row r="45" spans="1:25" ht="21.75" customHeight="1">
      <c r="A45" s="890" t="s">
        <v>138</v>
      </c>
      <c r="B45" s="890"/>
      <c r="C45" s="890"/>
      <c r="D45" s="890"/>
      <c r="E45" s="890"/>
      <c r="F45" s="890"/>
      <c r="G45" s="890"/>
      <c r="H45" s="890"/>
      <c r="I45" s="890"/>
      <c r="J45" s="79">
        <f>SUM(J41:J44)</f>
        <v>8.3333730370370396E-2</v>
      </c>
      <c r="K45" s="79">
        <f>SUM(K41:K44)</f>
        <v>1.388888888915084E-4</v>
      </c>
      <c r="N45" s="238" t="s">
        <v>283</v>
      </c>
    </row>
    <row r="46" spans="1:25" ht="21.75" customHeight="1">
      <c r="A46" s="890" t="s">
        <v>140</v>
      </c>
      <c r="B46" s="890"/>
      <c r="C46" s="890"/>
      <c r="D46" s="890"/>
      <c r="E46" s="890"/>
      <c r="F46" s="890"/>
      <c r="G46" s="891" t="s">
        <v>141</v>
      </c>
      <c r="H46" s="891"/>
      <c r="I46" s="891"/>
      <c r="J46" s="79">
        <f>SQRT(J45)</f>
        <v>0.28867582228231448</v>
      </c>
      <c r="K46" s="79"/>
      <c r="N46" s="886" t="s">
        <v>107</v>
      </c>
      <c r="O46" s="887"/>
      <c r="P46" s="205" t="s">
        <v>108</v>
      </c>
      <c r="Q46" s="205" t="s">
        <v>109</v>
      </c>
      <c r="R46" s="205" t="s">
        <v>117</v>
      </c>
      <c r="S46" s="205" t="s">
        <v>110</v>
      </c>
      <c r="T46" s="206" t="s">
        <v>273</v>
      </c>
      <c r="U46" s="205" t="s">
        <v>274</v>
      </c>
      <c r="V46" s="205" t="s">
        <v>275</v>
      </c>
      <c r="W46" s="205" t="s">
        <v>276</v>
      </c>
      <c r="X46" s="205" t="s">
        <v>277</v>
      </c>
      <c r="Y46" s="205" t="s">
        <v>278</v>
      </c>
    </row>
    <row r="47" spans="1:25" ht="21.75" customHeight="1">
      <c r="A47" s="890" t="s">
        <v>142</v>
      </c>
      <c r="B47" s="890"/>
      <c r="C47" s="890"/>
      <c r="D47" s="890"/>
      <c r="E47" s="890"/>
      <c r="F47" s="890"/>
      <c r="G47" s="892" t="s">
        <v>143</v>
      </c>
      <c r="H47" s="892"/>
      <c r="I47" s="892"/>
      <c r="J47" s="79">
        <f>J46^4/(K45)</f>
        <v>50.000476444636455</v>
      </c>
      <c r="K47" s="79"/>
      <c r="N47" s="888" t="s">
        <v>121</v>
      </c>
      <c r="O47" s="889"/>
      <c r="P47" s="207" t="s">
        <v>122</v>
      </c>
      <c r="Q47" s="207" t="s">
        <v>123</v>
      </c>
      <c r="R47" s="207" t="s">
        <v>124</v>
      </c>
      <c r="S47" s="207" t="s">
        <v>125</v>
      </c>
      <c r="T47" s="207" t="s">
        <v>126</v>
      </c>
      <c r="U47" s="207" t="s">
        <v>127</v>
      </c>
      <c r="V47" s="207" t="s">
        <v>128</v>
      </c>
      <c r="W47" s="207" t="s">
        <v>129</v>
      </c>
      <c r="X47" s="207" t="s">
        <v>130</v>
      </c>
      <c r="Y47" s="207" t="s">
        <v>131</v>
      </c>
    </row>
    <row r="48" spans="1:25" ht="21.75" customHeight="1">
      <c r="A48" s="890" t="s">
        <v>144</v>
      </c>
      <c r="B48" s="890"/>
      <c r="C48" s="890"/>
      <c r="D48" s="890"/>
      <c r="E48" s="890"/>
      <c r="F48" s="890"/>
      <c r="G48" s="893" t="s">
        <v>145</v>
      </c>
      <c r="H48" s="893"/>
      <c r="I48" s="893"/>
      <c r="J48" s="79">
        <f>1.95996+(2.37356/J47)+(2.818745/J47^2)+(2.546662/J47^3)+(1.761829/J47^4)+(0.245458/J47^5)+(1.000764/J47^6)</f>
        <v>2.0085788796140052</v>
      </c>
      <c r="K48" s="79"/>
      <c r="N48" s="208" t="s">
        <v>134</v>
      </c>
      <c r="O48" s="209"/>
      <c r="P48" s="210"/>
      <c r="Q48" s="211" t="s">
        <v>120</v>
      </c>
      <c r="R48" s="212">
        <f>D41</f>
        <v>0</v>
      </c>
      <c r="S48" s="213">
        <v>2.4500000000000002</v>
      </c>
      <c r="T48" s="214">
        <v>5</v>
      </c>
      <c r="U48" s="215">
        <f>R48/S48</f>
        <v>0</v>
      </c>
      <c r="V48" s="216">
        <v>1</v>
      </c>
      <c r="W48" s="217">
        <f>U48*V48</f>
        <v>0</v>
      </c>
      <c r="X48" s="218">
        <f>W48^2</f>
        <v>0</v>
      </c>
      <c r="Y48" s="219">
        <f>W48^4/T48</f>
        <v>0</v>
      </c>
    </row>
    <row r="49" spans="1:25" ht="21.75" customHeight="1">
      <c r="A49" s="890" t="s">
        <v>146</v>
      </c>
      <c r="B49" s="890"/>
      <c r="C49" s="890"/>
      <c r="D49" s="890"/>
      <c r="E49" s="890"/>
      <c r="F49" s="890"/>
      <c r="G49" s="893" t="s">
        <v>147</v>
      </c>
      <c r="H49" s="893"/>
      <c r="I49" s="893"/>
      <c r="J49" s="239">
        <f>J48*J46</f>
        <v>0.57982815969146284</v>
      </c>
      <c r="K49" s="87" t="s">
        <v>63</v>
      </c>
      <c r="N49" s="208" t="s">
        <v>135</v>
      </c>
      <c r="O49" s="209"/>
      <c r="P49" s="220"/>
      <c r="Q49" s="211" t="s">
        <v>133</v>
      </c>
      <c r="R49" s="212">
        <f t="shared" ref="R49:R51" si="3">D42</f>
        <v>3.3333333333333332E-4</v>
      </c>
      <c r="S49" s="213">
        <v>1.73</v>
      </c>
      <c r="T49" s="214">
        <v>50</v>
      </c>
      <c r="U49" s="221">
        <f>R49/S49</f>
        <v>1.9267822736030829E-4</v>
      </c>
      <c r="V49" s="214">
        <v>1</v>
      </c>
      <c r="W49" s="221">
        <f>U49*V49</f>
        <v>1.9267822736030829E-4</v>
      </c>
      <c r="X49" s="222">
        <f>W49^2</f>
        <v>3.7124899298710656E-8</v>
      </c>
      <c r="Y49" s="223">
        <f>W49^4/T49</f>
        <v>2.7565162958788137E-17</v>
      </c>
    </row>
    <row r="50" spans="1:25" ht="21.75" customHeight="1">
      <c r="A50" s="81"/>
      <c r="B50" s="81"/>
      <c r="C50" s="81"/>
      <c r="D50" s="81"/>
      <c r="E50" s="81"/>
      <c r="F50" s="81"/>
      <c r="G50" s="82"/>
      <c r="H50" s="82"/>
      <c r="I50" s="82"/>
      <c r="J50" s="88"/>
      <c r="K50" s="89"/>
      <c r="N50" s="208" t="s">
        <v>137</v>
      </c>
      <c r="O50" s="209"/>
      <c r="P50" s="220"/>
      <c r="Q50" s="211" t="s">
        <v>133</v>
      </c>
      <c r="R50" s="212">
        <f t="shared" si="3"/>
        <v>0.5</v>
      </c>
      <c r="S50" s="224">
        <f>SQRT(3)</f>
        <v>1.7320508075688772</v>
      </c>
      <c r="T50" s="214">
        <v>50</v>
      </c>
      <c r="U50" s="225">
        <f>R50/S50</f>
        <v>0.28867513459481292</v>
      </c>
      <c r="V50" s="214">
        <v>1</v>
      </c>
      <c r="W50" s="225">
        <f>U50*V50</f>
        <v>0.28867513459481292</v>
      </c>
      <c r="X50" s="222">
        <f>W50^2</f>
        <v>8.3333333333333356E-2</v>
      </c>
      <c r="Y50" s="222">
        <f>W50^4/T50</f>
        <v>1.3888888888888897E-4</v>
      </c>
    </row>
    <row r="51" spans="1:25" ht="21.75" customHeight="1">
      <c r="A51" s="71" t="s">
        <v>284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N51" s="226" t="s">
        <v>139</v>
      </c>
      <c r="O51" s="209"/>
      <c r="P51" s="211"/>
      <c r="Q51" s="210" t="s">
        <v>120</v>
      </c>
      <c r="R51" s="224">
        <f t="shared" si="3"/>
        <v>1.2000000000000001E-3</v>
      </c>
      <c r="S51" s="224">
        <v>2</v>
      </c>
      <c r="T51" s="214">
        <v>50</v>
      </c>
      <c r="U51" s="221">
        <f>R51/S51</f>
        <v>6.0000000000000006E-4</v>
      </c>
      <c r="V51" s="214">
        <v>1</v>
      </c>
      <c r="W51" s="221">
        <f>U51*V51</f>
        <v>6.0000000000000006E-4</v>
      </c>
      <c r="X51" s="222">
        <f>W51^2</f>
        <v>3.6000000000000005E-7</v>
      </c>
      <c r="Y51" s="222">
        <f>W51^4/T51</f>
        <v>2.5920000000000003E-15</v>
      </c>
    </row>
    <row r="52" spans="1:25" ht="21.75" customHeight="1">
      <c r="A52" s="73" t="s">
        <v>107</v>
      </c>
      <c r="B52" s="74" t="s">
        <v>108</v>
      </c>
      <c r="C52" s="75" t="s">
        <v>109</v>
      </c>
      <c r="D52" s="74" t="s">
        <v>117</v>
      </c>
      <c r="E52" s="76" t="s">
        <v>110</v>
      </c>
      <c r="F52" s="74" t="s">
        <v>112</v>
      </c>
      <c r="G52" s="75" t="s">
        <v>111</v>
      </c>
      <c r="H52" s="74" t="s">
        <v>113</v>
      </c>
      <c r="I52" s="75" t="s">
        <v>114</v>
      </c>
      <c r="J52" s="74" t="s">
        <v>115</v>
      </c>
      <c r="K52" s="86" t="s">
        <v>116</v>
      </c>
      <c r="N52" s="229"/>
      <c r="O52" s="227"/>
      <c r="P52" s="230"/>
      <c r="Q52" s="214"/>
      <c r="R52" s="228"/>
      <c r="S52" s="224"/>
      <c r="T52" s="214"/>
      <c r="U52" s="221"/>
      <c r="V52" s="214"/>
      <c r="W52" s="221"/>
      <c r="X52" s="222"/>
      <c r="Y52" s="222"/>
    </row>
    <row r="53" spans="1:25" ht="21.75" customHeight="1">
      <c r="A53" s="77" t="s">
        <v>118</v>
      </c>
      <c r="B53" s="77" t="s">
        <v>119</v>
      </c>
      <c r="C53" s="77" t="s">
        <v>120</v>
      </c>
      <c r="D53" s="78">
        <f>ID!L78</f>
        <v>0</v>
      </c>
      <c r="E53" s="79">
        <f>SQRT(6)</f>
        <v>2.4494897427831779</v>
      </c>
      <c r="F53" s="79">
        <f>D53/E53</f>
        <v>0</v>
      </c>
      <c r="G53" s="83">
        <f>6-1</f>
        <v>5</v>
      </c>
      <c r="H53" s="83">
        <v>1</v>
      </c>
      <c r="I53" s="79">
        <f>F53*H53</f>
        <v>0</v>
      </c>
      <c r="J53" s="79">
        <f>I53^2</f>
        <v>0</v>
      </c>
      <c r="K53" s="79">
        <f>(J53^2)/G53</f>
        <v>0</v>
      </c>
      <c r="N53" s="897" t="s">
        <v>138</v>
      </c>
      <c r="O53" s="898"/>
      <c r="P53" s="898"/>
      <c r="Q53" s="898"/>
      <c r="R53" s="898"/>
      <c r="S53" s="898"/>
      <c r="T53" s="898"/>
      <c r="U53" s="898"/>
      <c r="V53" s="899"/>
      <c r="W53" s="221"/>
      <c r="X53" s="222">
        <f>SUM(X48:X51)</f>
        <v>8.3333730458232655E-2</v>
      </c>
      <c r="Y53" s="222">
        <f>SUM(Y48:Y51)</f>
        <v>1.3888888889150854E-4</v>
      </c>
    </row>
    <row r="54" spans="1:25" ht="21.75" customHeight="1">
      <c r="A54" s="77" t="s">
        <v>151</v>
      </c>
      <c r="B54" s="77" t="s">
        <v>119</v>
      </c>
      <c r="C54" s="77" t="s">
        <v>133</v>
      </c>
      <c r="D54" s="78">
        <f>'DATA SERTIFIKAT PS320'!D158</f>
        <v>3.3333333333333332E-4</v>
      </c>
      <c r="E54" s="79">
        <f>SQRT(3)</f>
        <v>1.7320508075688772</v>
      </c>
      <c r="F54" s="79">
        <f>D54/E54</f>
        <v>1.9245008972987527E-4</v>
      </c>
      <c r="G54" s="83">
        <v>50</v>
      </c>
      <c r="H54" s="83">
        <v>1</v>
      </c>
      <c r="I54" s="79">
        <f>F54*H54</f>
        <v>1.9245008972987527E-4</v>
      </c>
      <c r="J54" s="79">
        <f>I54^2</f>
        <v>3.7037037037037043E-8</v>
      </c>
      <c r="K54" s="79">
        <f>(J54^2)/G54</f>
        <v>2.7434842249657072E-17</v>
      </c>
      <c r="N54" s="897" t="s">
        <v>140</v>
      </c>
      <c r="O54" s="898"/>
      <c r="P54" s="898"/>
      <c r="Q54" s="898"/>
      <c r="R54" s="898"/>
      <c r="S54" s="898"/>
      <c r="T54" s="898"/>
      <c r="U54" s="898"/>
      <c r="V54" s="899"/>
      <c r="W54" s="221"/>
      <c r="X54" s="231">
        <f>SQRT(X53)</f>
        <v>0.28867582243449597</v>
      </c>
      <c r="Y54" s="222"/>
    </row>
    <row r="55" spans="1:25" ht="21.75" customHeight="1">
      <c r="A55" s="77" t="s">
        <v>4</v>
      </c>
      <c r="B55" s="77" t="s">
        <v>119</v>
      </c>
      <c r="C55" s="77" t="s">
        <v>133</v>
      </c>
      <c r="D55" s="78">
        <f>ID!E7*0.5</f>
        <v>0.5</v>
      </c>
      <c r="E55" s="79">
        <f>SQRT(3)</f>
        <v>1.7320508075688772</v>
      </c>
      <c r="F55" s="79">
        <f>D55/E55</f>
        <v>0.28867513459481292</v>
      </c>
      <c r="G55" s="83">
        <v>50</v>
      </c>
      <c r="H55" s="83">
        <v>1</v>
      </c>
      <c r="I55" s="79">
        <f>F55*H55</f>
        <v>0.28867513459481292</v>
      </c>
      <c r="J55" s="79">
        <f>I55^2</f>
        <v>8.3333333333333356E-2</v>
      </c>
      <c r="K55" s="79">
        <f>(J55^2)/G55</f>
        <v>1.3888888888888897E-4</v>
      </c>
      <c r="N55" s="897" t="s">
        <v>142</v>
      </c>
      <c r="O55" s="898"/>
      <c r="P55" s="898"/>
      <c r="Q55" s="898"/>
      <c r="R55" s="898"/>
      <c r="S55" s="898"/>
      <c r="T55" s="898"/>
      <c r="U55" s="898"/>
      <c r="V55" s="899"/>
      <c r="W55" s="232"/>
      <c r="X55" s="233">
        <f>X54^4/(Y53)</f>
        <v>50.000476550071582</v>
      </c>
      <c r="Y55" s="234"/>
    </row>
    <row r="56" spans="1:25" ht="21.75" customHeight="1">
      <c r="A56" s="77" t="s">
        <v>136</v>
      </c>
      <c r="B56" s="77" t="s">
        <v>119</v>
      </c>
      <c r="C56" s="77" t="s">
        <v>120</v>
      </c>
      <c r="D56" s="78">
        <f>FORECAST!N17</f>
        <v>1.5E-3</v>
      </c>
      <c r="E56" s="79">
        <v>2</v>
      </c>
      <c r="F56" s="79">
        <f>D56/E56</f>
        <v>7.5000000000000002E-4</v>
      </c>
      <c r="G56" s="83">
        <v>50</v>
      </c>
      <c r="H56" s="83">
        <v>1</v>
      </c>
      <c r="I56" s="79">
        <f>F56*H56</f>
        <v>7.5000000000000002E-4</v>
      </c>
      <c r="J56" s="79">
        <f>I56^2</f>
        <v>5.6250000000000001E-7</v>
      </c>
      <c r="K56" s="79">
        <f>(J56^2)/G56</f>
        <v>6.3281250000000006E-15</v>
      </c>
      <c r="N56" s="897" t="s">
        <v>148</v>
      </c>
      <c r="O56" s="898"/>
      <c r="P56" s="898"/>
      <c r="Q56" s="898"/>
      <c r="R56" s="898"/>
      <c r="S56" s="898"/>
      <c r="T56" s="898"/>
      <c r="U56" s="898"/>
      <c r="V56" s="899"/>
      <c r="W56" s="232"/>
      <c r="X56" s="235">
        <f>1.95996+(2.37356/X55)+(2.818745/X55^2)+(2.546662/X55^3)+(1.761829/X55^4)+(0.245458/X55^5)+(1.000764/X55^6)</f>
        <v>2.0085788795090185</v>
      </c>
      <c r="Y56" s="234"/>
    </row>
    <row r="57" spans="1:25" ht="21.75" customHeight="1">
      <c r="A57" s="890" t="s">
        <v>138</v>
      </c>
      <c r="B57" s="890"/>
      <c r="C57" s="890"/>
      <c r="D57" s="890"/>
      <c r="E57" s="890"/>
      <c r="F57" s="890"/>
      <c r="G57" s="890"/>
      <c r="H57" s="890"/>
      <c r="I57" s="890"/>
      <c r="J57" s="79">
        <f>SUM(J53:J56)</f>
        <v>8.3333932870370386E-2</v>
      </c>
      <c r="K57" s="79">
        <f>SUM(K53:K56)</f>
        <v>1.3888888889524454E-4</v>
      </c>
      <c r="N57" s="897" t="s">
        <v>149</v>
      </c>
      <c r="O57" s="898"/>
      <c r="P57" s="898"/>
      <c r="Q57" s="898"/>
      <c r="R57" s="898"/>
      <c r="S57" s="898"/>
      <c r="T57" s="898"/>
      <c r="U57" s="898"/>
      <c r="V57" s="899"/>
      <c r="W57" s="232"/>
      <c r="X57" s="237">
        <f>X56*X54</f>
        <v>0.57982815996682424</v>
      </c>
      <c r="Y57" s="236" t="s">
        <v>150</v>
      </c>
    </row>
    <row r="58" spans="1:25" ht="21.75" customHeight="1">
      <c r="A58" s="890" t="s">
        <v>140</v>
      </c>
      <c r="B58" s="890"/>
      <c r="C58" s="890"/>
      <c r="D58" s="890"/>
      <c r="E58" s="890"/>
      <c r="F58" s="890"/>
      <c r="G58" s="891" t="s">
        <v>141</v>
      </c>
      <c r="H58" s="891"/>
      <c r="I58" s="891"/>
      <c r="J58" s="79">
        <f>SQRT(J57)</f>
        <v>0.28867617302155435</v>
      </c>
      <c r="K58" s="79"/>
    </row>
    <row r="59" spans="1:25" ht="21.75" customHeight="1">
      <c r="A59" s="890" t="s">
        <v>142</v>
      </c>
      <c r="B59" s="890"/>
      <c r="C59" s="890"/>
      <c r="D59" s="890"/>
      <c r="E59" s="890"/>
      <c r="F59" s="890"/>
      <c r="G59" s="892" t="s">
        <v>143</v>
      </c>
      <c r="H59" s="892"/>
      <c r="I59" s="892"/>
      <c r="J59" s="79">
        <f>J58^4/(K57)</f>
        <v>50.000719444744398</v>
      </c>
      <c r="K59" s="79"/>
      <c r="N59" s="238" t="s">
        <v>284</v>
      </c>
    </row>
    <row r="60" spans="1:25" ht="21.75" customHeight="1">
      <c r="A60" s="890" t="s">
        <v>144</v>
      </c>
      <c r="B60" s="890"/>
      <c r="C60" s="890"/>
      <c r="D60" s="890"/>
      <c r="E60" s="890"/>
      <c r="F60" s="890"/>
      <c r="G60" s="893" t="s">
        <v>145</v>
      </c>
      <c r="H60" s="893"/>
      <c r="I60" s="893"/>
      <c r="J60" s="79">
        <f>1.95996+(2.37356/J59)+(2.818745/J59^2)+(2.546662/J59^3)+(1.761829/J59^4)+(0.245458/J59^5)+(1.000764/J59^6)</f>
        <v>2.0085786376479673</v>
      </c>
      <c r="K60" s="79"/>
      <c r="N60" s="886" t="s">
        <v>107</v>
      </c>
      <c r="O60" s="887"/>
      <c r="P60" s="205" t="s">
        <v>108</v>
      </c>
      <c r="Q60" s="205" t="s">
        <v>109</v>
      </c>
      <c r="R60" s="205" t="s">
        <v>117</v>
      </c>
      <c r="S60" s="205" t="s">
        <v>110</v>
      </c>
      <c r="T60" s="206" t="s">
        <v>273</v>
      </c>
      <c r="U60" s="205" t="s">
        <v>274</v>
      </c>
      <c r="V60" s="205" t="s">
        <v>275</v>
      </c>
      <c r="W60" s="205" t="s">
        <v>276</v>
      </c>
      <c r="X60" s="205" t="s">
        <v>277</v>
      </c>
      <c r="Y60" s="205" t="s">
        <v>278</v>
      </c>
    </row>
    <row r="61" spans="1:25" ht="21.75" customHeight="1">
      <c r="A61" s="890" t="s">
        <v>146</v>
      </c>
      <c r="B61" s="890"/>
      <c r="C61" s="890"/>
      <c r="D61" s="890"/>
      <c r="E61" s="890"/>
      <c r="F61" s="890"/>
      <c r="G61" s="893" t="s">
        <v>147</v>
      </c>
      <c r="H61" s="893"/>
      <c r="I61" s="893"/>
      <c r="J61" s="239">
        <f>J60*J58</f>
        <v>0.57982879432906254</v>
      </c>
      <c r="K61" s="87" t="s">
        <v>63</v>
      </c>
      <c r="N61" s="888" t="s">
        <v>121</v>
      </c>
      <c r="O61" s="889"/>
      <c r="P61" s="207" t="s">
        <v>122</v>
      </c>
      <c r="Q61" s="207" t="s">
        <v>123</v>
      </c>
      <c r="R61" s="207" t="s">
        <v>124</v>
      </c>
      <c r="S61" s="207" t="s">
        <v>125</v>
      </c>
      <c r="T61" s="207" t="s">
        <v>126</v>
      </c>
      <c r="U61" s="207" t="s">
        <v>127</v>
      </c>
      <c r="V61" s="207" t="s">
        <v>128</v>
      </c>
      <c r="W61" s="207" t="s">
        <v>129</v>
      </c>
      <c r="X61" s="207" t="s">
        <v>130</v>
      </c>
      <c r="Y61" s="207" t="s">
        <v>131</v>
      </c>
    </row>
    <row r="62" spans="1:25" ht="14">
      <c r="A62" s="81"/>
      <c r="B62" s="81"/>
      <c r="C62" s="81"/>
      <c r="D62" s="81"/>
      <c r="E62" s="81"/>
      <c r="F62" s="81"/>
      <c r="G62" s="82"/>
      <c r="H62" s="82"/>
      <c r="I62" s="82"/>
      <c r="J62" s="13"/>
      <c r="K62" s="90"/>
      <c r="N62" s="208" t="s">
        <v>134</v>
      </c>
      <c r="O62" s="209"/>
      <c r="P62" s="210"/>
      <c r="Q62" s="211" t="s">
        <v>120</v>
      </c>
      <c r="R62" s="212">
        <f>D53</f>
        <v>0</v>
      </c>
      <c r="S62" s="213">
        <v>2.4500000000000002</v>
      </c>
      <c r="T62" s="214">
        <v>5</v>
      </c>
      <c r="U62" s="215">
        <f>R62/S62</f>
        <v>0</v>
      </c>
      <c r="V62" s="216">
        <v>1</v>
      </c>
      <c r="W62" s="217">
        <f>U62*V62</f>
        <v>0</v>
      </c>
      <c r="X62" s="240">
        <f>W62^2</f>
        <v>0</v>
      </c>
      <c r="Y62" s="219">
        <f>W62^4/T62</f>
        <v>0</v>
      </c>
    </row>
    <row r="63" spans="1:25" ht="13">
      <c r="A63" s="71" t="s">
        <v>285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N63" s="208" t="s">
        <v>135</v>
      </c>
      <c r="O63" s="209"/>
      <c r="P63" s="220"/>
      <c r="Q63" s="211" t="s">
        <v>133</v>
      </c>
      <c r="R63" s="212">
        <f t="shared" ref="R63:R65" si="4">D54</f>
        <v>3.3333333333333332E-4</v>
      </c>
      <c r="S63" s="213">
        <v>1.73</v>
      </c>
      <c r="T63" s="214">
        <v>50</v>
      </c>
      <c r="U63" s="221">
        <f>R63/S63</f>
        <v>1.9267822736030829E-4</v>
      </c>
      <c r="V63" s="214">
        <v>1</v>
      </c>
      <c r="W63" s="221">
        <f>U63*V63</f>
        <v>1.9267822736030829E-4</v>
      </c>
      <c r="X63" s="231">
        <f>W63^2</f>
        <v>3.7124899298710656E-8</v>
      </c>
      <c r="Y63" s="223">
        <f>W63^4/T63</f>
        <v>2.7565162958788137E-17</v>
      </c>
    </row>
    <row r="64" spans="1:25" ht="18.75" customHeight="1">
      <c r="A64" s="73" t="s">
        <v>107</v>
      </c>
      <c r="B64" s="74" t="s">
        <v>108</v>
      </c>
      <c r="C64" s="75" t="s">
        <v>109</v>
      </c>
      <c r="D64" s="74" t="s">
        <v>117</v>
      </c>
      <c r="E64" s="76" t="s">
        <v>110</v>
      </c>
      <c r="F64" s="74" t="s">
        <v>112</v>
      </c>
      <c r="G64" s="75" t="s">
        <v>111</v>
      </c>
      <c r="H64" s="74" t="s">
        <v>113</v>
      </c>
      <c r="I64" s="75" t="s">
        <v>114</v>
      </c>
      <c r="J64" s="74" t="s">
        <v>115</v>
      </c>
      <c r="K64" s="86" t="s">
        <v>116</v>
      </c>
      <c r="N64" s="208" t="s">
        <v>137</v>
      </c>
      <c r="O64" s="209"/>
      <c r="P64" s="220"/>
      <c r="Q64" s="211" t="s">
        <v>133</v>
      </c>
      <c r="R64" s="212">
        <f t="shared" si="4"/>
        <v>0.5</v>
      </c>
      <c r="S64" s="224">
        <f>SQRT(3)</f>
        <v>1.7320508075688772</v>
      </c>
      <c r="T64" s="214">
        <v>50</v>
      </c>
      <c r="U64" s="225">
        <f>R64/S64</f>
        <v>0.28867513459481292</v>
      </c>
      <c r="V64" s="214">
        <v>1</v>
      </c>
      <c r="W64" s="225">
        <f>U64*V64</f>
        <v>0.28867513459481292</v>
      </c>
      <c r="X64" s="231">
        <f>W64^2</f>
        <v>8.3333333333333356E-2</v>
      </c>
      <c r="Y64" s="222">
        <f>W64^4/T64</f>
        <v>1.3888888888888897E-4</v>
      </c>
    </row>
    <row r="65" spans="1:25" ht="18.75" customHeight="1">
      <c r="A65" s="77" t="s">
        <v>118</v>
      </c>
      <c r="B65" s="77" t="s">
        <v>119</v>
      </c>
      <c r="C65" s="77" t="s">
        <v>120</v>
      </c>
      <c r="D65" s="78">
        <f>ID!L79</f>
        <v>0</v>
      </c>
      <c r="E65" s="79">
        <f>SQRT(6)</f>
        <v>2.4494897427831779</v>
      </c>
      <c r="F65" s="79">
        <f>D65/E65</f>
        <v>0</v>
      </c>
      <c r="G65" s="83">
        <f>6-1</f>
        <v>5</v>
      </c>
      <c r="H65" s="83">
        <v>1</v>
      </c>
      <c r="I65" s="79">
        <f>F65*H65</f>
        <v>0</v>
      </c>
      <c r="J65" s="79">
        <f>I65^2</f>
        <v>0</v>
      </c>
      <c r="K65" s="79">
        <f>(J65^2)/G65</f>
        <v>0</v>
      </c>
      <c r="N65" s="226" t="s">
        <v>139</v>
      </c>
      <c r="O65" s="209"/>
      <c r="P65" s="211"/>
      <c r="Q65" s="210" t="s">
        <v>120</v>
      </c>
      <c r="R65" s="224">
        <f t="shared" si="4"/>
        <v>1.5E-3</v>
      </c>
      <c r="S65" s="224">
        <v>2</v>
      </c>
      <c r="T65" s="214">
        <v>50</v>
      </c>
      <c r="U65" s="221">
        <f>R65/S65</f>
        <v>7.5000000000000002E-4</v>
      </c>
      <c r="V65" s="214">
        <v>1</v>
      </c>
      <c r="W65" s="221">
        <f>U65*V65</f>
        <v>7.5000000000000002E-4</v>
      </c>
      <c r="X65" s="231">
        <f>W65^2</f>
        <v>5.6250000000000001E-7</v>
      </c>
      <c r="Y65" s="222">
        <f>W65^4/T65</f>
        <v>6.3281250000000006E-15</v>
      </c>
    </row>
    <row r="66" spans="1:25" ht="18.75" customHeight="1">
      <c r="A66" s="77" t="s">
        <v>151</v>
      </c>
      <c r="B66" s="77" t="s">
        <v>119</v>
      </c>
      <c r="C66" s="77" t="s">
        <v>133</v>
      </c>
      <c r="D66" s="78">
        <f>'DATA SERTIFIKAT PS320'!D159</f>
        <v>3.3333333333333332E-4</v>
      </c>
      <c r="E66" s="79">
        <f>SQRT(3)</f>
        <v>1.7320508075688772</v>
      </c>
      <c r="F66" s="79">
        <f>D66/E66</f>
        <v>1.9245008972987527E-4</v>
      </c>
      <c r="G66" s="83">
        <v>50</v>
      </c>
      <c r="H66" s="83">
        <v>1</v>
      </c>
      <c r="I66" s="79">
        <f>F66*H66</f>
        <v>1.9245008972987527E-4</v>
      </c>
      <c r="J66" s="79">
        <f>I66^2</f>
        <v>3.7037037037037043E-8</v>
      </c>
      <c r="K66" s="79">
        <f>(J66^2)/G66</f>
        <v>2.7434842249657072E-17</v>
      </c>
      <c r="N66" s="229"/>
      <c r="O66" s="227"/>
      <c r="P66" s="230"/>
      <c r="Q66" s="214"/>
      <c r="R66" s="228"/>
      <c r="S66" s="224"/>
      <c r="T66" s="214"/>
      <c r="U66" s="221"/>
      <c r="V66" s="214"/>
      <c r="W66" s="221"/>
      <c r="X66" s="222"/>
      <c r="Y66" s="222"/>
    </row>
    <row r="67" spans="1:25" ht="18.75" customHeight="1">
      <c r="A67" s="77" t="s">
        <v>4</v>
      </c>
      <c r="B67" s="77" t="s">
        <v>119</v>
      </c>
      <c r="C67" s="77" t="s">
        <v>133</v>
      </c>
      <c r="D67" s="78">
        <f>ID!E7*0.5</f>
        <v>0.5</v>
      </c>
      <c r="E67" s="79">
        <f>SQRT(3)</f>
        <v>1.7320508075688772</v>
      </c>
      <c r="F67" s="79">
        <f>D67/E67</f>
        <v>0.28867513459481292</v>
      </c>
      <c r="G67" s="83">
        <v>50</v>
      </c>
      <c r="H67" s="83">
        <v>1</v>
      </c>
      <c r="I67" s="79">
        <f>F67*H67</f>
        <v>0.28867513459481292</v>
      </c>
      <c r="J67" s="79">
        <f>I67^2</f>
        <v>8.3333333333333356E-2</v>
      </c>
      <c r="K67" s="79">
        <f>(J67^2)/G67</f>
        <v>1.3888888888888897E-4</v>
      </c>
      <c r="N67" s="897" t="s">
        <v>138</v>
      </c>
      <c r="O67" s="898"/>
      <c r="P67" s="898"/>
      <c r="Q67" s="898"/>
      <c r="R67" s="898"/>
      <c r="S67" s="898"/>
      <c r="T67" s="898"/>
      <c r="U67" s="898"/>
      <c r="V67" s="899"/>
      <c r="W67" s="221"/>
      <c r="X67" s="231">
        <f>SUM(X62:X65)</f>
        <v>8.3333932958232645E-2</v>
      </c>
      <c r="Y67" s="222">
        <f>SUM(Y62:Y65)</f>
        <v>1.3888888889524467E-4</v>
      </c>
    </row>
    <row r="68" spans="1:25" ht="18.75" customHeight="1">
      <c r="A68" s="77" t="s">
        <v>136</v>
      </c>
      <c r="B68" s="77" t="s">
        <v>119</v>
      </c>
      <c r="C68" s="77" t="s">
        <v>120</v>
      </c>
      <c r="D68" s="78">
        <f>FORECAST!N18</f>
        <v>1.8000000000000002E-3</v>
      </c>
      <c r="E68" s="79">
        <v>2</v>
      </c>
      <c r="F68" s="79">
        <f>D68/E68</f>
        <v>9.0000000000000008E-4</v>
      </c>
      <c r="G68" s="83">
        <v>50</v>
      </c>
      <c r="H68" s="83">
        <v>1</v>
      </c>
      <c r="I68" s="79">
        <f>F68*H68</f>
        <v>9.0000000000000008E-4</v>
      </c>
      <c r="J68" s="79">
        <f>I68^2</f>
        <v>8.1000000000000019E-7</v>
      </c>
      <c r="K68" s="79">
        <f>(J68^2)/G68</f>
        <v>1.3122000000000006E-14</v>
      </c>
      <c r="N68" s="897" t="s">
        <v>140</v>
      </c>
      <c r="O68" s="898"/>
      <c r="P68" s="898"/>
      <c r="Q68" s="898"/>
      <c r="R68" s="898"/>
      <c r="S68" s="898"/>
      <c r="T68" s="898"/>
      <c r="U68" s="898"/>
      <c r="V68" s="899"/>
      <c r="W68" s="221"/>
      <c r="X68" s="231">
        <f>SQRT(X67)</f>
        <v>0.28867617317373573</v>
      </c>
      <c r="Y68" s="222"/>
    </row>
    <row r="69" spans="1:25" ht="18.75" customHeight="1">
      <c r="A69" s="890" t="s">
        <v>138</v>
      </c>
      <c r="B69" s="890"/>
      <c r="C69" s="890"/>
      <c r="D69" s="890"/>
      <c r="E69" s="890"/>
      <c r="F69" s="890"/>
      <c r="G69" s="890"/>
      <c r="H69" s="890"/>
      <c r="I69" s="890"/>
      <c r="J69" s="79">
        <f>SUM(J65:J68)</f>
        <v>8.3334180370370395E-2</v>
      </c>
      <c r="K69" s="79">
        <f>SUM(K65:K68)</f>
        <v>1.3888888890203839E-4</v>
      </c>
      <c r="N69" s="897" t="s">
        <v>142</v>
      </c>
      <c r="O69" s="898"/>
      <c r="P69" s="898"/>
      <c r="Q69" s="898"/>
      <c r="R69" s="898"/>
      <c r="S69" s="898"/>
      <c r="T69" s="898"/>
      <c r="U69" s="898"/>
      <c r="V69" s="899"/>
      <c r="W69" s="232"/>
      <c r="X69" s="242">
        <f>X68^4/(Y67)</f>
        <v>50.000719550179838</v>
      </c>
      <c r="Y69" s="234"/>
    </row>
    <row r="70" spans="1:25" ht="18.75" customHeight="1">
      <c r="A70" s="890" t="s">
        <v>140</v>
      </c>
      <c r="B70" s="890"/>
      <c r="C70" s="890"/>
      <c r="D70" s="890"/>
      <c r="E70" s="890"/>
      <c r="F70" s="890"/>
      <c r="G70" s="891" t="s">
        <v>141</v>
      </c>
      <c r="H70" s="891"/>
      <c r="I70" s="891"/>
      <c r="J70" s="79">
        <f>SQRT(J69)</f>
        <v>0.28867660170226889</v>
      </c>
      <c r="K70" s="79"/>
      <c r="N70" s="897" t="s">
        <v>148</v>
      </c>
      <c r="O70" s="898"/>
      <c r="P70" s="898"/>
      <c r="Q70" s="898"/>
      <c r="R70" s="898"/>
      <c r="S70" s="898"/>
      <c r="T70" s="898"/>
      <c r="U70" s="898"/>
      <c r="V70" s="899"/>
      <c r="W70" s="232"/>
      <c r="X70" s="241">
        <f>1.95996+(2.37356/X69)+(2.818745/X69^2)+(2.546662/X69^3)+(1.761829/X69^4)+(0.245458/X69^5)+(1.000764/X69^6)</f>
        <v>2.0085786375429815</v>
      </c>
      <c r="Y70" s="234"/>
    </row>
    <row r="71" spans="1:25" ht="18.75" customHeight="1">
      <c r="A71" s="890" t="s">
        <v>142</v>
      </c>
      <c r="B71" s="890"/>
      <c r="C71" s="890"/>
      <c r="D71" s="890"/>
      <c r="E71" s="890"/>
      <c r="F71" s="890"/>
      <c r="G71" s="892" t="s">
        <v>143</v>
      </c>
      <c r="H71" s="892"/>
      <c r="I71" s="892"/>
      <c r="J71" s="79">
        <f>J70^4/(K69)</f>
        <v>50.001016444876356</v>
      </c>
      <c r="K71" s="79"/>
      <c r="N71" s="897" t="s">
        <v>149</v>
      </c>
      <c r="O71" s="898"/>
      <c r="P71" s="898"/>
      <c r="Q71" s="898"/>
      <c r="R71" s="898"/>
      <c r="S71" s="898"/>
      <c r="T71" s="898"/>
      <c r="U71" s="898"/>
      <c r="V71" s="899"/>
      <c r="W71" s="232"/>
      <c r="X71" s="237">
        <f>X70*X68</f>
        <v>0.57982879460442394</v>
      </c>
      <c r="Y71" s="236" t="s">
        <v>150</v>
      </c>
    </row>
    <row r="72" spans="1:25" ht="18.75" customHeight="1">
      <c r="A72" s="890" t="s">
        <v>144</v>
      </c>
      <c r="B72" s="890"/>
      <c r="C72" s="890"/>
      <c r="D72" s="890"/>
      <c r="E72" s="890"/>
      <c r="F72" s="890"/>
      <c r="G72" s="893" t="s">
        <v>145</v>
      </c>
      <c r="H72" s="893"/>
      <c r="I72" s="893"/>
      <c r="J72" s="79">
        <f>1.95996+(2.37356/J71)+(2.818745/J71^2)+(2.546662/J71^3)+(1.761829/J71^4)+(0.245458/J71^5)+(1.000764/J71^6)</f>
        <v>2.0085783419149692</v>
      </c>
      <c r="K72" s="79"/>
    </row>
    <row r="73" spans="1:25" ht="18.75" customHeight="1">
      <c r="A73" s="890" t="s">
        <v>146</v>
      </c>
      <c r="B73" s="890"/>
      <c r="C73" s="890"/>
      <c r="D73" s="890"/>
      <c r="E73" s="890"/>
      <c r="F73" s="890"/>
      <c r="G73" s="893" t="s">
        <v>147</v>
      </c>
      <c r="H73" s="893"/>
      <c r="I73" s="893"/>
      <c r="J73" s="239">
        <f>J72*J70</f>
        <v>0.57982956999679125</v>
      </c>
      <c r="K73" s="87" t="s">
        <v>63</v>
      </c>
      <c r="N73" s="238" t="s">
        <v>285</v>
      </c>
    </row>
    <row r="74" spans="1:25" ht="18.75" customHeight="1">
      <c r="A74" s="81"/>
      <c r="B74" s="81"/>
      <c r="C74" s="81"/>
      <c r="D74" s="81"/>
      <c r="E74" s="81"/>
      <c r="F74" s="81"/>
      <c r="G74" s="82"/>
      <c r="H74" s="82"/>
      <c r="I74" s="82"/>
      <c r="J74" s="88"/>
      <c r="K74" s="89"/>
      <c r="N74" s="886" t="s">
        <v>107</v>
      </c>
      <c r="O74" s="887"/>
      <c r="P74" s="205" t="s">
        <v>108</v>
      </c>
      <c r="Q74" s="205" t="s">
        <v>109</v>
      </c>
      <c r="R74" s="205" t="s">
        <v>117</v>
      </c>
      <c r="S74" s="205" t="s">
        <v>110</v>
      </c>
      <c r="T74" s="206" t="s">
        <v>273</v>
      </c>
      <c r="U74" s="205" t="s">
        <v>274</v>
      </c>
      <c r="V74" s="205" t="s">
        <v>275</v>
      </c>
      <c r="W74" s="205" t="s">
        <v>276</v>
      </c>
      <c r="X74" s="205" t="s">
        <v>277</v>
      </c>
      <c r="Y74" s="205" t="s">
        <v>278</v>
      </c>
    </row>
    <row r="75" spans="1:25" ht="18.75" customHeight="1">
      <c r="A75" s="71" t="s">
        <v>475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N75" s="888" t="s">
        <v>121</v>
      </c>
      <c r="O75" s="889"/>
      <c r="P75" s="207" t="s">
        <v>122</v>
      </c>
      <c r="Q75" s="207" t="s">
        <v>123</v>
      </c>
      <c r="R75" s="207" t="s">
        <v>124</v>
      </c>
      <c r="S75" s="207" t="s">
        <v>125</v>
      </c>
      <c r="T75" s="207" t="s">
        <v>126</v>
      </c>
      <c r="U75" s="207" t="s">
        <v>127</v>
      </c>
      <c r="V75" s="207" t="s">
        <v>128</v>
      </c>
      <c r="W75" s="207" t="s">
        <v>129</v>
      </c>
      <c r="X75" s="207" t="s">
        <v>130</v>
      </c>
      <c r="Y75" s="207" t="s">
        <v>131</v>
      </c>
    </row>
    <row r="76" spans="1:25" ht="18.75" customHeight="1">
      <c r="A76" s="73" t="s">
        <v>107</v>
      </c>
      <c r="B76" s="74" t="s">
        <v>108</v>
      </c>
      <c r="C76" s="75" t="s">
        <v>109</v>
      </c>
      <c r="D76" s="74" t="s">
        <v>117</v>
      </c>
      <c r="E76" s="76" t="s">
        <v>110</v>
      </c>
      <c r="F76" s="74" t="s">
        <v>112</v>
      </c>
      <c r="G76" s="75" t="s">
        <v>111</v>
      </c>
      <c r="H76" s="74" t="s">
        <v>113</v>
      </c>
      <c r="I76" s="75" t="s">
        <v>114</v>
      </c>
      <c r="J76" s="74" t="s">
        <v>115</v>
      </c>
      <c r="K76" s="86" t="s">
        <v>116</v>
      </c>
      <c r="N76" s="208" t="s">
        <v>134</v>
      </c>
      <c r="O76" s="209"/>
      <c r="P76" s="210"/>
      <c r="Q76" s="211" t="s">
        <v>120</v>
      </c>
      <c r="R76" s="212">
        <f>D65</f>
        <v>0</v>
      </c>
      <c r="S76" s="213">
        <v>2.4500000000000002</v>
      </c>
      <c r="T76" s="214">
        <v>5</v>
      </c>
      <c r="U76" s="215">
        <f>R76/S76</f>
        <v>0</v>
      </c>
      <c r="V76" s="216">
        <v>1</v>
      </c>
      <c r="W76" s="217">
        <f>U76*V76</f>
        <v>0</v>
      </c>
      <c r="X76" s="218">
        <f>W76^2</f>
        <v>0</v>
      </c>
      <c r="Y76" s="219">
        <f>W76^4/T76</f>
        <v>0</v>
      </c>
    </row>
    <row r="77" spans="1:25" ht="18.75" customHeight="1">
      <c r="A77" s="77" t="s">
        <v>118</v>
      </c>
      <c r="B77" s="77" t="s">
        <v>119</v>
      </c>
      <c r="C77" s="77" t="s">
        <v>120</v>
      </c>
      <c r="D77" s="78">
        <f>ID!L80</f>
        <v>0</v>
      </c>
      <c r="E77" s="79">
        <f>SQRT(6)</f>
        <v>2.4494897427831779</v>
      </c>
      <c r="F77" s="79">
        <f>D77/E77</f>
        <v>0</v>
      </c>
      <c r="G77" s="83">
        <f>6-1</f>
        <v>5</v>
      </c>
      <c r="H77" s="83">
        <v>1</v>
      </c>
      <c r="I77" s="79">
        <f>F77*H77</f>
        <v>0</v>
      </c>
      <c r="J77" s="79">
        <f>I77^2</f>
        <v>0</v>
      </c>
      <c r="K77" s="79">
        <f>(J77^2)/G77</f>
        <v>0</v>
      </c>
      <c r="N77" s="208" t="s">
        <v>135</v>
      </c>
      <c r="O77" s="209"/>
      <c r="P77" s="220"/>
      <c r="Q77" s="211" t="s">
        <v>133</v>
      </c>
      <c r="R77" s="212">
        <f t="shared" ref="R77:R79" si="5">D66</f>
        <v>3.3333333333333332E-4</v>
      </c>
      <c r="S77" s="213">
        <v>1.73</v>
      </c>
      <c r="T77" s="214">
        <v>50</v>
      </c>
      <c r="U77" s="221">
        <f>R77/S77</f>
        <v>1.9267822736030829E-4</v>
      </c>
      <c r="V77" s="214">
        <v>1</v>
      </c>
      <c r="W77" s="221">
        <f>U77*V77</f>
        <v>1.9267822736030829E-4</v>
      </c>
      <c r="X77" s="222">
        <f>W77^2</f>
        <v>3.7124899298710656E-8</v>
      </c>
      <c r="Y77" s="223">
        <f>W77^4/T77</f>
        <v>2.7565162958788137E-17</v>
      </c>
    </row>
    <row r="78" spans="1:25" ht="18.75" customHeight="1">
      <c r="A78" s="77" t="s">
        <v>151</v>
      </c>
      <c r="B78" s="77" t="s">
        <v>119</v>
      </c>
      <c r="C78" s="77" t="s">
        <v>133</v>
      </c>
      <c r="D78" s="78">
        <f>'DATA SERTIFIKAT PS320'!D160</f>
        <v>3.3333333333333332E-4</v>
      </c>
      <c r="E78" s="79">
        <f>SQRT(3)</f>
        <v>1.7320508075688772</v>
      </c>
      <c r="F78" s="79">
        <f>D78/E78</f>
        <v>1.9245008972987527E-4</v>
      </c>
      <c r="G78" s="83">
        <v>50</v>
      </c>
      <c r="H78" s="83">
        <v>1</v>
      </c>
      <c r="I78" s="79">
        <f>F78*H78</f>
        <v>1.9245008972987527E-4</v>
      </c>
      <c r="J78" s="79">
        <f>I78^2</f>
        <v>3.7037037037037043E-8</v>
      </c>
      <c r="K78" s="79">
        <f>(J78^2)/G78</f>
        <v>2.7434842249657072E-17</v>
      </c>
      <c r="N78" s="208" t="s">
        <v>137</v>
      </c>
      <c r="O78" s="209"/>
      <c r="P78" s="220"/>
      <c r="Q78" s="211" t="s">
        <v>133</v>
      </c>
      <c r="R78" s="212">
        <f t="shared" si="5"/>
        <v>0.5</v>
      </c>
      <c r="S78" s="224">
        <f>SQRT(3)</f>
        <v>1.7320508075688772</v>
      </c>
      <c r="T78" s="214">
        <v>50</v>
      </c>
      <c r="U78" s="225">
        <f>R78/S78</f>
        <v>0.28867513459481292</v>
      </c>
      <c r="V78" s="214">
        <v>1</v>
      </c>
      <c r="W78" s="225">
        <f>U78*V78</f>
        <v>0.28867513459481292</v>
      </c>
      <c r="X78" s="222">
        <f>W78^2</f>
        <v>8.3333333333333356E-2</v>
      </c>
      <c r="Y78" s="222">
        <f>W78^4/T78</f>
        <v>1.3888888888888897E-4</v>
      </c>
    </row>
    <row r="79" spans="1:25" ht="18.75" customHeight="1">
      <c r="A79" s="77" t="s">
        <v>4</v>
      </c>
      <c r="B79" s="77" t="s">
        <v>119</v>
      </c>
      <c r="C79" s="77" t="s">
        <v>133</v>
      </c>
      <c r="D79" s="78">
        <f>ID!E7*0.5</f>
        <v>0.5</v>
      </c>
      <c r="E79" s="79">
        <f>SQRT(3)</f>
        <v>1.7320508075688772</v>
      </c>
      <c r="F79" s="79">
        <f>D79/E79</f>
        <v>0.28867513459481292</v>
      </c>
      <c r="G79" s="83">
        <v>50</v>
      </c>
      <c r="H79" s="83">
        <v>1</v>
      </c>
      <c r="I79" s="79">
        <f>F79*H79</f>
        <v>0.28867513459481292</v>
      </c>
      <c r="J79" s="79">
        <f>I79^2</f>
        <v>8.3333333333333356E-2</v>
      </c>
      <c r="K79" s="79">
        <f>(J79^2)/G79</f>
        <v>1.3888888888888897E-4</v>
      </c>
      <c r="N79" s="226" t="s">
        <v>139</v>
      </c>
      <c r="O79" s="209"/>
      <c r="P79" s="211"/>
      <c r="Q79" s="210" t="s">
        <v>120</v>
      </c>
      <c r="R79" s="212">
        <f t="shared" si="5"/>
        <v>1.8000000000000002E-3</v>
      </c>
      <c r="S79" s="224">
        <v>2</v>
      </c>
      <c r="T79" s="214">
        <v>50</v>
      </c>
      <c r="U79" s="221">
        <f>R79/S79</f>
        <v>9.0000000000000008E-4</v>
      </c>
      <c r="V79" s="214">
        <v>1</v>
      </c>
      <c r="W79" s="221">
        <f>U79*V79</f>
        <v>9.0000000000000008E-4</v>
      </c>
      <c r="X79" s="222">
        <f>W79^2</f>
        <v>8.1000000000000019E-7</v>
      </c>
      <c r="Y79" s="222">
        <f>W79^4/T79</f>
        <v>1.3122000000000006E-14</v>
      </c>
    </row>
    <row r="80" spans="1:25" ht="18.75" customHeight="1">
      <c r="A80" s="77" t="s">
        <v>136</v>
      </c>
      <c r="B80" s="77" t="s">
        <v>119</v>
      </c>
      <c r="C80" s="77" t="s">
        <v>120</v>
      </c>
      <c r="D80" s="78">
        <f>FORECAST!N19</f>
        <v>2.4000000000000002E-3</v>
      </c>
      <c r="E80" s="79">
        <v>2</v>
      </c>
      <c r="F80" s="79">
        <f>D80/E80</f>
        <v>1.2000000000000001E-3</v>
      </c>
      <c r="G80" s="83">
        <v>50</v>
      </c>
      <c r="H80" s="83">
        <v>1</v>
      </c>
      <c r="I80" s="79">
        <f>F80*H80</f>
        <v>1.2000000000000001E-3</v>
      </c>
      <c r="J80" s="79">
        <f>I80^2</f>
        <v>1.4400000000000002E-6</v>
      </c>
      <c r="K80" s="79">
        <f>(J80^2)/G80</f>
        <v>4.1472000000000005E-14</v>
      </c>
      <c r="N80" s="229"/>
      <c r="O80" s="227"/>
      <c r="P80" s="230"/>
      <c r="Q80" s="214"/>
      <c r="R80" s="228"/>
      <c r="S80" s="224"/>
      <c r="T80" s="214"/>
      <c r="U80" s="221"/>
      <c r="V80" s="214"/>
      <c r="W80" s="221"/>
      <c r="X80" s="222"/>
      <c r="Y80" s="222"/>
    </row>
    <row r="81" spans="1:25" ht="18.75" customHeight="1">
      <c r="A81" s="890" t="s">
        <v>138</v>
      </c>
      <c r="B81" s="890"/>
      <c r="C81" s="890"/>
      <c r="D81" s="890"/>
      <c r="E81" s="890"/>
      <c r="F81" s="890"/>
      <c r="G81" s="890"/>
      <c r="H81" s="890"/>
      <c r="I81" s="890"/>
      <c r="J81" s="79">
        <f>SUM(J77:J80)</f>
        <v>8.3334810370370396E-2</v>
      </c>
      <c r="K81" s="79">
        <f>SUM(K77:K80)</f>
        <v>1.3888888893038841E-4</v>
      </c>
      <c r="N81" s="897" t="s">
        <v>138</v>
      </c>
      <c r="O81" s="898"/>
      <c r="P81" s="898"/>
      <c r="Q81" s="898"/>
      <c r="R81" s="898"/>
      <c r="S81" s="898"/>
      <c r="T81" s="898"/>
      <c r="U81" s="898"/>
      <c r="V81" s="899"/>
      <c r="W81" s="221"/>
      <c r="X81" s="222">
        <f>SUM(X76:X79)</f>
        <v>8.3334180458232654E-2</v>
      </c>
      <c r="Y81" s="222">
        <f>SUM(Y76:Y79)</f>
        <v>1.3888888890203853E-4</v>
      </c>
    </row>
    <row r="82" spans="1:25" ht="18.75" customHeight="1">
      <c r="A82" s="890" t="s">
        <v>140</v>
      </c>
      <c r="B82" s="890"/>
      <c r="C82" s="890"/>
      <c r="D82" s="890"/>
      <c r="E82" s="890"/>
      <c r="F82" s="890"/>
      <c r="G82" s="891" t="s">
        <v>141</v>
      </c>
      <c r="H82" s="891"/>
      <c r="I82" s="891"/>
      <c r="J82" s="79">
        <f>SQRT(J81)</f>
        <v>0.28867769288666972</v>
      </c>
      <c r="K82" s="79"/>
      <c r="N82" s="897" t="s">
        <v>140</v>
      </c>
      <c r="O82" s="898"/>
      <c r="P82" s="898"/>
      <c r="Q82" s="898"/>
      <c r="R82" s="898"/>
      <c r="S82" s="898"/>
      <c r="T82" s="898"/>
      <c r="U82" s="898"/>
      <c r="V82" s="899"/>
      <c r="W82" s="221"/>
      <c r="X82" s="231">
        <f>SQRT(X81)</f>
        <v>0.28867660185444999</v>
      </c>
      <c r="Y82" s="222"/>
    </row>
    <row r="83" spans="1:25" ht="18.75" customHeight="1">
      <c r="A83" s="890" t="s">
        <v>142</v>
      </c>
      <c r="B83" s="890"/>
      <c r="C83" s="890"/>
      <c r="D83" s="890"/>
      <c r="E83" s="890"/>
      <c r="F83" s="890"/>
      <c r="G83" s="892" t="s">
        <v>143</v>
      </c>
      <c r="H83" s="892"/>
      <c r="I83" s="892"/>
      <c r="J83" s="79">
        <f>J82^4/(K81)</f>
        <v>50.001772445211934</v>
      </c>
      <c r="K83" s="79"/>
      <c r="N83" s="897" t="s">
        <v>142</v>
      </c>
      <c r="O83" s="898"/>
      <c r="P83" s="898"/>
      <c r="Q83" s="898"/>
      <c r="R83" s="898"/>
      <c r="S83" s="898"/>
      <c r="T83" s="898"/>
      <c r="U83" s="898"/>
      <c r="V83" s="899"/>
      <c r="W83" s="232"/>
      <c r="X83" s="233">
        <f>X82^4/(Y81)</f>
        <v>50.001016550312073</v>
      </c>
      <c r="Y83" s="234"/>
    </row>
    <row r="84" spans="1:25" ht="18.75" customHeight="1">
      <c r="A84" s="890" t="s">
        <v>144</v>
      </c>
      <c r="B84" s="890"/>
      <c r="C84" s="890"/>
      <c r="D84" s="890"/>
      <c r="E84" s="890"/>
      <c r="F84" s="890"/>
      <c r="G84" s="893" t="s">
        <v>145</v>
      </c>
      <c r="H84" s="893"/>
      <c r="I84" s="893"/>
      <c r="J84" s="79">
        <f>1.95996+(2.37356/J35)+(2.818745/J35^2)+(2.546662/J35^3)+(1.761829/J35^4)+(0.245458/J35^5)+(1.000764/J35^6)</f>
        <v>2.0085790624045137</v>
      </c>
      <c r="K84" s="79"/>
      <c r="N84" s="897" t="s">
        <v>148</v>
      </c>
      <c r="O84" s="898"/>
      <c r="P84" s="898"/>
      <c r="Q84" s="898"/>
      <c r="R84" s="898"/>
      <c r="S84" s="898"/>
      <c r="T84" s="898"/>
      <c r="U84" s="898"/>
      <c r="V84" s="899"/>
      <c r="W84" s="232"/>
      <c r="X84" s="235">
        <f>1.95996+(2.37356/X83)+(2.818745/X83^2)+(2.546662/X83^3)+(1.761829/X83^4)+(0.245458/X83^5)+(1.000764/X83^6)</f>
        <v>2.0085783418099838</v>
      </c>
      <c r="Y84" s="234"/>
    </row>
    <row r="85" spans="1:25" ht="18.75" customHeight="1">
      <c r="A85" s="890" t="s">
        <v>146</v>
      </c>
      <c r="B85" s="890"/>
      <c r="C85" s="890"/>
      <c r="D85" s="890"/>
      <c r="E85" s="890"/>
      <c r="F85" s="890"/>
      <c r="G85" s="893" t="s">
        <v>147</v>
      </c>
      <c r="H85" s="893"/>
      <c r="I85" s="893"/>
      <c r="J85" s="239">
        <f>J84*J82</f>
        <v>0.57983196971540518</v>
      </c>
      <c r="K85" s="87" t="s">
        <v>63</v>
      </c>
      <c r="N85" s="897" t="s">
        <v>149</v>
      </c>
      <c r="O85" s="898"/>
      <c r="P85" s="898"/>
      <c r="Q85" s="898"/>
      <c r="R85" s="898"/>
      <c r="S85" s="898"/>
      <c r="T85" s="898"/>
      <c r="U85" s="898"/>
      <c r="V85" s="899"/>
      <c r="W85" s="232"/>
      <c r="X85" s="237">
        <f>X84*X82</f>
        <v>0.5798295702721521</v>
      </c>
      <c r="Y85" s="236" t="s">
        <v>150</v>
      </c>
    </row>
    <row r="86" spans="1:25" ht="18.75" customHeight="1">
      <c r="A86" s="81"/>
      <c r="B86" s="81"/>
      <c r="C86" s="81"/>
      <c r="D86" s="81"/>
      <c r="E86" s="81"/>
      <c r="F86" s="81"/>
      <c r="G86" s="82"/>
      <c r="H86" s="82"/>
      <c r="I86" s="82"/>
      <c r="J86" s="88"/>
      <c r="K86" s="89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N87" s="238" t="s">
        <v>286</v>
      </c>
    </row>
    <row r="88" spans="1:25" ht="37.5" customHeight="1">
      <c r="A88" s="91"/>
      <c r="B88" s="904"/>
      <c r="C88" s="905"/>
      <c r="D88" s="905"/>
      <c r="E88" s="906"/>
      <c r="F88" s="13"/>
      <c r="G88" s="13"/>
      <c r="H88" s="13"/>
      <c r="I88" s="13"/>
      <c r="J88" s="13"/>
      <c r="K88" s="13"/>
      <c r="N88" s="886" t="s">
        <v>107</v>
      </c>
      <c r="O88" s="887"/>
      <c r="P88" s="205" t="s">
        <v>108</v>
      </c>
      <c r="Q88" s="205" t="s">
        <v>109</v>
      </c>
      <c r="R88" s="205" t="s">
        <v>117</v>
      </c>
      <c r="S88" s="205" t="s">
        <v>110</v>
      </c>
      <c r="T88" s="206" t="s">
        <v>273</v>
      </c>
      <c r="U88" s="205" t="s">
        <v>274</v>
      </c>
      <c r="V88" s="205" t="s">
        <v>275</v>
      </c>
      <c r="W88" s="205" t="s">
        <v>276</v>
      </c>
      <c r="X88" s="205" t="s">
        <v>277</v>
      </c>
      <c r="Y88" s="205" t="s">
        <v>278</v>
      </c>
    </row>
    <row r="89" spans="1:25" ht="13">
      <c r="A89" s="22"/>
      <c r="B89" s="22"/>
      <c r="C89" s="77"/>
      <c r="D89" s="77"/>
      <c r="E89" s="77"/>
      <c r="F89" s="13"/>
      <c r="G89" s="13"/>
      <c r="H89" s="13"/>
      <c r="I89" s="13"/>
      <c r="J89" s="13"/>
      <c r="K89" s="13"/>
      <c r="N89" s="888" t="s">
        <v>121</v>
      </c>
      <c r="O89" s="889"/>
      <c r="P89" s="207" t="s">
        <v>122</v>
      </c>
      <c r="Q89" s="207" t="s">
        <v>123</v>
      </c>
      <c r="R89" s="207" t="s">
        <v>124</v>
      </c>
      <c r="S89" s="207" t="s">
        <v>125</v>
      </c>
      <c r="T89" s="207" t="s">
        <v>126</v>
      </c>
      <c r="U89" s="207" t="s">
        <v>127</v>
      </c>
      <c r="V89" s="207" t="s">
        <v>128</v>
      </c>
      <c r="W89" s="207" t="s">
        <v>129</v>
      </c>
      <c r="X89" s="207" t="s">
        <v>130</v>
      </c>
      <c r="Y89" s="207" t="s">
        <v>131</v>
      </c>
    </row>
    <row r="90" spans="1:25" ht="13">
      <c r="A90" s="92"/>
      <c r="B90" s="92"/>
      <c r="C90" s="77"/>
      <c r="D90" s="77"/>
      <c r="E90" s="77"/>
      <c r="F90" s="13"/>
      <c r="G90" s="907"/>
      <c r="H90" s="908"/>
      <c r="I90" s="908"/>
      <c r="J90" s="909"/>
      <c r="K90" s="77"/>
      <c r="L90" s="13"/>
      <c r="N90" s="208" t="s">
        <v>134</v>
      </c>
      <c r="O90" s="209"/>
      <c r="P90" s="210"/>
      <c r="Q90" s="211" t="s">
        <v>120</v>
      </c>
      <c r="R90" s="212">
        <f>D77</f>
        <v>0</v>
      </c>
      <c r="S90" s="213">
        <v>2.4500000000000002</v>
      </c>
      <c r="T90" s="214">
        <v>5</v>
      </c>
      <c r="U90" s="215">
        <f>R90/S90</f>
        <v>0</v>
      </c>
      <c r="V90" s="216">
        <v>1</v>
      </c>
      <c r="W90" s="217">
        <f>U90*V90</f>
        <v>0</v>
      </c>
      <c r="X90" s="218">
        <f>W90^2</f>
        <v>0</v>
      </c>
      <c r="Y90" s="219">
        <f>W90^4/T90</f>
        <v>0</v>
      </c>
    </row>
    <row r="91" spans="1:25" ht="13">
      <c r="A91" s="93"/>
      <c r="B91" s="93"/>
      <c r="C91" s="93"/>
      <c r="D91" s="93"/>
      <c r="E91" s="93"/>
      <c r="F91" s="13"/>
      <c r="G91" s="15"/>
      <c r="H91" s="15"/>
      <c r="I91" s="15"/>
      <c r="J91" s="15"/>
      <c r="K91" s="77"/>
      <c r="L91" s="77"/>
      <c r="N91" s="208" t="s">
        <v>135</v>
      </c>
      <c r="O91" s="209"/>
      <c r="P91" s="220"/>
      <c r="Q91" s="211" t="s">
        <v>133</v>
      </c>
      <c r="R91" s="212">
        <f t="shared" ref="R91:R93" si="6">D78</f>
        <v>3.3333333333333332E-4</v>
      </c>
      <c r="S91" s="213">
        <v>1.73</v>
      </c>
      <c r="T91" s="214">
        <v>50</v>
      </c>
      <c r="U91" s="221">
        <f>R91/S91</f>
        <v>1.9267822736030829E-4</v>
      </c>
      <c r="V91" s="214">
        <v>1</v>
      </c>
      <c r="W91" s="221">
        <f>U91*V91</f>
        <v>1.9267822736030829E-4</v>
      </c>
      <c r="X91" s="222">
        <f>W91^2</f>
        <v>3.7124899298710656E-8</v>
      </c>
      <c r="Y91" s="223">
        <f>W91^4/T91</f>
        <v>2.7565162958788137E-17</v>
      </c>
    </row>
    <row r="92" spans="1:25" ht="13">
      <c r="A92" s="94"/>
      <c r="B92" s="94"/>
      <c r="C92" s="94"/>
      <c r="D92" s="94"/>
      <c r="E92" s="94"/>
      <c r="F92" s="13"/>
      <c r="G92" s="17"/>
      <c r="H92" s="15"/>
      <c r="I92" s="17"/>
      <c r="J92" s="17"/>
      <c r="K92" s="77"/>
      <c r="L92" s="77"/>
      <c r="N92" s="208" t="s">
        <v>137</v>
      </c>
      <c r="O92" s="209"/>
      <c r="P92" s="220"/>
      <c r="Q92" s="211" t="s">
        <v>133</v>
      </c>
      <c r="R92" s="212">
        <f t="shared" si="6"/>
        <v>0.5</v>
      </c>
      <c r="S92" s="224">
        <f>SQRT(3)</f>
        <v>1.7320508075688772</v>
      </c>
      <c r="T92" s="214">
        <v>50</v>
      </c>
      <c r="U92" s="225">
        <f>R92/S92</f>
        <v>0.28867513459481292</v>
      </c>
      <c r="V92" s="214">
        <v>1</v>
      </c>
      <c r="W92" s="225">
        <f>U92*V92</f>
        <v>0.28867513459481292</v>
      </c>
      <c r="X92" s="222">
        <f>W92^2</f>
        <v>8.3333333333333356E-2</v>
      </c>
      <c r="Y92" s="222">
        <f>W92^4/T92</f>
        <v>1.3888888888888897E-4</v>
      </c>
    </row>
    <row r="93" spans="1:25" ht="13">
      <c r="A93" s="95"/>
      <c r="B93" s="95"/>
      <c r="C93" s="95"/>
      <c r="D93" s="95"/>
      <c r="E93" s="95"/>
      <c r="F93" s="13"/>
      <c r="G93" s="15"/>
      <c r="H93" s="15"/>
      <c r="I93" s="15"/>
      <c r="J93" s="15"/>
      <c r="K93" s="13"/>
      <c r="N93" s="226" t="s">
        <v>139</v>
      </c>
      <c r="O93" s="209"/>
      <c r="P93" s="211"/>
      <c r="Q93" s="210" t="s">
        <v>120</v>
      </c>
      <c r="R93" s="212">
        <f t="shared" si="6"/>
        <v>2.4000000000000002E-3</v>
      </c>
      <c r="S93" s="224">
        <v>2</v>
      </c>
      <c r="T93" s="214">
        <v>50</v>
      </c>
      <c r="U93" s="221">
        <f>R93/S93</f>
        <v>1.2000000000000001E-3</v>
      </c>
      <c r="V93" s="214">
        <v>1</v>
      </c>
      <c r="W93" s="221">
        <f>U93*V93</f>
        <v>1.2000000000000001E-3</v>
      </c>
      <c r="X93" s="222">
        <f>W93^2</f>
        <v>1.4400000000000002E-6</v>
      </c>
      <c r="Y93" s="222">
        <f>W93^4/T93</f>
        <v>4.1472000000000005E-14</v>
      </c>
    </row>
    <row r="94" spans="1:25" ht="13">
      <c r="A94" s="95"/>
      <c r="B94" s="95"/>
      <c r="C94" s="95"/>
      <c r="D94" s="95"/>
      <c r="E94" s="95"/>
      <c r="F94" s="13"/>
      <c r="G94" s="910"/>
      <c r="H94" s="911"/>
      <c r="I94" s="911"/>
      <c r="J94" s="912"/>
      <c r="K94" s="13"/>
      <c r="N94" s="229"/>
      <c r="O94" s="227"/>
      <c r="P94" s="230"/>
      <c r="Q94" s="214"/>
      <c r="R94" s="228"/>
      <c r="S94" s="224"/>
      <c r="T94" s="214"/>
      <c r="U94" s="221"/>
      <c r="V94" s="214"/>
      <c r="W94" s="221"/>
      <c r="X94" s="222"/>
      <c r="Y94" s="222"/>
    </row>
    <row r="95" spans="1:25" ht="13">
      <c r="A95" s="95"/>
      <c r="B95" s="95"/>
      <c r="C95" s="95"/>
      <c r="D95" s="95"/>
      <c r="E95" s="95"/>
      <c r="F95" s="13"/>
      <c r="G95" s="15"/>
      <c r="H95" s="15"/>
      <c r="I95" s="15"/>
      <c r="J95" s="15"/>
      <c r="K95" s="13"/>
      <c r="N95" s="897" t="s">
        <v>138</v>
      </c>
      <c r="O95" s="898"/>
      <c r="P95" s="898"/>
      <c r="Q95" s="898"/>
      <c r="R95" s="898"/>
      <c r="S95" s="898"/>
      <c r="T95" s="898"/>
      <c r="U95" s="898"/>
      <c r="V95" s="899"/>
      <c r="W95" s="221"/>
      <c r="X95" s="222">
        <f>SUM(X90:X93)</f>
        <v>8.3334810458232655E-2</v>
      </c>
      <c r="Y95" s="222">
        <f>SUM(Y90:Y93)</f>
        <v>1.3888888893038854E-4</v>
      </c>
    </row>
    <row r="96" spans="1:25" ht="13">
      <c r="A96" s="95"/>
      <c r="B96" s="95"/>
      <c r="C96" s="95"/>
      <c r="D96" s="95"/>
      <c r="E96" s="95"/>
      <c r="F96" s="13"/>
      <c r="G96" s="17"/>
      <c r="H96" s="15"/>
      <c r="I96" s="17"/>
      <c r="J96" s="17"/>
      <c r="K96" s="13"/>
      <c r="N96" s="897" t="s">
        <v>140</v>
      </c>
      <c r="O96" s="898"/>
      <c r="P96" s="898"/>
      <c r="Q96" s="898"/>
      <c r="R96" s="898"/>
      <c r="S96" s="898"/>
      <c r="T96" s="898"/>
      <c r="U96" s="898"/>
      <c r="V96" s="899"/>
      <c r="W96" s="221"/>
      <c r="X96" s="231">
        <f>SQRT(X95)</f>
        <v>0.28867769303885027</v>
      </c>
      <c r="Y96" s="222"/>
    </row>
    <row r="97" spans="1:25" ht="14">
      <c r="A97" s="95"/>
      <c r="B97" s="95"/>
      <c r="C97" s="77"/>
      <c r="D97" s="95"/>
      <c r="E97" s="95"/>
      <c r="F97" s="13"/>
      <c r="G97" s="15"/>
      <c r="H97" s="15"/>
      <c r="I97" s="15"/>
      <c r="J97" s="15"/>
      <c r="K97" s="13"/>
      <c r="N97" s="897" t="s">
        <v>142</v>
      </c>
      <c r="O97" s="898"/>
      <c r="P97" s="898"/>
      <c r="Q97" s="898"/>
      <c r="R97" s="898"/>
      <c r="S97" s="898"/>
      <c r="T97" s="898"/>
      <c r="U97" s="898"/>
      <c r="V97" s="899"/>
      <c r="W97" s="232"/>
      <c r="X97" s="233">
        <f>X96^4/(Y95)</f>
        <v>50.001772550648447</v>
      </c>
      <c r="Y97" s="234"/>
    </row>
    <row r="98" spans="1:25" ht="14">
      <c r="A98" s="96"/>
      <c r="B98" s="96"/>
      <c r="C98" s="13"/>
      <c r="D98" s="96"/>
      <c r="E98" s="96"/>
      <c r="F98" s="13"/>
      <c r="G98" s="18"/>
      <c r="H98" s="18"/>
      <c r="I98" s="18"/>
      <c r="J98" s="18"/>
      <c r="K98" s="13"/>
      <c r="N98" s="897" t="s">
        <v>148</v>
      </c>
      <c r="O98" s="898"/>
      <c r="P98" s="898"/>
      <c r="Q98" s="898"/>
      <c r="R98" s="898"/>
      <c r="S98" s="898"/>
      <c r="T98" s="898"/>
      <c r="U98" s="898"/>
      <c r="V98" s="899"/>
      <c r="W98" s="232"/>
      <c r="X98" s="235">
        <f>1.95996+(2.37356/X97)+(2.818745/X97^2)+(2.546662/X97^3)+(1.761829/X97^4)+(0.245458/X97^5)+(1.000764/X97^6)</f>
        <v>2.0085775890513138</v>
      </c>
      <c r="Y98" s="234"/>
    </row>
    <row r="99" spans="1:25" ht="48" customHeight="1">
      <c r="A99" s="97" t="str">
        <f>ID!B50</f>
        <v>Fetal Simulator, Merek : Fluke Biomedical, Model : PS 320, SN : 4662033</v>
      </c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897" t="s">
        <v>149</v>
      </c>
      <c r="O99" s="898"/>
      <c r="P99" s="898"/>
      <c r="Q99" s="898"/>
      <c r="R99" s="898"/>
      <c r="S99" s="898"/>
      <c r="T99" s="898"/>
      <c r="U99" s="898"/>
      <c r="V99" s="899"/>
      <c r="W99" s="232"/>
      <c r="X99" s="237">
        <f>X98*X96</f>
        <v>0.57983154469686915</v>
      </c>
      <c r="Y99" s="236" t="s">
        <v>150</v>
      </c>
    </row>
    <row r="100" spans="1:25" ht="18.75" customHeight="1">
      <c r="A100" s="98"/>
      <c r="B100" s="98"/>
      <c r="C100" s="98"/>
      <c r="D100" s="98"/>
      <c r="E100" s="98"/>
      <c r="F100" s="99"/>
      <c r="G100" s="100"/>
      <c r="H100" s="100"/>
      <c r="I100" s="98"/>
      <c r="J100" s="98"/>
      <c r="K100" s="98"/>
      <c r="L100" s="98"/>
      <c r="M100" s="98"/>
    </row>
    <row r="101" spans="1:25">
      <c r="A101" s="917"/>
      <c r="B101" s="900"/>
      <c r="C101" s="901"/>
      <c r="D101" s="902"/>
      <c r="F101" s="100"/>
      <c r="G101" s="903"/>
      <c r="H101" s="903"/>
      <c r="I101" s="12"/>
      <c r="J101" s="120"/>
      <c r="K101" s="11"/>
    </row>
    <row r="102" spans="1:25">
      <c r="A102" s="917"/>
      <c r="B102" s="80"/>
      <c r="C102" s="80"/>
      <c r="D102" s="80"/>
      <c r="F102" s="100"/>
      <c r="G102" s="1"/>
      <c r="H102" s="1"/>
      <c r="I102" s="121"/>
      <c r="J102" s="122"/>
      <c r="K102" s="122"/>
    </row>
    <row r="103" spans="1:25">
      <c r="A103" s="91"/>
      <c r="B103" s="203"/>
      <c r="C103" s="101"/>
      <c r="D103" s="6"/>
      <c r="F103" s="100"/>
      <c r="G103" s="5"/>
      <c r="H103" s="102"/>
      <c r="I103" s="121"/>
      <c r="J103" s="122"/>
      <c r="K103" s="122"/>
    </row>
    <row r="104" spans="1:25">
      <c r="A104" s="91"/>
      <c r="B104" s="203"/>
      <c r="C104" s="101"/>
      <c r="D104" s="6"/>
      <c r="F104" s="100"/>
      <c r="G104" s="5"/>
      <c r="H104" s="102"/>
      <c r="I104" s="121"/>
      <c r="J104" s="122"/>
      <c r="K104" s="122"/>
    </row>
    <row r="105" spans="1:25">
      <c r="A105" s="1"/>
      <c r="B105" s="204"/>
      <c r="C105" s="4"/>
      <c r="D105" s="6"/>
      <c r="F105" s="100"/>
      <c r="G105" s="5"/>
      <c r="H105" s="102"/>
      <c r="I105" s="121"/>
      <c r="J105" s="122"/>
      <c r="K105" s="122"/>
    </row>
    <row r="106" spans="1:25">
      <c r="A106" s="1"/>
      <c r="B106" s="204"/>
      <c r="C106" s="4"/>
      <c r="D106" s="6"/>
      <c r="F106" s="100"/>
      <c r="G106" s="5"/>
      <c r="H106" s="102"/>
      <c r="I106" s="121"/>
      <c r="J106" s="122"/>
      <c r="K106" s="122"/>
    </row>
    <row r="107" spans="1:25">
      <c r="A107" s="1"/>
      <c r="B107" s="204"/>
      <c r="C107" s="4"/>
      <c r="D107" s="6"/>
      <c r="F107" s="100"/>
      <c r="G107" s="5"/>
      <c r="H107" s="102"/>
      <c r="I107" s="121"/>
      <c r="J107" s="121"/>
      <c r="L107" s="122"/>
    </row>
    <row r="108" spans="1:25">
      <c r="A108" s="1"/>
      <c r="B108" s="204"/>
      <c r="C108" s="4"/>
      <c r="D108" s="6"/>
      <c r="F108" s="100"/>
      <c r="G108" s="5"/>
      <c r="H108" s="102"/>
      <c r="I108" s="121"/>
      <c r="J108" s="121"/>
    </row>
    <row r="109" spans="1:25">
      <c r="A109" s="1"/>
      <c r="B109" s="204"/>
      <c r="C109" s="4"/>
      <c r="D109" s="6"/>
      <c r="F109" s="100"/>
      <c r="G109" s="5"/>
      <c r="H109" s="102"/>
      <c r="I109" s="121"/>
      <c r="J109" s="121"/>
    </row>
    <row r="110" spans="1:25">
      <c r="A110" s="1"/>
      <c r="B110" s="204"/>
      <c r="C110" s="4"/>
      <c r="D110" s="6"/>
      <c r="F110" s="100"/>
      <c r="G110" s="5"/>
      <c r="H110" s="102"/>
      <c r="I110" s="121"/>
      <c r="J110" s="121"/>
    </row>
    <row r="111" spans="1:25">
      <c r="A111" s="1"/>
      <c r="B111" s="204"/>
      <c r="C111" s="4"/>
      <c r="D111" s="6"/>
      <c r="F111" s="100"/>
      <c r="G111" s="5"/>
      <c r="H111" s="102"/>
    </row>
    <row r="113" spans="1:34" ht="15.5">
      <c r="A113" s="103"/>
      <c r="G113" s="104"/>
      <c r="H113" s="105"/>
      <c r="I113" s="105"/>
    </row>
    <row r="114" spans="1:34" ht="15">
      <c r="A114" s="917"/>
      <c r="B114" s="884"/>
      <c r="F114" s="105"/>
      <c r="H114" s="271"/>
      <c r="I114" s="271"/>
      <c r="J114" s="271"/>
      <c r="K114" s="271"/>
      <c r="L114" s="271"/>
      <c r="M114" s="918"/>
      <c r="N114" s="123"/>
    </row>
    <row r="115" spans="1:34">
      <c r="A115" s="917"/>
      <c r="B115" s="884"/>
      <c r="F115" s="19"/>
      <c r="G115" s="108"/>
      <c r="H115" s="1"/>
      <c r="I115" s="20"/>
      <c r="J115" s="12"/>
      <c r="K115" s="264"/>
      <c r="L115" s="12"/>
      <c r="M115" s="918"/>
      <c r="N115" s="123"/>
    </row>
    <row r="116" spans="1:34" ht="13">
      <c r="A116" s="106"/>
      <c r="B116" s="3"/>
      <c r="F116" s="19"/>
      <c r="G116" s="108"/>
      <c r="H116" s="107"/>
      <c r="I116" s="266"/>
      <c r="J116" s="265"/>
      <c r="K116" s="267"/>
      <c r="L116" s="265"/>
      <c r="M116" s="268"/>
      <c r="N116" s="123"/>
    </row>
    <row r="117" spans="1:34" ht="13">
      <c r="A117" s="106"/>
      <c r="B117" s="3"/>
      <c r="F117" s="21"/>
      <c r="G117" s="108"/>
      <c r="H117" s="109"/>
      <c r="I117" s="269"/>
      <c r="J117" s="265"/>
      <c r="K117" s="267"/>
      <c r="L117" s="265"/>
      <c r="M117" s="270"/>
      <c r="N117" s="123"/>
    </row>
    <row r="118" spans="1:34" ht="13">
      <c r="A118" s="106"/>
      <c r="B118" s="3"/>
      <c r="F118" s="19"/>
      <c r="G118" s="108"/>
      <c r="H118" s="109"/>
      <c r="I118" s="269"/>
      <c r="J118" s="265"/>
      <c r="K118" s="267"/>
      <c r="L118" s="265"/>
      <c r="M118" s="270"/>
      <c r="N118" s="123"/>
    </row>
    <row r="119" spans="1:34" ht="15">
      <c r="A119" s="106"/>
      <c r="B119" s="3"/>
      <c r="F119" s="105"/>
      <c r="G119" s="110"/>
      <c r="H119" s="111"/>
      <c r="I119" s="269"/>
      <c r="J119" s="265"/>
      <c r="K119" s="267"/>
      <c r="L119" s="265"/>
      <c r="M119" s="270"/>
      <c r="N119" s="123"/>
    </row>
    <row r="120" spans="1:34" ht="15">
      <c r="A120" s="106"/>
      <c r="B120" s="3"/>
      <c r="F120" s="105"/>
      <c r="G120" s="110"/>
      <c r="H120" s="111"/>
      <c r="I120" s="269"/>
      <c r="J120" s="265"/>
      <c r="K120" s="267"/>
      <c r="L120" s="265"/>
      <c r="M120" s="270"/>
    </row>
    <row r="121" spans="1:34" ht="13.5" customHeight="1">
      <c r="A121" s="106"/>
      <c r="B121" s="3"/>
      <c r="F121" s="19"/>
      <c r="G121" s="108"/>
      <c r="H121" s="109"/>
      <c r="I121" s="265"/>
      <c r="J121" s="265"/>
      <c r="K121" s="267"/>
      <c r="L121" s="265"/>
      <c r="M121" s="270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spans="1:34" ht="20.25" customHeight="1" thickBot="1">
      <c r="A122" s="106"/>
      <c r="B122" s="3"/>
      <c r="F122" s="19"/>
      <c r="G122" s="108"/>
      <c r="H122" s="109"/>
      <c r="I122" s="265"/>
      <c r="J122" s="265"/>
      <c r="K122" s="267"/>
      <c r="L122" s="265"/>
      <c r="M122" s="270"/>
      <c r="N122" s="113"/>
      <c r="O122" s="124"/>
      <c r="P122" s="913"/>
      <c r="Q122" s="913"/>
      <c r="R122" s="913"/>
      <c r="S122" s="913"/>
      <c r="T122" s="124"/>
      <c r="U122" s="913"/>
      <c r="V122" s="913"/>
      <c r="W122" s="913"/>
      <c r="X122" s="913"/>
      <c r="Y122" s="124"/>
    </row>
    <row r="123" spans="1:34" ht="15">
      <c r="D123" s="13"/>
      <c r="E123" s="13"/>
      <c r="F123" s="13"/>
      <c r="P123" s="914"/>
      <c r="Q123" s="915"/>
      <c r="R123" s="915"/>
      <c r="S123" s="916"/>
      <c r="U123" s="914"/>
      <c r="V123" s="915"/>
      <c r="W123" s="915"/>
      <c r="X123" s="916"/>
    </row>
    <row r="124" spans="1:34" ht="41.2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P124" s="14"/>
      <c r="Q124" s="117"/>
      <c r="R124" s="117"/>
      <c r="S124" s="118"/>
      <c r="U124" s="14"/>
      <c r="V124" s="117"/>
      <c r="W124" s="117"/>
      <c r="X124" s="118"/>
      <c r="Z124" s="112"/>
      <c r="AA124" s="112"/>
      <c r="AB124" s="112"/>
      <c r="AC124" s="112"/>
      <c r="AD124" s="124"/>
      <c r="AE124" s="124"/>
      <c r="AF124" s="124"/>
      <c r="AG124" s="124"/>
      <c r="AH124" s="124"/>
    </row>
    <row r="125" spans="1:34" ht="21" customHeight="1" thickBot="1">
      <c r="A125" s="913"/>
      <c r="B125" s="913"/>
      <c r="C125" s="913"/>
      <c r="D125" s="913"/>
      <c r="E125" s="112"/>
      <c r="F125" s="913"/>
      <c r="G125" s="913"/>
      <c r="H125" s="913"/>
      <c r="I125" s="913"/>
      <c r="J125" s="112"/>
      <c r="K125" s="113"/>
      <c r="L125" s="113"/>
      <c r="M125" s="113"/>
      <c r="P125" s="16"/>
      <c r="Q125" s="117"/>
      <c r="R125" s="119"/>
      <c r="S125" s="118"/>
      <c r="U125" s="16"/>
      <c r="V125" s="117"/>
      <c r="W125" s="119"/>
      <c r="X125" s="118"/>
      <c r="Z125" s="913"/>
      <c r="AA125" s="913"/>
      <c r="AB125" s="913"/>
      <c r="AC125" s="913"/>
      <c r="AD125" s="124"/>
      <c r="AE125" s="913"/>
      <c r="AF125" s="913"/>
      <c r="AG125" s="913"/>
      <c r="AH125" s="913"/>
    </row>
    <row r="126" spans="1:34" ht="15.5" thickBot="1">
      <c r="A126" s="914"/>
      <c r="B126" s="915"/>
      <c r="C126" s="915"/>
      <c r="D126" s="916"/>
      <c r="F126" s="914"/>
      <c r="G126" s="915"/>
      <c r="H126" s="915"/>
      <c r="I126" s="916"/>
      <c r="J126" s="125"/>
      <c r="K126" s="114"/>
      <c r="L126" s="115"/>
      <c r="M126" s="115"/>
      <c r="N126" s="116"/>
      <c r="P126" s="126"/>
      <c r="Q126" s="127"/>
      <c r="R126" s="127"/>
      <c r="S126" s="128"/>
      <c r="U126" s="126"/>
      <c r="V126" s="127"/>
      <c r="W126" s="127"/>
      <c r="X126" s="128"/>
      <c r="Z126" s="914"/>
      <c r="AA126" s="915"/>
      <c r="AB126" s="915"/>
      <c r="AC126" s="916"/>
      <c r="AE126" s="914"/>
      <c r="AF126" s="915"/>
      <c r="AG126" s="915"/>
      <c r="AH126" s="916"/>
    </row>
    <row r="127" spans="1:34" ht="13" thickBot="1">
      <c r="A127" s="14"/>
      <c r="B127" s="117"/>
      <c r="C127" s="117"/>
      <c r="D127" s="118"/>
      <c r="F127" s="14"/>
      <c r="G127" s="117"/>
      <c r="H127" s="117"/>
      <c r="I127" s="118"/>
      <c r="J127" s="18"/>
      <c r="K127" s="14"/>
      <c r="L127" s="117"/>
      <c r="M127" s="117"/>
      <c r="N127" s="118"/>
      <c r="P127" s="18"/>
      <c r="Q127" s="129"/>
      <c r="R127" s="129"/>
      <c r="S127" s="130"/>
      <c r="U127" s="18"/>
      <c r="V127" s="129"/>
      <c r="W127" s="129"/>
      <c r="X127" s="130"/>
      <c r="Z127" s="14"/>
      <c r="AA127" s="117"/>
      <c r="AB127" s="117"/>
      <c r="AC127" s="118"/>
      <c r="AE127" s="14"/>
      <c r="AF127" s="117"/>
      <c r="AG127" s="117"/>
      <c r="AH127" s="118"/>
    </row>
    <row r="128" spans="1:34" ht="15">
      <c r="A128" s="16"/>
      <c r="B128" s="117"/>
      <c r="C128" s="119"/>
      <c r="D128" s="118"/>
      <c r="F128" s="16"/>
      <c r="G128" s="117"/>
      <c r="H128" s="119"/>
      <c r="I128" s="118"/>
      <c r="J128" s="18"/>
      <c r="K128" s="16"/>
      <c r="L128" s="117"/>
      <c r="M128" s="119"/>
      <c r="N128" s="118"/>
      <c r="P128" s="914"/>
      <c r="Q128" s="915"/>
      <c r="R128" s="915"/>
      <c r="S128" s="916"/>
      <c r="U128" s="914"/>
      <c r="V128" s="915"/>
      <c r="W128" s="915"/>
      <c r="X128" s="916"/>
      <c r="Z128" s="16"/>
      <c r="AA128" s="117"/>
      <c r="AB128" s="119"/>
      <c r="AC128" s="118"/>
      <c r="AE128" s="16"/>
      <c r="AF128" s="117"/>
      <c r="AG128" s="119"/>
      <c r="AH128" s="118"/>
    </row>
    <row r="129" spans="1:34" ht="13" thickBot="1">
      <c r="A129" s="126"/>
      <c r="B129" s="127"/>
      <c r="C129" s="127"/>
      <c r="D129" s="128"/>
      <c r="F129" s="126"/>
      <c r="G129" s="127"/>
      <c r="H129" s="127"/>
      <c r="I129" s="128"/>
      <c r="J129" s="18"/>
      <c r="K129" s="126"/>
      <c r="L129" s="127"/>
      <c r="M129" s="127"/>
      <c r="N129" s="128"/>
      <c r="P129" s="14"/>
      <c r="Q129" s="117"/>
      <c r="R129" s="117"/>
      <c r="S129" s="118"/>
      <c r="U129" s="14"/>
      <c r="V129" s="117"/>
      <c r="W129" s="117"/>
      <c r="X129" s="118"/>
      <c r="Z129" s="126"/>
      <c r="AA129" s="127"/>
      <c r="AB129" s="127"/>
      <c r="AC129" s="128"/>
      <c r="AE129" s="126"/>
      <c r="AF129" s="127"/>
      <c r="AG129" s="127"/>
      <c r="AH129" s="128"/>
    </row>
    <row r="130" spans="1:34" ht="15.5" thickBot="1">
      <c r="A130" s="18"/>
      <c r="B130" s="129"/>
      <c r="C130" s="129"/>
      <c r="D130" s="130"/>
      <c r="F130" s="18"/>
      <c r="G130" s="129"/>
      <c r="H130" s="129"/>
      <c r="I130" s="130"/>
      <c r="J130" s="125"/>
      <c r="K130" s="18"/>
      <c r="L130" s="129"/>
      <c r="M130" s="129"/>
      <c r="N130" s="130"/>
      <c r="P130" s="16"/>
      <c r="Q130" s="117"/>
      <c r="R130" s="119"/>
      <c r="S130" s="118"/>
      <c r="U130" s="16"/>
      <c r="V130" s="117"/>
      <c r="W130" s="119"/>
      <c r="X130" s="118"/>
      <c r="Z130" s="18"/>
      <c r="AA130" s="129"/>
      <c r="AB130" s="129"/>
      <c r="AC130" s="130"/>
      <c r="AE130" s="18"/>
      <c r="AF130" s="129"/>
      <c r="AG130" s="129"/>
      <c r="AH130" s="130"/>
    </row>
    <row r="131" spans="1:34" ht="15.5" thickBot="1">
      <c r="A131" s="914"/>
      <c r="B131" s="915"/>
      <c r="C131" s="915"/>
      <c r="D131" s="916"/>
      <c r="F131" s="914"/>
      <c r="G131" s="915"/>
      <c r="H131" s="915"/>
      <c r="I131" s="916"/>
      <c r="J131" s="18"/>
      <c r="K131" s="114"/>
      <c r="L131" s="115"/>
      <c r="M131" s="115"/>
      <c r="N131" s="116"/>
      <c r="P131" s="126"/>
      <c r="Q131" s="127"/>
      <c r="R131" s="127"/>
      <c r="S131" s="128"/>
      <c r="U131" s="126"/>
      <c r="V131" s="127"/>
      <c r="W131" s="127"/>
      <c r="X131" s="128"/>
      <c r="Z131" s="914"/>
      <c r="AA131" s="915"/>
      <c r="AB131" s="915"/>
      <c r="AC131" s="916"/>
      <c r="AE131" s="914"/>
      <c r="AF131" s="915"/>
      <c r="AG131" s="915"/>
      <c r="AH131" s="916"/>
    </row>
    <row r="132" spans="1:34" ht="13" thickBot="1">
      <c r="A132" s="14"/>
      <c r="B132" s="117"/>
      <c r="C132" s="117"/>
      <c r="D132" s="118"/>
      <c r="E132" s="20"/>
      <c r="F132" s="14"/>
      <c r="G132" s="117"/>
      <c r="H132" s="117"/>
      <c r="I132" s="118"/>
      <c r="J132" s="18"/>
      <c r="K132" s="14"/>
      <c r="L132" s="117"/>
      <c r="M132" s="117"/>
      <c r="N132" s="118"/>
      <c r="P132" s="18"/>
      <c r="Q132" s="18"/>
      <c r="R132" s="18"/>
      <c r="S132" s="18"/>
      <c r="U132" s="18"/>
      <c r="V132" s="18"/>
      <c r="W132" s="18"/>
      <c r="X132" s="18"/>
      <c r="Z132" s="14"/>
      <c r="AA132" s="117"/>
      <c r="AB132" s="117"/>
      <c r="AC132" s="118"/>
      <c r="AE132" s="14"/>
      <c r="AF132" s="117"/>
      <c r="AG132" s="117"/>
      <c r="AH132" s="118"/>
    </row>
    <row r="133" spans="1:34" ht="15">
      <c r="A133" s="16"/>
      <c r="B133" s="117"/>
      <c r="C133" s="119"/>
      <c r="D133" s="118"/>
      <c r="E133" s="18"/>
      <c r="F133" s="16"/>
      <c r="G133" s="117"/>
      <c r="H133" s="119"/>
      <c r="I133" s="118"/>
      <c r="J133" s="18"/>
      <c r="K133" s="16"/>
      <c r="L133" s="117"/>
      <c r="M133" s="119"/>
      <c r="N133" s="118"/>
      <c r="P133" s="914"/>
      <c r="Q133" s="915"/>
      <c r="R133" s="915"/>
      <c r="S133" s="916"/>
      <c r="U133" s="914"/>
      <c r="V133" s="915"/>
      <c r="W133" s="915"/>
      <c r="X133" s="916"/>
      <c r="Z133" s="16"/>
      <c r="AA133" s="117"/>
      <c r="AB133" s="119"/>
      <c r="AC133" s="118"/>
      <c r="AE133" s="16"/>
      <c r="AF133" s="117"/>
      <c r="AG133" s="119"/>
      <c r="AH133" s="118"/>
    </row>
    <row r="134" spans="1:34" ht="13" thickBot="1">
      <c r="A134" s="126"/>
      <c r="B134" s="127"/>
      <c r="C134" s="127"/>
      <c r="D134" s="128"/>
      <c r="E134" s="13"/>
      <c r="F134" s="126"/>
      <c r="G134" s="127"/>
      <c r="H134" s="127"/>
      <c r="I134" s="128"/>
      <c r="J134" s="13"/>
      <c r="K134" s="126"/>
      <c r="L134" s="127"/>
      <c r="M134" s="127"/>
      <c r="N134" s="128"/>
      <c r="P134" s="14"/>
      <c r="Q134" s="117"/>
      <c r="R134" s="117"/>
      <c r="S134" s="118"/>
      <c r="U134" s="14"/>
      <c r="V134" s="117"/>
      <c r="W134" s="117"/>
      <c r="X134" s="118"/>
      <c r="Z134" s="126"/>
      <c r="AA134" s="127"/>
      <c r="AB134" s="127"/>
      <c r="AC134" s="128"/>
      <c r="AE134" s="126"/>
      <c r="AF134" s="127"/>
      <c r="AG134" s="127"/>
      <c r="AH134" s="128"/>
    </row>
    <row r="135" spans="1:34" ht="13" thickBot="1">
      <c r="A135" s="18"/>
      <c r="B135" s="18"/>
      <c r="C135" s="18"/>
      <c r="D135" s="18"/>
      <c r="E135" s="13"/>
      <c r="F135" s="18"/>
      <c r="G135" s="18"/>
      <c r="H135" s="18"/>
      <c r="I135" s="18"/>
      <c r="J135" s="13"/>
      <c r="K135" s="18"/>
      <c r="L135" s="18"/>
      <c r="M135" s="18"/>
      <c r="N135" s="18"/>
      <c r="P135" s="16"/>
      <c r="Q135" s="117"/>
      <c r="R135" s="119"/>
      <c r="S135" s="118"/>
      <c r="U135" s="16"/>
      <c r="V135" s="117"/>
      <c r="W135" s="119"/>
      <c r="X135" s="118"/>
      <c r="Z135" s="18"/>
      <c r="AA135" s="18"/>
      <c r="AB135" s="18"/>
      <c r="AC135" s="18"/>
      <c r="AE135" s="18"/>
      <c r="AF135" s="18"/>
      <c r="AG135" s="18"/>
      <c r="AH135" s="18"/>
    </row>
    <row r="136" spans="1:34" ht="15.5" thickBot="1">
      <c r="A136" s="914"/>
      <c r="B136" s="915"/>
      <c r="C136" s="915"/>
      <c r="D136" s="916"/>
      <c r="E136" s="13"/>
      <c r="F136" s="914"/>
      <c r="G136" s="915"/>
      <c r="H136" s="915"/>
      <c r="I136" s="916"/>
      <c r="J136" s="13"/>
      <c r="K136" s="114"/>
      <c r="L136" s="115"/>
      <c r="M136" s="115"/>
      <c r="N136" s="116"/>
      <c r="P136" s="126"/>
      <c r="Q136" s="127"/>
      <c r="R136" s="127"/>
      <c r="S136" s="128"/>
      <c r="U136" s="126"/>
      <c r="V136" s="127"/>
      <c r="W136" s="127"/>
      <c r="X136" s="128"/>
      <c r="Z136" s="914"/>
      <c r="AA136" s="915"/>
      <c r="AB136" s="915"/>
      <c r="AC136" s="916"/>
      <c r="AE136" s="914"/>
      <c r="AF136" s="915"/>
      <c r="AG136" s="915"/>
      <c r="AH136" s="916"/>
    </row>
    <row r="137" spans="1:34" ht="13" thickBot="1">
      <c r="A137" s="14"/>
      <c r="B137" s="117"/>
      <c r="C137" s="117"/>
      <c r="D137" s="118"/>
      <c r="E137" s="13"/>
      <c r="F137" s="14"/>
      <c r="G137" s="117"/>
      <c r="H137" s="117"/>
      <c r="I137" s="118"/>
      <c r="J137" s="13"/>
      <c r="K137" s="14"/>
      <c r="L137" s="117"/>
      <c r="M137" s="117"/>
      <c r="N137" s="118"/>
      <c r="Z137" s="14"/>
      <c r="AA137" s="117"/>
      <c r="AB137" s="117"/>
      <c r="AC137" s="118"/>
      <c r="AE137" s="14"/>
      <c r="AF137" s="117"/>
      <c r="AG137" s="117"/>
      <c r="AH137" s="118"/>
    </row>
    <row r="138" spans="1:34" ht="15">
      <c r="A138" s="16"/>
      <c r="B138" s="117"/>
      <c r="C138" s="119"/>
      <c r="D138" s="118"/>
      <c r="F138" s="16"/>
      <c r="G138" s="117"/>
      <c r="H138" s="119"/>
      <c r="I138" s="118"/>
      <c r="K138" s="16"/>
      <c r="L138" s="117"/>
      <c r="M138" s="119"/>
      <c r="N138" s="118"/>
      <c r="P138" s="914"/>
      <c r="Q138" s="915"/>
      <c r="R138" s="915"/>
      <c r="S138" s="916"/>
      <c r="U138" s="914"/>
      <c r="V138" s="915"/>
      <c r="W138" s="915"/>
      <c r="X138" s="916"/>
      <c r="Z138" s="16"/>
      <c r="AA138" s="117"/>
      <c r="AB138" s="119"/>
      <c r="AC138" s="118"/>
      <c r="AE138" s="16"/>
      <c r="AF138" s="117"/>
      <c r="AG138" s="119"/>
      <c r="AH138" s="118"/>
    </row>
    <row r="139" spans="1:34" ht="13" thickBot="1">
      <c r="A139" s="126"/>
      <c r="B139" s="127"/>
      <c r="C139" s="127"/>
      <c r="D139" s="128"/>
      <c r="F139" s="126"/>
      <c r="G139" s="127"/>
      <c r="H139" s="127"/>
      <c r="I139" s="128"/>
      <c r="K139" s="126"/>
      <c r="L139" s="127"/>
      <c r="M139" s="127"/>
      <c r="N139" s="128"/>
      <c r="P139" s="14"/>
      <c r="Q139" s="117"/>
      <c r="R139" s="117"/>
      <c r="S139" s="118"/>
      <c r="U139" s="14"/>
      <c r="V139" s="117"/>
      <c r="W139" s="117"/>
      <c r="X139" s="118"/>
      <c r="Z139" s="126"/>
      <c r="AA139" s="127"/>
      <c r="AB139" s="127"/>
      <c r="AC139" s="128"/>
      <c r="AE139" s="126"/>
      <c r="AF139" s="127"/>
      <c r="AG139" s="127"/>
      <c r="AH139" s="128"/>
    </row>
    <row r="140" spans="1:34" ht="13" thickBot="1">
      <c r="P140" s="16"/>
      <c r="Q140" s="117"/>
      <c r="R140" s="119"/>
      <c r="S140" s="118"/>
      <c r="U140" s="16"/>
      <c r="V140" s="117"/>
      <c r="W140" s="119"/>
      <c r="X140" s="118"/>
    </row>
    <row r="141" spans="1:34" ht="15.5" thickBot="1">
      <c r="A141" s="914"/>
      <c r="B141" s="915"/>
      <c r="C141" s="915"/>
      <c r="D141" s="916"/>
      <c r="F141" s="914"/>
      <c r="G141" s="915"/>
      <c r="H141" s="915"/>
      <c r="I141" s="916"/>
      <c r="K141" s="114"/>
      <c r="L141" s="115"/>
      <c r="M141" s="115"/>
      <c r="N141" s="116"/>
      <c r="P141" s="126"/>
      <c r="Q141" s="127"/>
      <c r="R141" s="127"/>
      <c r="S141" s="128"/>
      <c r="U141" s="126"/>
      <c r="V141" s="127"/>
      <c r="W141" s="127"/>
      <c r="X141" s="128"/>
      <c r="Z141" s="914"/>
      <c r="AA141" s="915"/>
      <c r="AB141" s="915"/>
      <c r="AC141" s="916"/>
      <c r="AE141" s="914"/>
      <c r="AF141" s="915"/>
      <c r="AG141" s="915"/>
      <c r="AH141" s="916"/>
    </row>
    <row r="142" spans="1:34" ht="13" thickBot="1">
      <c r="A142" s="14"/>
      <c r="B142" s="117"/>
      <c r="C142" s="117"/>
      <c r="D142" s="118"/>
      <c r="F142" s="14"/>
      <c r="G142" s="117"/>
      <c r="H142" s="117"/>
      <c r="I142" s="118"/>
      <c r="K142" s="14"/>
      <c r="L142" s="117"/>
      <c r="M142" s="117"/>
      <c r="N142" s="118"/>
      <c r="Z142" s="14"/>
      <c r="AA142" s="117"/>
      <c r="AB142" s="117"/>
      <c r="AC142" s="118"/>
      <c r="AE142" s="14"/>
      <c r="AF142" s="117"/>
      <c r="AG142" s="117"/>
      <c r="AH142" s="118"/>
    </row>
    <row r="143" spans="1:34" ht="15">
      <c r="A143" s="16"/>
      <c r="B143" s="117"/>
      <c r="C143" s="119"/>
      <c r="D143" s="118"/>
      <c r="F143" s="16"/>
      <c r="G143" s="117"/>
      <c r="H143" s="119"/>
      <c r="I143" s="118"/>
      <c r="K143" s="16"/>
      <c r="L143" s="117"/>
      <c r="M143" s="119"/>
      <c r="N143" s="118"/>
      <c r="P143" s="914"/>
      <c r="Q143" s="915"/>
      <c r="R143" s="915"/>
      <c r="S143" s="916"/>
      <c r="U143" s="914"/>
      <c r="V143" s="915"/>
      <c r="W143" s="915"/>
      <c r="X143" s="916"/>
      <c r="Z143" s="16"/>
      <c r="AA143" s="117"/>
      <c r="AB143" s="119"/>
      <c r="AC143" s="118"/>
      <c r="AE143" s="16"/>
      <c r="AF143" s="117"/>
      <c r="AG143" s="119"/>
      <c r="AH143" s="118"/>
    </row>
    <row r="144" spans="1:34" ht="13" thickBot="1">
      <c r="A144" s="126"/>
      <c r="B144" s="127"/>
      <c r="C144" s="127"/>
      <c r="D144" s="128"/>
      <c r="F144" s="126"/>
      <c r="G144" s="127"/>
      <c r="H144" s="127"/>
      <c r="I144" s="128"/>
      <c r="K144" s="126"/>
      <c r="L144" s="127"/>
      <c r="M144" s="127"/>
      <c r="N144" s="128"/>
      <c r="P144" s="14"/>
      <c r="Q144" s="117"/>
      <c r="R144" s="117"/>
      <c r="S144" s="118"/>
      <c r="U144" s="14"/>
      <c r="V144" s="117"/>
      <c r="W144" s="117"/>
      <c r="X144" s="118"/>
      <c r="Z144" s="126"/>
      <c r="AA144" s="127"/>
      <c r="AB144" s="127"/>
      <c r="AC144" s="128"/>
      <c r="AE144" s="126"/>
      <c r="AF144" s="127"/>
      <c r="AG144" s="127"/>
      <c r="AH144" s="128"/>
    </row>
    <row r="145" spans="1:34" ht="13" thickBot="1">
      <c r="P145" s="16"/>
      <c r="Q145" s="117"/>
      <c r="R145" s="119"/>
      <c r="S145" s="118"/>
      <c r="U145" s="16"/>
      <c r="V145" s="117"/>
      <c r="W145" s="119"/>
      <c r="X145" s="118"/>
    </row>
    <row r="146" spans="1:34" ht="15.5" thickBot="1">
      <c r="A146" s="914"/>
      <c r="B146" s="915"/>
      <c r="C146" s="915"/>
      <c r="D146" s="916"/>
      <c r="F146" s="914"/>
      <c r="G146" s="915"/>
      <c r="H146" s="915"/>
      <c r="I146" s="916"/>
      <c r="K146" s="114"/>
      <c r="L146" s="115"/>
      <c r="M146" s="115"/>
      <c r="N146" s="116"/>
      <c r="P146" s="126"/>
      <c r="Q146" s="127"/>
      <c r="R146" s="127"/>
      <c r="S146" s="128"/>
      <c r="U146" s="126"/>
      <c r="V146" s="127"/>
      <c r="W146" s="127"/>
      <c r="X146" s="128"/>
      <c r="Z146" s="914"/>
      <c r="AA146" s="915"/>
      <c r="AB146" s="915"/>
      <c r="AC146" s="916"/>
      <c r="AE146" s="914"/>
      <c r="AF146" s="915"/>
      <c r="AG146" s="915"/>
      <c r="AH146" s="916"/>
    </row>
    <row r="147" spans="1:34">
      <c r="A147" s="14"/>
      <c r="B147" s="117"/>
      <c r="C147" s="117"/>
      <c r="D147" s="118"/>
      <c r="F147" s="14"/>
      <c r="G147" s="117"/>
      <c r="H147" s="117"/>
      <c r="I147" s="118"/>
      <c r="K147" s="14"/>
      <c r="L147" s="117"/>
      <c r="M147" s="117"/>
      <c r="N147" s="118"/>
      <c r="Z147" s="14"/>
      <c r="AA147" s="117"/>
      <c r="AB147" s="117"/>
      <c r="AC147" s="118"/>
      <c r="AE147" s="14"/>
      <c r="AF147" s="117"/>
      <c r="AG147" s="117"/>
      <c r="AH147" s="118"/>
    </row>
    <row r="148" spans="1:34">
      <c r="A148" s="16"/>
      <c r="B148" s="117"/>
      <c r="C148" s="119"/>
      <c r="D148" s="118"/>
      <c r="F148" s="16"/>
      <c r="G148" s="117"/>
      <c r="H148" s="119"/>
      <c r="I148" s="118"/>
      <c r="K148" s="16"/>
      <c r="L148" s="117"/>
      <c r="M148" s="119"/>
      <c r="N148" s="118"/>
      <c r="Z148" s="16"/>
      <c r="AA148" s="117"/>
      <c r="AB148" s="119"/>
      <c r="AC148" s="118"/>
      <c r="AE148" s="16"/>
      <c r="AF148" s="117"/>
      <c r="AG148" s="119"/>
      <c r="AH148" s="118"/>
    </row>
    <row r="149" spans="1:34" ht="35.5" thickBot="1">
      <c r="A149" s="126"/>
      <c r="B149" s="127"/>
      <c r="C149" s="127"/>
      <c r="D149" s="128"/>
      <c r="F149" s="126"/>
      <c r="G149" s="127"/>
      <c r="H149" s="127"/>
      <c r="I149" s="128"/>
      <c r="K149" s="126"/>
      <c r="L149" s="127"/>
      <c r="M149" s="127"/>
      <c r="N149" s="128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26"/>
      <c r="AA149" s="127"/>
      <c r="AB149" s="127"/>
      <c r="AC149" s="128"/>
      <c r="AE149" s="126"/>
      <c r="AF149" s="127"/>
      <c r="AG149" s="127"/>
      <c r="AH149" s="128"/>
    </row>
    <row r="150" spans="1:34" ht="20.5" thickBot="1">
      <c r="N150" s="113"/>
      <c r="O150" s="124"/>
      <c r="P150" s="913"/>
      <c r="Q150" s="913"/>
      <c r="R150" s="913"/>
      <c r="S150" s="913"/>
      <c r="T150" s="124"/>
      <c r="U150" s="913"/>
      <c r="V150" s="913"/>
      <c r="W150" s="913"/>
      <c r="X150" s="913"/>
      <c r="Y150" s="124"/>
    </row>
    <row r="151" spans="1:34" ht="15">
      <c r="P151" s="914"/>
      <c r="Q151" s="915"/>
      <c r="R151" s="915"/>
      <c r="S151" s="916"/>
      <c r="U151" s="914"/>
      <c r="V151" s="915"/>
      <c r="W151" s="915"/>
      <c r="X151" s="916"/>
    </row>
    <row r="152" spans="1:34" ht="35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P152" s="14"/>
      <c r="Q152" s="117"/>
      <c r="R152" s="117"/>
      <c r="S152" s="118"/>
      <c r="U152" s="14"/>
      <c r="V152" s="117"/>
      <c r="W152" s="117"/>
      <c r="X152" s="118"/>
      <c r="Z152" s="112"/>
      <c r="AA152" s="112"/>
      <c r="AB152" s="112"/>
      <c r="AC152" s="112"/>
      <c r="AD152" s="124"/>
      <c r="AE152" s="124"/>
      <c r="AF152" s="124"/>
      <c r="AG152" s="124"/>
      <c r="AH152" s="124"/>
    </row>
    <row r="153" spans="1:34" ht="21" customHeight="1" thickBot="1">
      <c r="A153" s="913"/>
      <c r="B153" s="913"/>
      <c r="C153" s="913"/>
      <c r="D153" s="913"/>
      <c r="E153" s="112"/>
      <c r="F153" s="913"/>
      <c r="G153" s="913"/>
      <c r="H153" s="913"/>
      <c r="I153" s="913"/>
      <c r="J153" s="112"/>
      <c r="K153" s="113"/>
      <c r="L153" s="113"/>
      <c r="M153" s="113"/>
      <c r="P153" s="16"/>
      <c r="Q153" s="117"/>
      <c r="R153" s="119"/>
      <c r="S153" s="118"/>
      <c r="U153" s="16"/>
      <c r="V153" s="117"/>
      <c r="W153" s="119"/>
      <c r="X153" s="118"/>
      <c r="Z153" s="913"/>
      <c r="AA153" s="913"/>
      <c r="AB153" s="913"/>
      <c r="AC153" s="913"/>
      <c r="AD153" s="124"/>
      <c r="AE153" s="913"/>
      <c r="AF153" s="913"/>
      <c r="AG153" s="913"/>
      <c r="AH153" s="913"/>
    </row>
    <row r="154" spans="1:34" ht="15.5" thickBot="1">
      <c r="A154" s="914"/>
      <c r="B154" s="915"/>
      <c r="C154" s="915"/>
      <c r="D154" s="916"/>
      <c r="F154" s="914"/>
      <c r="G154" s="915"/>
      <c r="H154" s="915"/>
      <c r="I154" s="916"/>
      <c r="J154" s="125"/>
      <c r="K154" s="114"/>
      <c r="L154" s="115"/>
      <c r="M154" s="115"/>
      <c r="N154" s="116"/>
      <c r="P154" s="126"/>
      <c r="Q154" s="127"/>
      <c r="R154" s="127"/>
      <c r="S154" s="128"/>
      <c r="U154" s="126"/>
      <c r="V154" s="127"/>
      <c r="W154" s="127"/>
      <c r="X154" s="128"/>
      <c r="Z154" s="914"/>
      <c r="AA154" s="915"/>
      <c r="AB154" s="915"/>
      <c r="AC154" s="916"/>
      <c r="AE154" s="914"/>
      <c r="AF154" s="915"/>
      <c r="AG154" s="915"/>
      <c r="AH154" s="916"/>
    </row>
    <row r="155" spans="1:34">
      <c r="A155" s="14"/>
      <c r="B155" s="117"/>
      <c r="C155" s="117"/>
      <c r="D155" s="118"/>
      <c r="F155" s="14"/>
      <c r="G155" s="117"/>
      <c r="H155" s="117"/>
      <c r="I155" s="118"/>
      <c r="J155" s="18"/>
      <c r="K155" s="14"/>
      <c r="L155" s="117"/>
      <c r="M155" s="117"/>
      <c r="N155" s="118"/>
      <c r="Z155" s="14"/>
      <c r="AA155" s="117"/>
      <c r="AB155" s="117"/>
      <c r="AC155" s="118"/>
      <c r="AE155" s="14"/>
      <c r="AF155" s="117"/>
      <c r="AG155" s="117"/>
      <c r="AH155" s="118"/>
    </row>
    <row r="156" spans="1:34">
      <c r="A156" s="16"/>
      <c r="B156" s="117"/>
      <c r="C156" s="119"/>
      <c r="D156" s="118"/>
      <c r="F156" s="16"/>
      <c r="G156" s="117"/>
      <c r="H156" s="119"/>
      <c r="I156" s="118"/>
      <c r="J156" s="18"/>
      <c r="K156" s="16"/>
      <c r="L156" s="117"/>
      <c r="M156" s="119"/>
      <c r="N156" s="118"/>
      <c r="Z156" s="16"/>
      <c r="AA156" s="117"/>
      <c r="AB156" s="119"/>
      <c r="AC156" s="118"/>
      <c r="AE156" s="16"/>
      <c r="AF156" s="117"/>
      <c r="AG156" s="119"/>
      <c r="AH156" s="118"/>
    </row>
    <row r="157" spans="1:34" ht="13" thickBot="1">
      <c r="A157" s="126"/>
      <c r="B157" s="127"/>
      <c r="C157" s="127"/>
      <c r="D157" s="128"/>
      <c r="F157" s="126"/>
      <c r="G157" s="127"/>
      <c r="H157" s="127"/>
      <c r="I157" s="128"/>
      <c r="J157" s="18"/>
      <c r="K157" s="126"/>
      <c r="L157" s="127"/>
      <c r="M157" s="127"/>
      <c r="N157" s="128"/>
      <c r="Z157" s="126"/>
      <c r="AA157" s="127"/>
      <c r="AB157" s="127"/>
      <c r="AC157" s="128"/>
      <c r="AE157" s="126"/>
      <c r="AF157" s="127"/>
      <c r="AG157" s="127"/>
      <c r="AH157" s="128"/>
    </row>
  </sheetData>
  <mergeCells count="171">
    <mergeCell ref="N71:V71"/>
    <mergeCell ref="N74:O74"/>
    <mergeCell ref="N75:O75"/>
    <mergeCell ref="N81:V81"/>
    <mergeCell ref="N82:V82"/>
    <mergeCell ref="N83:V83"/>
    <mergeCell ref="N84:V84"/>
    <mergeCell ref="N85:V85"/>
    <mergeCell ref="N88:O88"/>
    <mergeCell ref="N55:V55"/>
    <mergeCell ref="N56:V56"/>
    <mergeCell ref="N57:V57"/>
    <mergeCell ref="N60:O60"/>
    <mergeCell ref="N61:O61"/>
    <mergeCell ref="N67:V67"/>
    <mergeCell ref="N68:V68"/>
    <mergeCell ref="N69:V69"/>
    <mergeCell ref="N70:V70"/>
    <mergeCell ref="N39:V39"/>
    <mergeCell ref="N40:V40"/>
    <mergeCell ref="N41:V41"/>
    <mergeCell ref="N42:V42"/>
    <mergeCell ref="N43:V43"/>
    <mergeCell ref="N46:O46"/>
    <mergeCell ref="N47:O47"/>
    <mergeCell ref="N53:V53"/>
    <mergeCell ref="N54:V54"/>
    <mergeCell ref="A154:D154"/>
    <mergeCell ref="F154:I154"/>
    <mergeCell ref="P151:S151"/>
    <mergeCell ref="U151:X151"/>
    <mergeCell ref="Z154:AC154"/>
    <mergeCell ref="AE154:AH154"/>
    <mergeCell ref="A101:A102"/>
    <mergeCell ref="A114:A115"/>
    <mergeCell ref="B114:B115"/>
    <mergeCell ref="M114:M115"/>
    <mergeCell ref="A146:D146"/>
    <mergeCell ref="F146:I146"/>
    <mergeCell ref="P143:S143"/>
    <mergeCell ref="U143:X143"/>
    <mergeCell ref="Z146:AC146"/>
    <mergeCell ref="AE146:AH146"/>
    <mergeCell ref="A153:D153"/>
    <mergeCell ref="F153:I153"/>
    <mergeCell ref="P150:S150"/>
    <mergeCell ref="U150:X150"/>
    <mergeCell ref="Z153:AC153"/>
    <mergeCell ref="AE153:AH153"/>
    <mergeCell ref="A136:D136"/>
    <mergeCell ref="F136:I136"/>
    <mergeCell ref="P133:S133"/>
    <mergeCell ref="U133:X133"/>
    <mergeCell ref="Z136:AC136"/>
    <mergeCell ref="AE136:AH136"/>
    <mergeCell ref="A141:D141"/>
    <mergeCell ref="F141:I141"/>
    <mergeCell ref="P138:S138"/>
    <mergeCell ref="U138:X138"/>
    <mergeCell ref="Z141:AC141"/>
    <mergeCell ref="AE141:AH141"/>
    <mergeCell ref="A126:D126"/>
    <mergeCell ref="F126:I126"/>
    <mergeCell ref="P123:S123"/>
    <mergeCell ref="U123:X123"/>
    <mergeCell ref="Z126:AC126"/>
    <mergeCell ref="AE126:AH126"/>
    <mergeCell ref="A131:D131"/>
    <mergeCell ref="F131:I131"/>
    <mergeCell ref="P128:S128"/>
    <mergeCell ref="U128:X128"/>
    <mergeCell ref="Z131:AC131"/>
    <mergeCell ref="AE131:AH131"/>
    <mergeCell ref="Z125:AC125"/>
    <mergeCell ref="A84:F84"/>
    <mergeCell ref="G84:I84"/>
    <mergeCell ref="A85:F85"/>
    <mergeCell ref="G85:I85"/>
    <mergeCell ref="B88:E88"/>
    <mergeCell ref="G90:J90"/>
    <mergeCell ref="G94:J94"/>
    <mergeCell ref="AE125:AH125"/>
    <mergeCell ref="A125:D125"/>
    <mergeCell ref="F125:I125"/>
    <mergeCell ref="P122:S122"/>
    <mergeCell ref="U122:X122"/>
    <mergeCell ref="N89:O89"/>
    <mergeCell ref="N95:V95"/>
    <mergeCell ref="N96:V96"/>
    <mergeCell ref="N97:V97"/>
    <mergeCell ref="N98:V98"/>
    <mergeCell ref="N99:V99"/>
    <mergeCell ref="A82:F82"/>
    <mergeCell ref="G82:I82"/>
    <mergeCell ref="B101:D101"/>
    <mergeCell ref="G101:H101"/>
    <mergeCell ref="A83:F83"/>
    <mergeCell ref="A58:F58"/>
    <mergeCell ref="G58:I58"/>
    <mergeCell ref="A59:F59"/>
    <mergeCell ref="G59:I59"/>
    <mergeCell ref="A60:F60"/>
    <mergeCell ref="G60:I60"/>
    <mergeCell ref="A61:F61"/>
    <mergeCell ref="G61:I61"/>
    <mergeCell ref="A69:I69"/>
    <mergeCell ref="A70:F70"/>
    <mergeCell ref="G70:I70"/>
    <mergeCell ref="A71:F71"/>
    <mergeCell ref="G71:I71"/>
    <mergeCell ref="A72:F72"/>
    <mergeCell ref="G72:I72"/>
    <mergeCell ref="A73:F73"/>
    <mergeCell ref="G73:I73"/>
    <mergeCell ref="A81:I81"/>
    <mergeCell ref="G83:I83"/>
    <mergeCell ref="A46:F46"/>
    <mergeCell ref="G46:I46"/>
    <mergeCell ref="A47:F47"/>
    <mergeCell ref="G47:I47"/>
    <mergeCell ref="A48:F48"/>
    <mergeCell ref="G48:I48"/>
    <mergeCell ref="A49:F49"/>
    <mergeCell ref="G49:I49"/>
    <mergeCell ref="A57:I57"/>
    <mergeCell ref="A34:F34"/>
    <mergeCell ref="G34:I34"/>
    <mergeCell ref="A35:F35"/>
    <mergeCell ref="G35:I35"/>
    <mergeCell ref="A36:F36"/>
    <mergeCell ref="G36:I36"/>
    <mergeCell ref="A37:F37"/>
    <mergeCell ref="G37:I37"/>
    <mergeCell ref="A45:I45"/>
    <mergeCell ref="N26:V26"/>
    <mergeCell ref="N27:V27"/>
    <mergeCell ref="N28:V28"/>
    <mergeCell ref="N29:V29"/>
    <mergeCell ref="N32:O32"/>
    <mergeCell ref="N33:O33"/>
    <mergeCell ref="A13:F13"/>
    <mergeCell ref="G13:I13"/>
    <mergeCell ref="A23:F23"/>
    <mergeCell ref="G23:I23"/>
    <mergeCell ref="A24:F24"/>
    <mergeCell ref="G24:I24"/>
    <mergeCell ref="A25:F25"/>
    <mergeCell ref="G25:I25"/>
    <mergeCell ref="A33:I33"/>
    <mergeCell ref="N13:V13"/>
    <mergeCell ref="N14:V14"/>
    <mergeCell ref="N15:V15"/>
    <mergeCell ref="A21:I21"/>
    <mergeCell ref="A22:F22"/>
    <mergeCell ref="G22:I22"/>
    <mergeCell ref="N18:O18"/>
    <mergeCell ref="N19:O19"/>
    <mergeCell ref="N25:V25"/>
    <mergeCell ref="A1:L1"/>
    <mergeCell ref="N4:O4"/>
    <mergeCell ref="N5:O5"/>
    <mergeCell ref="A9:I9"/>
    <mergeCell ref="A10:F10"/>
    <mergeCell ref="G10:I10"/>
    <mergeCell ref="A11:F11"/>
    <mergeCell ref="G11:I11"/>
    <mergeCell ref="A12:F12"/>
    <mergeCell ref="G12:I12"/>
    <mergeCell ref="N2:Y2"/>
    <mergeCell ref="N11:V11"/>
    <mergeCell ref="N12:V12"/>
  </mergeCells>
  <printOptions horizontalCentered="1"/>
  <pageMargins left="0.69930555555555596" right="0.69930555555555596" top="0.75" bottom="0.75" header="0.3" footer="0.3"/>
  <pageSetup paperSize="9" scale="75" orientation="portrait" r:id="rId1"/>
  <headerFooter>
    <oddHeader xml:space="preserve">&amp;R&amp;"Times New Roman,Regular"&amp;9OA.015-18 </oddHeader>
  </headerFooter>
  <rowBreaks count="3" manualBreakCount="3">
    <brk id="38" max="11" man="1"/>
    <brk id="86" max="33" man="1"/>
    <brk id="151" max="3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116"/>
  <sheetViews>
    <sheetView view="pageBreakPreview" topLeftCell="A44" zoomScale="82" zoomScaleNormal="100" zoomScaleSheetLayoutView="82" workbookViewId="0">
      <selection activeCell="J37" sqref="J37"/>
    </sheetView>
  </sheetViews>
  <sheetFormatPr defaultColWidth="9.1796875" defaultRowHeight="14"/>
  <cols>
    <col min="1" max="1" width="4.81640625" style="131" customWidth="1"/>
    <col min="2" max="2" width="3.54296875" style="131" customWidth="1"/>
    <col min="3" max="3" width="18.1796875" style="131" customWidth="1"/>
    <col min="4" max="4" width="9.26953125" style="131" customWidth="1"/>
    <col min="5" max="5" width="6.453125" style="132" customWidth="1"/>
    <col min="6" max="6" width="9.7265625" style="131" customWidth="1"/>
    <col min="7" max="7" width="6.7265625" style="131" customWidth="1"/>
    <col min="8" max="8" width="7" style="131" customWidth="1"/>
    <col min="9" max="9" width="10.81640625" style="131" customWidth="1"/>
    <col min="10" max="10" width="18.1796875" style="131" customWidth="1"/>
    <col min="11" max="11" width="17.7265625" style="131" customWidth="1"/>
    <col min="12" max="12" width="22.26953125" style="131" customWidth="1"/>
    <col min="13" max="13" width="15.7265625" style="131" customWidth="1"/>
    <col min="14" max="14" width="35.26953125" style="133" bestFit="1" customWidth="1"/>
    <col min="15" max="15" width="91.1796875" style="133" customWidth="1"/>
    <col min="16" max="16" width="9.1796875" style="131"/>
    <col min="17" max="17" width="14.81640625" style="131" customWidth="1"/>
    <col min="18" max="21" width="9.1796875" style="131"/>
    <col min="22" max="22" width="30.453125" style="131" customWidth="1"/>
    <col min="23" max="23" width="19.7265625" style="131" customWidth="1"/>
    <col min="24" max="24" width="17" style="131" customWidth="1"/>
    <col min="25" max="25" width="27" style="131" customWidth="1"/>
    <col min="26" max="26" width="18.1796875" style="131" customWidth="1"/>
    <col min="27" max="27" width="18.453125" style="131" customWidth="1"/>
    <col min="28" max="16384" width="9.1796875" style="131"/>
  </cols>
  <sheetData>
    <row r="1" spans="1:16" ht="18">
      <c r="A1" s="939" t="s">
        <v>470</v>
      </c>
      <c r="B1" s="939"/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159"/>
    </row>
    <row r="2" spans="1:16" ht="15.5">
      <c r="A2" s="355"/>
      <c r="B2" s="355"/>
      <c r="C2" s="355"/>
      <c r="D2" s="355"/>
      <c r="E2" s="355"/>
      <c r="F2" s="355"/>
      <c r="G2" s="356"/>
      <c r="H2" s="743" t="str">
        <f>IF(Penyelia!R60&gt;=70,ID!N4,ID!N5)</f>
        <v>Nomor Sertifikat : 13 /</v>
      </c>
      <c r="I2" s="777" t="s">
        <v>433</v>
      </c>
      <c r="J2" s="357"/>
      <c r="K2" s="357"/>
      <c r="L2" s="355"/>
      <c r="M2" s="133"/>
    </row>
    <row r="3" spans="1:16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739" t="s">
        <v>262</v>
      </c>
      <c r="O3" s="739" t="s">
        <v>263</v>
      </c>
    </row>
    <row r="4" spans="1:16" ht="15.5">
      <c r="A4" s="134" t="s">
        <v>0</v>
      </c>
      <c r="C4" s="133"/>
      <c r="D4" s="135" t="s">
        <v>14</v>
      </c>
      <c r="E4" s="543" t="s">
        <v>304</v>
      </c>
      <c r="F4" s="136"/>
      <c r="G4" s="136"/>
      <c r="H4" s="133"/>
      <c r="I4" s="133"/>
      <c r="J4" s="133"/>
      <c r="K4" s="133"/>
      <c r="L4" s="133"/>
      <c r="M4" s="133"/>
      <c r="N4" s="741" t="s">
        <v>471</v>
      </c>
      <c r="O4" s="740" t="s">
        <v>329</v>
      </c>
    </row>
    <row r="5" spans="1:16" ht="15.5">
      <c r="A5" s="134" t="s">
        <v>2</v>
      </c>
      <c r="C5" s="133"/>
      <c r="D5" s="135" t="s">
        <v>14</v>
      </c>
      <c r="E5" s="543" t="s">
        <v>305</v>
      </c>
      <c r="F5" s="136"/>
      <c r="G5" s="136"/>
      <c r="H5" s="133"/>
      <c r="I5" s="133"/>
      <c r="J5" s="133"/>
      <c r="K5" s="133"/>
      <c r="L5" s="133"/>
      <c r="M5" s="133"/>
      <c r="N5" s="10" t="s">
        <v>472</v>
      </c>
      <c r="O5" s="740" t="s">
        <v>330</v>
      </c>
    </row>
    <row r="6" spans="1:16">
      <c r="A6" s="134" t="s">
        <v>3</v>
      </c>
      <c r="C6" s="133"/>
      <c r="D6" s="135" t="s">
        <v>14</v>
      </c>
      <c r="E6" s="543" t="s">
        <v>306</v>
      </c>
      <c r="F6" s="136"/>
      <c r="G6" s="136"/>
      <c r="H6" s="133"/>
      <c r="I6" s="133"/>
      <c r="J6" s="133"/>
      <c r="K6" s="133"/>
      <c r="L6" s="133"/>
      <c r="M6" s="133"/>
    </row>
    <row r="7" spans="1:16">
      <c r="A7" s="134" t="s">
        <v>4</v>
      </c>
      <c r="C7" s="133"/>
      <c r="D7" s="135" t="s">
        <v>14</v>
      </c>
      <c r="E7" s="784">
        <v>1</v>
      </c>
      <c r="F7" s="137" t="s">
        <v>63</v>
      </c>
      <c r="G7" s="133"/>
      <c r="H7" s="133"/>
      <c r="I7" s="133"/>
      <c r="J7" s="133"/>
      <c r="K7" s="133"/>
      <c r="L7" s="133"/>
      <c r="M7" s="133"/>
    </row>
    <row r="8" spans="1:16">
      <c r="A8" s="134" t="s">
        <v>398</v>
      </c>
      <c r="C8" s="133"/>
      <c r="D8" s="135" t="s">
        <v>14</v>
      </c>
      <c r="E8" s="946">
        <v>44624</v>
      </c>
      <c r="F8" s="946"/>
      <c r="G8" s="133"/>
      <c r="H8" s="133"/>
      <c r="I8" s="133"/>
      <c r="J8" s="133"/>
      <c r="K8" s="133"/>
      <c r="L8" s="133"/>
      <c r="M8" s="133"/>
      <c r="N8" s="742"/>
    </row>
    <row r="9" spans="1:16">
      <c r="A9" s="134" t="s">
        <v>326</v>
      </c>
      <c r="D9" s="135" t="s">
        <v>14</v>
      </c>
      <c r="E9" s="946">
        <v>44625</v>
      </c>
      <c r="F9" s="946"/>
      <c r="G9" s="138"/>
      <c r="H9" s="539"/>
      <c r="I9" s="133"/>
      <c r="J9" s="133"/>
      <c r="K9" s="133"/>
      <c r="L9" s="133"/>
      <c r="M9" s="133"/>
    </row>
    <row r="10" spans="1:16">
      <c r="A10" s="134" t="s">
        <v>327</v>
      </c>
      <c r="C10" s="133"/>
      <c r="D10" s="135" t="s">
        <v>14</v>
      </c>
      <c r="E10" s="543" t="s">
        <v>307</v>
      </c>
      <c r="F10" s="139"/>
      <c r="G10" s="138"/>
      <c r="H10" s="138"/>
      <c r="I10" s="136"/>
      <c r="J10" s="136"/>
      <c r="K10" s="133"/>
      <c r="L10" s="133"/>
      <c r="M10" s="133"/>
    </row>
    <row r="11" spans="1:16">
      <c r="A11" s="134" t="s">
        <v>5</v>
      </c>
      <c r="C11" s="133"/>
      <c r="D11" s="135" t="s">
        <v>14</v>
      </c>
      <c r="E11" s="543" t="s">
        <v>307</v>
      </c>
      <c r="F11" s="136"/>
      <c r="G11" s="136"/>
      <c r="H11" s="136"/>
      <c r="I11" s="136"/>
      <c r="J11" s="136"/>
      <c r="K11" s="133"/>
      <c r="L11" s="133"/>
      <c r="M11" s="133"/>
    </row>
    <row r="12" spans="1:16">
      <c r="A12" s="134" t="s">
        <v>64</v>
      </c>
      <c r="C12" s="133"/>
      <c r="D12" s="135" t="s">
        <v>14</v>
      </c>
      <c r="E12" s="201" t="s">
        <v>477</v>
      </c>
      <c r="F12" s="137"/>
      <c r="G12" s="137"/>
      <c r="H12" s="137"/>
      <c r="I12" s="133"/>
      <c r="J12" s="133"/>
      <c r="K12" s="133"/>
      <c r="L12" s="133"/>
      <c r="M12" s="133"/>
    </row>
    <row r="13" spans="1:16" ht="13.5" customHeight="1">
      <c r="A13" s="133"/>
      <c r="B13" s="133"/>
      <c r="C13" s="133"/>
      <c r="D13" s="133"/>
      <c r="E13" s="137"/>
      <c r="F13" s="133"/>
      <c r="G13" s="133"/>
      <c r="H13" s="133"/>
      <c r="I13" s="133"/>
      <c r="J13" s="133"/>
      <c r="K13" s="133"/>
      <c r="L13" s="133"/>
      <c r="M13" s="133"/>
    </row>
    <row r="14" spans="1:16">
      <c r="A14" s="140" t="s">
        <v>65</v>
      </c>
      <c r="B14" s="141" t="s">
        <v>291</v>
      </c>
      <c r="C14" s="133"/>
      <c r="D14" s="141"/>
      <c r="E14" s="131"/>
      <c r="G14" s="133"/>
      <c r="H14" s="133"/>
      <c r="I14" s="133"/>
      <c r="J14" s="141"/>
      <c r="K14" s="141"/>
      <c r="L14" s="141"/>
      <c r="M14" s="133"/>
      <c r="N14" s="146" t="s">
        <v>66</v>
      </c>
      <c r="O14" s="924"/>
      <c r="P14" s="924"/>
    </row>
    <row r="15" spans="1:16">
      <c r="A15" s="140"/>
      <c r="B15" s="141"/>
      <c r="C15" s="133"/>
      <c r="D15" s="141"/>
      <c r="E15" s="142" t="s">
        <v>7</v>
      </c>
      <c r="F15" s="54" t="s">
        <v>8</v>
      </c>
      <c r="G15" s="133"/>
      <c r="H15" s="133"/>
      <c r="I15" s="133"/>
      <c r="J15" s="141"/>
      <c r="K15" s="141"/>
      <c r="L15" s="141"/>
      <c r="M15" s="133"/>
      <c r="N15" s="146"/>
      <c r="O15" s="146"/>
      <c r="P15" s="146"/>
    </row>
    <row r="16" spans="1:16" ht="16.5">
      <c r="A16" s="133"/>
      <c r="B16" s="133" t="s">
        <v>67</v>
      </c>
      <c r="C16" s="133"/>
      <c r="D16" s="135" t="s">
        <v>14</v>
      </c>
      <c r="E16" s="785">
        <v>24.2</v>
      </c>
      <c r="F16" s="785">
        <v>24.5</v>
      </c>
      <c r="G16" s="133" t="s">
        <v>68</v>
      </c>
      <c r="H16" s="133"/>
      <c r="I16" s="133"/>
      <c r="J16" s="778" t="s">
        <v>468</v>
      </c>
      <c r="K16" s="133"/>
      <c r="L16" s="133"/>
      <c r="M16" s="133"/>
      <c r="N16" s="779">
        <f>AVERAGE(E16:F16)</f>
        <v>24.35</v>
      </c>
      <c r="O16" s="780"/>
      <c r="P16" s="780"/>
    </row>
    <row r="17" spans="1:18">
      <c r="A17" s="133"/>
      <c r="B17" s="133" t="s">
        <v>69</v>
      </c>
      <c r="C17" s="133"/>
      <c r="D17" s="135" t="s">
        <v>14</v>
      </c>
      <c r="E17" s="785">
        <v>65.5</v>
      </c>
      <c r="F17" s="785">
        <v>65.599999999999994</v>
      </c>
      <c r="G17" s="133" t="s">
        <v>70</v>
      </c>
      <c r="H17" s="133"/>
      <c r="I17" s="133"/>
      <c r="J17" s="133" t="s">
        <v>12</v>
      </c>
      <c r="K17" s="133"/>
      <c r="L17" s="133"/>
      <c r="M17" s="133"/>
      <c r="N17" s="779">
        <f>AVERAGE(E17:F17)</f>
        <v>65.55</v>
      </c>
      <c r="O17" s="780"/>
      <c r="P17" s="780"/>
    </row>
    <row r="18" spans="1:18">
      <c r="A18" s="133"/>
      <c r="B18" s="133" t="s">
        <v>71</v>
      </c>
      <c r="C18" s="133"/>
      <c r="D18" s="135" t="s">
        <v>14</v>
      </c>
      <c r="E18" s="786">
        <v>221.7</v>
      </c>
      <c r="F18" s="143" t="s">
        <v>15</v>
      </c>
      <c r="G18" s="779"/>
      <c r="H18" s="780"/>
      <c r="I18" s="780"/>
      <c r="J18" s="133"/>
      <c r="K18" s="133"/>
      <c r="L18" s="133"/>
      <c r="M18" s="133"/>
    </row>
    <row r="19" spans="1:18" ht="13.5" customHeight="1">
      <c r="A19" s="133"/>
      <c r="B19" s="133"/>
      <c r="C19" s="133"/>
      <c r="D19" s="133"/>
      <c r="E19" s="137"/>
      <c r="F19" s="133"/>
      <c r="G19" s="133"/>
      <c r="H19" s="133"/>
      <c r="I19" s="133"/>
      <c r="J19" s="133"/>
      <c r="K19" s="133"/>
      <c r="L19" s="133"/>
      <c r="M19" s="133"/>
    </row>
    <row r="20" spans="1:18">
      <c r="A20" s="140" t="s">
        <v>72</v>
      </c>
      <c r="B20" s="141" t="s">
        <v>292</v>
      </c>
      <c r="C20" s="133"/>
      <c r="D20" s="141"/>
      <c r="E20" s="144"/>
      <c r="F20" s="141"/>
      <c r="G20" s="141"/>
      <c r="H20" s="141"/>
      <c r="I20" s="141"/>
      <c r="J20" s="141"/>
      <c r="K20" s="133"/>
      <c r="L20" s="133"/>
      <c r="M20" s="133"/>
    </row>
    <row r="21" spans="1:18">
      <c r="A21" s="133"/>
      <c r="B21" s="133" t="str">
        <f>'Lembar Kerja'!B22</f>
        <v>1. Fisik</v>
      </c>
      <c r="C21" s="133"/>
      <c r="D21" s="135" t="s">
        <v>14</v>
      </c>
      <c r="E21" s="784" t="s">
        <v>73</v>
      </c>
      <c r="F21" s="133"/>
      <c r="G21" s="133"/>
      <c r="H21" s="133"/>
      <c r="I21" s="133"/>
      <c r="J21" s="133"/>
      <c r="K21" s="133"/>
      <c r="L21" s="133"/>
      <c r="M21" s="133"/>
    </row>
    <row r="22" spans="1:18">
      <c r="A22" s="133"/>
      <c r="B22" s="133" t="str">
        <f>'Lembar Kerja'!B23</f>
        <v>2. Fungsi</v>
      </c>
      <c r="C22" s="133"/>
      <c r="D22" s="135" t="s">
        <v>14</v>
      </c>
      <c r="E22" s="784" t="s">
        <v>73</v>
      </c>
      <c r="F22" s="133"/>
      <c r="G22" s="133"/>
      <c r="H22" s="133"/>
      <c r="I22" s="133"/>
      <c r="J22" s="133"/>
      <c r="K22" s="133"/>
      <c r="L22" s="133"/>
      <c r="M22" s="133"/>
    </row>
    <row r="23" spans="1:18" ht="13.5" customHeight="1">
      <c r="A23" s="925"/>
      <c r="B23" s="925"/>
      <c r="C23" s="925"/>
      <c r="D23" s="925"/>
      <c r="E23" s="925"/>
      <c r="F23" s="925"/>
      <c r="G23" s="925"/>
      <c r="H23" s="925"/>
      <c r="I23" s="925"/>
      <c r="J23" s="133"/>
      <c r="K23" s="133"/>
      <c r="L23" s="133"/>
      <c r="M23" s="133"/>
    </row>
    <row r="24" spans="1:18" ht="18" customHeight="1">
      <c r="A24" s="140" t="s">
        <v>22</v>
      </c>
      <c r="B24" s="145" t="s">
        <v>290</v>
      </c>
      <c r="C24" s="134"/>
      <c r="D24" s="134"/>
      <c r="E24" s="134"/>
      <c r="F24" s="146"/>
      <c r="G24" s="147"/>
      <c r="H24" s="148"/>
      <c r="I24" s="134"/>
      <c r="J24" s="134"/>
      <c r="K24" s="134"/>
      <c r="L24" s="133"/>
      <c r="M24" s="133"/>
    </row>
    <row r="25" spans="1:18" ht="16.5" customHeight="1">
      <c r="A25" s="133"/>
      <c r="B25" s="929" t="s">
        <v>23</v>
      </c>
      <c r="C25" s="929" t="s">
        <v>24</v>
      </c>
      <c r="D25" s="929"/>
      <c r="E25" s="929"/>
      <c r="F25" s="929"/>
      <c r="G25" s="929"/>
      <c r="H25" s="929"/>
      <c r="I25" s="940" t="s">
        <v>25</v>
      </c>
      <c r="J25" s="941"/>
      <c r="K25" s="930" t="s">
        <v>26</v>
      </c>
      <c r="L25" s="161"/>
      <c r="M25" s="161"/>
    </row>
    <row r="26" spans="1:18" ht="15.75" customHeight="1">
      <c r="A26" s="133"/>
      <c r="B26" s="929"/>
      <c r="C26" s="929"/>
      <c r="D26" s="929"/>
      <c r="E26" s="929"/>
      <c r="F26" s="929"/>
      <c r="G26" s="929"/>
      <c r="H26" s="929"/>
      <c r="I26" s="942"/>
      <c r="J26" s="943"/>
      <c r="K26" s="931"/>
      <c r="L26" s="161"/>
      <c r="M26" s="161"/>
    </row>
    <row r="27" spans="1:18" ht="15.75" customHeight="1">
      <c r="A27" s="133"/>
      <c r="B27" s="149">
        <v>1</v>
      </c>
      <c r="C27" s="926" t="str">
        <f>'Lembar Kerja'!C28</f>
        <v xml:space="preserve">Resistansi isolasi </v>
      </c>
      <c r="D27" s="927"/>
      <c r="E27" s="927"/>
      <c r="F27" s="927"/>
      <c r="G27" s="927"/>
      <c r="H27" s="928"/>
      <c r="I27" s="787" t="s">
        <v>469</v>
      </c>
      <c r="J27" s="540" t="str">
        <f>'Lembar Kerja'!J28</f>
        <v>MΩ</v>
      </c>
      <c r="K27" s="541" t="str">
        <f>'Lembar Kerja'!K28</f>
        <v xml:space="preserve">&gt; 2 MΩ
</v>
      </c>
      <c r="L27" s="770"/>
      <c r="M27" s="922"/>
      <c r="Q27" s="131" t="s">
        <v>465</v>
      </c>
      <c r="R27" s="131">
        <v>500</v>
      </c>
    </row>
    <row r="28" spans="1:18" ht="15.75" customHeight="1">
      <c r="A28" s="133"/>
      <c r="B28" s="55">
        <v>2</v>
      </c>
      <c r="C28" s="926" t="str">
        <f>'Lembar Kerja'!C29</f>
        <v>Resistansi Pembumian Protektif</v>
      </c>
      <c r="D28" s="927"/>
      <c r="E28" s="927"/>
      <c r="F28" s="927"/>
      <c r="G28" s="927"/>
      <c r="H28" s="928"/>
      <c r="I28" s="813">
        <v>8.8999999999999996E-2</v>
      </c>
      <c r="J28" s="540" t="str">
        <f>'Lembar Kerja'!J29</f>
        <v>Ω</v>
      </c>
      <c r="K28" s="541" t="str">
        <f>'Lembar Kerja'!K29</f>
        <v>≤ 0.2 Ω</v>
      </c>
      <c r="L28" s="770"/>
      <c r="M28" s="923"/>
      <c r="Q28" s="131" t="s">
        <v>466</v>
      </c>
      <c r="R28" s="131">
        <v>100</v>
      </c>
    </row>
    <row r="29" spans="1:18" ht="15" customHeight="1">
      <c r="A29" s="133"/>
      <c r="B29" s="55">
        <v>3</v>
      </c>
      <c r="C29" s="771" t="s">
        <v>465</v>
      </c>
      <c r="D29" s="772"/>
      <c r="E29" s="772"/>
      <c r="F29" s="772"/>
      <c r="G29" s="772"/>
      <c r="H29" s="773"/>
      <c r="I29" s="818">
        <v>56.6</v>
      </c>
      <c r="J29" s="540" t="str">
        <f>'Lembar Kerja'!J30</f>
        <v>µA</v>
      </c>
      <c r="K29" s="541" t="str">
        <f>VLOOKUP(C29,C114:D115,2,TRUE)</f>
        <v>≤ 500 µA</v>
      </c>
      <c r="L29" s="770"/>
      <c r="M29" s="769" t="s">
        <v>331</v>
      </c>
      <c r="N29" s="410">
        <v>12</v>
      </c>
      <c r="Q29" s="131">
        <f>VLOOKUP(C29,Q27:R28,2,FALSE)</f>
        <v>500</v>
      </c>
    </row>
    <row r="30" spans="1:18" ht="13.5" customHeight="1">
      <c r="A30" s="539"/>
      <c r="B30" s="539"/>
      <c r="C30" s="539"/>
      <c r="D30" s="539"/>
      <c r="E30" s="539"/>
      <c r="F30" s="539"/>
      <c r="G30" s="539"/>
      <c r="H30" s="539"/>
      <c r="I30" s="539"/>
      <c r="J30" s="133"/>
      <c r="K30" s="133"/>
      <c r="L30" s="133"/>
      <c r="M30" s="133"/>
    </row>
    <row r="31" spans="1:18">
      <c r="A31" s="140" t="s">
        <v>37</v>
      </c>
      <c r="B31" s="141" t="s">
        <v>318</v>
      </c>
      <c r="C31" s="133"/>
      <c r="D31" s="150"/>
      <c r="E31" s="151"/>
      <c r="F31" s="150"/>
      <c r="G31" s="150"/>
      <c r="H31" s="150"/>
      <c r="I31" s="150"/>
      <c r="J31" s="133"/>
      <c r="K31" s="133"/>
      <c r="L31" s="133"/>
      <c r="M31" s="133"/>
    </row>
    <row r="32" spans="1:18" ht="18.75" customHeight="1">
      <c r="A32" s="133"/>
      <c r="B32" s="932" t="s">
        <v>23</v>
      </c>
      <c r="C32" s="877" t="s">
        <v>24</v>
      </c>
      <c r="D32" s="877" t="s">
        <v>38</v>
      </c>
      <c r="E32" s="938" t="s">
        <v>39</v>
      </c>
      <c r="F32" s="945"/>
      <c r="G32" s="945"/>
      <c r="H32" s="945"/>
      <c r="I32" s="936"/>
      <c r="J32" s="539"/>
      <c r="K32" s="781"/>
      <c r="L32" s="781"/>
      <c r="M32" s="781"/>
      <c r="N32" s="781"/>
      <c r="O32" s="781"/>
      <c r="P32" s="162"/>
      <c r="Q32" s="162"/>
    </row>
    <row r="33" spans="1:17" ht="32.25" customHeight="1">
      <c r="A33" s="133"/>
      <c r="B33" s="932"/>
      <c r="C33" s="879"/>
      <c r="D33" s="879"/>
      <c r="E33" s="154" t="s">
        <v>41</v>
      </c>
      <c r="F33" s="149" t="s">
        <v>42</v>
      </c>
      <c r="G33" s="153" t="s">
        <v>43</v>
      </c>
      <c r="H33" s="149" t="s">
        <v>44</v>
      </c>
      <c r="I33" s="149" t="s">
        <v>45</v>
      </c>
      <c r="J33" s="163"/>
      <c r="K33" s="781"/>
      <c r="L33" s="781"/>
      <c r="M33" s="781"/>
      <c r="N33" s="157"/>
      <c r="O33" s="157"/>
      <c r="P33" s="164"/>
      <c r="Q33" s="379"/>
    </row>
    <row r="34" spans="1:17" ht="20.149999999999999" customHeight="1">
      <c r="A34" s="133"/>
      <c r="B34" s="152">
        <v>1</v>
      </c>
      <c r="C34" s="877" t="s">
        <v>47</v>
      </c>
      <c r="D34" s="803">
        <v>30</v>
      </c>
      <c r="E34" s="788">
        <v>29</v>
      </c>
      <c r="F34" s="788">
        <v>29</v>
      </c>
      <c r="G34" s="788">
        <v>29</v>
      </c>
      <c r="H34" s="788">
        <v>29</v>
      </c>
      <c r="I34" s="788">
        <v>29</v>
      </c>
      <c r="J34" s="163"/>
      <c r="K34" s="781"/>
      <c r="L34" s="781"/>
      <c r="M34" s="781"/>
      <c r="N34" s="157"/>
      <c r="O34" s="157"/>
      <c r="P34" s="164"/>
      <c r="Q34" s="379"/>
    </row>
    <row r="35" spans="1:17" ht="20.149999999999999" customHeight="1">
      <c r="A35" s="133"/>
      <c r="B35" s="152">
        <v>2</v>
      </c>
      <c r="C35" s="878"/>
      <c r="D35" s="804">
        <v>60</v>
      </c>
      <c r="E35" s="789">
        <v>60</v>
      </c>
      <c r="F35" s="789">
        <v>60</v>
      </c>
      <c r="G35" s="789">
        <v>60</v>
      </c>
      <c r="H35" s="789">
        <v>60</v>
      </c>
      <c r="I35" s="789">
        <v>60</v>
      </c>
      <c r="J35" s="539"/>
      <c r="K35" s="781"/>
      <c r="L35" s="781"/>
      <c r="M35" s="781"/>
      <c r="N35" s="782"/>
      <c r="O35" s="165"/>
      <c r="P35" s="164"/>
      <c r="Q35" s="164"/>
    </row>
    <row r="36" spans="1:17" ht="20.149999999999999" customHeight="1">
      <c r="A36" s="133"/>
      <c r="B36" s="155" t="s">
        <v>74</v>
      </c>
      <c r="C36" s="878"/>
      <c r="D36" s="156">
        <v>90</v>
      </c>
      <c r="E36" s="789">
        <v>91</v>
      </c>
      <c r="F36" s="789">
        <v>91</v>
      </c>
      <c r="G36" s="789">
        <v>91</v>
      </c>
      <c r="H36" s="789">
        <v>91</v>
      </c>
      <c r="I36" s="789">
        <v>91</v>
      </c>
      <c r="J36" s="165"/>
      <c r="K36" s="781"/>
      <c r="L36" s="781"/>
      <c r="M36" s="781"/>
      <c r="N36" s="165"/>
      <c r="O36" s="165"/>
      <c r="P36" s="166"/>
      <c r="Q36" s="166"/>
    </row>
    <row r="37" spans="1:17" ht="20.149999999999999" customHeight="1">
      <c r="A37" s="133"/>
      <c r="B37" s="155" t="s">
        <v>49</v>
      </c>
      <c r="C37" s="878"/>
      <c r="D37" s="156">
        <v>120</v>
      </c>
      <c r="E37" s="789">
        <v>120</v>
      </c>
      <c r="F37" s="789">
        <v>120</v>
      </c>
      <c r="G37" s="789">
        <v>120</v>
      </c>
      <c r="H37" s="789">
        <v>120</v>
      </c>
      <c r="I37" s="789">
        <v>120</v>
      </c>
      <c r="J37" s="165"/>
      <c r="K37" s="781"/>
      <c r="L37" s="781"/>
      <c r="M37" s="781"/>
      <c r="N37" s="165"/>
      <c r="O37" s="165"/>
      <c r="P37" s="166"/>
      <c r="Q37" s="166"/>
    </row>
    <row r="38" spans="1:17" ht="20.149999999999999" customHeight="1">
      <c r="A38" s="133"/>
      <c r="B38" s="155" t="s">
        <v>75</v>
      </c>
      <c r="C38" s="878"/>
      <c r="D38" s="156">
        <v>150</v>
      </c>
      <c r="E38" s="789">
        <v>150</v>
      </c>
      <c r="F38" s="789">
        <v>150</v>
      </c>
      <c r="G38" s="789">
        <v>150</v>
      </c>
      <c r="H38" s="789">
        <v>150</v>
      </c>
      <c r="I38" s="789">
        <v>150</v>
      </c>
      <c r="J38" s="165"/>
      <c r="K38" s="781"/>
      <c r="L38" s="781"/>
      <c r="M38" s="781"/>
      <c r="N38" s="165"/>
      <c r="O38" s="165"/>
      <c r="P38" s="166"/>
      <c r="Q38" s="166"/>
    </row>
    <row r="39" spans="1:17" ht="20.149999999999999" customHeight="1">
      <c r="A39" s="133"/>
      <c r="B39" s="155" t="s">
        <v>50</v>
      </c>
      <c r="C39" s="878"/>
      <c r="D39" s="156">
        <v>180</v>
      </c>
      <c r="E39" s="789">
        <v>180</v>
      </c>
      <c r="F39" s="789">
        <v>180</v>
      </c>
      <c r="G39" s="789">
        <v>180</v>
      </c>
      <c r="H39" s="789">
        <v>180</v>
      </c>
      <c r="I39" s="789">
        <v>180</v>
      </c>
      <c r="J39" s="165"/>
      <c r="K39" s="781"/>
      <c r="L39" s="781"/>
      <c r="M39" s="781"/>
      <c r="N39" s="165"/>
      <c r="O39" s="165"/>
      <c r="P39" s="166"/>
      <c r="Q39" s="166"/>
    </row>
    <row r="40" spans="1:17" ht="20.149999999999999" customHeight="1">
      <c r="A40" s="133"/>
      <c r="B40" s="155" t="s">
        <v>76</v>
      </c>
      <c r="C40" s="879"/>
      <c r="D40" s="156">
        <v>240</v>
      </c>
      <c r="E40" s="790">
        <v>240</v>
      </c>
      <c r="F40" s="790">
        <v>240</v>
      </c>
      <c r="G40" s="790">
        <v>240</v>
      </c>
      <c r="H40" s="790">
        <v>240</v>
      </c>
      <c r="I40" s="790">
        <v>240</v>
      </c>
      <c r="J40" s="165"/>
      <c r="K40" s="781"/>
      <c r="L40" s="781"/>
      <c r="M40" s="781"/>
      <c r="N40" s="165"/>
      <c r="O40" s="165"/>
      <c r="P40" s="166"/>
      <c r="Q40" s="166"/>
    </row>
    <row r="41" spans="1:17" ht="13.5" customHeight="1">
      <c r="A41" s="133"/>
      <c r="B41" s="133"/>
      <c r="C41" s="133"/>
      <c r="D41" s="133"/>
      <c r="E41" s="137"/>
      <c r="F41" s="133"/>
      <c r="G41" s="133"/>
      <c r="H41" s="133"/>
      <c r="I41" s="133"/>
      <c r="J41" s="133"/>
      <c r="K41" s="781"/>
      <c r="L41" s="781"/>
      <c r="M41" s="781"/>
    </row>
    <row r="42" spans="1:17" ht="13.5" customHeight="1">
      <c r="A42" s="140" t="s">
        <v>51</v>
      </c>
      <c r="B42" s="141" t="s">
        <v>52</v>
      </c>
      <c r="C42" s="133"/>
      <c r="D42" s="133"/>
      <c r="E42" s="137"/>
      <c r="F42" s="133"/>
      <c r="G42" s="133"/>
      <c r="H42" s="133"/>
      <c r="I42" s="133"/>
      <c r="J42" s="133"/>
      <c r="K42" s="133"/>
      <c r="L42" s="133"/>
      <c r="M42" s="133"/>
    </row>
    <row r="43" spans="1:17">
      <c r="A43" s="141"/>
      <c r="B43" s="136" t="s">
        <v>77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3"/>
    </row>
    <row r="44" spans="1:17">
      <c r="A44" s="133"/>
      <c r="B44" s="133" t="str">
        <f>IF(E18="-","-",'DB ESA'!M244)</f>
        <v>Hasil pengujian Keselamatan Listrik tertelusur ke Satuan Internasional ( SI ) melalui PT. Kaliman (LK-032-IDN)</v>
      </c>
      <c r="C44" s="133"/>
      <c r="D44" s="133"/>
      <c r="E44" s="137"/>
      <c r="F44" s="133"/>
      <c r="G44" s="133"/>
      <c r="H44" s="133"/>
      <c r="I44" s="133"/>
      <c r="J44" s="133"/>
      <c r="K44" s="133"/>
      <c r="L44" s="133"/>
      <c r="M44" s="167"/>
      <c r="N44" s="363" t="s">
        <v>357</v>
      </c>
      <c r="O44" s="539">
        <f>IF(E18="-",0,1)</f>
        <v>1</v>
      </c>
      <c r="P44" s="131">
        <v>0</v>
      </c>
      <c r="Q44" s="131" t="s">
        <v>78</v>
      </c>
    </row>
    <row r="45" spans="1:17">
      <c r="A45" s="133"/>
      <c r="B45" s="537" t="str">
        <f>cetik!M3</f>
        <v>Hasil Kalibrasi Frekuensi Heart Rate (BPM) tertelusur ke Satuan Internasional ( SI ) melalui PT.KALIMAN</v>
      </c>
      <c r="C45" s="537"/>
      <c r="D45" s="537"/>
      <c r="E45" s="537"/>
      <c r="F45" s="133"/>
      <c r="G45" s="133"/>
      <c r="H45" s="133"/>
      <c r="I45" s="133"/>
      <c r="J45" s="133"/>
      <c r="K45" s="133"/>
      <c r="L45" s="133"/>
      <c r="M45" s="167"/>
      <c r="N45" s="363" t="s">
        <v>394</v>
      </c>
      <c r="O45" s="539">
        <f>IF(I29="-",0,1)</f>
        <v>1</v>
      </c>
      <c r="P45" s="131">
        <v>1</v>
      </c>
      <c r="Q45" s="131" t="s">
        <v>396</v>
      </c>
    </row>
    <row r="46" spans="1:17" ht="15.75" customHeight="1">
      <c r="A46" s="133"/>
      <c r="B46" s="800" t="str">
        <f>P47</f>
        <v>-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3"/>
      <c r="N46" s="163" t="s">
        <v>395</v>
      </c>
      <c r="O46" s="163">
        <f>SUM(O44:O45)</f>
        <v>2</v>
      </c>
      <c r="P46" s="131">
        <v>2</v>
      </c>
      <c r="Q46" s="202" t="s">
        <v>155</v>
      </c>
    </row>
    <row r="47" spans="1:17" ht="13.5" customHeight="1">
      <c r="A47" s="144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P47" s="131" t="str">
        <f>VLOOKUP(O46,P44:Q46,2,0)</f>
        <v>-</v>
      </c>
    </row>
    <row r="48" spans="1:17" ht="13.5" customHeight="1">
      <c r="A48" s="144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63"/>
    </row>
    <row r="49" spans="1:17" ht="15.75" customHeight="1">
      <c r="A49" s="140" t="s">
        <v>55</v>
      </c>
      <c r="B49" s="141" t="s">
        <v>300</v>
      </c>
      <c r="C49" s="133"/>
      <c r="D49" s="133"/>
      <c r="E49" s="137"/>
      <c r="F49" s="133"/>
      <c r="G49" s="133"/>
      <c r="H49" s="133"/>
      <c r="I49" s="133"/>
      <c r="J49" s="133"/>
      <c r="K49" s="133"/>
      <c r="L49" s="133"/>
      <c r="M49" s="133"/>
    </row>
    <row r="50" spans="1:17">
      <c r="A50" s="141"/>
      <c r="B50" s="136" t="s">
        <v>316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67"/>
    </row>
    <row r="51" spans="1:17" ht="14.25" customHeight="1">
      <c r="A51" s="133"/>
      <c r="B51" s="136" t="s">
        <v>303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67"/>
    </row>
    <row r="52" spans="1:17">
      <c r="A52" s="141"/>
      <c r="B52" s="136" t="s">
        <v>207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3"/>
    </row>
    <row r="53" spans="1:17">
      <c r="A53" s="141"/>
      <c r="B53" s="137"/>
      <c r="C53" s="137"/>
      <c r="D53" s="137"/>
      <c r="E53" s="137"/>
      <c r="F53" s="137"/>
      <c r="G53" s="137"/>
      <c r="H53" s="137"/>
      <c r="I53" s="137"/>
      <c r="J53" s="133"/>
      <c r="K53" s="133"/>
      <c r="L53" s="133"/>
      <c r="M53" s="133"/>
    </row>
    <row r="54" spans="1:17">
      <c r="A54" s="140" t="s">
        <v>81</v>
      </c>
      <c r="B54" s="141" t="s">
        <v>60</v>
      </c>
      <c r="C54" s="133"/>
      <c r="D54" s="539"/>
      <c r="E54" s="137"/>
      <c r="F54" s="539"/>
      <c r="G54" s="539"/>
      <c r="H54" s="157"/>
      <c r="I54" s="157"/>
      <c r="J54" s="133"/>
      <c r="K54" s="133"/>
      <c r="L54" s="133"/>
      <c r="M54" s="133"/>
    </row>
    <row r="55" spans="1:17" ht="16.5" customHeight="1">
      <c r="A55" s="133"/>
      <c r="B55" s="944" t="str">
        <f>IF(Penyelia!R60&gt;=70,O4,IF(Penyelia!R60&lt;70,O5))</f>
        <v>Alat yang dikalibrasi dalam batas toleransi dan dinyatakan LAIK PAKAI, dimana hasil atau skor akhir sama dengan atau melampaui 70 % berdasarkan Keputusan Direktur Jenderal Pelayanan Kesehatan No : HK.02.02/V/0412/2020</v>
      </c>
      <c r="C55" s="944"/>
      <c r="D55" s="944"/>
      <c r="E55" s="944"/>
      <c r="F55" s="944"/>
      <c r="G55" s="944"/>
      <c r="H55" s="944"/>
      <c r="I55" s="944"/>
      <c r="J55" s="944"/>
      <c r="K55" s="944"/>
      <c r="L55" s="944"/>
      <c r="M55" s="263"/>
      <c r="O55" s="273" t="s">
        <v>342</v>
      </c>
    </row>
    <row r="56" spans="1:17" ht="11.25" customHeight="1">
      <c r="A56" s="133"/>
      <c r="B56" s="944"/>
      <c r="C56" s="944"/>
      <c r="D56" s="944"/>
      <c r="E56" s="944"/>
      <c r="F56" s="944"/>
      <c r="G56" s="944"/>
      <c r="H56" s="944"/>
      <c r="I56" s="944"/>
      <c r="J56" s="944"/>
      <c r="K56" s="944"/>
      <c r="L56" s="944"/>
      <c r="M56" s="263"/>
      <c r="O56" s="274" t="s">
        <v>155</v>
      </c>
    </row>
    <row r="57" spans="1:17" ht="9" customHeight="1">
      <c r="A57" s="133"/>
      <c r="B57" s="133"/>
      <c r="C57" s="539"/>
      <c r="D57" s="539"/>
      <c r="E57" s="137"/>
      <c r="F57" s="539"/>
      <c r="G57" s="539"/>
      <c r="H57" s="158"/>
      <c r="I57" s="158"/>
      <c r="J57" s="133"/>
      <c r="K57" s="133"/>
      <c r="L57" s="133"/>
      <c r="M57" s="133"/>
    </row>
    <row r="58" spans="1:17">
      <c r="A58" s="140" t="s">
        <v>61</v>
      </c>
      <c r="B58" s="141" t="s">
        <v>62</v>
      </c>
      <c r="C58" s="539"/>
      <c r="D58" s="539"/>
      <c r="E58" s="137"/>
      <c r="F58" s="539"/>
      <c r="G58" s="539"/>
      <c r="H58" s="158"/>
      <c r="I58" s="158"/>
      <c r="J58" s="133"/>
      <c r="K58" s="133"/>
      <c r="L58" s="133"/>
      <c r="M58" s="133"/>
    </row>
    <row r="59" spans="1:17" ht="15.5">
      <c r="A59" s="133"/>
      <c r="B59" s="933" t="s">
        <v>260</v>
      </c>
      <c r="C59" s="933"/>
      <c r="D59" s="933"/>
      <c r="E59" s="933"/>
      <c r="F59" s="539"/>
      <c r="G59" s="539"/>
      <c r="H59" s="158"/>
      <c r="I59" s="158"/>
      <c r="J59" s="133"/>
      <c r="K59" s="133"/>
      <c r="L59" s="133"/>
      <c r="M59" s="133"/>
      <c r="N59" s="275"/>
      <c r="O59" s="275"/>
      <c r="P59" s="275"/>
      <c r="Q59" s="276" t="s">
        <v>321</v>
      </c>
    </row>
    <row r="60" spans="1:17" ht="15.5">
      <c r="A60" s="133"/>
      <c r="B60" s="542"/>
      <c r="C60" s="542"/>
      <c r="D60" s="542"/>
      <c r="E60" s="542"/>
      <c r="F60" s="539"/>
      <c r="G60" s="539"/>
      <c r="H60" s="158"/>
      <c r="I60" s="158"/>
      <c r="J60" s="133"/>
      <c r="K60" s="133"/>
      <c r="L60" s="133"/>
      <c r="M60" s="133"/>
      <c r="N60" s="275"/>
      <c r="O60" s="275" t="s">
        <v>78</v>
      </c>
      <c r="P60" s="744">
        <f>IF(N64="-",40,IF(N64&lt;=N65,N68,IF(N64&gt;N65,0)))</f>
        <v>40</v>
      </c>
      <c r="Q60" s="919">
        <f>VLOOKUP(B46,O60:P62,2,FALSE)</f>
        <v>40</v>
      </c>
    </row>
    <row r="61" spans="1:17" ht="23.15" customHeight="1">
      <c r="A61" s="133"/>
      <c r="B61" s="137"/>
      <c r="C61" s="137"/>
      <c r="D61" s="137"/>
      <c r="E61" s="137"/>
      <c r="F61" s="539"/>
      <c r="G61" s="539"/>
      <c r="H61" s="158"/>
      <c r="I61" s="158"/>
      <c r="J61" s="133"/>
      <c r="K61" s="133"/>
      <c r="L61" s="133"/>
      <c r="M61" s="133"/>
      <c r="N61" s="275"/>
      <c r="O61" s="273" t="s">
        <v>396</v>
      </c>
      <c r="P61" s="744">
        <f>IF(N64="-",20,IF(N64&lt;=N65,N68,IF(N64&gt;N65,0)))</f>
        <v>40</v>
      </c>
      <c r="Q61" s="920"/>
    </row>
    <row r="62" spans="1:17" ht="15.5">
      <c r="A62" s="140" t="s">
        <v>83</v>
      </c>
      <c r="B62" s="141" t="s">
        <v>84</v>
      </c>
      <c r="C62" s="133"/>
      <c r="D62" s="133"/>
      <c r="E62" s="137"/>
      <c r="F62" s="133"/>
      <c r="G62" s="133"/>
      <c r="H62" s="133"/>
      <c r="I62" s="133"/>
      <c r="J62" s="133"/>
      <c r="K62" s="133"/>
      <c r="L62" s="168"/>
      <c r="M62" s="133"/>
      <c r="N62" s="275"/>
      <c r="O62" s="274" t="s">
        <v>155</v>
      </c>
      <c r="P62" s="744">
        <f>N69</f>
        <v>40</v>
      </c>
      <c r="Q62" s="921"/>
    </row>
    <row r="63" spans="1:17" ht="15.5">
      <c r="A63" s="133"/>
      <c r="B63" s="934" t="s">
        <v>309</v>
      </c>
      <c r="C63" s="935"/>
      <c r="D63" s="935"/>
      <c r="E63" s="137"/>
      <c r="F63" s="133"/>
      <c r="G63" s="133"/>
      <c r="H63" s="133"/>
      <c r="I63" s="133"/>
      <c r="J63" s="133"/>
      <c r="K63" s="133"/>
      <c r="L63" s="133"/>
      <c r="M63" s="133"/>
      <c r="N63" s="275"/>
      <c r="O63" s="275"/>
      <c r="P63" s="275"/>
      <c r="Q63" s="275"/>
    </row>
    <row r="64" spans="1:17" ht="15.5">
      <c r="A64" s="133"/>
      <c r="B64" s="133"/>
      <c r="C64" s="539"/>
      <c r="D64" s="133"/>
      <c r="E64" s="137"/>
      <c r="F64" s="539"/>
      <c r="G64" s="539"/>
      <c r="H64" s="158"/>
      <c r="I64" s="158"/>
      <c r="J64" s="133"/>
      <c r="K64" s="133"/>
      <c r="L64" s="133"/>
      <c r="M64" s="133"/>
      <c r="N64" s="745">
        <f>FORECAST!K48</f>
        <v>57.443753250448466</v>
      </c>
      <c r="O64" s="745">
        <f>IF(N64&gt;N65,N66,IF(N64&lt;=N65,N64))</f>
        <v>57.443753250448466</v>
      </c>
      <c r="P64" s="275"/>
      <c r="Q64" s="275"/>
    </row>
    <row r="65" spans="1:31" ht="16" thickBot="1">
      <c r="A65" s="133"/>
      <c r="B65" s="133"/>
      <c r="C65" s="133"/>
      <c r="D65" s="133"/>
      <c r="E65" s="137"/>
      <c r="F65" s="133"/>
      <c r="G65" s="133"/>
      <c r="H65" s="158"/>
      <c r="I65" s="158"/>
      <c r="J65" s="133"/>
      <c r="K65" s="133"/>
      <c r="L65" s="133"/>
      <c r="M65" s="133"/>
      <c r="N65" s="745">
        <f>Q29</f>
        <v>500</v>
      </c>
      <c r="O65" s="745">
        <f>FORECAST!K49</f>
        <v>12.726911209665738</v>
      </c>
      <c r="P65" s="275"/>
      <c r="Q65" s="275"/>
    </row>
    <row r="66" spans="1:31" ht="15.5">
      <c r="A66" s="133"/>
      <c r="B66" s="133"/>
      <c r="C66" s="133"/>
      <c r="D66" s="133"/>
      <c r="E66" s="137"/>
      <c r="F66" s="133"/>
      <c r="G66" s="133"/>
      <c r="H66" s="133"/>
      <c r="I66" s="133"/>
      <c r="J66" s="133"/>
      <c r="K66" s="133"/>
      <c r="L66" s="133"/>
      <c r="M66" s="133"/>
      <c r="N66" s="745">
        <f>IF(N65=100,200,O65)</f>
        <v>12.726911209665738</v>
      </c>
      <c r="O66" s="745">
        <f>IF(N64&lt;=N65,N68,IF(O65&lt;=100,N68,0))</f>
        <v>40</v>
      </c>
      <c r="P66" s="489"/>
      <c r="Q66" s="484">
        <v>0</v>
      </c>
      <c r="R66" s="278" t="s">
        <v>155</v>
      </c>
      <c r="S66" s="279"/>
      <c r="T66" s="280"/>
    </row>
    <row r="67" spans="1:31" ht="15.5">
      <c r="A67" s="133"/>
      <c r="B67" s="133"/>
      <c r="C67" s="133"/>
      <c r="D67" s="133"/>
      <c r="E67" s="137"/>
      <c r="F67" s="133"/>
      <c r="G67" s="133"/>
      <c r="H67" s="133"/>
      <c r="I67" s="133"/>
      <c r="J67" s="133"/>
      <c r="K67" s="133"/>
      <c r="L67" s="133"/>
      <c r="M67" s="133"/>
      <c r="N67" s="745"/>
      <c r="O67" s="275"/>
      <c r="P67" s="483"/>
      <c r="Q67" s="490">
        <v>10</v>
      </c>
      <c r="R67" s="488" t="s">
        <v>155</v>
      </c>
    </row>
    <row r="68" spans="1:31" ht="15.5">
      <c r="A68" s="133"/>
      <c r="B68" s="133"/>
      <c r="C68" s="133"/>
      <c r="D68" s="133"/>
      <c r="E68" s="137"/>
      <c r="F68" s="133"/>
      <c r="G68" s="133"/>
      <c r="H68" s="133"/>
      <c r="I68" s="133"/>
      <c r="J68" s="133"/>
      <c r="K68" s="133"/>
      <c r="L68" s="133"/>
      <c r="M68" s="133"/>
      <c r="N68" s="745">
        <f>SUM(Penyelia!P27:P30)</f>
        <v>40</v>
      </c>
      <c r="O68" s="746"/>
      <c r="P68" s="281">
        <f>O66</f>
        <v>40</v>
      </c>
      <c r="Q68" s="485">
        <v>20</v>
      </c>
      <c r="R68" s="480" t="s">
        <v>332</v>
      </c>
      <c r="S68" s="480"/>
      <c r="T68" s="282"/>
    </row>
    <row r="69" spans="1:31" ht="15.5">
      <c r="A69" s="133"/>
      <c r="B69" s="133"/>
      <c r="C69" s="133"/>
      <c r="D69" s="133"/>
      <c r="E69" s="137"/>
      <c r="F69" s="133"/>
      <c r="G69" s="133"/>
      <c r="H69" s="133"/>
      <c r="I69" s="133"/>
      <c r="J69" s="133"/>
      <c r="K69" s="133"/>
      <c r="L69" s="133"/>
      <c r="M69" s="133"/>
      <c r="N69" s="745">
        <f>O66</f>
        <v>40</v>
      </c>
      <c r="O69" s="480"/>
      <c r="P69" s="483"/>
      <c r="Q69" s="486">
        <v>30</v>
      </c>
      <c r="R69" s="488" t="s">
        <v>155</v>
      </c>
      <c r="S69" s="480"/>
      <c r="T69" s="282"/>
    </row>
    <row r="70" spans="1:31" ht="16" thickBot="1">
      <c r="A70" s="133"/>
      <c r="B70" s="133"/>
      <c r="C70" s="133"/>
      <c r="D70" s="133"/>
      <c r="E70" s="137"/>
      <c r="F70" s="133"/>
      <c r="G70" s="133"/>
      <c r="H70" s="133"/>
      <c r="I70" s="133"/>
      <c r="J70" s="133"/>
      <c r="K70" s="133"/>
      <c r="L70" s="133"/>
      <c r="M70" s="133"/>
      <c r="N70" s="745"/>
      <c r="P70" s="198"/>
      <c r="Q70" s="487">
        <v>40</v>
      </c>
      <c r="R70" s="283" t="s">
        <v>155</v>
      </c>
      <c r="S70" s="481"/>
      <c r="T70" s="482"/>
    </row>
    <row r="71" spans="1:31" ht="15.5">
      <c r="A71" s="133"/>
      <c r="B71" s="133"/>
      <c r="C71" s="133"/>
      <c r="D71" s="133"/>
      <c r="E71" s="137"/>
      <c r="F71" s="133"/>
      <c r="G71" s="133"/>
      <c r="H71" s="133"/>
      <c r="I71" s="133"/>
      <c r="J71" s="133"/>
      <c r="K71" s="133"/>
      <c r="L71" s="133"/>
      <c r="M71" s="133"/>
      <c r="P71" s="480" t="str">
        <f>VLOOKUP(P68,Q66:T70,2,0)</f>
        <v>-</v>
      </c>
      <c r="Q71" s="480"/>
      <c r="R71" s="480"/>
      <c r="S71" s="480"/>
      <c r="T71" s="480"/>
    </row>
    <row r="72" spans="1:31" ht="12.75" customHeight="1">
      <c r="A72" s="133"/>
      <c r="B72" s="932" t="s">
        <v>23</v>
      </c>
      <c r="C72" s="877" t="s">
        <v>24</v>
      </c>
      <c r="D72" s="877" t="s">
        <v>38</v>
      </c>
      <c r="E72" s="169"/>
      <c r="F72" s="936" t="s">
        <v>85</v>
      </c>
      <c r="G72" s="936"/>
      <c r="H72" s="937"/>
      <c r="I72" s="938"/>
      <c r="J72" s="877" t="s">
        <v>86</v>
      </c>
      <c r="K72" s="174" t="s">
        <v>87</v>
      </c>
      <c r="L72" s="932" t="s">
        <v>88</v>
      </c>
      <c r="M72" s="949" t="s">
        <v>89</v>
      </c>
      <c r="N72" s="937" t="s">
        <v>90</v>
      </c>
    </row>
    <row r="73" spans="1:31" ht="29.25" customHeight="1">
      <c r="A73" s="133"/>
      <c r="B73" s="932"/>
      <c r="C73" s="879"/>
      <c r="D73" s="879"/>
      <c r="E73" s="170" t="s">
        <v>41</v>
      </c>
      <c r="F73" s="171" t="s">
        <v>42</v>
      </c>
      <c r="G73" s="172" t="s">
        <v>43</v>
      </c>
      <c r="H73" s="171" t="s">
        <v>44</v>
      </c>
      <c r="I73" s="171" t="s">
        <v>45</v>
      </c>
      <c r="J73" s="879"/>
      <c r="K73" s="175"/>
      <c r="L73" s="932"/>
      <c r="M73" s="949"/>
      <c r="N73" s="937"/>
    </row>
    <row r="74" spans="1:31" ht="13.5" customHeight="1">
      <c r="A74" s="133"/>
      <c r="B74" s="152">
        <v>1</v>
      </c>
      <c r="C74" s="877" t="s">
        <v>47</v>
      </c>
      <c r="D74" s="258">
        <f t="shared" ref="D74:I80" si="0">D34</f>
        <v>30</v>
      </c>
      <c r="E74" s="170">
        <f t="shared" si="0"/>
        <v>29</v>
      </c>
      <c r="F74" s="170">
        <f t="shared" si="0"/>
        <v>29</v>
      </c>
      <c r="G74" s="170">
        <f t="shared" si="0"/>
        <v>29</v>
      </c>
      <c r="H74" s="170">
        <f t="shared" si="0"/>
        <v>29</v>
      </c>
      <c r="I74" s="170">
        <f t="shared" si="0"/>
        <v>29</v>
      </c>
      <c r="J74" s="492">
        <f>IFERROR(FORECAST!L13,"-")</f>
        <v>29.000001000000001</v>
      </c>
      <c r="K74" s="493">
        <f>ABS(J74-D74)</f>
        <v>0.99999899999999897</v>
      </c>
      <c r="L74" s="494">
        <f>STDEV(E74:I74)</f>
        <v>0</v>
      </c>
      <c r="M74" s="176">
        <f>(((ABS(K74))+N74)/(D74))*100</f>
        <v>5.2660869911290682</v>
      </c>
      <c r="N74" s="177">
        <f>UB!J13</f>
        <v>0.5798270973387214</v>
      </c>
    </row>
    <row r="75" spans="1:31" ht="12.75" customHeight="1">
      <c r="A75" s="133"/>
      <c r="B75" s="152">
        <v>2</v>
      </c>
      <c r="C75" s="878"/>
      <c r="D75" s="173">
        <f t="shared" si="0"/>
        <v>60</v>
      </c>
      <c r="E75" s="170">
        <f t="shared" si="0"/>
        <v>60</v>
      </c>
      <c r="F75" s="170">
        <f t="shared" si="0"/>
        <v>60</v>
      </c>
      <c r="G75" s="170">
        <f t="shared" si="0"/>
        <v>60</v>
      </c>
      <c r="H75" s="170">
        <f t="shared" si="0"/>
        <v>60</v>
      </c>
      <c r="I75" s="170">
        <f t="shared" si="0"/>
        <v>60</v>
      </c>
      <c r="J75" s="492">
        <f>IFERROR(FORECAST!L14,"-")</f>
        <v>60.000000999999997</v>
      </c>
      <c r="K75" s="493">
        <f t="shared" ref="K75:K80" si="1">J75-D75</f>
        <v>9.9999999747524271E-7</v>
      </c>
      <c r="L75" s="494">
        <f t="shared" ref="L75:L80" si="2">STDEV(E75:I75)</f>
        <v>0</v>
      </c>
      <c r="M75" s="176">
        <f>(((ABS(K75))+N75)/(D75))*100</f>
        <v>0.96638052251246664</v>
      </c>
      <c r="N75" s="177">
        <f>UB!J25</f>
        <v>0.57982731350748251</v>
      </c>
    </row>
    <row r="76" spans="1:31">
      <c r="A76" s="133"/>
      <c r="B76" s="155" t="s">
        <v>74</v>
      </c>
      <c r="C76" s="878"/>
      <c r="D76" s="173">
        <f t="shared" si="0"/>
        <v>90</v>
      </c>
      <c r="E76" s="170">
        <f t="shared" si="0"/>
        <v>91</v>
      </c>
      <c r="F76" s="170">
        <f t="shared" si="0"/>
        <v>91</v>
      </c>
      <c r="G76" s="170">
        <f t="shared" si="0"/>
        <v>91</v>
      </c>
      <c r="H76" s="170">
        <f t="shared" si="0"/>
        <v>91</v>
      </c>
      <c r="I76" s="170">
        <f t="shared" si="0"/>
        <v>91</v>
      </c>
      <c r="J76" s="492">
        <f>IFERROR(FORECAST!L15,"-")</f>
        <v>91.000000999999997</v>
      </c>
      <c r="K76" s="493">
        <f t="shared" si="1"/>
        <v>1.0000009999999975</v>
      </c>
      <c r="L76" s="494">
        <f t="shared" si="2"/>
        <v>0</v>
      </c>
      <c r="M76" s="176">
        <f t="shared" ref="M76:M80" si="3">(((ABS(K76))+N76)/(D76))*100</f>
        <v>1.7553652002951416</v>
      </c>
      <c r="N76" s="177">
        <f>UB!J37</f>
        <v>0.57982768026562981</v>
      </c>
      <c r="U76" s="250" t="s">
        <v>23</v>
      </c>
      <c r="V76" s="250" t="s">
        <v>163</v>
      </c>
      <c r="W76" s="250" t="s">
        <v>362</v>
      </c>
      <c r="X76" s="250" t="s">
        <v>363</v>
      </c>
      <c r="Y76" s="250" t="s">
        <v>364</v>
      </c>
      <c r="Z76" s="250" t="s">
        <v>365</v>
      </c>
      <c r="AA76" s="250" t="s">
        <v>164</v>
      </c>
      <c r="AB76" s="181"/>
      <c r="AC76" s="181"/>
      <c r="AE76" s="181"/>
    </row>
    <row r="77" spans="1:31">
      <c r="A77" s="133"/>
      <c r="B77" s="155" t="s">
        <v>49</v>
      </c>
      <c r="C77" s="878"/>
      <c r="D77" s="173">
        <f t="shared" si="0"/>
        <v>120</v>
      </c>
      <c r="E77" s="170">
        <f t="shared" si="0"/>
        <v>120</v>
      </c>
      <c r="F77" s="170">
        <f t="shared" si="0"/>
        <v>120</v>
      </c>
      <c r="G77" s="170">
        <f t="shared" si="0"/>
        <v>120</v>
      </c>
      <c r="H77" s="170">
        <f t="shared" si="0"/>
        <v>120</v>
      </c>
      <c r="I77" s="170">
        <f t="shared" si="0"/>
        <v>120</v>
      </c>
      <c r="J77" s="492">
        <f>IFERROR(FORECAST!L16,"-")</f>
        <v>120.000001</v>
      </c>
      <c r="K77" s="493">
        <f t="shared" si="1"/>
        <v>9.9999999747524271E-7</v>
      </c>
      <c r="L77" s="494">
        <f t="shared" si="2"/>
        <v>0</v>
      </c>
      <c r="M77" s="176">
        <f t="shared" si="3"/>
        <v>0.48319096640955023</v>
      </c>
      <c r="N77" s="177">
        <f>UB!J49</f>
        <v>0.57982815969146284</v>
      </c>
      <c r="U77" s="361">
        <v>1</v>
      </c>
      <c r="V77" s="361">
        <v>2</v>
      </c>
      <c r="W77" s="361">
        <v>3</v>
      </c>
      <c r="X77" s="361">
        <v>4</v>
      </c>
      <c r="Y77" s="362">
        <v>5</v>
      </c>
      <c r="Z77" s="362">
        <v>6</v>
      </c>
      <c r="AA77" s="362">
        <v>7</v>
      </c>
    </row>
    <row r="78" spans="1:31">
      <c r="A78" s="133"/>
      <c r="B78" s="155" t="s">
        <v>75</v>
      </c>
      <c r="C78" s="878"/>
      <c r="D78" s="173">
        <f t="shared" si="0"/>
        <v>150</v>
      </c>
      <c r="E78" s="170">
        <f t="shared" si="0"/>
        <v>150</v>
      </c>
      <c r="F78" s="170">
        <f t="shared" si="0"/>
        <v>150</v>
      </c>
      <c r="G78" s="170">
        <f t="shared" si="0"/>
        <v>150</v>
      </c>
      <c r="H78" s="170">
        <f t="shared" si="0"/>
        <v>150</v>
      </c>
      <c r="I78" s="170">
        <f t="shared" si="0"/>
        <v>150</v>
      </c>
      <c r="J78" s="492">
        <f>IFERROR(FORECAST!L17,"-")</f>
        <v>150.000001</v>
      </c>
      <c r="K78" s="493">
        <f t="shared" si="1"/>
        <v>9.9999999747524271E-7</v>
      </c>
      <c r="L78" s="494">
        <f t="shared" si="2"/>
        <v>0</v>
      </c>
      <c r="M78" s="176">
        <f t="shared" si="3"/>
        <v>0.38655319621937334</v>
      </c>
      <c r="N78" s="177">
        <f>UB!J61</f>
        <v>0.57982879432906254</v>
      </c>
      <c r="U78" s="947" t="s">
        <v>366</v>
      </c>
      <c r="V78" s="947"/>
      <c r="W78" s="947"/>
      <c r="X78" s="947"/>
      <c r="Y78" s="947"/>
      <c r="Z78" s="947"/>
      <c r="AA78" s="947"/>
    </row>
    <row r="79" spans="1:31">
      <c r="B79" s="155" t="s">
        <v>50</v>
      </c>
      <c r="C79" s="878"/>
      <c r="D79" s="173">
        <f t="shared" si="0"/>
        <v>180</v>
      </c>
      <c r="E79" s="170">
        <f t="shared" si="0"/>
        <v>180</v>
      </c>
      <c r="F79" s="170">
        <f t="shared" si="0"/>
        <v>180</v>
      </c>
      <c r="G79" s="170">
        <f t="shared" si="0"/>
        <v>180</v>
      </c>
      <c r="H79" s="170">
        <f t="shared" si="0"/>
        <v>180</v>
      </c>
      <c r="I79" s="170">
        <f t="shared" si="0"/>
        <v>180</v>
      </c>
      <c r="J79" s="492">
        <f>IFERROR(FORECAST!L18,"-")</f>
        <v>180.000001</v>
      </c>
      <c r="K79" s="493">
        <f t="shared" si="1"/>
        <v>9.9999999747524271E-7</v>
      </c>
      <c r="L79" s="494">
        <f t="shared" si="2"/>
        <v>0</v>
      </c>
      <c r="M79" s="176">
        <f t="shared" si="3"/>
        <v>0.32212809444266044</v>
      </c>
      <c r="N79" s="177">
        <f>UB!J73</f>
        <v>0.57982956999679125</v>
      </c>
      <c r="U79" s="250" t="s">
        <v>190</v>
      </c>
      <c r="V79" s="250" t="s">
        <v>366</v>
      </c>
      <c r="W79" s="250" t="s">
        <v>351</v>
      </c>
      <c r="X79" s="250">
        <v>1828012</v>
      </c>
      <c r="Y79" s="250"/>
      <c r="Z79" s="250"/>
      <c r="AA79" s="250"/>
    </row>
    <row r="80" spans="1:31">
      <c r="B80" s="155" t="s">
        <v>76</v>
      </c>
      <c r="C80" s="879"/>
      <c r="D80" s="173">
        <f t="shared" si="0"/>
        <v>240</v>
      </c>
      <c r="E80" s="170">
        <f t="shared" si="0"/>
        <v>240</v>
      </c>
      <c r="F80" s="170">
        <f t="shared" si="0"/>
        <v>240</v>
      </c>
      <c r="G80" s="170">
        <f t="shared" si="0"/>
        <v>240</v>
      </c>
      <c r="H80" s="170">
        <f t="shared" si="0"/>
        <v>240</v>
      </c>
      <c r="I80" s="170">
        <f t="shared" si="0"/>
        <v>240</v>
      </c>
      <c r="J80" s="492">
        <f>IFERROR(FORECAST!L19,"-")</f>
        <v>240.000001</v>
      </c>
      <c r="K80" s="493">
        <f t="shared" si="1"/>
        <v>9.9999999747524271E-7</v>
      </c>
      <c r="L80" s="494">
        <f t="shared" si="2"/>
        <v>0</v>
      </c>
      <c r="M80" s="176">
        <f t="shared" si="3"/>
        <v>0.24159707071475112</v>
      </c>
      <c r="N80" s="177">
        <f>UB!J85</f>
        <v>0.57983196971540518</v>
      </c>
      <c r="U80" s="250" t="s">
        <v>191</v>
      </c>
      <c r="V80" s="250" t="s">
        <v>366</v>
      </c>
      <c r="W80" s="250" t="s">
        <v>351</v>
      </c>
      <c r="X80" s="250">
        <v>1828016</v>
      </c>
      <c r="Y80" s="250"/>
      <c r="Z80" s="250"/>
      <c r="AA80" s="250"/>
    </row>
    <row r="81" spans="3:27">
      <c r="U81" s="250" t="s">
        <v>192</v>
      </c>
      <c r="V81" s="250" t="s">
        <v>366</v>
      </c>
      <c r="W81" s="250" t="s">
        <v>351</v>
      </c>
      <c r="X81" s="250">
        <v>3204002</v>
      </c>
      <c r="Y81" s="250"/>
      <c r="Z81" s="250"/>
      <c r="AA81" s="250"/>
    </row>
    <row r="82" spans="3:27">
      <c r="D82" s="131" t="s">
        <v>319</v>
      </c>
      <c r="U82" s="250" t="s">
        <v>193</v>
      </c>
      <c r="V82" s="250" t="s">
        <v>366</v>
      </c>
      <c r="W82" s="250" t="s">
        <v>351</v>
      </c>
      <c r="X82" s="250">
        <v>3204003</v>
      </c>
      <c r="Y82" s="250"/>
      <c r="Z82" s="250"/>
      <c r="AA82" s="250"/>
    </row>
    <row r="83" spans="3:27">
      <c r="D83" s="272">
        <f>AVERAGE(E74:I74)</f>
        <v>29</v>
      </c>
      <c r="U83" s="250" t="s">
        <v>194</v>
      </c>
      <c r="V83" s="250" t="s">
        <v>366</v>
      </c>
      <c r="W83" s="250" t="s">
        <v>351</v>
      </c>
      <c r="X83" s="250">
        <v>4312020</v>
      </c>
      <c r="Y83" s="250"/>
      <c r="Z83" s="250"/>
      <c r="AA83" s="250"/>
    </row>
    <row r="84" spans="3:27">
      <c r="D84" s="272">
        <f>AVERAGE(E75:I75)</f>
        <v>60</v>
      </c>
      <c r="U84" s="250" t="s">
        <v>195</v>
      </c>
      <c r="V84" s="250" t="s">
        <v>366</v>
      </c>
      <c r="W84" s="250" t="s">
        <v>351</v>
      </c>
      <c r="X84" s="250">
        <v>4662032</v>
      </c>
      <c r="Y84" s="250"/>
      <c r="Z84" s="250"/>
      <c r="AA84" s="250"/>
    </row>
    <row r="85" spans="3:27">
      <c r="D85" s="272">
        <f t="shared" ref="D85:D89" si="4">AVERAGE(E76:I76)</f>
        <v>91</v>
      </c>
      <c r="U85" s="250" t="s">
        <v>196</v>
      </c>
      <c r="V85" s="250" t="s">
        <v>366</v>
      </c>
      <c r="W85" s="250" t="s">
        <v>351</v>
      </c>
      <c r="X85" s="250">
        <v>4662033</v>
      </c>
      <c r="Y85" s="250"/>
      <c r="Z85" s="250"/>
      <c r="AA85" s="250"/>
    </row>
    <row r="86" spans="3:27">
      <c r="D86" s="272">
        <f t="shared" si="4"/>
        <v>120</v>
      </c>
      <c r="U86" s="361">
        <v>1</v>
      </c>
      <c r="V86" s="361">
        <v>2</v>
      </c>
      <c r="W86" s="361">
        <v>3</v>
      </c>
      <c r="X86" s="361">
        <v>4</v>
      </c>
      <c r="Y86" s="361">
        <v>5</v>
      </c>
      <c r="Z86" s="361">
        <v>6</v>
      </c>
      <c r="AA86" s="361">
        <v>7</v>
      </c>
    </row>
    <row r="87" spans="3:27">
      <c r="D87" s="272">
        <f t="shared" si="4"/>
        <v>150</v>
      </c>
      <c r="U87" s="948" t="s">
        <v>367</v>
      </c>
      <c r="V87" s="948"/>
      <c r="W87" s="948"/>
      <c r="X87" s="948"/>
      <c r="Y87" s="948"/>
      <c r="Z87" s="948"/>
      <c r="AA87" s="948"/>
    </row>
    <row r="88" spans="3:27">
      <c r="D88" s="272">
        <f t="shared" si="4"/>
        <v>180</v>
      </c>
      <c r="U88" s="250" t="s">
        <v>190</v>
      </c>
      <c r="V88" s="250" t="s">
        <v>367</v>
      </c>
      <c r="W88" s="250" t="s">
        <v>368</v>
      </c>
      <c r="X88" s="551">
        <v>1837056</v>
      </c>
      <c r="Y88" s="250"/>
      <c r="Z88" s="250"/>
      <c r="AA88" s="250"/>
    </row>
    <row r="89" spans="3:27">
      <c r="C89" s="131" t="s">
        <v>73</v>
      </c>
      <c r="D89" s="272">
        <f t="shared" si="4"/>
        <v>240</v>
      </c>
      <c r="U89" s="250" t="s">
        <v>191</v>
      </c>
      <c r="V89" s="250" t="s">
        <v>367</v>
      </c>
      <c r="W89" s="250" t="s">
        <v>368</v>
      </c>
      <c r="X89" s="551">
        <v>1834020</v>
      </c>
      <c r="Y89" s="250"/>
      <c r="Z89" s="250"/>
      <c r="AA89" s="250"/>
    </row>
    <row r="90" spans="3:27">
      <c r="C90" s="131" t="s">
        <v>91</v>
      </c>
      <c r="D90" s="272"/>
      <c r="U90" s="250" t="s">
        <v>192</v>
      </c>
      <c r="V90" s="250" t="s">
        <v>367</v>
      </c>
      <c r="W90" s="250" t="s">
        <v>369</v>
      </c>
      <c r="X90" s="551">
        <v>2853077</v>
      </c>
      <c r="Y90" s="250"/>
      <c r="Z90" s="250"/>
      <c r="AA90" s="250"/>
    </row>
    <row r="91" spans="3:27">
      <c r="U91" s="250" t="s">
        <v>193</v>
      </c>
      <c r="V91" s="250" t="s">
        <v>367</v>
      </c>
      <c r="W91" s="250" t="s">
        <v>369</v>
      </c>
      <c r="X91" s="551">
        <v>2853078</v>
      </c>
      <c r="Y91" s="250"/>
      <c r="Z91" s="250"/>
      <c r="AA91" s="250"/>
    </row>
    <row r="92" spans="3:27">
      <c r="C92" s="131" t="s">
        <v>92</v>
      </c>
      <c r="U92" s="250" t="s">
        <v>194</v>
      </c>
      <c r="V92" s="250" t="s">
        <v>367</v>
      </c>
      <c r="W92" s="250" t="s">
        <v>369</v>
      </c>
      <c r="X92" s="551">
        <v>3148907</v>
      </c>
      <c r="Y92" s="250"/>
      <c r="Z92" s="250"/>
      <c r="AA92" s="250"/>
    </row>
    <row r="93" spans="3:27">
      <c r="C93" s="131" t="s">
        <v>93</v>
      </c>
      <c r="U93" s="250" t="s">
        <v>195</v>
      </c>
      <c r="V93" s="250" t="s">
        <v>367</v>
      </c>
      <c r="W93" s="250" t="s">
        <v>369</v>
      </c>
      <c r="X93" s="551">
        <v>3148908</v>
      </c>
      <c r="Y93" s="250"/>
      <c r="Z93" s="250"/>
      <c r="AA93" s="250"/>
    </row>
    <row r="94" spans="3:27">
      <c r="C94" s="131" t="s">
        <v>94</v>
      </c>
      <c r="U94" s="250" t="s">
        <v>196</v>
      </c>
      <c r="V94" s="250" t="s">
        <v>367</v>
      </c>
      <c r="W94" s="250" t="s">
        <v>369</v>
      </c>
      <c r="X94" s="551">
        <v>3699030</v>
      </c>
      <c r="Y94" s="250"/>
      <c r="Z94" s="250"/>
      <c r="AA94" s="250"/>
    </row>
    <row r="95" spans="3:27">
      <c r="C95" s="131" t="s">
        <v>95</v>
      </c>
      <c r="U95" s="250" t="s">
        <v>227</v>
      </c>
      <c r="V95" s="250" t="s">
        <v>367</v>
      </c>
      <c r="W95" s="250" t="s">
        <v>369</v>
      </c>
      <c r="X95" s="551">
        <v>4670010</v>
      </c>
      <c r="Y95" s="250"/>
      <c r="Z95" s="250"/>
      <c r="AA95" s="250"/>
    </row>
    <row r="96" spans="3:27">
      <c r="U96" s="250" t="s">
        <v>41</v>
      </c>
      <c r="V96" s="250" t="s">
        <v>367</v>
      </c>
      <c r="W96" s="250" t="s">
        <v>369</v>
      </c>
      <c r="X96" s="551">
        <v>4669058</v>
      </c>
      <c r="Y96" s="250"/>
      <c r="Z96" s="250"/>
      <c r="AA96" s="250"/>
    </row>
    <row r="97" spans="3:27">
      <c r="C97" s="131" t="s">
        <v>96</v>
      </c>
      <c r="U97" s="361">
        <v>1</v>
      </c>
      <c r="V97" s="361">
        <v>2</v>
      </c>
      <c r="W97" s="361">
        <v>3</v>
      </c>
      <c r="X97" s="361">
        <v>4</v>
      </c>
      <c r="Y97" s="361">
        <v>5</v>
      </c>
      <c r="Z97" s="361">
        <v>6</v>
      </c>
      <c r="AA97" s="361">
        <v>7</v>
      </c>
    </row>
    <row r="98" spans="3:27">
      <c r="C98" s="131" t="s">
        <v>97</v>
      </c>
      <c r="U98" s="948" t="s">
        <v>370</v>
      </c>
      <c r="V98" s="948"/>
      <c r="W98" s="948"/>
      <c r="X98" s="948"/>
      <c r="Y98" s="948"/>
      <c r="Z98" s="948"/>
      <c r="AA98" s="948"/>
    </row>
    <row r="99" spans="3:27">
      <c r="C99" s="131" t="s">
        <v>98</v>
      </c>
      <c r="U99" s="250" t="s">
        <v>190</v>
      </c>
      <c r="V99" s="250" t="s">
        <v>371</v>
      </c>
      <c r="W99" s="250" t="s">
        <v>372</v>
      </c>
      <c r="X99" s="57">
        <v>15062873</v>
      </c>
      <c r="Y99" s="250"/>
      <c r="Z99" s="250"/>
      <c r="AA99" s="250"/>
    </row>
    <row r="100" spans="3:27">
      <c r="C100" s="131" t="s">
        <v>99</v>
      </c>
      <c r="U100" s="250" t="s">
        <v>191</v>
      </c>
      <c r="V100" s="250" t="s">
        <v>371</v>
      </c>
      <c r="W100" s="250" t="s">
        <v>372</v>
      </c>
      <c r="X100" s="57">
        <v>15062874</v>
      </c>
      <c r="Y100" s="250"/>
      <c r="Z100" s="250"/>
      <c r="AA100" s="250"/>
    </row>
    <row r="101" spans="3:27">
      <c r="C101" s="131" t="s">
        <v>100</v>
      </c>
      <c r="U101" s="250" t="s">
        <v>192</v>
      </c>
      <c r="V101" s="250" t="s">
        <v>371</v>
      </c>
      <c r="W101" s="250" t="s">
        <v>372</v>
      </c>
      <c r="X101" s="57">
        <v>14082463</v>
      </c>
      <c r="Y101" s="250"/>
      <c r="Z101" s="250"/>
      <c r="AA101" s="250"/>
    </row>
    <row r="102" spans="3:27">
      <c r="C102" s="131" t="s">
        <v>101</v>
      </c>
      <c r="U102" s="250" t="s">
        <v>193</v>
      </c>
      <c r="V102" s="250" t="s">
        <v>371</v>
      </c>
      <c r="W102" s="250" t="s">
        <v>372</v>
      </c>
      <c r="X102" s="57">
        <v>15062872</v>
      </c>
      <c r="Y102" s="250"/>
      <c r="Z102" s="250"/>
      <c r="AA102" s="250"/>
    </row>
    <row r="103" spans="3:27">
      <c r="C103" s="131" t="s">
        <v>102</v>
      </c>
      <c r="U103" s="250" t="s">
        <v>194</v>
      </c>
      <c r="V103" s="250" t="s">
        <v>371</v>
      </c>
      <c r="W103" s="250" t="s">
        <v>372</v>
      </c>
      <c r="X103" s="57">
        <v>15062875</v>
      </c>
      <c r="Y103" s="250"/>
      <c r="Z103" s="250"/>
      <c r="AA103" s="250"/>
    </row>
    <row r="104" spans="3:27">
      <c r="C104" s="131" t="s">
        <v>103</v>
      </c>
      <c r="U104" s="250" t="s">
        <v>195</v>
      </c>
      <c r="V104" s="250" t="s">
        <v>371</v>
      </c>
      <c r="W104" s="250" t="s">
        <v>372</v>
      </c>
      <c r="X104" s="57">
        <v>34903046</v>
      </c>
      <c r="Y104" s="250"/>
      <c r="Z104" s="250"/>
      <c r="AA104" s="250"/>
    </row>
    <row r="105" spans="3:27">
      <c r="U105" s="250" t="s">
        <v>196</v>
      </c>
      <c r="V105" s="250" t="s">
        <v>371</v>
      </c>
      <c r="W105" s="250" t="s">
        <v>373</v>
      </c>
      <c r="X105" s="57">
        <v>34903053</v>
      </c>
      <c r="Y105" s="250"/>
      <c r="Z105" s="250"/>
      <c r="AA105" s="250"/>
    </row>
    <row r="106" spans="3:27">
      <c r="C106" s="202" t="s">
        <v>104</v>
      </c>
      <c r="D106" s="578"/>
      <c r="U106" s="250" t="s">
        <v>227</v>
      </c>
      <c r="V106" s="250" t="s">
        <v>371</v>
      </c>
      <c r="W106" s="250" t="s">
        <v>373</v>
      </c>
      <c r="X106" s="57">
        <v>34903051</v>
      </c>
      <c r="Y106" s="250"/>
      <c r="Z106" s="250"/>
      <c r="AA106" s="250"/>
    </row>
    <row r="107" spans="3:27">
      <c r="C107" s="202" t="s">
        <v>105</v>
      </c>
      <c r="D107" s="578"/>
      <c r="U107" s="250" t="s">
        <v>41</v>
      </c>
      <c r="V107" s="250" t="s">
        <v>371</v>
      </c>
      <c r="W107" s="250" t="s">
        <v>373</v>
      </c>
      <c r="X107" s="57">
        <v>34904091</v>
      </c>
      <c r="Y107" s="250"/>
      <c r="Z107" s="250"/>
      <c r="AA107" s="250"/>
    </row>
    <row r="108" spans="3:27">
      <c r="U108" s="250" t="s">
        <v>385</v>
      </c>
      <c r="V108" s="250" t="s">
        <v>371</v>
      </c>
      <c r="W108" s="250" t="s">
        <v>373</v>
      </c>
      <c r="X108" s="57" t="s">
        <v>376</v>
      </c>
      <c r="Y108" s="250"/>
      <c r="Z108" s="250"/>
      <c r="AA108" s="250"/>
    </row>
    <row r="109" spans="3:27">
      <c r="C109" s="783"/>
      <c r="U109" s="250" t="s">
        <v>386</v>
      </c>
      <c r="V109" s="250" t="s">
        <v>374</v>
      </c>
      <c r="W109" s="250" t="s">
        <v>375</v>
      </c>
      <c r="X109" s="57" t="s">
        <v>377</v>
      </c>
      <c r="Y109" s="250"/>
      <c r="Z109" s="250"/>
      <c r="AA109" s="250"/>
    </row>
    <row r="110" spans="3:27">
      <c r="C110" s="131" t="s">
        <v>320</v>
      </c>
      <c r="U110" s="250" t="s">
        <v>387</v>
      </c>
      <c r="V110" s="250" t="s">
        <v>374</v>
      </c>
      <c r="W110" s="250" t="s">
        <v>375</v>
      </c>
      <c r="X110" s="57" t="s">
        <v>378</v>
      </c>
      <c r="Y110" s="250"/>
      <c r="Z110" s="250"/>
      <c r="AA110" s="250"/>
    </row>
    <row r="111" spans="3:27">
      <c r="C111" s="131" t="s">
        <v>78</v>
      </c>
      <c r="U111" s="250" t="s">
        <v>388</v>
      </c>
      <c r="V111" s="250" t="s">
        <v>374</v>
      </c>
      <c r="W111" s="250" t="s">
        <v>375</v>
      </c>
      <c r="X111" s="57" t="s">
        <v>379</v>
      </c>
      <c r="Y111" s="250"/>
      <c r="Z111" s="250"/>
      <c r="AA111" s="250"/>
    </row>
    <row r="112" spans="3:27">
      <c r="C112" s="131" t="s">
        <v>155</v>
      </c>
      <c r="U112" s="250" t="s">
        <v>389</v>
      </c>
      <c r="V112" s="250" t="s">
        <v>374</v>
      </c>
      <c r="W112" s="250" t="s">
        <v>375</v>
      </c>
      <c r="X112" s="57" t="s">
        <v>380</v>
      </c>
      <c r="Y112" s="250"/>
      <c r="Z112" s="250"/>
      <c r="AA112" s="250"/>
    </row>
    <row r="113" spans="3:27">
      <c r="U113" s="250" t="s">
        <v>390</v>
      </c>
      <c r="V113" s="250" t="s">
        <v>374</v>
      </c>
      <c r="W113" s="250" t="s">
        <v>375</v>
      </c>
      <c r="X113" s="57" t="s">
        <v>381</v>
      </c>
      <c r="Y113" s="250"/>
      <c r="Z113" s="250"/>
      <c r="AA113" s="250"/>
    </row>
    <row r="114" spans="3:27">
      <c r="C114" s="131" t="s">
        <v>465</v>
      </c>
      <c r="D114" s="131" t="s">
        <v>243</v>
      </c>
      <c r="U114" s="250" t="s">
        <v>391</v>
      </c>
      <c r="V114" s="250" t="s">
        <v>374</v>
      </c>
      <c r="W114" s="250" t="s">
        <v>375</v>
      </c>
      <c r="X114" s="57" t="s">
        <v>382</v>
      </c>
      <c r="Y114" s="250"/>
      <c r="Z114" s="250"/>
      <c r="AA114" s="250"/>
    </row>
    <row r="115" spans="3:27">
      <c r="C115" s="131" t="s">
        <v>466</v>
      </c>
      <c r="D115" s="131" t="s">
        <v>246</v>
      </c>
      <c r="U115" s="250" t="s">
        <v>392</v>
      </c>
      <c r="V115" s="250" t="s">
        <v>374</v>
      </c>
      <c r="W115" s="250" t="s">
        <v>375</v>
      </c>
      <c r="X115" s="57" t="s">
        <v>383</v>
      </c>
      <c r="Y115" s="250"/>
      <c r="Z115" s="250"/>
      <c r="AA115" s="250"/>
    </row>
    <row r="116" spans="3:27">
      <c r="U116" s="250" t="s">
        <v>393</v>
      </c>
      <c r="V116" s="250" t="s">
        <v>374</v>
      </c>
      <c r="W116" s="250" t="s">
        <v>375</v>
      </c>
      <c r="X116" s="57" t="s">
        <v>384</v>
      </c>
      <c r="Y116" s="250"/>
      <c r="Z116" s="250"/>
      <c r="AA116" s="250"/>
    </row>
  </sheetData>
  <mergeCells count="33">
    <mergeCell ref="U78:AA78"/>
    <mergeCell ref="U87:AA87"/>
    <mergeCell ref="U98:AA98"/>
    <mergeCell ref="M72:M73"/>
    <mergeCell ref="N72:N73"/>
    <mergeCell ref="A1:L1"/>
    <mergeCell ref="B72:B73"/>
    <mergeCell ref="C32:C33"/>
    <mergeCell ref="C34:C40"/>
    <mergeCell ref="C72:C73"/>
    <mergeCell ref="J72:J73"/>
    <mergeCell ref="I25:J26"/>
    <mergeCell ref="B55:L56"/>
    <mergeCell ref="C28:H28"/>
    <mergeCell ref="E32:I32"/>
    <mergeCell ref="E8:F8"/>
    <mergeCell ref="E9:F9"/>
    <mergeCell ref="C74:C80"/>
    <mergeCell ref="D32:D33"/>
    <mergeCell ref="D72:D73"/>
    <mergeCell ref="L72:L73"/>
    <mergeCell ref="B59:E59"/>
    <mergeCell ref="B63:D63"/>
    <mergeCell ref="F72:I72"/>
    <mergeCell ref="B32:B33"/>
    <mergeCell ref="Q60:Q62"/>
    <mergeCell ref="M27:M28"/>
    <mergeCell ref="O14:P14"/>
    <mergeCell ref="A23:I23"/>
    <mergeCell ref="C27:H27"/>
    <mergeCell ref="B25:B26"/>
    <mergeCell ref="C25:H26"/>
    <mergeCell ref="K25:K26"/>
  </mergeCells>
  <phoneticPr fontId="34" type="noConversion"/>
  <dataValidations count="4">
    <dataValidation type="list" allowBlank="1" showInputMessage="1" showErrorMessage="1" sqref="E21:E22" xr:uid="{00000000-0002-0000-0400-000000000000}">
      <formula1>$C$89:$C$90</formula1>
    </dataValidation>
    <dataValidation allowBlank="1" showInputMessage="1" sqref="B46:L46 A2:G2 I2:L2" xr:uid="{00000000-0002-0000-0400-000001000000}"/>
    <dataValidation type="list" allowBlank="1" showInputMessage="1" showErrorMessage="1" sqref="M27" xr:uid="{00000000-0002-0000-0400-000002000000}">
      <formula1>"NG,G"</formula1>
    </dataValidation>
    <dataValidation type="list" allowBlank="1" showInputMessage="1" showErrorMessage="1" sqref="C29:H29" xr:uid="{00000000-0002-0000-0400-00000A000000}">
      <formula1>$C$114:$C$115</formula1>
    </dataValidation>
  </dataValidations>
  <printOptions horizontalCentered="1"/>
  <pageMargins left="0.5" right="0.5" top="0.5" bottom="0.5" header="0.25" footer="0.51180555555555596"/>
  <pageSetup paperSize="9" scale="70" orientation="portrait" r:id="rId1"/>
  <headerFooter alignWithMargins="0">
    <oddHeader xml:space="preserve">&amp;R&amp;8OA.015-18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3091" r:id="rId4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1" r:id="rId4"/>
      </mc:Fallback>
    </mc:AlternateContent>
    <mc:AlternateContent xmlns:mc="http://schemas.openxmlformats.org/markup-compatibility/2006">
      <mc:Choice Requires="x14">
        <oleObject progId="Equation.3" shapeId="3092" r:id="rId6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2" r:id="rId6"/>
      </mc:Fallback>
    </mc:AlternateContent>
    <mc:AlternateContent xmlns:mc="http://schemas.openxmlformats.org/markup-compatibility/2006">
      <mc:Choice Requires="x14">
        <oleObject progId="Equation.3" shapeId="3093" r:id="rId7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3" r:id="rId7"/>
      </mc:Fallback>
    </mc:AlternateContent>
    <mc:AlternateContent xmlns:mc="http://schemas.openxmlformats.org/markup-compatibility/2006">
      <mc:Choice Requires="x14">
        <oleObject progId="Equation.3" shapeId="3094" r:id="rId8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4" r:id="rId8"/>
      </mc:Fallback>
    </mc:AlternateContent>
    <mc:AlternateContent xmlns:mc="http://schemas.openxmlformats.org/markup-compatibility/2006">
      <mc:Choice Requires="x14">
        <oleObject progId="Equation.3" shapeId="3095" r:id="rId9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5" r:id="rId9"/>
      </mc:Fallback>
    </mc:AlternateContent>
    <mc:AlternateContent xmlns:mc="http://schemas.openxmlformats.org/markup-compatibility/2006">
      <mc:Choice Requires="x14">
        <oleObject progId="Equation.3" shapeId="3096" r:id="rId10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6" r:id="rId10"/>
      </mc:Fallback>
    </mc:AlternateContent>
    <mc:AlternateContent xmlns:mc="http://schemas.openxmlformats.org/markup-compatibility/2006">
      <mc:Choice Requires="x14">
        <oleObject progId="Equation.3" shapeId="3097" r:id="rId11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7" r:id="rId11"/>
      </mc:Fallback>
    </mc:AlternateContent>
    <mc:AlternateContent xmlns:mc="http://schemas.openxmlformats.org/markup-compatibility/2006">
      <mc:Choice Requires="x14">
        <oleObject progId="Equation.3" shapeId="3098" r:id="rId12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8" r:id="rId12"/>
      </mc:Fallback>
    </mc:AlternateContent>
    <mc:AlternateContent xmlns:mc="http://schemas.openxmlformats.org/markup-compatibility/2006">
      <mc:Choice Requires="x14">
        <oleObject progId="Equation.3" shapeId="3099" r:id="rId13">
          <objectPr defaultSize="0" autoPict="0" r:id="rId5">
            <anchor moveWithCells="1" sizeWithCells="1">
              <from>
                <xdr:col>11</xdr:col>
                <xdr:colOff>12700</xdr:colOff>
                <xdr:row>30</xdr:row>
                <xdr:rowOff>0</xdr:rowOff>
              </from>
              <to>
                <xdr:col>11</xdr:col>
                <xdr:colOff>412750</xdr:colOff>
                <xdr:row>30</xdr:row>
                <xdr:rowOff>0</xdr:rowOff>
              </to>
            </anchor>
          </objectPr>
        </oleObject>
      </mc:Choice>
      <mc:Fallback>
        <oleObject progId="Equation.3" shapeId="3099" r:id="rId13"/>
      </mc:Fallback>
    </mc:AlternateContent>
    <mc:AlternateContent xmlns:mc="http://schemas.openxmlformats.org/markup-compatibility/2006">
      <mc:Choice Requires="x14">
        <oleObject progId="Equation.3" shapeId="3100" r:id="rId14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0" r:id="rId14"/>
      </mc:Fallback>
    </mc:AlternateContent>
    <mc:AlternateContent xmlns:mc="http://schemas.openxmlformats.org/markup-compatibility/2006">
      <mc:Choice Requires="x14">
        <oleObject progId="Equation.3" shapeId="3101" r:id="rId15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1" r:id="rId15"/>
      </mc:Fallback>
    </mc:AlternateContent>
    <mc:AlternateContent xmlns:mc="http://schemas.openxmlformats.org/markup-compatibility/2006">
      <mc:Choice Requires="x14">
        <oleObject progId="Equation.3" shapeId="3102" r:id="rId16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2" r:id="rId16"/>
      </mc:Fallback>
    </mc:AlternateContent>
    <mc:AlternateContent xmlns:mc="http://schemas.openxmlformats.org/markup-compatibility/2006">
      <mc:Choice Requires="x14">
        <oleObject progId="Equation.3" shapeId="3103" r:id="rId17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3" r:id="rId17"/>
      </mc:Fallback>
    </mc:AlternateContent>
    <mc:AlternateContent xmlns:mc="http://schemas.openxmlformats.org/markup-compatibility/2006">
      <mc:Choice Requires="x14">
        <oleObject progId="Equation.3" shapeId="3104" r:id="rId18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4" r:id="rId18"/>
      </mc:Fallback>
    </mc:AlternateContent>
    <mc:AlternateContent xmlns:mc="http://schemas.openxmlformats.org/markup-compatibility/2006">
      <mc:Choice Requires="x14">
        <oleObject progId="Equation.3" shapeId="3105" r:id="rId19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5" r:id="rId19"/>
      </mc:Fallback>
    </mc:AlternateContent>
    <mc:AlternateContent xmlns:mc="http://schemas.openxmlformats.org/markup-compatibility/2006">
      <mc:Choice Requires="x14">
        <oleObject progId="Equation.3" shapeId="3106" r:id="rId20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6" r:id="rId20"/>
      </mc:Fallback>
    </mc:AlternateContent>
    <mc:AlternateContent xmlns:mc="http://schemas.openxmlformats.org/markup-compatibility/2006">
      <mc:Choice Requires="x14">
        <oleObject progId="Equation.3" shapeId="3107" r:id="rId21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7" r:id="rId21"/>
      </mc:Fallback>
    </mc:AlternateContent>
    <mc:AlternateContent xmlns:mc="http://schemas.openxmlformats.org/markup-compatibility/2006">
      <mc:Choice Requires="x14">
        <oleObject progId="Equation.3" shapeId="3108" r:id="rId22">
          <objectPr defaultSize="0" autoPict="0" r:id="rId5">
            <anchor moveWithCells="1" sizeWithCells="1">
              <from>
                <xdr:col>10</xdr:col>
                <xdr:colOff>12700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8" r:id="rId2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xr:uid="{00000000-0002-0000-0400-000003000000}">
          <x14:formula1>
            <xm:f>cetik!$A$1:$A$2</xm:f>
          </x14:formula1>
          <xm:sqref>B43</xm:sqref>
        </x14:dataValidation>
        <x14:dataValidation type="list" allowBlank="1" showInputMessage="1" showErrorMessage="1" xr:uid="{00000000-0002-0000-0400-000004000000}">
          <x14:formula1>
            <xm:f>cetik!$L$4:$L$10</xm:f>
          </x14:formula1>
          <xm:sqref>B50:L50</xm:sqref>
        </x14:dataValidation>
        <x14:dataValidation type="list" allowBlank="1" showInputMessage="1" showErrorMessage="1" xr:uid="{00000000-0002-0000-0400-000005000000}">
          <x14:formula1>
            <xm:f>cetik!$B$2:$B$11</xm:f>
          </x14:formula1>
          <xm:sqref>M50</xm:sqref>
        </x14:dataValidation>
        <x14:dataValidation type="list" allowBlank="1" showInputMessage="1" showErrorMessage="1" xr:uid="{00000000-0002-0000-0400-000006000000}">
          <x14:formula1>
            <xm:f>'DB ESA'!$A$235:$A$243</xm:f>
          </x14:formula1>
          <xm:sqref>B51:J51</xm:sqref>
        </x14:dataValidation>
        <x14:dataValidation type="list" allowBlank="1" showInputMessage="1" showErrorMessage="1" xr:uid="{00000000-0002-0000-0400-00000B000000}">
          <x14:formula1>
            <xm:f>'DB Thermohygro'!$A$390:$A$409</xm:f>
          </x14:formula1>
          <xm:sqref>B52:J52</xm:sqref>
        </x14:dataValidation>
        <x14:dataValidation type="list" allowBlank="1" showInputMessage="1" showErrorMessage="1" xr:uid="{00000000-0002-0000-0400-000007000000}">
          <x14:formula1>
            <xm:f>cetik!$G$1:$G$10</xm:f>
          </x14:formula1>
          <xm:sqref>B53:I53</xm:sqref>
        </x14:dataValidation>
        <x14:dataValidation type="list" allowBlank="1" showInputMessage="1" xr:uid="{00000000-0002-0000-0400-000008000000}">
          <x14:formula1>
            <xm:f>cetik!$H$1:$H$22</xm:f>
          </x14:formula1>
          <xm:sqref>B59:E60</xm:sqref>
        </x14:dataValidation>
        <x14:dataValidation type="list" allowBlank="1" showInputMessage="1" xr:uid="{00000000-0002-0000-0400-000009000000}">
          <x14:formula1>
            <xm:f>cetik!$H$1:$H$11</xm:f>
          </x14:formula1>
          <xm:sqref>B61:E61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73"/>
  <sheetViews>
    <sheetView showGridLines="0" view="pageBreakPreview" zoomScaleNormal="100" zoomScaleSheetLayoutView="100" zoomScalePageLayoutView="80" workbookViewId="0">
      <selection activeCell="I11" sqref="I11"/>
    </sheetView>
  </sheetViews>
  <sheetFormatPr defaultColWidth="9.1796875" defaultRowHeight="14"/>
  <cols>
    <col min="1" max="1" width="4.1796875" style="23" customWidth="1"/>
    <col min="2" max="2" width="10.26953125" style="23" customWidth="1"/>
    <col min="3" max="3" width="11.81640625" style="23" customWidth="1"/>
    <col min="4" max="4" width="2.26953125" style="23" customWidth="1"/>
    <col min="5" max="5" width="6.7265625" style="23" customWidth="1"/>
    <col min="6" max="6" width="9.1796875" style="23" customWidth="1"/>
    <col min="7" max="7" width="6.453125" style="23" customWidth="1"/>
    <col min="8" max="8" width="5.453125" style="23" customWidth="1"/>
    <col min="9" max="9" width="13.7265625" style="23" customWidth="1"/>
    <col min="10" max="10" width="12.54296875" style="23" customWidth="1"/>
    <col min="11" max="11" width="16.81640625" style="23" customWidth="1"/>
    <col min="12" max="13" width="8.453125" style="23" customWidth="1"/>
    <col min="14" max="14" width="18.453125" style="23" customWidth="1"/>
    <col min="15" max="16" width="3.54296875" style="23" customWidth="1"/>
    <col min="17" max="16384" width="9.1796875" style="23"/>
  </cols>
  <sheetData>
    <row r="1" spans="1:14" ht="18">
      <c r="A1" s="950" t="str">
        <f>Penyelia!A1:P1</f>
        <v>Hasil Kalibrasi Cardiotocograph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</row>
    <row r="2" spans="1:14" ht="17.25" customHeight="1">
      <c r="A2" s="951" t="str">
        <f>Penyelia!A2</f>
        <v>Nomor Sertifikat : 13 / 1 / IV - 21 / E - 03.000 DL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</row>
    <row r="3" spans="1:14" ht="17.25" customHeight="1">
      <c r="A3" s="548"/>
      <c r="B3" s="247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</row>
    <row r="4" spans="1:14" ht="14.25" customHeight="1">
      <c r="A4" s="24"/>
      <c r="B4" s="248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</row>
    <row r="5" spans="1:14">
      <c r="A5" s="25" t="str">
        <f>Penyelia!A5</f>
        <v>Merek</v>
      </c>
      <c r="B5" s="26"/>
      <c r="C5" s="26"/>
      <c r="D5" s="27" t="s">
        <v>14</v>
      </c>
      <c r="E5" s="369" t="str">
        <f>Penyelia!F5</f>
        <v>bistos</v>
      </c>
      <c r="F5" s="27"/>
      <c r="G5" s="27"/>
      <c r="I5" s="25"/>
      <c r="J5" s="25"/>
      <c r="K5" s="25"/>
      <c r="L5" s="25"/>
      <c r="M5" s="26"/>
      <c r="N5" s="26"/>
    </row>
    <row r="6" spans="1:14">
      <c r="A6" s="25" t="str">
        <f>Penyelia!A6</f>
        <v>Model/Tipe</v>
      </c>
      <c r="B6" s="26"/>
      <c r="C6" s="26"/>
      <c r="D6" s="27" t="s">
        <v>14</v>
      </c>
      <c r="E6" s="369" t="str">
        <f>Penyelia!F6</f>
        <v>BT - 200</v>
      </c>
      <c r="F6" s="27"/>
      <c r="G6" s="27"/>
      <c r="I6" s="25"/>
      <c r="J6" s="25"/>
      <c r="K6" s="25"/>
      <c r="L6" s="25"/>
      <c r="M6" s="26"/>
      <c r="N6" s="26"/>
    </row>
    <row r="7" spans="1:14">
      <c r="A7" s="25" t="str">
        <f>Penyelia!A7</f>
        <v>No. Seri</v>
      </c>
      <c r="B7" s="26"/>
      <c r="C7" s="26"/>
      <c r="D7" s="27" t="s">
        <v>14</v>
      </c>
      <c r="E7" s="369" t="str">
        <f>Penyelia!F7</f>
        <v>BDH10736</v>
      </c>
      <c r="F7" s="27"/>
      <c r="G7" s="27"/>
      <c r="I7" s="25"/>
      <c r="J7" s="25"/>
      <c r="K7" s="25"/>
      <c r="L7" s="25"/>
      <c r="M7" s="26"/>
      <c r="N7" s="26"/>
    </row>
    <row r="8" spans="1:14">
      <c r="A8" s="25" t="str">
        <f>Penyelia!A8</f>
        <v>Resolusi</v>
      </c>
      <c r="B8" s="26"/>
      <c r="C8" s="26"/>
      <c r="D8" s="27" t="s">
        <v>14</v>
      </c>
      <c r="E8" s="820">
        <f>Penyelia!F8</f>
        <v>1</v>
      </c>
      <c r="F8" s="960" t="s">
        <v>63</v>
      </c>
      <c r="G8" s="960"/>
      <c r="H8" s="960"/>
      <c r="I8" s="25"/>
      <c r="J8" s="25"/>
      <c r="K8" s="25"/>
      <c r="L8" s="25"/>
      <c r="M8" s="26"/>
      <c r="N8" s="26"/>
    </row>
    <row r="9" spans="1:14">
      <c r="A9" s="25" t="str">
        <f>Penyelia!A9</f>
        <v>Tanggal Penerimaan Alat</v>
      </c>
      <c r="B9" s="26"/>
      <c r="C9" s="26"/>
      <c r="D9" s="27" t="s">
        <v>14</v>
      </c>
      <c r="E9" s="957">
        <f>Penyelia!F9</f>
        <v>44624</v>
      </c>
      <c r="F9" s="957"/>
      <c r="G9" s="957"/>
      <c r="H9" s="957"/>
      <c r="I9" s="25"/>
      <c r="J9" s="25"/>
      <c r="K9" s="25"/>
      <c r="L9" s="25"/>
      <c r="M9" s="26"/>
      <c r="N9" s="26"/>
    </row>
    <row r="10" spans="1:14">
      <c r="A10" s="25" t="str">
        <f>Penyelia!A10</f>
        <v>Tanggal Kalibrasi</v>
      </c>
      <c r="B10" s="26"/>
      <c r="C10" s="26"/>
      <c r="D10" s="27" t="s">
        <v>14</v>
      </c>
      <c r="E10" s="957">
        <f>Penyelia!F10</f>
        <v>44625</v>
      </c>
      <c r="F10" s="957"/>
      <c r="G10" s="957"/>
      <c r="H10" s="957"/>
      <c r="I10" s="25"/>
      <c r="J10" s="25"/>
      <c r="K10" s="25"/>
      <c r="L10" s="25"/>
      <c r="M10" s="26"/>
      <c r="N10" s="26"/>
    </row>
    <row r="11" spans="1:14">
      <c r="A11" s="25" t="str">
        <f>Penyelia!A11</f>
        <v>Tempat Kalibrasi</v>
      </c>
      <c r="B11" s="26"/>
      <c r="C11" s="26"/>
      <c r="D11" s="27" t="s">
        <v>14</v>
      </c>
      <c r="E11" s="369" t="str">
        <f>Penyelia!F11</f>
        <v>IGD</v>
      </c>
      <c r="F11" s="27"/>
      <c r="G11" s="27"/>
      <c r="I11" s="25"/>
      <c r="J11" s="25"/>
      <c r="K11" s="25"/>
      <c r="L11" s="25"/>
      <c r="M11" s="26"/>
      <c r="N11" s="26"/>
    </row>
    <row r="12" spans="1:14">
      <c r="A12" s="25" t="str">
        <f>Penyelia!A12</f>
        <v>Nama Ruang</v>
      </c>
      <c r="B12" s="26"/>
      <c r="C12" s="26"/>
      <c r="D12" s="27" t="s">
        <v>14</v>
      </c>
      <c r="E12" s="369" t="str">
        <f>Penyelia!F12</f>
        <v>IGD</v>
      </c>
      <c r="F12" s="27"/>
      <c r="G12" s="27"/>
      <c r="I12" s="25"/>
      <c r="J12" s="25"/>
      <c r="K12" s="25"/>
      <c r="L12" s="25"/>
      <c r="M12" s="26"/>
      <c r="N12" s="26"/>
    </row>
    <row r="13" spans="1:14">
      <c r="A13" s="25" t="str">
        <f>Penyelia!A13</f>
        <v>Metode Kerja</v>
      </c>
      <c r="B13" s="26"/>
      <c r="C13" s="26"/>
      <c r="D13" s="27" t="s">
        <v>14</v>
      </c>
      <c r="E13" s="369" t="str">
        <f>Penyelia!F13</f>
        <v>MK 015 - 18</v>
      </c>
      <c r="F13" s="27"/>
      <c r="G13" s="27"/>
      <c r="I13" s="25"/>
      <c r="J13" s="25"/>
      <c r="K13" s="369"/>
      <c r="L13" s="25"/>
      <c r="M13" s="26"/>
      <c r="N13" s="26"/>
    </row>
    <row r="14" spans="1:14" ht="14.25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6"/>
    </row>
    <row r="15" spans="1:14">
      <c r="A15" s="28" t="s">
        <v>6</v>
      </c>
      <c r="B15" s="249" t="str">
        <f>Penyelia!B15</f>
        <v>Kondisi Ruang</v>
      </c>
      <c r="C15" s="26"/>
      <c r="D15" s="28"/>
      <c r="E15" s="28"/>
      <c r="F15" s="28"/>
      <c r="G15" s="28"/>
      <c r="H15" s="28"/>
      <c r="I15" s="28"/>
      <c r="J15" s="28"/>
      <c r="K15" s="28"/>
      <c r="L15" s="28"/>
      <c r="M15" s="26"/>
      <c r="N15" s="26"/>
    </row>
    <row r="16" spans="1:14" ht="16.5">
      <c r="A16" s="25"/>
      <c r="B16" s="26" t="str">
        <f>Penyelia!B16</f>
        <v xml:space="preserve">1. Suhu </v>
      </c>
      <c r="C16" s="26"/>
      <c r="D16" s="27" t="s">
        <v>14</v>
      </c>
      <c r="E16" s="793">
        <f>'DB Thermohygro'!U377</f>
        <v>24.590990566037739</v>
      </c>
      <c r="F16" s="375" t="str">
        <f>Penyelia!G16</f>
        <v xml:space="preserve"> ± </v>
      </c>
      <c r="G16" s="793">
        <f>'DB Thermohygro'!W377</f>
        <v>0.8</v>
      </c>
      <c r="H16" s="365" t="str">
        <f>Penyelia!I16</f>
        <v xml:space="preserve"> °C</v>
      </c>
      <c r="I16" s="365"/>
      <c r="J16" s="29"/>
      <c r="K16" s="25"/>
      <c r="L16" s="25"/>
      <c r="M16" s="26"/>
      <c r="N16" s="26"/>
    </row>
    <row r="17" spans="1:14">
      <c r="A17" s="25"/>
      <c r="B17" s="26" t="str">
        <f>Penyelia!B17</f>
        <v>2. Kelembaban</v>
      </c>
      <c r="C17" s="26"/>
      <c r="D17" s="27" t="s">
        <v>14</v>
      </c>
      <c r="E17" s="793">
        <f>'DB Thermohygro'!U378</f>
        <v>60.16225</v>
      </c>
      <c r="F17" s="375" t="str">
        <f>Penyelia!G17</f>
        <v xml:space="preserve"> ± </v>
      </c>
      <c r="G17" s="793">
        <f>'DB Thermohygro'!W378</f>
        <v>2.6</v>
      </c>
      <c r="H17" s="365" t="str">
        <f>Penyelia!I17</f>
        <v xml:space="preserve"> %RH</v>
      </c>
      <c r="I17" s="365"/>
      <c r="J17" s="25"/>
      <c r="K17" s="25"/>
      <c r="L17" s="25"/>
      <c r="M17" s="26"/>
      <c r="N17" s="26"/>
    </row>
    <row r="18" spans="1:14">
      <c r="A18" s="25"/>
      <c r="B18" s="26" t="str">
        <f>Penyelia!B18</f>
        <v>3. Tegangan Jala - jala</v>
      </c>
      <c r="C18" s="26"/>
      <c r="D18" s="27" t="s">
        <v>14</v>
      </c>
      <c r="E18" s="793">
        <f>Penyelia!F18</f>
        <v>221.97595855111959</v>
      </c>
      <c r="F18" s="536" t="str">
        <f>IF(E18="-"," ",Penyelia!I18)</f>
        <v>Volt</v>
      </c>
      <c r="G18" s="536"/>
      <c r="H18" s="365"/>
      <c r="I18" s="376"/>
      <c r="J18" s="26"/>
      <c r="K18" s="369"/>
      <c r="L18" s="25"/>
      <c r="M18" s="26"/>
      <c r="N18" s="26"/>
    </row>
    <row r="19" spans="1:14" ht="14.25" customHeight="1">
      <c r="A19" s="25"/>
      <c r="B19" s="30"/>
      <c r="C19" s="30"/>
      <c r="D19" s="27"/>
      <c r="E19" s="27"/>
      <c r="F19" s="27"/>
      <c r="G19" s="27"/>
      <c r="H19" s="31"/>
      <c r="I19" s="31"/>
      <c r="J19" s="25"/>
      <c r="K19" s="25"/>
      <c r="L19" s="25"/>
      <c r="M19" s="26"/>
      <c r="N19" s="26"/>
    </row>
    <row r="20" spans="1:14">
      <c r="A20" s="28" t="s">
        <v>16</v>
      </c>
      <c r="B20" s="249" t="str">
        <f>Penyelia!B20</f>
        <v>Pemeriksaan Kondisi Fisik dan Fungsi Alat</v>
      </c>
      <c r="C20" s="26"/>
      <c r="D20" s="28"/>
      <c r="E20" s="28"/>
      <c r="F20" s="28"/>
      <c r="G20" s="28"/>
      <c r="H20" s="28"/>
      <c r="I20" s="28"/>
      <c r="J20" s="28"/>
      <c r="K20" s="28"/>
      <c r="L20" s="28"/>
      <c r="M20" s="26"/>
      <c r="N20" s="26"/>
    </row>
    <row r="21" spans="1:14">
      <c r="A21" s="25"/>
      <c r="B21" s="26" t="str">
        <f>Penyelia!B21</f>
        <v>1. Fisik</v>
      </c>
      <c r="C21" s="26"/>
      <c r="D21" s="27" t="s">
        <v>14</v>
      </c>
      <c r="E21" s="25" t="str">
        <f>Penyelia!F21</f>
        <v>Baik</v>
      </c>
      <c r="F21" s="27"/>
      <c r="G21" s="27"/>
      <c r="I21" s="25"/>
      <c r="J21" s="25"/>
      <c r="K21" s="25"/>
      <c r="L21" s="25"/>
      <c r="M21" s="26"/>
      <c r="N21" s="26"/>
    </row>
    <row r="22" spans="1:14">
      <c r="A22" s="25"/>
      <c r="B22" s="26" t="str">
        <f>Penyelia!B22</f>
        <v>2. Fungsi</v>
      </c>
      <c r="C22" s="26"/>
      <c r="D22" s="27" t="s">
        <v>14</v>
      </c>
      <c r="E22" s="25" t="str">
        <f>Penyelia!F22</f>
        <v>Baik</v>
      </c>
      <c r="F22" s="27"/>
      <c r="G22" s="27"/>
      <c r="I22" s="25"/>
      <c r="J22" s="25"/>
      <c r="K22" s="25"/>
      <c r="L22" s="25"/>
      <c r="M22" s="26"/>
      <c r="N22" s="26"/>
    </row>
    <row r="23" spans="1:14" ht="14.25" customHeight="1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6"/>
      <c r="N23" s="26"/>
    </row>
    <row r="24" spans="1:14">
      <c r="A24" s="28" t="s">
        <v>22</v>
      </c>
      <c r="B24" s="249" t="str">
        <f>Penyelia!B24</f>
        <v>Pengujian Keselamatan Listrik</v>
      </c>
      <c r="C24" s="28"/>
      <c r="D24" s="28"/>
      <c r="E24" s="28"/>
      <c r="F24" s="28"/>
      <c r="G24" s="28"/>
      <c r="H24" s="28"/>
      <c r="I24" s="24"/>
      <c r="J24" s="32"/>
      <c r="K24" s="33"/>
      <c r="L24" s="26"/>
      <c r="M24" s="26"/>
      <c r="N24" s="26"/>
    </row>
    <row r="25" spans="1:14" ht="12" customHeight="1">
      <c r="B25" s="952" t="s">
        <v>23</v>
      </c>
      <c r="C25" s="861" t="s">
        <v>24</v>
      </c>
      <c r="D25" s="862"/>
      <c r="E25" s="862"/>
      <c r="F25" s="862"/>
      <c r="G25" s="862"/>
      <c r="H25" s="862"/>
      <c r="I25" s="862"/>
      <c r="J25" s="862"/>
      <c r="K25" s="863"/>
      <c r="L25" s="940" t="s">
        <v>25</v>
      </c>
      <c r="M25" s="941"/>
      <c r="N25" s="930" t="s">
        <v>26</v>
      </c>
    </row>
    <row r="26" spans="1:14" ht="19.5" customHeight="1">
      <c r="B26" s="952"/>
      <c r="C26" s="864"/>
      <c r="D26" s="865"/>
      <c r="E26" s="865"/>
      <c r="F26" s="865"/>
      <c r="G26" s="865"/>
      <c r="H26" s="865"/>
      <c r="I26" s="865"/>
      <c r="J26" s="865"/>
      <c r="K26" s="866"/>
      <c r="L26" s="942"/>
      <c r="M26" s="943"/>
      <c r="N26" s="931"/>
    </row>
    <row r="27" spans="1:14" ht="18" customHeight="1">
      <c r="B27" s="250">
        <v>1</v>
      </c>
      <c r="C27" s="34" t="str">
        <f>Penyelia!C27</f>
        <v xml:space="preserve">Resistansi isolasi </v>
      </c>
      <c r="D27" s="35"/>
      <c r="E27" s="35"/>
      <c r="F27" s="35"/>
      <c r="G27" s="35"/>
      <c r="H27" s="35"/>
      <c r="I27" s="35"/>
      <c r="J27" s="35"/>
      <c r="K27" s="36"/>
      <c r="L27" s="799" t="str">
        <f>Penyelia!L27</f>
        <v>OL</v>
      </c>
      <c r="M27" s="377" t="str">
        <f>IF(L27="OL"," ",IF(L27="-"," ",ID!J27))</f>
        <v xml:space="preserve"> </v>
      </c>
      <c r="N27" s="541" t="str">
        <f>Penyelia!N27</f>
        <v xml:space="preserve">&gt; 2 MΩ
</v>
      </c>
    </row>
    <row r="28" spans="1:14" ht="18" customHeight="1">
      <c r="B28" s="250">
        <v>2</v>
      </c>
      <c r="C28" s="34" t="str">
        <f>Penyelia!C28</f>
        <v>Resistansi Pembumian Protektif</v>
      </c>
      <c r="D28" s="35"/>
      <c r="E28" s="35"/>
      <c r="F28" s="35"/>
      <c r="G28" s="35"/>
      <c r="H28" s="35"/>
      <c r="I28" s="35"/>
      <c r="J28" s="35"/>
      <c r="K28" s="36"/>
      <c r="L28" s="799">
        <f>Penyelia!L28</f>
        <v>8.8561738760452535E-2</v>
      </c>
      <c r="M28" s="377" t="str">
        <f>IF(L28="OL"," ",IF(L28="-"," ",ID!J28))</f>
        <v>Ω</v>
      </c>
      <c r="N28" s="541" t="str">
        <f>Penyelia!N28</f>
        <v>≤ 0.2 Ω</v>
      </c>
    </row>
    <row r="29" spans="1:14" ht="18" customHeight="1">
      <c r="B29" s="250">
        <v>3</v>
      </c>
      <c r="C29" s="34" t="str">
        <f>Penyelia!C29</f>
        <v>Arus bocor peralatan untuk perangkat elektromedik kelas I</v>
      </c>
      <c r="D29" s="35"/>
      <c r="E29" s="35"/>
      <c r="F29" s="35"/>
      <c r="G29" s="35"/>
      <c r="H29" s="35"/>
      <c r="I29" s="35"/>
      <c r="J29" s="35"/>
      <c r="K29" s="36"/>
      <c r="L29" s="819">
        <f>Penyelia!L29</f>
        <v>57.443753250448466</v>
      </c>
      <c r="M29" s="377" t="str">
        <f>IF(L29="OL"," ",IF(L29="-"," ",ID!J29))</f>
        <v>µA</v>
      </c>
      <c r="N29" s="541" t="str">
        <f>Penyelia!N29</f>
        <v>≤ 500 µA</v>
      </c>
    </row>
    <row r="30" spans="1:14" ht="14.25" customHeight="1">
      <c r="A30" s="37"/>
      <c r="B30" s="251"/>
      <c r="C30" s="369"/>
      <c r="D30" s="369"/>
      <c r="E30" s="369"/>
      <c r="F30" s="369"/>
      <c r="G30" s="369"/>
      <c r="H30" s="369"/>
      <c r="I30" s="369"/>
      <c r="J30" s="38"/>
      <c r="K30" s="37"/>
      <c r="L30" s="26"/>
      <c r="M30" s="26"/>
      <c r="N30" s="26"/>
    </row>
    <row r="31" spans="1:14">
      <c r="A31" s="28" t="s">
        <v>37</v>
      </c>
      <c r="B31" s="249" t="str">
        <f>Penyelia!B31</f>
        <v>Kalibrasi Akurasi Frekuensi Heart Rate</v>
      </c>
      <c r="C31" s="28"/>
      <c r="D31" s="28"/>
      <c r="E31" s="28"/>
      <c r="F31" s="28"/>
      <c r="G31" s="28"/>
      <c r="H31" s="28"/>
      <c r="I31" s="28"/>
      <c r="J31" s="37"/>
      <c r="K31" s="25"/>
      <c r="L31" s="26"/>
      <c r="M31" s="26"/>
      <c r="N31" s="26"/>
    </row>
    <row r="32" spans="1:14" ht="36.75" customHeight="1">
      <c r="B32" s="252" t="str">
        <f>Penyelia!B32</f>
        <v>No.</v>
      </c>
      <c r="C32" s="545" t="str">
        <f>Penyelia!C32</f>
        <v>Parameter</v>
      </c>
      <c r="D32" s="962" t="str">
        <f>Penyelia!D32</f>
        <v>Setting Standar</v>
      </c>
      <c r="E32" s="962"/>
      <c r="F32" s="962"/>
      <c r="G32" s="962"/>
      <c r="H32" s="962"/>
      <c r="I32" s="546" t="str">
        <f>Penyelia!F32</f>
        <v>Pambacaan Alat</v>
      </c>
      <c r="J32" s="39" t="str">
        <f>Penyelia!J32</f>
        <v>Koreksi</v>
      </c>
      <c r="K32" s="39" t="str">
        <f>Penyelia!K32</f>
        <v>Toleransi</v>
      </c>
      <c r="L32" s="961" t="str">
        <f>Penyelia!L32</f>
        <v>Ketidakpastian Pengukuran</v>
      </c>
      <c r="M32" s="961"/>
      <c r="N32" s="26"/>
    </row>
    <row r="33" spans="1:14" ht="15.75" customHeight="1">
      <c r="B33" s="194">
        <f>Penyelia!B33</f>
        <v>1</v>
      </c>
      <c r="C33" s="953" t="s">
        <v>47</v>
      </c>
      <c r="D33" s="956">
        <f>Penyelia!D33</f>
        <v>30</v>
      </c>
      <c r="E33" s="956"/>
      <c r="F33" s="956"/>
      <c r="G33" s="956"/>
      <c r="H33" s="956"/>
      <c r="I33" s="794">
        <f>IFERROR(Penyelia!F33,"-")</f>
        <v>29.000001000000001</v>
      </c>
      <c r="J33" s="795">
        <f>IFERROR(Penyelia!J33,"-")</f>
        <v>-0.99999899999999897</v>
      </c>
      <c r="K33" s="963">
        <f>Penyelia!K33</f>
        <v>0.05</v>
      </c>
      <c r="L33" s="557" t="str">
        <f t="shared" ref="L33:L39" si="0">IF(M33="-"," ","±")</f>
        <v>±</v>
      </c>
      <c r="M33" s="796">
        <f>Penyelia!L33</f>
        <v>0.5798270973387214</v>
      </c>
      <c r="N33" s="26"/>
    </row>
    <row r="34" spans="1:14" ht="17.5">
      <c r="B34" s="194">
        <f>Penyelia!B34</f>
        <v>2</v>
      </c>
      <c r="C34" s="954"/>
      <c r="D34" s="956">
        <f>Penyelia!D34</f>
        <v>60</v>
      </c>
      <c r="E34" s="956"/>
      <c r="F34" s="956"/>
      <c r="G34" s="956"/>
      <c r="H34" s="956"/>
      <c r="I34" s="794">
        <f>IFERROR(Penyelia!F34,"-")</f>
        <v>60.000000999999997</v>
      </c>
      <c r="J34" s="795">
        <f>IFERROR(Penyelia!J34,"-")</f>
        <v>9.9999999747524271E-7</v>
      </c>
      <c r="K34" s="964"/>
      <c r="L34" s="558" t="str">
        <f t="shared" si="0"/>
        <v>±</v>
      </c>
      <c r="M34" s="797">
        <f>Penyelia!L34</f>
        <v>0.57982731350748251</v>
      </c>
      <c r="N34" s="378"/>
    </row>
    <row r="35" spans="1:14" ht="17.5">
      <c r="B35" s="194" t="str">
        <f>Penyelia!B35</f>
        <v>3</v>
      </c>
      <c r="C35" s="954"/>
      <c r="D35" s="956">
        <f>Penyelia!D35</f>
        <v>90</v>
      </c>
      <c r="E35" s="956"/>
      <c r="F35" s="956"/>
      <c r="G35" s="956"/>
      <c r="H35" s="956"/>
      <c r="I35" s="794">
        <f>IFERROR(Penyelia!F35,"-")</f>
        <v>91.000000999999997</v>
      </c>
      <c r="J35" s="795">
        <f>IFERROR(Penyelia!J35,"-")</f>
        <v>1.0000009999999975</v>
      </c>
      <c r="K35" s="964"/>
      <c r="L35" s="558" t="str">
        <f t="shared" si="0"/>
        <v>±</v>
      </c>
      <c r="M35" s="797">
        <f>Penyelia!L35</f>
        <v>0.57982768026562981</v>
      </c>
      <c r="N35" s="378"/>
    </row>
    <row r="36" spans="1:14" ht="17.5">
      <c r="B36" s="194" t="str">
        <f>Penyelia!B36</f>
        <v>4</v>
      </c>
      <c r="C36" s="954"/>
      <c r="D36" s="956">
        <f>Penyelia!D36</f>
        <v>120</v>
      </c>
      <c r="E36" s="956"/>
      <c r="F36" s="956"/>
      <c r="G36" s="956"/>
      <c r="H36" s="956"/>
      <c r="I36" s="794">
        <f>IFERROR(Penyelia!F36,"-")</f>
        <v>120.000001</v>
      </c>
      <c r="J36" s="795">
        <f>IFERROR(Penyelia!J36,"-")</f>
        <v>9.9999999747524271E-7</v>
      </c>
      <c r="K36" s="964"/>
      <c r="L36" s="558" t="str">
        <f t="shared" si="0"/>
        <v>±</v>
      </c>
      <c r="M36" s="797">
        <f>Penyelia!L36</f>
        <v>0.57982815969146284</v>
      </c>
      <c r="N36" s="378"/>
    </row>
    <row r="37" spans="1:14" ht="17.5">
      <c r="B37" s="194" t="str">
        <f>Penyelia!B37</f>
        <v>5</v>
      </c>
      <c r="C37" s="954"/>
      <c r="D37" s="956">
        <f>Penyelia!D37</f>
        <v>150</v>
      </c>
      <c r="E37" s="956"/>
      <c r="F37" s="956"/>
      <c r="G37" s="956"/>
      <c r="H37" s="956"/>
      <c r="I37" s="794">
        <f>IFERROR(Penyelia!F37,"-")</f>
        <v>150.000001</v>
      </c>
      <c r="J37" s="795">
        <f>IFERROR(Penyelia!J37,"-")</f>
        <v>9.9999999747524271E-7</v>
      </c>
      <c r="K37" s="964"/>
      <c r="L37" s="558" t="str">
        <f t="shared" si="0"/>
        <v>±</v>
      </c>
      <c r="M37" s="797">
        <f>Penyelia!L37</f>
        <v>0.57982879432906254</v>
      </c>
      <c r="N37" s="378"/>
    </row>
    <row r="38" spans="1:14" ht="17.5">
      <c r="B38" s="194" t="str">
        <f>Penyelia!B38</f>
        <v>6</v>
      </c>
      <c r="C38" s="954"/>
      <c r="D38" s="956">
        <f>Penyelia!D38</f>
        <v>180</v>
      </c>
      <c r="E38" s="956"/>
      <c r="F38" s="956"/>
      <c r="G38" s="956"/>
      <c r="H38" s="956"/>
      <c r="I38" s="794">
        <f>IFERROR(Penyelia!F38,"-")</f>
        <v>180.000001</v>
      </c>
      <c r="J38" s="795">
        <f>IFERROR(Penyelia!J38,"-")</f>
        <v>9.9999999747524271E-7</v>
      </c>
      <c r="K38" s="964"/>
      <c r="L38" s="558" t="str">
        <f t="shared" si="0"/>
        <v>±</v>
      </c>
      <c r="M38" s="797">
        <f>Penyelia!L38</f>
        <v>0.57982956999679125</v>
      </c>
      <c r="N38" s="378"/>
    </row>
    <row r="39" spans="1:14" ht="12.75" customHeight="1">
      <c r="B39" s="194" t="str">
        <f>Penyelia!B39</f>
        <v>7</v>
      </c>
      <c r="C39" s="955"/>
      <c r="D39" s="956">
        <f>Penyelia!D39</f>
        <v>240</v>
      </c>
      <c r="E39" s="956"/>
      <c r="F39" s="956"/>
      <c r="G39" s="956"/>
      <c r="H39" s="956"/>
      <c r="I39" s="794">
        <f>IFERROR(Penyelia!F39,"-")</f>
        <v>240.000001</v>
      </c>
      <c r="J39" s="795">
        <f>IFERROR(Penyelia!J39,"-")</f>
        <v>9.9999999747524271E-7</v>
      </c>
      <c r="K39" s="965"/>
      <c r="L39" s="559" t="str">
        <f t="shared" si="0"/>
        <v>±</v>
      </c>
      <c r="M39" s="798">
        <f>Penyelia!L39</f>
        <v>0.57983196971540518</v>
      </c>
      <c r="N39" s="378"/>
    </row>
    <row r="40" spans="1:14" ht="14.25" customHeight="1">
      <c r="A40" s="37"/>
      <c r="B40" s="65"/>
      <c r="C40" s="41"/>
      <c r="D40" s="42"/>
      <c r="E40" s="37"/>
      <c r="F40" s="37"/>
      <c r="G40" s="37"/>
      <c r="H40" s="37"/>
      <c r="I40" s="37"/>
      <c r="J40" s="37"/>
      <c r="K40" s="37"/>
      <c r="L40" s="26"/>
      <c r="M40" s="26"/>
      <c r="N40" s="26"/>
    </row>
    <row r="41" spans="1:14">
      <c r="A41" s="28" t="s">
        <v>51</v>
      </c>
      <c r="B41" s="249" t="str">
        <f>Penyelia!B41</f>
        <v>Keterangan</v>
      </c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6"/>
    </row>
    <row r="42" spans="1:14">
      <c r="A42" s="25"/>
      <c r="B42" s="251" t="str">
        <f>Penyelia!B42</f>
        <v>Ketidakpastian pengukuran dilaporkan pada tingkat kepercayaan 95% dengan faktor cakupan k= 2</v>
      </c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6"/>
    </row>
    <row r="43" spans="1:14" ht="15.75" customHeight="1">
      <c r="A43" s="25"/>
      <c r="B43" s="251" t="str">
        <f>Penyelia!B43</f>
        <v>Hasil pengujian Keselamatan Listrik tertelusur ke Satuan Internasional ( SI ) melalui PT. Kaliman (LK-032-IDN)</v>
      </c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6"/>
    </row>
    <row r="44" spans="1:14">
      <c r="A44" s="43"/>
      <c r="B44" s="253" t="str">
        <f>Penyelia!B44</f>
        <v>Hasil Kalibrasi Frekuensi Heart Rate (BPM) tertelusur ke Satuan Internasional ( SI ) melalui PT.KALIMAN</v>
      </c>
      <c r="C44" s="43"/>
      <c r="D44" s="43"/>
      <c r="E44" s="43"/>
      <c r="F44" s="43"/>
      <c r="G44" s="43"/>
      <c r="H44" s="43"/>
      <c r="I44" s="43"/>
      <c r="J44" s="43"/>
      <c r="K44" s="43"/>
    </row>
    <row r="45" spans="1:14">
      <c r="A45" s="43"/>
      <c r="B45" s="253" t="str">
        <f>Penyelia!B45</f>
        <v>-</v>
      </c>
      <c r="C45" s="43"/>
      <c r="D45" s="43"/>
      <c r="E45" s="43"/>
      <c r="F45" s="43"/>
      <c r="G45" s="43"/>
      <c r="H45" s="43"/>
      <c r="I45" s="43"/>
      <c r="J45" s="43"/>
      <c r="K45" s="43"/>
    </row>
    <row r="46" spans="1:14" ht="14.25" customHeight="1">
      <c r="A46" s="43"/>
      <c r="B46" s="253"/>
      <c r="C46" s="43"/>
      <c r="D46" s="43"/>
      <c r="E46" s="43"/>
      <c r="F46" s="43"/>
      <c r="G46" s="43"/>
      <c r="H46" s="43"/>
      <c r="I46" s="43"/>
      <c r="J46" s="43"/>
      <c r="K46" s="43"/>
    </row>
    <row r="47" spans="1:14" ht="14.25" customHeight="1">
      <c r="A47" s="43"/>
      <c r="B47" s="253"/>
      <c r="C47" s="43"/>
      <c r="D47" s="43"/>
      <c r="E47" s="43"/>
      <c r="F47" s="43"/>
      <c r="G47" s="43"/>
      <c r="H47" s="43"/>
      <c r="I47" s="43"/>
      <c r="J47" s="43"/>
      <c r="K47" s="43"/>
    </row>
    <row r="48" spans="1:14" ht="14.25" customHeight="1">
      <c r="A48" s="43"/>
      <c r="B48" s="253"/>
      <c r="C48" s="43"/>
      <c r="D48" s="43"/>
      <c r="E48" s="43"/>
      <c r="F48" s="43"/>
      <c r="G48" s="43"/>
      <c r="H48" s="43"/>
      <c r="I48" s="43"/>
      <c r="J48" s="43"/>
      <c r="K48" s="43"/>
    </row>
    <row r="49" spans="1:21">
      <c r="A49" s="28" t="s">
        <v>55</v>
      </c>
      <c r="B49" s="249" t="str">
        <f>Penyelia!B48</f>
        <v xml:space="preserve">Alat ukur yang digunakan </v>
      </c>
      <c r="C49" s="28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6"/>
    </row>
    <row r="50" spans="1:21">
      <c r="A50" s="43"/>
      <c r="B50" s="23" t="str">
        <f>Penyelia!B49</f>
        <v>Fetal Simulator, Merek : Fluke Biomedical, Model : PS 320, SN : 4662033</v>
      </c>
      <c r="C50" s="43"/>
      <c r="D50" s="43"/>
      <c r="E50" s="43"/>
      <c r="F50" s="43"/>
      <c r="G50" s="43"/>
      <c r="H50" s="43"/>
      <c r="I50" s="43"/>
      <c r="J50" s="43"/>
      <c r="K50" s="43"/>
    </row>
    <row r="51" spans="1:21" ht="14.25" customHeight="1">
      <c r="A51" s="43"/>
      <c r="B51" s="23" t="str">
        <f>Penyelia!B50</f>
        <v>Electrical Safety Analyzer, Merek : Fluke, Model : ESA 615, SN : 3699030</v>
      </c>
      <c r="C51" s="43"/>
      <c r="D51" s="43"/>
      <c r="E51" s="43"/>
      <c r="F51" s="43"/>
      <c r="G51" s="43"/>
      <c r="H51" s="43"/>
      <c r="I51" s="43"/>
      <c r="J51" s="43"/>
      <c r="K51" s="43"/>
    </row>
    <row r="52" spans="1:21" ht="14.25" customHeight="1">
      <c r="A52" s="44"/>
      <c r="C52" s="43"/>
      <c r="D52" s="43"/>
      <c r="E52" s="43"/>
      <c r="F52" s="43"/>
      <c r="G52" s="43"/>
      <c r="H52" s="43"/>
      <c r="I52" s="43"/>
      <c r="J52" s="43"/>
      <c r="K52" s="43"/>
      <c r="U52" s="49"/>
    </row>
    <row r="53" spans="1:21">
      <c r="A53" s="44" t="s">
        <v>59</v>
      </c>
      <c r="B53" s="254" t="str">
        <f>Penyelia!B52</f>
        <v>Kesimpulan</v>
      </c>
      <c r="C53" s="43"/>
      <c r="D53" s="43"/>
      <c r="E53" s="43"/>
      <c r="F53" s="43"/>
      <c r="G53" s="43"/>
      <c r="H53" s="43"/>
      <c r="I53" s="43"/>
      <c r="J53" s="43"/>
      <c r="K53" s="43"/>
      <c r="U53" s="50"/>
    </row>
    <row r="54" spans="1:21" ht="14.25" customHeight="1">
      <c r="A54" s="28"/>
      <c r="B54" s="959" t="str">
        <f>Penyelia!B53</f>
        <v>Alat yang dikalibrasi dalam batas toleransi dan dinyatakan LAIK PAKAI, dimana hasil atau skor akhir sama dengan atau melampaui 70 % berdasarkan Keputusan Direktur Jenderal Pelayanan Kesehatan No : HK.02.02/V/0412/2020</v>
      </c>
      <c r="C54" s="959"/>
      <c r="D54" s="959"/>
      <c r="E54" s="959"/>
      <c r="F54" s="959"/>
      <c r="G54" s="959"/>
      <c r="H54" s="959"/>
      <c r="I54" s="959"/>
      <c r="J54" s="959"/>
      <c r="K54" s="959"/>
      <c r="L54" s="959"/>
      <c r="M54" s="959"/>
      <c r="N54" s="959"/>
      <c r="U54" s="47"/>
    </row>
    <row r="55" spans="1:21" ht="14.25" customHeight="1">
      <c r="A55" s="28"/>
      <c r="B55" s="959"/>
      <c r="C55" s="959"/>
      <c r="D55" s="959"/>
      <c r="E55" s="959"/>
      <c r="F55" s="959"/>
      <c r="G55" s="959"/>
      <c r="H55" s="959"/>
      <c r="I55" s="959"/>
      <c r="J55" s="959"/>
      <c r="K55" s="959"/>
      <c r="L55" s="959"/>
      <c r="M55" s="959"/>
      <c r="N55" s="959"/>
      <c r="U55" s="49"/>
    </row>
    <row r="56" spans="1:21" ht="14.25" customHeight="1">
      <c r="A56" s="44"/>
      <c r="C56" s="43"/>
      <c r="D56" s="43"/>
      <c r="E56" s="43"/>
      <c r="F56" s="43"/>
      <c r="G56" s="43"/>
      <c r="H56" s="43"/>
      <c r="I56" s="43"/>
      <c r="J56" s="43"/>
      <c r="K56" s="43"/>
      <c r="U56" s="49"/>
    </row>
    <row r="57" spans="1:21">
      <c r="A57" s="44" t="s">
        <v>61</v>
      </c>
      <c r="B57" s="254" t="str">
        <f>Penyelia!B57</f>
        <v>Petugas Kalibrasi</v>
      </c>
      <c r="C57" s="43"/>
      <c r="D57" s="43"/>
      <c r="E57" s="43"/>
      <c r="F57" s="43"/>
      <c r="G57" s="43"/>
      <c r="H57" s="43"/>
      <c r="I57" s="43"/>
      <c r="J57" s="43"/>
      <c r="K57" s="43"/>
      <c r="U57" s="49"/>
    </row>
    <row r="58" spans="1:21">
      <c r="A58" s="43"/>
      <c r="B58" s="23" t="str">
        <f>Penyelia!B58</f>
        <v>Septia Khairunnisa</v>
      </c>
      <c r="C58" s="43"/>
      <c r="D58" s="43"/>
      <c r="E58" s="43"/>
      <c r="F58" s="43"/>
      <c r="G58" s="43"/>
      <c r="H58" s="43"/>
      <c r="I58" s="43"/>
      <c r="J58" s="43"/>
      <c r="K58" s="43"/>
      <c r="U58" s="49"/>
    </row>
    <row r="59" spans="1:21" ht="14.25" customHeight="1">
      <c r="A59" s="43"/>
      <c r="C59" s="43"/>
      <c r="D59" s="45"/>
      <c r="E59" s="45"/>
      <c r="F59" s="45"/>
      <c r="G59" s="45"/>
      <c r="H59" s="45"/>
      <c r="I59" s="43"/>
      <c r="J59" s="43"/>
      <c r="U59" s="51"/>
    </row>
    <row r="60" spans="1:21">
      <c r="A60" s="44"/>
      <c r="B60" s="255"/>
      <c r="C60" s="550"/>
      <c r="D60" s="550"/>
      <c r="E60" s="550"/>
      <c r="F60" s="550"/>
      <c r="G60" s="550"/>
      <c r="H60" s="550"/>
      <c r="J60" s="43"/>
      <c r="K60" s="47" t="s">
        <v>169</v>
      </c>
      <c r="U60" s="52"/>
    </row>
    <row r="61" spans="1:21">
      <c r="A61" s="43"/>
      <c r="B61" s="958"/>
      <c r="C61" s="958"/>
      <c r="D61" s="958"/>
      <c r="E61" s="958"/>
      <c r="F61" s="958"/>
      <c r="G61" s="958"/>
      <c r="H61" s="958"/>
      <c r="J61" s="43"/>
      <c r="K61" s="48" t="s">
        <v>170</v>
      </c>
      <c r="M61" s="49"/>
    </row>
    <row r="62" spans="1:21">
      <c r="A62" s="43"/>
      <c r="B62" s="256"/>
      <c r="C62" s="550"/>
      <c r="D62" s="550"/>
      <c r="E62" s="550"/>
      <c r="F62" s="550"/>
      <c r="G62" s="550"/>
      <c r="H62" s="550"/>
      <c r="J62" s="43"/>
      <c r="K62" s="48" t="s">
        <v>171</v>
      </c>
      <c r="M62" s="49"/>
    </row>
    <row r="63" spans="1:21">
      <c r="A63" s="43"/>
      <c r="B63" s="256"/>
      <c r="C63" s="550"/>
      <c r="D63" s="550"/>
      <c r="E63" s="550"/>
      <c r="F63" s="550"/>
      <c r="G63" s="550"/>
      <c r="H63" s="550"/>
      <c r="J63" s="43"/>
      <c r="K63" s="47"/>
      <c r="M63" s="47"/>
    </row>
    <row r="64" spans="1:21">
      <c r="A64" s="43"/>
      <c r="C64" s="43"/>
      <c r="D64" s="43"/>
      <c r="E64" s="43"/>
      <c r="F64" s="43"/>
      <c r="G64" s="43"/>
      <c r="H64" s="43"/>
      <c r="K64" s="47"/>
      <c r="M64" s="49"/>
    </row>
    <row r="65" spans="1:31">
      <c r="A65" s="43"/>
      <c r="B65" s="257"/>
      <c r="C65" s="44"/>
      <c r="D65" s="44"/>
      <c r="E65" s="44"/>
      <c r="F65" s="44"/>
      <c r="G65" s="44"/>
      <c r="H65" s="44"/>
      <c r="K65" s="47"/>
      <c r="M65" s="49"/>
    </row>
    <row r="66" spans="1:31">
      <c r="A66" s="43"/>
      <c r="B66" s="256"/>
      <c r="C66" s="550"/>
      <c r="D66" s="550"/>
      <c r="E66" s="550"/>
      <c r="F66" s="550"/>
      <c r="G66" s="550"/>
      <c r="H66" s="550"/>
      <c r="J66" s="43"/>
      <c r="K66" s="535" t="s">
        <v>397</v>
      </c>
      <c r="M66" s="49"/>
      <c r="Q66" s="261"/>
    </row>
    <row r="67" spans="1:31">
      <c r="A67" s="43"/>
      <c r="B67" s="256"/>
      <c r="C67" s="550"/>
      <c r="D67" s="550"/>
      <c r="E67" s="550"/>
      <c r="F67" s="550"/>
      <c r="G67" s="550"/>
      <c r="H67" s="550"/>
      <c r="J67" s="43"/>
      <c r="K67" s="23" t="s">
        <v>288</v>
      </c>
      <c r="L67" s="49"/>
      <c r="M67" s="49"/>
      <c r="Q67" s="131"/>
    </row>
    <row r="68" spans="1:31">
      <c r="L68" s="49"/>
      <c r="M68" s="49"/>
    </row>
    <row r="70" spans="1:31">
      <c r="N70" s="560" t="s">
        <v>172</v>
      </c>
    </row>
    <row r="71" spans="1:31">
      <c r="AB71" s="791" t="s">
        <v>97</v>
      </c>
      <c r="AC71" s="53" t="s">
        <v>289</v>
      </c>
      <c r="AD71" s="792"/>
      <c r="AE71" s="792"/>
    </row>
    <row r="72" spans="1:31">
      <c r="AB72" s="261" t="s">
        <v>397</v>
      </c>
      <c r="AC72" s="53" t="s">
        <v>288</v>
      </c>
      <c r="AD72" s="792"/>
      <c r="AE72" s="792"/>
    </row>
    <row r="73" spans="1:31">
      <c r="AC73" s="379"/>
      <c r="AD73" s="379"/>
      <c r="AE73" s="379"/>
    </row>
  </sheetData>
  <sheetProtection formatCells="0" formatColumns="0" formatRows="0" insertColumns="0" insertRows="0" insertHyperlinks="0" deleteColumns="0" deleteRows="0" sort="0"/>
  <mergeCells count="23">
    <mergeCell ref="B61:C61"/>
    <mergeCell ref="D61:H61"/>
    <mergeCell ref="B54:N55"/>
    <mergeCell ref="F8:H8"/>
    <mergeCell ref="C25:K26"/>
    <mergeCell ref="D39:H39"/>
    <mergeCell ref="L32:M32"/>
    <mergeCell ref="D35:H35"/>
    <mergeCell ref="D36:H36"/>
    <mergeCell ref="D37:H37"/>
    <mergeCell ref="D38:H38"/>
    <mergeCell ref="D32:H32"/>
    <mergeCell ref="D33:H33"/>
    <mergeCell ref="L25:M26"/>
    <mergeCell ref="K33:K39"/>
    <mergeCell ref="A1:N1"/>
    <mergeCell ref="A2:N2"/>
    <mergeCell ref="N25:N26"/>
    <mergeCell ref="B25:B26"/>
    <mergeCell ref="C33:C39"/>
    <mergeCell ref="D34:H34"/>
    <mergeCell ref="E9:H9"/>
    <mergeCell ref="E10:H10"/>
  </mergeCells>
  <dataValidations disablePrompts="1" count="1">
    <dataValidation type="list" allowBlank="1" showInputMessage="1" showErrorMessage="1" sqref="Q66" xr:uid="{00000000-0002-0000-0600-000000000000}">
      <formula1>$AB$71:$AB$72</formula1>
    </dataValidation>
  </dataValidations>
  <printOptions horizontalCentered="1"/>
  <pageMargins left="0.5" right="0.5" top="0.5" bottom="0.5" header="0.25" footer="0.25"/>
  <pageSetup paperSize="9" scale="70" orientation="portrait" r:id="rId1"/>
  <headerFooter>
    <oddHeader xml:space="preserve">&amp;R&amp;"-,Regular"&amp;8OA.015 -18 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249"/>
  <sheetViews>
    <sheetView topLeftCell="M225" zoomScale="108" zoomScaleNormal="108" workbookViewId="0">
      <selection activeCell="N241" sqref="N241"/>
    </sheetView>
  </sheetViews>
  <sheetFormatPr defaultColWidth="9" defaultRowHeight="12.5"/>
  <cols>
    <col min="1" max="1" width="10.26953125" style="420" customWidth="1"/>
    <col min="2" max="2" width="10.453125" style="420" bestFit="1" customWidth="1"/>
    <col min="3" max="3" width="10.54296875" style="420" bestFit="1" customWidth="1"/>
    <col min="4" max="4" width="30" style="420" bestFit="1" customWidth="1"/>
    <col min="5" max="11" width="9" style="420"/>
    <col min="12" max="12" width="12.1796875" style="420" customWidth="1"/>
    <col min="13" max="13" width="12.26953125" style="420" customWidth="1"/>
    <col min="14" max="23" width="9" style="420"/>
    <col min="24" max="24" width="12.81640625" style="420" customWidth="1"/>
    <col min="25" max="16384" width="9" style="420"/>
  </cols>
  <sheetData>
    <row r="1" spans="1:22" ht="18">
      <c r="A1" s="1016" t="s">
        <v>211</v>
      </c>
      <c r="B1" s="1017"/>
      <c r="C1" s="1017"/>
      <c r="D1" s="1017"/>
      <c r="E1" s="1017"/>
      <c r="F1" s="1017"/>
      <c r="G1" s="1017"/>
      <c r="H1" s="1017"/>
      <c r="I1" s="1017"/>
      <c r="J1" s="1017"/>
      <c r="K1" s="1017"/>
      <c r="L1" s="1017"/>
      <c r="M1" s="1017"/>
      <c r="N1" s="1017"/>
      <c r="O1" s="1017"/>
      <c r="P1" s="1017"/>
      <c r="Q1" s="1017"/>
      <c r="R1" s="1017"/>
      <c r="S1" s="1017"/>
      <c r="T1" s="1018"/>
      <c r="V1" s="420" t="s">
        <v>54</v>
      </c>
    </row>
    <row r="2" spans="1:22" ht="15" customHeight="1">
      <c r="A2" s="1012" t="s">
        <v>190</v>
      </c>
      <c r="B2" s="1013" t="s">
        <v>212</v>
      </c>
      <c r="C2" s="1013"/>
      <c r="D2" s="1013"/>
      <c r="E2" s="1013"/>
      <c r="F2" s="1013"/>
      <c r="G2" s="296"/>
      <c r="H2" s="1012" t="s">
        <v>191</v>
      </c>
      <c r="I2" s="1013" t="s">
        <v>213</v>
      </c>
      <c r="J2" s="1013"/>
      <c r="K2" s="1013"/>
      <c r="L2" s="1013"/>
      <c r="M2" s="1013"/>
      <c r="N2" s="297"/>
      <c r="O2" s="1012" t="s">
        <v>192</v>
      </c>
      <c r="P2" s="1013" t="s">
        <v>214</v>
      </c>
      <c r="Q2" s="1013"/>
      <c r="R2" s="1013"/>
      <c r="S2" s="1013"/>
      <c r="T2" s="1013"/>
    </row>
    <row r="3" spans="1:22" ht="15" customHeight="1">
      <c r="A3" s="1012"/>
      <c r="B3" s="1014" t="s">
        <v>215</v>
      </c>
      <c r="C3" s="1014"/>
      <c r="D3" s="1014"/>
      <c r="E3" s="1014"/>
      <c r="F3" s="1014"/>
      <c r="G3" s="421"/>
      <c r="H3" s="1012"/>
      <c r="I3" s="1014" t="s">
        <v>215</v>
      </c>
      <c r="J3" s="1014"/>
      <c r="K3" s="1014"/>
      <c r="L3" s="1014"/>
      <c r="M3" s="1014"/>
      <c r="N3" s="422"/>
      <c r="O3" s="1012"/>
      <c r="P3" s="1015" t="s">
        <v>215</v>
      </c>
      <c r="Q3" s="1015"/>
      <c r="R3" s="1015"/>
      <c r="S3" s="1015"/>
      <c r="T3" s="1015"/>
    </row>
    <row r="4" spans="1:22" ht="12.75" customHeight="1">
      <c r="A4" s="1012"/>
      <c r="B4" s="1009" t="s">
        <v>216</v>
      </c>
      <c r="C4" s="1009"/>
      <c r="D4" s="1009"/>
      <c r="E4" s="1009" t="s">
        <v>217</v>
      </c>
      <c r="F4" s="1009" t="s">
        <v>90</v>
      </c>
      <c r="G4" s="423"/>
      <c r="H4" s="1012"/>
      <c r="I4" s="1009" t="str">
        <f>B4</f>
        <v>Setting VAC</v>
      </c>
      <c r="J4" s="1009"/>
      <c r="K4" s="1009"/>
      <c r="L4" s="1009" t="s">
        <v>217</v>
      </c>
      <c r="M4" s="1009" t="s">
        <v>90</v>
      </c>
      <c r="N4" s="423"/>
      <c r="O4" s="1012"/>
      <c r="P4" s="1009" t="str">
        <f>B4</f>
        <v>Setting VAC</v>
      </c>
      <c r="Q4" s="1009"/>
      <c r="R4" s="1009"/>
      <c r="S4" s="1009" t="s">
        <v>217</v>
      </c>
      <c r="T4" s="1009" t="s">
        <v>90</v>
      </c>
    </row>
    <row r="5" spans="1:22" ht="15" customHeight="1">
      <c r="A5" s="1012"/>
      <c r="B5" s="424" t="s">
        <v>218</v>
      </c>
      <c r="C5" s="415">
        <v>2019</v>
      </c>
      <c r="D5" s="415">
        <v>2020</v>
      </c>
      <c r="E5" s="1009"/>
      <c r="F5" s="1009"/>
      <c r="G5" s="423"/>
      <c r="H5" s="1012"/>
      <c r="I5" s="424" t="s">
        <v>218</v>
      </c>
      <c r="J5" s="415">
        <v>2017</v>
      </c>
      <c r="K5" s="415">
        <v>2019</v>
      </c>
      <c r="L5" s="1009"/>
      <c r="M5" s="1009"/>
      <c r="N5" s="423"/>
      <c r="O5" s="1012"/>
      <c r="P5" s="424" t="s">
        <v>218</v>
      </c>
      <c r="Q5" s="415">
        <v>2018</v>
      </c>
      <c r="R5" s="415">
        <v>2022</v>
      </c>
      <c r="S5" s="1009"/>
      <c r="T5" s="1009"/>
    </row>
    <row r="6" spans="1:22" ht="15" customHeight="1">
      <c r="A6" s="1012"/>
      <c r="B6" s="425">
        <v>150</v>
      </c>
      <c r="C6" s="426">
        <v>0.76</v>
      </c>
      <c r="D6" s="426">
        <v>0.31</v>
      </c>
      <c r="E6" s="427">
        <f t="shared" ref="E6:E10" si="0">0.5*(MAX(C6:D6)-MIN(C6:D6))</f>
        <v>0.22500000000000001</v>
      </c>
      <c r="F6" s="428">
        <v>0.47</v>
      </c>
      <c r="G6" s="423"/>
      <c r="H6" s="1012"/>
      <c r="I6" s="425">
        <v>150</v>
      </c>
      <c r="J6" s="428">
        <v>0.23</v>
      </c>
      <c r="K6" s="426">
        <v>0.15</v>
      </c>
      <c r="L6" s="427">
        <f t="shared" ref="L6:L10" si="1">0.5*(MAX(J6:K6)-MIN(J6:K6))</f>
        <v>4.0000000000000008E-2</v>
      </c>
      <c r="M6" s="428">
        <v>0.47</v>
      </c>
      <c r="N6" s="423" t="s">
        <v>54</v>
      </c>
      <c r="O6" s="1012"/>
      <c r="P6" s="298">
        <v>150</v>
      </c>
      <c r="Q6" s="428">
        <v>-7.0000000000000007E-2</v>
      </c>
      <c r="R6" s="428">
        <v>-1.43</v>
      </c>
      <c r="S6" s="427">
        <f t="shared" ref="S6:S10" si="2">0.5*(MAX(Q6:R6)-MIN(Q6:R6))</f>
        <v>0.67999999999999994</v>
      </c>
      <c r="T6" s="429">
        <v>1.2</v>
      </c>
    </row>
    <row r="7" spans="1:22" ht="12.75" customHeight="1">
      <c r="A7" s="1012"/>
      <c r="B7" s="425">
        <v>180</v>
      </c>
      <c r="C7" s="426">
        <v>-0.13</v>
      </c>
      <c r="D7" s="426">
        <v>0.1</v>
      </c>
      <c r="E7" s="427">
        <f t="shared" si="0"/>
        <v>0.115</v>
      </c>
      <c r="F7" s="428">
        <v>0.47</v>
      </c>
      <c r="G7" s="423"/>
      <c r="H7" s="1012"/>
      <c r="I7" s="425">
        <v>180</v>
      </c>
      <c r="J7" s="428">
        <v>-0.06</v>
      </c>
      <c r="K7" s="426">
        <v>0.12</v>
      </c>
      <c r="L7" s="427">
        <f t="shared" si="1"/>
        <v>0.09</v>
      </c>
      <c r="M7" s="428">
        <v>0.47</v>
      </c>
      <c r="N7" s="423"/>
      <c r="O7" s="1012"/>
      <c r="P7" s="430">
        <v>180</v>
      </c>
      <c r="Q7" s="428">
        <v>-0.13</v>
      </c>
      <c r="R7" s="428">
        <v>-1.81</v>
      </c>
      <c r="S7" s="427">
        <f t="shared" si="2"/>
        <v>0.84000000000000008</v>
      </c>
      <c r="T7" s="429">
        <v>1.2</v>
      </c>
    </row>
    <row r="8" spans="1:22" ht="12.75" customHeight="1">
      <c r="A8" s="1012"/>
      <c r="B8" s="425">
        <v>200</v>
      </c>
      <c r="C8" s="426">
        <v>-0.16</v>
      </c>
      <c r="D8" s="426">
        <v>-0.04</v>
      </c>
      <c r="E8" s="427">
        <f t="shared" si="0"/>
        <v>0.06</v>
      </c>
      <c r="F8" s="428">
        <v>0.47</v>
      </c>
      <c r="G8" s="423"/>
      <c r="H8" s="1012"/>
      <c r="I8" s="425">
        <v>200</v>
      </c>
      <c r="J8" s="428">
        <v>-0.18</v>
      </c>
      <c r="K8" s="426">
        <v>0.06</v>
      </c>
      <c r="L8" s="427">
        <f t="shared" si="1"/>
        <v>0.12</v>
      </c>
      <c r="M8" s="428">
        <v>0.47</v>
      </c>
      <c r="N8" s="423"/>
      <c r="O8" s="1012"/>
      <c r="P8" s="430">
        <v>200</v>
      </c>
      <c r="Q8" s="428">
        <v>-0.26</v>
      </c>
      <c r="R8" s="428">
        <v>-2.0499999999999998</v>
      </c>
      <c r="S8" s="427">
        <f t="shared" si="2"/>
        <v>0.89499999999999991</v>
      </c>
      <c r="T8" s="429">
        <v>1.2</v>
      </c>
    </row>
    <row r="9" spans="1:22" ht="12.75" customHeight="1">
      <c r="A9" s="1012"/>
      <c r="B9" s="425">
        <v>220</v>
      </c>
      <c r="C9" s="426">
        <v>-0.18</v>
      </c>
      <c r="D9" s="426">
        <v>-0.28000000000000003</v>
      </c>
      <c r="E9" s="427">
        <f t="shared" si="0"/>
        <v>5.0000000000000017E-2</v>
      </c>
      <c r="F9" s="428">
        <v>0.47</v>
      </c>
      <c r="G9" s="423"/>
      <c r="H9" s="1012"/>
      <c r="I9" s="425">
        <v>220</v>
      </c>
      <c r="J9" s="428">
        <v>-0.03</v>
      </c>
      <c r="K9" s="426">
        <v>0.05</v>
      </c>
      <c r="L9" s="427">
        <f t="shared" si="1"/>
        <v>0.04</v>
      </c>
      <c r="M9" s="428">
        <v>0.47</v>
      </c>
      <c r="N9" s="423"/>
      <c r="O9" s="1012"/>
      <c r="P9" s="430">
        <v>220</v>
      </c>
      <c r="Q9" s="428">
        <v>-0.28999999999999998</v>
      </c>
      <c r="R9" s="428">
        <v>-2.29</v>
      </c>
      <c r="S9" s="427">
        <f t="shared" si="2"/>
        <v>1</v>
      </c>
      <c r="T9" s="429">
        <v>1.2</v>
      </c>
    </row>
    <row r="10" spans="1:22" ht="12.75" customHeight="1">
      <c r="A10" s="1012"/>
      <c r="B10" s="425">
        <v>230</v>
      </c>
      <c r="C10" s="426">
        <v>-0.26</v>
      </c>
      <c r="D10" s="426">
        <v>-0.2</v>
      </c>
      <c r="E10" s="427">
        <f t="shared" si="0"/>
        <v>0.03</v>
      </c>
      <c r="F10" s="428">
        <v>0.47</v>
      </c>
      <c r="G10" s="423"/>
      <c r="H10" s="1012"/>
      <c r="I10" s="425">
        <v>230</v>
      </c>
      <c r="J10" s="428">
        <v>-10.02</v>
      </c>
      <c r="K10" s="426">
        <v>0.05</v>
      </c>
      <c r="L10" s="427">
        <f t="shared" si="1"/>
        <v>5.0350000000000001</v>
      </c>
      <c r="M10" s="428">
        <v>0.47</v>
      </c>
      <c r="N10" s="423"/>
      <c r="O10" s="1012"/>
      <c r="P10" s="430">
        <v>230</v>
      </c>
      <c r="Q10" s="428">
        <v>-0.23</v>
      </c>
      <c r="R10" s="428">
        <v>-11.79</v>
      </c>
      <c r="S10" s="427">
        <f t="shared" si="2"/>
        <v>5.7799999999999994</v>
      </c>
      <c r="T10" s="429">
        <v>1.2</v>
      </c>
    </row>
    <row r="11" spans="1:22" ht="12.75" customHeight="1">
      <c r="A11" s="1012"/>
      <c r="B11" s="425">
        <v>250</v>
      </c>
      <c r="C11" s="426">
        <v>9.9999999999999995E-7</v>
      </c>
      <c r="D11" s="426">
        <v>9.9999999999999995E-7</v>
      </c>
      <c r="E11" s="427">
        <v>9.9999999999999995E-7</v>
      </c>
      <c r="F11" s="428">
        <v>0.47</v>
      </c>
      <c r="G11" s="423"/>
      <c r="H11" s="1012"/>
      <c r="I11" s="425">
        <v>250</v>
      </c>
      <c r="J11" s="428">
        <v>9.9999999999999995E-7</v>
      </c>
      <c r="K11" s="426">
        <v>9.9999999999999995E-7</v>
      </c>
      <c r="L11" s="427">
        <v>9.9999999999999995E-7</v>
      </c>
      <c r="M11" s="428">
        <v>0.47</v>
      </c>
      <c r="N11" s="423"/>
      <c r="O11" s="1012"/>
      <c r="P11" s="430">
        <v>250</v>
      </c>
      <c r="Q11" s="428">
        <v>9.9999999999999995E-7</v>
      </c>
      <c r="R11" s="428">
        <v>9.9999999999999995E-7</v>
      </c>
      <c r="S11" s="427">
        <v>9.9999999999999995E-7</v>
      </c>
      <c r="T11" s="429">
        <v>1.2</v>
      </c>
    </row>
    <row r="12" spans="1:22" ht="12.75" customHeight="1">
      <c r="A12" s="1012"/>
      <c r="B12" s="1008" t="s">
        <v>219</v>
      </c>
      <c r="C12" s="1008"/>
      <c r="D12" s="1008"/>
      <c r="E12" s="1009" t="s">
        <v>217</v>
      </c>
      <c r="F12" s="1009" t="s">
        <v>90</v>
      </c>
      <c r="G12" s="423"/>
      <c r="H12" s="1012"/>
      <c r="I12" s="1008" t="str">
        <f>B12</f>
        <v>Current Leakage</v>
      </c>
      <c r="J12" s="1008"/>
      <c r="K12" s="1008"/>
      <c r="L12" s="1009" t="s">
        <v>217</v>
      </c>
      <c r="M12" s="1009" t="s">
        <v>90</v>
      </c>
      <c r="N12" s="423"/>
      <c r="O12" s="1012"/>
      <c r="P12" s="1008" t="str">
        <f>B12</f>
        <v>Current Leakage</v>
      </c>
      <c r="Q12" s="1008"/>
      <c r="R12" s="1008"/>
      <c r="S12" s="1009" t="s">
        <v>217</v>
      </c>
      <c r="T12" s="1009" t="s">
        <v>90</v>
      </c>
    </row>
    <row r="13" spans="1:22" ht="15" customHeight="1">
      <c r="A13" s="1012"/>
      <c r="B13" s="424" t="s">
        <v>220</v>
      </c>
      <c r="C13" s="415">
        <f>C5</f>
        <v>2019</v>
      </c>
      <c r="D13" s="415">
        <f>D5</f>
        <v>2020</v>
      </c>
      <c r="E13" s="1009"/>
      <c r="F13" s="1009"/>
      <c r="G13" s="423"/>
      <c r="H13" s="1012"/>
      <c r="I13" s="424" t="s">
        <v>220</v>
      </c>
      <c r="J13" s="415">
        <f>J5</f>
        <v>2017</v>
      </c>
      <c r="K13" s="415">
        <f>K5</f>
        <v>2019</v>
      </c>
      <c r="L13" s="1009"/>
      <c r="M13" s="1009"/>
      <c r="N13" s="423"/>
      <c r="O13" s="1012"/>
      <c r="P13" s="424" t="s">
        <v>220</v>
      </c>
      <c r="Q13" s="415">
        <f>Q5</f>
        <v>2018</v>
      </c>
      <c r="R13" s="415">
        <f>R5</f>
        <v>2022</v>
      </c>
      <c r="S13" s="1009"/>
      <c r="T13" s="1009"/>
    </row>
    <row r="14" spans="1:22" ht="12.75" customHeight="1">
      <c r="A14" s="1012"/>
      <c r="B14" s="430">
        <v>9.9999999999999995E-7</v>
      </c>
      <c r="C14" s="479">
        <v>9.9999999999999995E-7</v>
      </c>
      <c r="D14" s="479">
        <v>9.9999999999999995E-7</v>
      </c>
      <c r="E14" s="427">
        <v>9.9999999999999995E-7</v>
      </c>
      <c r="F14" s="430">
        <v>0.28999999999999998</v>
      </c>
      <c r="G14" s="423"/>
      <c r="H14" s="1012"/>
      <c r="I14" s="430">
        <v>9.9999999999999995E-7</v>
      </c>
      <c r="J14" s="479">
        <v>9.9999999999999995E-7</v>
      </c>
      <c r="K14" s="479">
        <v>9.9999999999999995E-7</v>
      </c>
      <c r="L14" s="427">
        <v>9.9999999999999995E-7</v>
      </c>
      <c r="M14" s="430">
        <v>0.28999999999999998</v>
      </c>
      <c r="N14" s="423"/>
      <c r="O14" s="1012"/>
      <c r="P14" s="430">
        <v>9.9999999999999995E-7</v>
      </c>
      <c r="Q14" s="479">
        <v>9.9999999999999995E-7</v>
      </c>
      <c r="R14" s="479">
        <v>9.9999999999999995E-7</v>
      </c>
      <c r="S14" s="427">
        <v>9.9999999999999995E-7</v>
      </c>
      <c r="T14" s="430">
        <v>0.59</v>
      </c>
    </row>
    <row r="15" spans="1:22" ht="12.75" customHeight="1">
      <c r="A15" s="1012"/>
      <c r="B15" s="430">
        <v>50</v>
      </c>
      <c r="C15" s="426">
        <v>-0.06</v>
      </c>
      <c r="D15" s="426">
        <v>0.1</v>
      </c>
      <c r="E15" s="427">
        <f t="shared" ref="E15:E19" si="3">0.5*(MAX(C15:D15)-MIN(C15:D15))</f>
        <v>0.08</v>
      </c>
      <c r="F15" s="430">
        <v>0.28999999999999998</v>
      </c>
      <c r="G15" s="423"/>
      <c r="H15" s="1012"/>
      <c r="I15" s="430">
        <v>50</v>
      </c>
      <c r="J15" s="428">
        <v>0.1</v>
      </c>
      <c r="K15" s="426">
        <v>0.1</v>
      </c>
      <c r="L15" s="427">
        <v>9.9999999999999995E-7</v>
      </c>
      <c r="M15" s="430">
        <v>0.28999999999999998</v>
      </c>
      <c r="N15" s="423"/>
      <c r="O15" s="1012"/>
      <c r="P15" s="430">
        <v>50</v>
      </c>
      <c r="Q15" s="428">
        <v>2</v>
      </c>
      <c r="R15" s="428">
        <v>9.1</v>
      </c>
      <c r="S15" s="427">
        <f t="shared" ref="S15:S19" si="4">0.5*(MAX(Q15:R15)-MIN(Q15:R15))</f>
        <v>3.55</v>
      </c>
      <c r="T15" s="430">
        <v>0.59</v>
      </c>
    </row>
    <row r="16" spans="1:22" ht="12.75" customHeight="1">
      <c r="A16" s="1012"/>
      <c r="B16" s="430">
        <v>100</v>
      </c>
      <c r="C16" s="426">
        <v>-0.06</v>
      </c>
      <c r="D16" s="426">
        <v>0.2</v>
      </c>
      <c r="E16" s="427">
        <f t="shared" si="3"/>
        <v>0.13</v>
      </c>
      <c r="F16" s="430">
        <v>0.28999999999999998</v>
      </c>
      <c r="G16" s="423"/>
      <c r="H16" s="1012"/>
      <c r="I16" s="430">
        <v>100</v>
      </c>
      <c r="J16" s="428">
        <v>2.2000000000000002</v>
      </c>
      <c r="K16" s="426">
        <v>0.4</v>
      </c>
      <c r="L16" s="427">
        <f t="shared" ref="L16:L19" si="5">0.5*(MAX(J16:K16)-MIN(J16:K16))</f>
        <v>0.90000000000000013</v>
      </c>
      <c r="M16" s="430">
        <v>0.28999999999999998</v>
      </c>
      <c r="N16" s="423"/>
      <c r="O16" s="1012"/>
      <c r="P16" s="430">
        <v>100</v>
      </c>
      <c r="Q16" s="428">
        <v>2</v>
      </c>
      <c r="R16" s="428">
        <v>6</v>
      </c>
      <c r="S16" s="427">
        <f t="shared" si="4"/>
        <v>2</v>
      </c>
      <c r="T16" s="430">
        <v>0.59</v>
      </c>
    </row>
    <row r="17" spans="1:20" ht="12.75" customHeight="1">
      <c r="A17" s="1012"/>
      <c r="B17" s="430">
        <v>200</v>
      </c>
      <c r="C17" s="426">
        <v>0</v>
      </c>
      <c r="D17" s="426">
        <v>0.4</v>
      </c>
      <c r="E17" s="427">
        <f t="shared" si="3"/>
        <v>0.2</v>
      </c>
      <c r="F17" s="430">
        <v>0.28999999999999998</v>
      </c>
      <c r="G17" s="423"/>
      <c r="H17" s="1012"/>
      <c r="I17" s="430">
        <v>200</v>
      </c>
      <c r="J17" s="428">
        <v>3.3</v>
      </c>
      <c r="K17" s="426">
        <v>0.7</v>
      </c>
      <c r="L17" s="427">
        <f t="shared" si="5"/>
        <v>1.2999999999999998</v>
      </c>
      <c r="M17" s="430">
        <v>0.28999999999999998</v>
      </c>
      <c r="N17" s="423"/>
      <c r="O17" s="1012"/>
      <c r="P17" s="430">
        <v>200</v>
      </c>
      <c r="Q17" s="428">
        <v>3.6</v>
      </c>
      <c r="R17" s="428">
        <v>-3.6</v>
      </c>
      <c r="S17" s="427">
        <f t="shared" si="4"/>
        <v>3.6</v>
      </c>
      <c r="T17" s="430">
        <v>0.59</v>
      </c>
    </row>
    <row r="18" spans="1:20" ht="12.75" customHeight="1">
      <c r="A18" s="1012"/>
      <c r="B18" s="430">
        <v>500</v>
      </c>
      <c r="C18" s="426">
        <v>-0.9</v>
      </c>
      <c r="D18" s="426">
        <v>3.8</v>
      </c>
      <c r="E18" s="427">
        <f t="shared" si="3"/>
        <v>2.35</v>
      </c>
      <c r="F18" s="430">
        <v>0.28999999999999998</v>
      </c>
      <c r="G18" s="423"/>
      <c r="H18" s="1012"/>
      <c r="I18" s="430">
        <v>500</v>
      </c>
      <c r="J18" s="428">
        <v>20</v>
      </c>
      <c r="K18" s="426">
        <v>0.8</v>
      </c>
      <c r="L18" s="427">
        <f t="shared" si="5"/>
        <v>9.6</v>
      </c>
      <c r="M18" s="430">
        <v>0.28999999999999998</v>
      </c>
      <c r="N18" s="423"/>
      <c r="O18" s="1012"/>
      <c r="P18" s="430">
        <v>500</v>
      </c>
      <c r="Q18" s="428">
        <v>2.9</v>
      </c>
      <c r="R18" s="428">
        <v>-18.8</v>
      </c>
      <c r="S18" s="427">
        <f t="shared" si="4"/>
        <v>10.85</v>
      </c>
      <c r="T18" s="430">
        <v>0.59</v>
      </c>
    </row>
    <row r="19" spans="1:20" ht="12.75" customHeight="1">
      <c r="A19" s="1012"/>
      <c r="B19" s="430">
        <v>1000</v>
      </c>
      <c r="C19" s="426">
        <v>-3.0000000000000001E-3</v>
      </c>
      <c r="D19" s="426">
        <v>9</v>
      </c>
      <c r="E19" s="427">
        <f t="shared" si="3"/>
        <v>4.5015000000000001</v>
      </c>
      <c r="F19" s="430">
        <v>0.28999999999999998</v>
      </c>
      <c r="G19" s="423"/>
      <c r="H19" s="1012"/>
      <c r="I19" s="430">
        <v>1000</v>
      </c>
      <c r="J19" s="432">
        <v>2</v>
      </c>
      <c r="K19" s="426">
        <v>8.0000000000000002E-3</v>
      </c>
      <c r="L19" s="427">
        <f t="shared" si="5"/>
        <v>0.996</v>
      </c>
      <c r="M19" s="430">
        <v>0.28999999999999998</v>
      </c>
      <c r="N19" s="423"/>
      <c r="O19" s="1012"/>
      <c r="P19" s="430">
        <v>1000</v>
      </c>
      <c r="Q19" s="428">
        <v>3</v>
      </c>
      <c r="R19" s="428">
        <v>-47</v>
      </c>
      <c r="S19" s="427">
        <f t="shared" si="4"/>
        <v>25</v>
      </c>
      <c r="T19" s="430">
        <v>0.59</v>
      </c>
    </row>
    <row r="20" spans="1:20" ht="12.75" customHeight="1">
      <c r="A20" s="1012"/>
      <c r="B20" s="1008" t="s">
        <v>221</v>
      </c>
      <c r="C20" s="1008"/>
      <c r="D20" s="1008"/>
      <c r="E20" s="1009" t="s">
        <v>217</v>
      </c>
      <c r="F20" s="1009" t="s">
        <v>90</v>
      </c>
      <c r="G20" s="423"/>
      <c r="H20" s="1012"/>
      <c r="I20" s="1008" t="str">
        <f>B20</f>
        <v>Main-PE</v>
      </c>
      <c r="J20" s="1008"/>
      <c r="K20" s="1008"/>
      <c r="L20" s="1009" t="s">
        <v>217</v>
      </c>
      <c r="M20" s="1009" t="s">
        <v>90</v>
      </c>
      <c r="N20" s="423"/>
      <c r="O20" s="1012"/>
      <c r="P20" s="1008" t="str">
        <f>B20</f>
        <v>Main-PE</v>
      </c>
      <c r="Q20" s="1008"/>
      <c r="R20" s="1008"/>
      <c r="S20" s="1009" t="s">
        <v>217</v>
      </c>
      <c r="T20" s="1009" t="s">
        <v>90</v>
      </c>
    </row>
    <row r="21" spans="1:20" ht="15" customHeight="1">
      <c r="A21" s="1012"/>
      <c r="B21" s="424" t="s">
        <v>434</v>
      </c>
      <c r="C21" s="415">
        <v>2019</v>
      </c>
      <c r="D21" s="415">
        <v>2015</v>
      </c>
      <c r="E21" s="1009"/>
      <c r="F21" s="1009"/>
      <c r="G21" s="423"/>
      <c r="H21" s="1012"/>
      <c r="I21" s="424" t="s">
        <v>434</v>
      </c>
      <c r="J21" s="415">
        <f>J5</f>
        <v>2017</v>
      </c>
      <c r="K21" s="415">
        <f>K5</f>
        <v>2019</v>
      </c>
      <c r="L21" s="1009"/>
      <c r="M21" s="1009"/>
      <c r="N21" s="423"/>
      <c r="O21" s="1012"/>
      <c r="P21" s="424" t="s">
        <v>434</v>
      </c>
      <c r="Q21" s="415">
        <f>Q5</f>
        <v>2018</v>
      </c>
      <c r="R21" s="415">
        <f>R5</f>
        <v>2022</v>
      </c>
      <c r="S21" s="1009"/>
      <c r="T21" s="1009"/>
    </row>
    <row r="22" spans="1:20" ht="12.75" customHeight="1">
      <c r="A22" s="1012"/>
      <c r="B22" s="430">
        <v>10</v>
      </c>
      <c r="C22" s="428" t="s">
        <v>155</v>
      </c>
      <c r="D22" s="426">
        <v>9.9999999999999995E-7</v>
      </c>
      <c r="E22" s="427">
        <v>9.9999999999999995E-7</v>
      </c>
      <c r="F22" s="429">
        <v>1.4</v>
      </c>
      <c r="G22" s="423"/>
      <c r="H22" s="1012"/>
      <c r="I22" s="430">
        <v>10</v>
      </c>
      <c r="J22" s="428">
        <v>0</v>
      </c>
      <c r="K22" s="426">
        <v>0.1</v>
      </c>
      <c r="L22" s="427">
        <f t="shared" ref="L22:L25" si="6">0.5*(MAX(J22:K22)-MIN(J22:K22))</f>
        <v>0.05</v>
      </c>
      <c r="M22" s="428">
        <v>1.3</v>
      </c>
      <c r="N22" s="423"/>
      <c r="O22" s="1012"/>
      <c r="P22" s="430">
        <v>10</v>
      </c>
      <c r="Q22" s="426">
        <v>9.9999999999999995E-7</v>
      </c>
      <c r="R22" s="426">
        <v>9.9999999999999995E-7</v>
      </c>
      <c r="S22" s="427">
        <v>9.9999999999999995E-7</v>
      </c>
      <c r="T22" s="429">
        <v>5.1000000000000004E-2</v>
      </c>
    </row>
    <row r="23" spans="1:20" ht="12.75" customHeight="1">
      <c r="A23" s="1012"/>
      <c r="B23" s="430">
        <v>20</v>
      </c>
      <c r="C23" s="428" t="s">
        <v>155</v>
      </c>
      <c r="D23" s="426">
        <v>9.9999999999999995E-7</v>
      </c>
      <c r="E23" s="427">
        <v>9.9999999999999995E-7</v>
      </c>
      <c r="F23" s="429">
        <v>1.4</v>
      </c>
      <c r="G23" s="423"/>
      <c r="H23" s="1012"/>
      <c r="I23" s="430">
        <v>20</v>
      </c>
      <c r="J23" s="428">
        <v>0.1</v>
      </c>
      <c r="K23" s="426">
        <v>0.2</v>
      </c>
      <c r="L23" s="427">
        <f t="shared" si="6"/>
        <v>0.05</v>
      </c>
      <c r="M23" s="428">
        <v>1.3</v>
      </c>
      <c r="N23" s="423"/>
      <c r="O23" s="1012"/>
      <c r="P23" s="430">
        <v>20</v>
      </c>
      <c r="Q23" s="426">
        <v>9.9999999999999995E-7</v>
      </c>
      <c r="R23" s="426">
        <v>9.9999999999999995E-7</v>
      </c>
      <c r="S23" s="427">
        <v>9.9999999999999995E-7</v>
      </c>
      <c r="T23" s="429">
        <v>5.1000000000000004E-2</v>
      </c>
    </row>
    <row r="24" spans="1:20" ht="12.75" customHeight="1">
      <c r="A24" s="1012"/>
      <c r="B24" s="430">
        <v>50</v>
      </c>
      <c r="C24" s="428" t="s">
        <v>155</v>
      </c>
      <c r="D24" s="426">
        <v>9.9999999999999995E-7</v>
      </c>
      <c r="E24" s="427">
        <v>9.9999999999999995E-7</v>
      </c>
      <c r="F24" s="429">
        <v>1.4</v>
      </c>
      <c r="G24" s="423"/>
      <c r="H24" s="1012"/>
      <c r="I24" s="430">
        <v>50</v>
      </c>
      <c r="J24" s="428">
        <v>0.1</v>
      </c>
      <c r="K24" s="426">
        <v>0.3</v>
      </c>
      <c r="L24" s="427">
        <f t="shared" si="6"/>
        <v>9.9999999999999992E-2</v>
      </c>
      <c r="M24" s="428">
        <v>1.3</v>
      </c>
      <c r="N24" s="423"/>
      <c r="O24" s="1012"/>
      <c r="P24" s="430">
        <v>50</v>
      </c>
      <c r="Q24" s="428">
        <v>0.3</v>
      </c>
      <c r="R24" s="428">
        <v>0.1</v>
      </c>
      <c r="S24" s="427">
        <f t="shared" ref="S24:S25" si="7">0.5*(MAX(Q24:R24)-MIN(Q24:R24))</f>
        <v>9.9999999999999992E-2</v>
      </c>
      <c r="T24" s="429">
        <v>5.1000000000000004E-2</v>
      </c>
    </row>
    <row r="25" spans="1:20" ht="12.75" customHeight="1">
      <c r="A25" s="1012"/>
      <c r="B25" s="430">
        <v>100</v>
      </c>
      <c r="C25" s="428" t="s">
        <v>155</v>
      </c>
      <c r="D25" s="428">
        <v>-0.3</v>
      </c>
      <c r="E25" s="427">
        <v>9.9999999999999995E-7</v>
      </c>
      <c r="F25" s="429">
        <v>1.4</v>
      </c>
      <c r="G25" s="423"/>
      <c r="H25" s="1012"/>
      <c r="I25" s="430">
        <v>100</v>
      </c>
      <c r="J25" s="426">
        <v>9.9999999999999995E-7</v>
      </c>
      <c r="K25" s="426">
        <v>0.3</v>
      </c>
      <c r="L25" s="427">
        <f t="shared" si="6"/>
        <v>0.14999950000000001</v>
      </c>
      <c r="M25" s="428">
        <v>1.3</v>
      </c>
      <c r="N25" s="423"/>
      <c r="O25" s="1012"/>
      <c r="P25" s="430">
        <v>100</v>
      </c>
      <c r="Q25" s="428">
        <v>0.6</v>
      </c>
      <c r="R25" s="428">
        <v>0.1</v>
      </c>
      <c r="S25" s="427">
        <f t="shared" si="7"/>
        <v>0.25</v>
      </c>
      <c r="T25" s="429">
        <v>5.1000000000000004E-2</v>
      </c>
    </row>
    <row r="26" spans="1:20" ht="12.75" customHeight="1">
      <c r="A26" s="1012"/>
      <c r="B26" s="1008" t="s">
        <v>222</v>
      </c>
      <c r="C26" s="1008"/>
      <c r="D26" s="1008"/>
      <c r="E26" s="1009" t="s">
        <v>217</v>
      </c>
      <c r="F26" s="1009" t="s">
        <v>90</v>
      </c>
      <c r="G26" s="423"/>
      <c r="H26" s="1012"/>
      <c r="I26" s="1008" t="str">
        <f>B26</f>
        <v>Resistance</v>
      </c>
      <c r="J26" s="1008"/>
      <c r="K26" s="1008"/>
      <c r="L26" s="1009" t="s">
        <v>217</v>
      </c>
      <c r="M26" s="1009" t="s">
        <v>90</v>
      </c>
      <c r="N26" s="423"/>
      <c r="O26" s="1012"/>
      <c r="P26" s="1008" t="str">
        <f>B26</f>
        <v>Resistance</v>
      </c>
      <c r="Q26" s="1008"/>
      <c r="R26" s="1008"/>
      <c r="S26" s="1009" t="s">
        <v>217</v>
      </c>
      <c r="T26" s="1009" t="s">
        <v>90</v>
      </c>
    </row>
    <row r="27" spans="1:20" ht="15" customHeight="1">
      <c r="A27" s="1012"/>
      <c r="B27" s="424" t="s">
        <v>435</v>
      </c>
      <c r="C27" s="415">
        <f>C5</f>
        <v>2019</v>
      </c>
      <c r="D27" s="415">
        <f>D5</f>
        <v>2020</v>
      </c>
      <c r="E27" s="1009"/>
      <c r="F27" s="1009"/>
      <c r="G27" s="423"/>
      <c r="H27" s="1012"/>
      <c r="I27" s="424" t="s">
        <v>435</v>
      </c>
      <c r="J27" s="415">
        <f>J5</f>
        <v>2017</v>
      </c>
      <c r="K27" s="415">
        <f>K5</f>
        <v>2019</v>
      </c>
      <c r="L27" s="1009"/>
      <c r="M27" s="1009"/>
      <c r="N27" s="423"/>
      <c r="O27" s="1012"/>
      <c r="P27" s="424" t="s">
        <v>435</v>
      </c>
      <c r="Q27" s="415">
        <f>Q5</f>
        <v>2018</v>
      </c>
      <c r="R27" s="415">
        <f>R5</f>
        <v>2022</v>
      </c>
      <c r="S27" s="1009"/>
      <c r="T27" s="1009"/>
    </row>
    <row r="28" spans="1:20" ht="12.75" customHeight="1">
      <c r="A28" s="1012"/>
      <c r="B28" s="430">
        <v>0.01</v>
      </c>
      <c r="C28" s="426">
        <v>9.9999999999999995E-7</v>
      </c>
      <c r="D28" s="426">
        <v>9.9999999999999995E-7</v>
      </c>
      <c r="E28" s="427">
        <v>9.9999999999999995E-7</v>
      </c>
      <c r="F28" s="430">
        <v>0.43</v>
      </c>
      <c r="G28" s="423"/>
      <c r="H28" s="1012"/>
      <c r="I28" s="430">
        <v>0.01</v>
      </c>
      <c r="J28" s="426">
        <v>9.9999999999999995E-7</v>
      </c>
      <c r="K28" s="426">
        <v>9.9999999999999995E-7</v>
      </c>
      <c r="L28" s="427">
        <v>9.9999999999999995E-7</v>
      </c>
      <c r="M28" s="430">
        <v>0.43</v>
      </c>
      <c r="N28" s="423"/>
      <c r="O28" s="1012"/>
      <c r="P28" s="430">
        <v>0.01</v>
      </c>
      <c r="Q28" s="426">
        <v>9.9999999999999995E-7</v>
      </c>
      <c r="R28" s="426">
        <v>9.9999999999999995E-7</v>
      </c>
      <c r="S28" s="427">
        <v>9.9999999999999995E-7</v>
      </c>
      <c r="T28" s="432">
        <v>1.2</v>
      </c>
    </row>
    <row r="29" spans="1:20" ht="12.75" customHeight="1">
      <c r="A29" s="1012"/>
      <c r="B29" s="430">
        <v>0.1</v>
      </c>
      <c r="C29" s="433">
        <v>2E-3</v>
      </c>
      <c r="D29" s="433">
        <v>-1E-3</v>
      </c>
      <c r="E29" s="427">
        <v>9.9999999999999995E-7</v>
      </c>
      <c r="F29" s="430">
        <v>0.43</v>
      </c>
      <c r="G29" s="423"/>
      <c r="H29" s="1012"/>
      <c r="I29" s="430">
        <v>0.1</v>
      </c>
      <c r="J29" s="432">
        <v>5.0000000000000001E-3</v>
      </c>
      <c r="K29" s="433">
        <v>6.0000000000000001E-3</v>
      </c>
      <c r="L29" s="427">
        <v>9.9999999999999995E-7</v>
      </c>
      <c r="M29" s="430">
        <v>0.43</v>
      </c>
      <c r="N29" s="423"/>
      <c r="O29" s="1012"/>
      <c r="P29" s="430">
        <v>0.1</v>
      </c>
      <c r="Q29" s="426">
        <v>9.9999999999999995E-7</v>
      </c>
      <c r="R29" s="426">
        <v>9.9999999999999995E-7</v>
      </c>
      <c r="S29" s="427">
        <v>9.9999999999999995E-7</v>
      </c>
      <c r="T29" s="432">
        <v>1.2</v>
      </c>
    </row>
    <row r="30" spans="1:20" ht="12.75" customHeight="1">
      <c r="A30" s="1012"/>
      <c r="B30" s="430">
        <v>1</v>
      </c>
      <c r="C30" s="433">
        <v>1.2E-2</v>
      </c>
      <c r="D30" s="433">
        <v>4.0000000000000001E-3</v>
      </c>
      <c r="E30" s="427">
        <v>9.9999999999999995E-7</v>
      </c>
      <c r="F30" s="430">
        <v>0.43</v>
      </c>
      <c r="G30" s="423"/>
      <c r="H30" s="1012"/>
      <c r="I30" s="430">
        <v>1</v>
      </c>
      <c r="J30" s="432">
        <v>5.5E-2</v>
      </c>
      <c r="K30" s="433">
        <v>4.4999999999999998E-2</v>
      </c>
      <c r="L30" s="427">
        <f t="shared" ref="L30" si="8">0.5*(MAX(J30:K30)-MIN(J30:K30))</f>
        <v>5.000000000000001E-3</v>
      </c>
      <c r="M30" s="430">
        <v>0.43</v>
      </c>
      <c r="N30" s="423"/>
      <c r="O30" s="1012"/>
      <c r="P30" s="430">
        <v>1</v>
      </c>
      <c r="Q30" s="426">
        <v>9.9999999999999995E-7</v>
      </c>
      <c r="R30" s="432">
        <v>3.0000000000000001E-3</v>
      </c>
      <c r="S30" s="427">
        <v>9.9999999999999995E-7</v>
      </c>
      <c r="T30" s="432">
        <v>1.2</v>
      </c>
    </row>
    <row r="31" spans="1:20" ht="12.75" customHeight="1">
      <c r="A31" s="1012"/>
      <c r="B31" s="430">
        <v>2</v>
      </c>
      <c r="C31" s="426">
        <v>9.9999999999999995E-7</v>
      </c>
      <c r="D31" s="433">
        <v>7.0000000000000001E-3</v>
      </c>
      <c r="E31" s="427">
        <v>9.9999999999999995E-7</v>
      </c>
      <c r="F31" s="430">
        <v>0.43</v>
      </c>
      <c r="G31" s="423"/>
      <c r="H31" s="1012"/>
      <c r="I31" s="430">
        <v>2</v>
      </c>
      <c r="J31" s="426">
        <v>9.9999999999999995E-7</v>
      </c>
      <c r="K31" s="426">
        <v>9.9999999999999995E-7</v>
      </c>
      <c r="L31" s="427">
        <v>9.9999999999999995E-7</v>
      </c>
      <c r="M31" s="430">
        <v>0.43</v>
      </c>
      <c r="N31" s="423"/>
      <c r="O31" s="1012"/>
      <c r="P31" s="430">
        <v>2</v>
      </c>
      <c r="Q31" s="426">
        <v>9.9999999999999995E-7</v>
      </c>
      <c r="R31" s="432">
        <v>4.0000000000000001E-3</v>
      </c>
      <c r="S31" s="427">
        <v>9.9999999999999995E-7</v>
      </c>
      <c r="T31" s="432">
        <v>1.2</v>
      </c>
    </row>
    <row r="32" spans="1:20">
      <c r="A32" s="434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23"/>
      <c r="O32" s="423"/>
      <c r="P32" s="423"/>
      <c r="Q32" s="423"/>
      <c r="R32" s="423"/>
      <c r="S32" s="423"/>
      <c r="T32" s="435"/>
    </row>
    <row r="33" spans="1:20" ht="15" customHeight="1">
      <c r="A33" s="1012" t="s">
        <v>193</v>
      </c>
      <c r="B33" s="1009" t="s">
        <v>223</v>
      </c>
      <c r="C33" s="1009"/>
      <c r="D33" s="1009"/>
      <c r="E33" s="1009"/>
      <c r="F33" s="1009"/>
      <c r="G33" s="299"/>
      <c r="H33" s="1012" t="s">
        <v>194</v>
      </c>
      <c r="I33" s="1013" t="s">
        <v>224</v>
      </c>
      <c r="J33" s="1013"/>
      <c r="K33" s="1013"/>
      <c r="L33" s="1013"/>
      <c r="M33" s="1013"/>
      <c r="N33" s="297"/>
      <c r="O33" s="1012" t="s">
        <v>195</v>
      </c>
      <c r="P33" s="1009" t="s">
        <v>225</v>
      </c>
      <c r="Q33" s="1009"/>
      <c r="R33" s="1009"/>
      <c r="S33" s="1009"/>
      <c r="T33" s="1009"/>
    </row>
    <row r="34" spans="1:20" ht="15" customHeight="1">
      <c r="A34" s="1012"/>
      <c r="B34" s="1014" t="s">
        <v>215</v>
      </c>
      <c r="C34" s="1014"/>
      <c r="D34" s="1014"/>
      <c r="E34" s="1014"/>
      <c r="F34" s="1014"/>
      <c r="G34" s="421"/>
      <c r="H34" s="1012"/>
      <c r="I34" s="1014" t="s">
        <v>215</v>
      </c>
      <c r="J34" s="1014"/>
      <c r="K34" s="1014"/>
      <c r="L34" s="1014"/>
      <c r="M34" s="1014"/>
      <c r="N34" s="422"/>
      <c r="O34" s="1012"/>
      <c r="P34" s="1014" t="s">
        <v>215</v>
      </c>
      <c r="Q34" s="1014"/>
      <c r="R34" s="1014"/>
      <c r="S34" s="1014"/>
      <c r="T34" s="1014"/>
    </row>
    <row r="35" spans="1:20" ht="12.75" customHeight="1">
      <c r="A35" s="1012"/>
      <c r="B35" s="1009" t="str">
        <f>B4</f>
        <v>Setting VAC</v>
      </c>
      <c r="C35" s="1009"/>
      <c r="D35" s="1009"/>
      <c r="E35" s="415" t="s">
        <v>217</v>
      </c>
      <c r="F35" s="415" t="s">
        <v>90</v>
      </c>
      <c r="G35" s="423"/>
      <c r="H35" s="1012"/>
      <c r="I35" s="1009" t="str">
        <f>B35</f>
        <v>Setting VAC</v>
      </c>
      <c r="J35" s="1009"/>
      <c r="K35" s="1009"/>
      <c r="L35" s="415" t="s">
        <v>217</v>
      </c>
      <c r="M35" s="415" t="s">
        <v>90</v>
      </c>
      <c r="N35" s="423"/>
      <c r="O35" s="1012"/>
      <c r="P35" s="1009" t="str">
        <f>I35</f>
        <v>Setting VAC</v>
      </c>
      <c r="Q35" s="1009"/>
      <c r="R35" s="1009"/>
      <c r="S35" s="1009" t="s">
        <v>217</v>
      </c>
      <c r="T35" s="1009" t="s">
        <v>90</v>
      </c>
    </row>
    <row r="36" spans="1:20" ht="15" customHeight="1">
      <c r="A36" s="1012"/>
      <c r="B36" s="424" t="s">
        <v>218</v>
      </c>
      <c r="C36" s="415">
        <v>2017</v>
      </c>
      <c r="D36" s="415">
        <v>2019</v>
      </c>
      <c r="E36" s="415"/>
      <c r="F36" s="415"/>
      <c r="G36" s="423"/>
      <c r="H36" s="1012"/>
      <c r="I36" s="424" t="s">
        <v>218</v>
      </c>
      <c r="J36" s="415">
        <v>2017</v>
      </c>
      <c r="K36" s="415">
        <v>2019</v>
      </c>
      <c r="L36" s="415"/>
      <c r="M36" s="415"/>
      <c r="N36" s="423"/>
      <c r="O36" s="1012"/>
      <c r="P36" s="424" t="s">
        <v>218</v>
      </c>
      <c r="Q36" s="415">
        <v>2018</v>
      </c>
      <c r="R36" s="415">
        <v>2019</v>
      </c>
      <c r="S36" s="1009"/>
      <c r="T36" s="1009"/>
    </row>
    <row r="37" spans="1:20" ht="12.75" customHeight="1">
      <c r="A37" s="1012"/>
      <c r="B37" s="430">
        <v>150</v>
      </c>
      <c r="C37" s="428">
        <v>-0.09</v>
      </c>
      <c r="D37" s="428">
        <v>0.11</v>
      </c>
      <c r="E37" s="427">
        <f>0.5*(MAX(C37:D37)-MIN(C37:D37))</f>
        <v>0.1</v>
      </c>
      <c r="F37" s="430">
        <v>0.47</v>
      </c>
      <c r="G37" s="423"/>
      <c r="H37" s="1012"/>
      <c r="I37" s="436">
        <v>150</v>
      </c>
      <c r="J37" s="428">
        <v>-0.06</v>
      </c>
      <c r="K37" s="428">
        <v>0.02</v>
      </c>
      <c r="L37" s="427">
        <f t="shared" ref="L37:L41" si="9">0.5*(MAX(J37:K37)-MIN(J37:K37))</f>
        <v>0.04</v>
      </c>
      <c r="M37" s="430">
        <v>0.47</v>
      </c>
      <c r="N37" s="423"/>
      <c r="O37" s="1012"/>
      <c r="P37" s="425">
        <v>150</v>
      </c>
      <c r="Q37" s="428">
        <v>0.03</v>
      </c>
      <c r="R37" s="428">
        <v>-0.15</v>
      </c>
      <c r="S37" s="427">
        <f t="shared" ref="S37:S41" si="10">0.5*(MAX(Q37:R37)-MIN(Q37:R37))</f>
        <v>0.09</v>
      </c>
      <c r="T37" s="429">
        <v>1.2</v>
      </c>
    </row>
    <row r="38" spans="1:20" ht="12.75" customHeight="1">
      <c r="A38" s="1012"/>
      <c r="B38" s="430">
        <v>180</v>
      </c>
      <c r="C38" s="428">
        <v>-0.09</v>
      </c>
      <c r="D38" s="428">
        <v>0.03</v>
      </c>
      <c r="E38" s="427">
        <f t="shared" ref="E38:E41" si="11">0.5*(MAX(C38:D38)-MIN(C38:D38))</f>
        <v>0.06</v>
      </c>
      <c r="F38" s="430">
        <v>0.47</v>
      </c>
      <c r="G38" s="423"/>
      <c r="H38" s="1012"/>
      <c r="I38" s="436">
        <v>180</v>
      </c>
      <c r="J38" s="428">
        <v>-0.11</v>
      </c>
      <c r="K38" s="428">
        <v>0.1</v>
      </c>
      <c r="L38" s="427">
        <f t="shared" si="9"/>
        <v>0.10500000000000001</v>
      </c>
      <c r="M38" s="430">
        <v>0.47</v>
      </c>
      <c r="N38" s="423"/>
      <c r="O38" s="1012"/>
      <c r="P38" s="425">
        <v>180</v>
      </c>
      <c r="Q38" s="426">
        <v>9.9999999999999995E-7</v>
      </c>
      <c r="R38" s="428">
        <v>-0.11</v>
      </c>
      <c r="S38" s="427">
        <f t="shared" si="10"/>
        <v>5.5000500000000001E-2</v>
      </c>
      <c r="T38" s="429">
        <v>1.2</v>
      </c>
    </row>
    <row r="39" spans="1:20" ht="12.75" customHeight="1">
      <c r="A39" s="1012"/>
      <c r="B39" s="430">
        <v>200</v>
      </c>
      <c r="C39" s="428">
        <v>-0.14000000000000001</v>
      </c>
      <c r="D39" s="428">
        <v>0.05</v>
      </c>
      <c r="E39" s="427">
        <f t="shared" si="11"/>
        <v>9.5000000000000001E-2</v>
      </c>
      <c r="F39" s="430">
        <v>0.47</v>
      </c>
      <c r="G39" s="423"/>
      <c r="H39" s="1012"/>
      <c r="I39" s="436">
        <v>200</v>
      </c>
      <c r="J39" s="428">
        <v>-0.17</v>
      </c>
      <c r="K39" s="428">
        <v>-0.03</v>
      </c>
      <c r="L39" s="427">
        <f t="shared" si="9"/>
        <v>7.0000000000000007E-2</v>
      </c>
      <c r="M39" s="430">
        <v>0.47</v>
      </c>
      <c r="N39" s="423"/>
      <c r="O39" s="1012"/>
      <c r="P39" s="425">
        <v>200</v>
      </c>
      <c r="Q39" s="428">
        <v>0.05</v>
      </c>
      <c r="R39" s="428">
        <v>-0.1</v>
      </c>
      <c r="S39" s="427">
        <f t="shared" si="10"/>
        <v>7.5000000000000011E-2</v>
      </c>
      <c r="T39" s="429">
        <v>1.2</v>
      </c>
    </row>
    <row r="40" spans="1:20" ht="12.75" customHeight="1">
      <c r="A40" s="1012"/>
      <c r="B40" s="430">
        <v>220</v>
      </c>
      <c r="C40" s="428">
        <v>-0.19</v>
      </c>
      <c r="D40" s="428">
        <v>0.1</v>
      </c>
      <c r="E40" s="427">
        <f t="shared" si="11"/>
        <v>0.14500000000000002</v>
      </c>
      <c r="F40" s="430">
        <v>0.47</v>
      </c>
      <c r="G40" s="423"/>
      <c r="H40" s="1012"/>
      <c r="I40" s="436">
        <v>220</v>
      </c>
      <c r="J40" s="428">
        <v>-0.25</v>
      </c>
      <c r="K40" s="428">
        <v>0.38</v>
      </c>
      <c r="L40" s="427">
        <f t="shared" si="9"/>
        <v>0.315</v>
      </c>
      <c r="M40" s="430">
        <v>0.47</v>
      </c>
      <c r="N40" s="423"/>
      <c r="O40" s="1012"/>
      <c r="P40" s="425">
        <v>220</v>
      </c>
      <c r="Q40" s="428">
        <v>0.05</v>
      </c>
      <c r="R40" s="428">
        <v>-0.13</v>
      </c>
      <c r="S40" s="427">
        <f t="shared" si="10"/>
        <v>0.09</v>
      </c>
      <c r="T40" s="429">
        <v>1.2</v>
      </c>
    </row>
    <row r="41" spans="1:20" ht="12.75" customHeight="1">
      <c r="A41" s="1012"/>
      <c r="B41" s="430">
        <v>230</v>
      </c>
      <c r="C41" s="428">
        <v>-0.2</v>
      </c>
      <c r="D41" s="428">
        <v>0.36799999999999999</v>
      </c>
      <c r="E41" s="427">
        <f t="shared" si="11"/>
        <v>0.28400000000000003</v>
      </c>
      <c r="F41" s="430">
        <v>0.47</v>
      </c>
      <c r="G41" s="423"/>
      <c r="H41" s="1012"/>
      <c r="I41" s="436">
        <v>230</v>
      </c>
      <c r="J41" s="428">
        <v>-0.23</v>
      </c>
      <c r="K41" s="428">
        <v>-0.16</v>
      </c>
      <c r="L41" s="427">
        <f t="shared" si="9"/>
        <v>3.5000000000000003E-2</v>
      </c>
      <c r="M41" s="430">
        <v>0.47</v>
      </c>
      <c r="N41" s="423"/>
      <c r="O41" s="1012"/>
      <c r="P41" s="425">
        <v>230</v>
      </c>
      <c r="Q41" s="428">
        <v>-0.05</v>
      </c>
      <c r="R41" s="428">
        <v>-0.15</v>
      </c>
      <c r="S41" s="427">
        <f t="shared" si="10"/>
        <v>4.9999999999999996E-2</v>
      </c>
      <c r="T41" s="429">
        <v>1.2</v>
      </c>
    </row>
    <row r="42" spans="1:20" ht="12.75" customHeight="1">
      <c r="A42" s="1012"/>
      <c r="B42" s="430">
        <v>250</v>
      </c>
      <c r="C42" s="426">
        <v>9.9999999999999995E-7</v>
      </c>
      <c r="D42" s="426">
        <v>9.9999999999999995E-7</v>
      </c>
      <c r="E42" s="427">
        <v>9.9999999999999995E-7</v>
      </c>
      <c r="F42" s="430">
        <v>0.47</v>
      </c>
      <c r="G42" s="423"/>
      <c r="H42" s="1012"/>
      <c r="I42" s="436">
        <v>250</v>
      </c>
      <c r="J42" s="426">
        <v>9.9999999999999995E-7</v>
      </c>
      <c r="K42" s="426">
        <v>9.9999999999999995E-7</v>
      </c>
      <c r="L42" s="427">
        <v>9.9999999999999995E-7</v>
      </c>
      <c r="M42" s="430">
        <v>0.47</v>
      </c>
      <c r="N42" s="423"/>
      <c r="O42" s="1012"/>
      <c r="P42" s="425">
        <v>250</v>
      </c>
      <c r="Q42" s="426">
        <v>9.9999999999999995E-7</v>
      </c>
      <c r="R42" s="426">
        <v>9.9999999999999995E-7</v>
      </c>
      <c r="S42" s="427">
        <v>9.9999999999999995E-7</v>
      </c>
      <c r="T42" s="429">
        <v>1.2</v>
      </c>
    </row>
    <row r="43" spans="1:20" ht="12.75" customHeight="1">
      <c r="A43" s="1012"/>
      <c r="B43" s="1008" t="str">
        <f>B12</f>
        <v>Current Leakage</v>
      </c>
      <c r="C43" s="1008"/>
      <c r="D43" s="1008"/>
      <c r="E43" s="415" t="s">
        <v>217</v>
      </c>
      <c r="F43" s="415" t="s">
        <v>90</v>
      </c>
      <c r="G43" s="423"/>
      <c r="H43" s="1012"/>
      <c r="I43" s="1008" t="str">
        <f>B43</f>
        <v>Current Leakage</v>
      </c>
      <c r="J43" s="1008"/>
      <c r="K43" s="1008"/>
      <c r="L43" s="415" t="s">
        <v>217</v>
      </c>
      <c r="M43" s="415" t="s">
        <v>90</v>
      </c>
      <c r="N43" s="423"/>
      <c r="O43" s="1012"/>
      <c r="P43" s="1008" t="str">
        <f>I43</f>
        <v>Current Leakage</v>
      </c>
      <c r="Q43" s="1008"/>
      <c r="R43" s="1008"/>
      <c r="S43" s="1009" t="s">
        <v>217</v>
      </c>
      <c r="T43" s="1009" t="s">
        <v>90</v>
      </c>
    </row>
    <row r="44" spans="1:20" ht="15" customHeight="1">
      <c r="A44" s="1012"/>
      <c r="B44" s="424" t="s">
        <v>220</v>
      </c>
      <c r="C44" s="415">
        <f>C36</f>
        <v>2017</v>
      </c>
      <c r="D44" s="415">
        <f>D36</f>
        <v>2019</v>
      </c>
      <c r="E44" s="415"/>
      <c r="F44" s="415"/>
      <c r="G44" s="423"/>
      <c r="H44" s="1012"/>
      <c r="I44" s="424" t="s">
        <v>220</v>
      </c>
      <c r="J44" s="415">
        <f>J36</f>
        <v>2017</v>
      </c>
      <c r="K44" s="415">
        <f>K36</f>
        <v>2019</v>
      </c>
      <c r="L44" s="415"/>
      <c r="M44" s="415"/>
      <c r="N44" s="423"/>
      <c r="O44" s="1012"/>
      <c r="P44" s="424" t="s">
        <v>220</v>
      </c>
      <c r="Q44" s="415">
        <f>Q36</f>
        <v>2018</v>
      </c>
      <c r="R44" s="415">
        <f>R36</f>
        <v>2019</v>
      </c>
      <c r="S44" s="1009"/>
      <c r="T44" s="1009"/>
    </row>
    <row r="45" spans="1:20" ht="12.75" customHeight="1">
      <c r="A45" s="1012"/>
      <c r="B45" s="430">
        <v>0</v>
      </c>
      <c r="C45" s="426">
        <v>9.9999999999999995E-7</v>
      </c>
      <c r="D45" s="426">
        <v>9.9999999999999995E-7</v>
      </c>
      <c r="E45" s="427">
        <v>9.9999999999999995E-7</v>
      </c>
      <c r="F45" s="430">
        <v>0.28999999999999998</v>
      </c>
      <c r="G45" s="423"/>
      <c r="H45" s="1012"/>
      <c r="I45" s="436">
        <v>0</v>
      </c>
      <c r="J45" s="426">
        <v>9.9999999999999995E-7</v>
      </c>
      <c r="K45" s="426">
        <v>9.9999999999999995E-7</v>
      </c>
      <c r="L45" s="427">
        <v>9.9999999999999995E-7</v>
      </c>
      <c r="M45" s="430">
        <v>0.28999999999999998</v>
      </c>
      <c r="N45" s="423"/>
      <c r="O45" s="1012"/>
      <c r="P45" s="430">
        <v>9.9999999999999995E-7</v>
      </c>
      <c r="Q45" s="426">
        <v>9.9999999999999995E-7</v>
      </c>
      <c r="R45" s="426">
        <v>9.9999999999999995E-7</v>
      </c>
      <c r="S45" s="427">
        <v>9.9999999999999995E-7</v>
      </c>
      <c r="T45" s="430">
        <v>0.59</v>
      </c>
    </row>
    <row r="46" spans="1:20" ht="12.75" customHeight="1">
      <c r="A46" s="1012"/>
      <c r="B46" s="430">
        <v>50</v>
      </c>
      <c r="C46" s="428">
        <v>-0.1</v>
      </c>
      <c r="D46" s="428">
        <v>0.2</v>
      </c>
      <c r="E46" s="427">
        <f t="shared" ref="E46:E50" si="12">0.5*(MAX(C46:D46)-MIN(C46:D46))</f>
        <v>0.15000000000000002</v>
      </c>
      <c r="F46" s="430">
        <v>0.28999999999999998</v>
      </c>
      <c r="G46" s="423"/>
      <c r="H46" s="1012"/>
      <c r="I46" s="436">
        <v>50</v>
      </c>
      <c r="J46" s="428">
        <v>4.7</v>
      </c>
      <c r="K46" s="428">
        <v>-0.33</v>
      </c>
      <c r="L46" s="427">
        <f t="shared" ref="L46:L50" si="13">0.5*(MAX(J46:K46)-MIN(J46:K46))</f>
        <v>2.5150000000000001</v>
      </c>
      <c r="M46" s="430">
        <v>0.28999999999999998</v>
      </c>
      <c r="N46" s="423"/>
      <c r="O46" s="1012"/>
      <c r="P46" s="430">
        <v>50</v>
      </c>
      <c r="Q46" s="428">
        <v>2.1</v>
      </c>
      <c r="R46" s="428">
        <v>2.6</v>
      </c>
      <c r="S46" s="427">
        <f t="shared" ref="S46:S50" si="14">0.5*(MAX(Q46:R46)-MIN(Q46:R46))</f>
        <v>0.25</v>
      </c>
      <c r="T46" s="430">
        <v>0.59</v>
      </c>
    </row>
    <row r="47" spans="1:20" ht="12.75" customHeight="1">
      <c r="A47" s="1012"/>
      <c r="B47" s="430">
        <v>100</v>
      </c>
      <c r="C47" s="428">
        <v>-0.1</v>
      </c>
      <c r="D47" s="428">
        <v>0.3</v>
      </c>
      <c r="E47" s="427">
        <f t="shared" si="12"/>
        <v>0.2</v>
      </c>
      <c r="F47" s="430">
        <v>0.28999999999999998</v>
      </c>
      <c r="G47" s="423"/>
      <c r="H47" s="1012"/>
      <c r="I47" s="436">
        <v>100</v>
      </c>
      <c r="J47" s="428">
        <v>4.4000000000000004</v>
      </c>
      <c r="K47" s="428">
        <v>-0.42</v>
      </c>
      <c r="L47" s="427">
        <f t="shared" si="13"/>
        <v>2.41</v>
      </c>
      <c r="M47" s="430">
        <v>0.28999999999999998</v>
      </c>
      <c r="N47" s="423"/>
      <c r="O47" s="1012"/>
      <c r="P47" s="430">
        <v>100</v>
      </c>
      <c r="Q47" s="428">
        <v>2.2999999999999998</v>
      </c>
      <c r="R47" s="428">
        <v>2.6</v>
      </c>
      <c r="S47" s="427">
        <f t="shared" si="14"/>
        <v>0.15000000000000013</v>
      </c>
      <c r="T47" s="430">
        <v>0.59</v>
      </c>
    </row>
    <row r="48" spans="1:20" ht="12.75" customHeight="1">
      <c r="A48" s="1012"/>
      <c r="B48" s="430">
        <v>200</v>
      </c>
      <c r="C48" s="428">
        <v>1.1000000000000001</v>
      </c>
      <c r="D48" s="428">
        <v>1.4</v>
      </c>
      <c r="E48" s="427">
        <f t="shared" si="12"/>
        <v>0.14999999999999991</v>
      </c>
      <c r="F48" s="430">
        <v>0.28999999999999998</v>
      </c>
      <c r="G48" s="423"/>
      <c r="H48" s="1012"/>
      <c r="I48" s="436">
        <v>200</v>
      </c>
      <c r="J48" s="428">
        <v>15.6</v>
      </c>
      <c r="K48" s="428">
        <v>1.3</v>
      </c>
      <c r="L48" s="427">
        <f t="shared" si="13"/>
        <v>7.1499999999999995</v>
      </c>
      <c r="M48" s="430">
        <v>0.28999999999999998</v>
      </c>
      <c r="N48" s="423"/>
      <c r="O48" s="1012"/>
      <c r="P48" s="430">
        <v>200</v>
      </c>
      <c r="Q48" s="428">
        <v>0.2</v>
      </c>
      <c r="R48" s="428">
        <v>3.1</v>
      </c>
      <c r="S48" s="427">
        <f t="shared" si="14"/>
        <v>1.45</v>
      </c>
      <c r="T48" s="430">
        <v>0.59</v>
      </c>
    </row>
    <row r="49" spans="1:20" ht="12.75" customHeight="1">
      <c r="A49" s="1012"/>
      <c r="B49" s="430">
        <v>500</v>
      </c>
      <c r="C49" s="428">
        <v>0.9</v>
      </c>
      <c r="D49" s="428">
        <v>2.8</v>
      </c>
      <c r="E49" s="427">
        <f t="shared" si="12"/>
        <v>0.95</v>
      </c>
      <c r="F49" s="430">
        <v>0.28999999999999998</v>
      </c>
      <c r="G49" s="423"/>
      <c r="H49" s="1012"/>
      <c r="I49" s="436">
        <v>500</v>
      </c>
      <c r="J49" s="428">
        <v>14.3</v>
      </c>
      <c r="K49" s="428">
        <v>0.7</v>
      </c>
      <c r="L49" s="427">
        <f t="shared" si="13"/>
        <v>6.8000000000000007</v>
      </c>
      <c r="M49" s="430">
        <v>0.28999999999999998</v>
      </c>
      <c r="N49" s="423"/>
      <c r="O49" s="1012"/>
      <c r="P49" s="430">
        <v>500</v>
      </c>
      <c r="Q49" s="428">
        <v>2.8</v>
      </c>
      <c r="R49" s="428">
        <v>3.9</v>
      </c>
      <c r="S49" s="427">
        <f t="shared" si="14"/>
        <v>0.55000000000000004</v>
      </c>
      <c r="T49" s="430">
        <v>0.59</v>
      </c>
    </row>
    <row r="50" spans="1:20" ht="12.75" customHeight="1">
      <c r="A50" s="1012"/>
      <c r="B50" s="430">
        <v>1000</v>
      </c>
      <c r="C50" s="428">
        <v>2</v>
      </c>
      <c r="D50" s="428">
        <v>1.2E-2</v>
      </c>
      <c r="E50" s="427">
        <f t="shared" si="12"/>
        <v>0.99399999999999999</v>
      </c>
      <c r="F50" s="430">
        <v>0.28999999999999998</v>
      </c>
      <c r="G50" s="423"/>
      <c r="H50" s="1012"/>
      <c r="I50" s="436">
        <v>1000</v>
      </c>
      <c r="J50" s="428">
        <v>15</v>
      </c>
      <c r="K50" s="428">
        <v>2E-3</v>
      </c>
      <c r="L50" s="427">
        <f t="shared" si="13"/>
        <v>7.4989999999999997</v>
      </c>
      <c r="M50" s="430">
        <v>0.28999999999999998</v>
      </c>
      <c r="N50" s="423"/>
      <c r="O50" s="1012"/>
      <c r="P50" s="430">
        <v>1000</v>
      </c>
      <c r="Q50" s="432">
        <v>13</v>
      </c>
      <c r="R50" s="432">
        <v>5.0000000000000001E-3</v>
      </c>
      <c r="S50" s="427">
        <f t="shared" si="14"/>
        <v>6.4974999999999996</v>
      </c>
      <c r="T50" s="430">
        <v>0.59</v>
      </c>
    </row>
    <row r="51" spans="1:20" ht="12.75" customHeight="1">
      <c r="A51" s="1012"/>
      <c r="B51" s="1008" t="str">
        <f>B20</f>
        <v>Main-PE</v>
      </c>
      <c r="C51" s="1008"/>
      <c r="D51" s="1008"/>
      <c r="E51" s="415" t="s">
        <v>217</v>
      </c>
      <c r="F51" s="415" t="s">
        <v>90</v>
      </c>
      <c r="G51" s="423"/>
      <c r="H51" s="1012"/>
      <c r="I51" s="1008" t="str">
        <f>B51</f>
        <v>Main-PE</v>
      </c>
      <c r="J51" s="1008"/>
      <c r="K51" s="1008"/>
      <c r="L51" s="415" t="s">
        <v>217</v>
      </c>
      <c r="M51" s="415" t="s">
        <v>90</v>
      </c>
      <c r="N51" s="423"/>
      <c r="O51" s="1012"/>
      <c r="P51" s="1008" t="str">
        <f>I51</f>
        <v>Main-PE</v>
      </c>
      <c r="Q51" s="1008"/>
      <c r="R51" s="1008"/>
      <c r="S51" s="1009" t="s">
        <v>217</v>
      </c>
      <c r="T51" s="1009" t="s">
        <v>90</v>
      </c>
    </row>
    <row r="52" spans="1:20" ht="15" customHeight="1">
      <c r="A52" s="1012"/>
      <c r="B52" s="424" t="s">
        <v>434</v>
      </c>
      <c r="C52" s="415">
        <f>C36</f>
        <v>2017</v>
      </c>
      <c r="D52" s="415">
        <f>D36</f>
        <v>2019</v>
      </c>
      <c r="E52" s="415"/>
      <c r="F52" s="415"/>
      <c r="G52" s="423"/>
      <c r="H52" s="1012"/>
      <c r="I52" s="424" t="s">
        <v>434</v>
      </c>
      <c r="J52" s="415">
        <f>J36</f>
        <v>2017</v>
      </c>
      <c r="K52" s="415">
        <f>K36</f>
        <v>2019</v>
      </c>
      <c r="L52" s="415"/>
      <c r="M52" s="415"/>
      <c r="N52" s="423"/>
      <c r="O52" s="1012"/>
      <c r="P52" s="424" t="s">
        <v>434</v>
      </c>
      <c r="Q52" s="415">
        <f>Q36</f>
        <v>2018</v>
      </c>
      <c r="R52" s="415">
        <f>R36</f>
        <v>2019</v>
      </c>
      <c r="S52" s="1009"/>
      <c r="T52" s="1009"/>
    </row>
    <row r="53" spans="1:20" ht="12.75" customHeight="1">
      <c r="A53" s="1012"/>
      <c r="B53" s="430">
        <v>10</v>
      </c>
      <c r="C53" s="426">
        <v>9.9999999999999995E-7</v>
      </c>
      <c r="D53" s="428">
        <v>0.1</v>
      </c>
      <c r="E53" s="427">
        <f>0.5*(MAX(C53:D53)-MIN(C53:D53))</f>
        <v>4.9999500000000002E-2</v>
      </c>
      <c r="F53" s="429">
        <v>1.3</v>
      </c>
      <c r="G53" s="423"/>
      <c r="H53" s="1012"/>
      <c r="I53" s="430">
        <v>10</v>
      </c>
      <c r="J53" s="426">
        <v>9.9999999999999995E-7</v>
      </c>
      <c r="K53" s="428">
        <v>0.1</v>
      </c>
      <c r="L53" s="427">
        <f>0.5*(MAX(J53:K53)-MIN(J53:K53))</f>
        <v>4.9999500000000002E-2</v>
      </c>
      <c r="M53" s="429">
        <v>1.3</v>
      </c>
      <c r="N53" s="423"/>
      <c r="O53" s="1012"/>
      <c r="P53" s="430">
        <v>10</v>
      </c>
      <c r="Q53" s="426">
        <v>9.9999999999999995E-7</v>
      </c>
      <c r="R53" s="428">
        <v>0.1</v>
      </c>
      <c r="S53" s="427">
        <f t="shared" ref="S53:S56" si="15">0.5*(MAX(Q53:R53)-MIN(Q53:R53))</f>
        <v>4.9999500000000002E-2</v>
      </c>
      <c r="T53" s="429">
        <v>1.7</v>
      </c>
    </row>
    <row r="54" spans="1:20" ht="12.75" customHeight="1">
      <c r="A54" s="1012"/>
      <c r="B54" s="430">
        <v>20</v>
      </c>
      <c r="C54" s="428">
        <v>0.1</v>
      </c>
      <c r="D54" s="428">
        <v>0.2</v>
      </c>
      <c r="E54" s="427">
        <f t="shared" ref="E54:E56" si="16">0.5*(MAX(C54:D54)-MIN(C54:D54))</f>
        <v>0.05</v>
      </c>
      <c r="F54" s="429">
        <v>1.3</v>
      </c>
      <c r="G54" s="423"/>
      <c r="H54" s="1012"/>
      <c r="I54" s="430">
        <v>20</v>
      </c>
      <c r="J54" s="428">
        <v>0.1</v>
      </c>
      <c r="K54" s="428">
        <v>0.1</v>
      </c>
      <c r="L54" s="427">
        <v>9.9999999999999995E-7</v>
      </c>
      <c r="M54" s="429">
        <v>1.3</v>
      </c>
      <c r="N54" s="423"/>
      <c r="O54" s="1012"/>
      <c r="P54" s="430">
        <v>20</v>
      </c>
      <c r="Q54" s="428">
        <v>0.1</v>
      </c>
      <c r="R54" s="428">
        <v>0.1</v>
      </c>
      <c r="S54" s="427">
        <v>9.9999999999999995E-7</v>
      </c>
      <c r="T54" s="429">
        <v>1.7</v>
      </c>
    </row>
    <row r="55" spans="1:20" ht="12.75" customHeight="1">
      <c r="A55" s="1012"/>
      <c r="B55" s="430">
        <v>50</v>
      </c>
      <c r="C55" s="428">
        <v>0.3</v>
      </c>
      <c r="D55" s="428">
        <v>0.5</v>
      </c>
      <c r="E55" s="427">
        <f t="shared" si="16"/>
        <v>0.1</v>
      </c>
      <c r="F55" s="429">
        <v>1.3</v>
      </c>
      <c r="G55" s="423"/>
      <c r="H55" s="1012"/>
      <c r="I55" s="430">
        <v>50</v>
      </c>
      <c r="J55" s="428">
        <v>0.3</v>
      </c>
      <c r="K55" s="428">
        <v>0.4</v>
      </c>
      <c r="L55" s="427">
        <f>0.5*(MAX(J55:K55)-MIN(J55:K55))</f>
        <v>5.0000000000000017E-2</v>
      </c>
      <c r="M55" s="429">
        <v>1.3</v>
      </c>
      <c r="N55" s="423"/>
      <c r="O55" s="1012"/>
      <c r="P55" s="430">
        <v>50</v>
      </c>
      <c r="Q55" s="428">
        <v>0.3</v>
      </c>
      <c r="R55" s="428">
        <v>0.3</v>
      </c>
      <c r="S55" s="427">
        <v>9.9999999999999995E-7</v>
      </c>
      <c r="T55" s="429">
        <v>1.7</v>
      </c>
    </row>
    <row r="56" spans="1:20" ht="12.75" customHeight="1">
      <c r="A56" s="1012"/>
      <c r="B56" s="430">
        <v>100</v>
      </c>
      <c r="C56" s="428">
        <v>0.6</v>
      </c>
      <c r="D56" s="428">
        <v>1</v>
      </c>
      <c r="E56" s="427">
        <f t="shared" si="16"/>
        <v>0.2</v>
      </c>
      <c r="F56" s="429">
        <v>1.3</v>
      </c>
      <c r="G56" s="423"/>
      <c r="H56" s="1012"/>
      <c r="I56" s="430">
        <v>100</v>
      </c>
      <c r="J56" s="428">
        <v>1.3</v>
      </c>
      <c r="K56" s="428">
        <v>0.8</v>
      </c>
      <c r="L56" s="427">
        <f>0.5*(MAX(J56:K56)-MIN(J56:K56))</f>
        <v>0.25</v>
      </c>
      <c r="M56" s="429">
        <v>1.3</v>
      </c>
      <c r="N56" s="423"/>
      <c r="O56" s="1012"/>
      <c r="P56" s="430">
        <v>100</v>
      </c>
      <c r="Q56" s="428">
        <v>0.9</v>
      </c>
      <c r="R56" s="428">
        <v>0.6</v>
      </c>
      <c r="S56" s="427">
        <f t="shared" si="15"/>
        <v>0.15000000000000002</v>
      </c>
      <c r="T56" s="429">
        <v>1.7</v>
      </c>
    </row>
    <row r="57" spans="1:20" ht="12.75" customHeight="1">
      <c r="A57" s="1012"/>
      <c r="B57" s="1008" t="str">
        <f>B26</f>
        <v>Resistance</v>
      </c>
      <c r="C57" s="1008"/>
      <c r="D57" s="1008"/>
      <c r="E57" s="415" t="s">
        <v>217</v>
      </c>
      <c r="F57" s="415" t="s">
        <v>90</v>
      </c>
      <c r="G57" s="423"/>
      <c r="H57" s="1012"/>
      <c r="I57" s="1008" t="str">
        <f>B57</f>
        <v>Resistance</v>
      </c>
      <c r="J57" s="1008"/>
      <c r="K57" s="1008"/>
      <c r="L57" s="415" t="s">
        <v>217</v>
      </c>
      <c r="M57" s="415" t="s">
        <v>90</v>
      </c>
      <c r="N57" s="423"/>
      <c r="O57" s="1012"/>
      <c r="P57" s="1008" t="str">
        <f>I57</f>
        <v>Resistance</v>
      </c>
      <c r="Q57" s="1008"/>
      <c r="R57" s="1008"/>
      <c r="S57" s="1009" t="s">
        <v>217</v>
      </c>
      <c r="T57" s="1009" t="s">
        <v>90</v>
      </c>
    </row>
    <row r="58" spans="1:20" ht="15" customHeight="1">
      <c r="A58" s="1012"/>
      <c r="B58" s="424" t="s">
        <v>435</v>
      </c>
      <c r="C58" s="415">
        <f>C36</f>
        <v>2017</v>
      </c>
      <c r="D58" s="415">
        <f>D36</f>
        <v>2019</v>
      </c>
      <c r="E58" s="415"/>
      <c r="F58" s="415"/>
      <c r="G58" s="423"/>
      <c r="H58" s="1012"/>
      <c r="I58" s="424" t="s">
        <v>435</v>
      </c>
      <c r="J58" s="415">
        <f>J36</f>
        <v>2017</v>
      </c>
      <c r="K58" s="415">
        <f>K36</f>
        <v>2019</v>
      </c>
      <c r="L58" s="415"/>
      <c r="M58" s="415"/>
      <c r="N58" s="423"/>
      <c r="O58" s="1012"/>
      <c r="P58" s="424" t="s">
        <v>435</v>
      </c>
      <c r="Q58" s="415">
        <f>Q36</f>
        <v>2018</v>
      </c>
      <c r="R58" s="415">
        <f>R36</f>
        <v>2019</v>
      </c>
      <c r="S58" s="1009"/>
      <c r="T58" s="1009"/>
    </row>
    <row r="59" spans="1:20" ht="12.75" customHeight="1">
      <c r="A59" s="1012"/>
      <c r="B59" s="430">
        <v>0.01</v>
      </c>
      <c r="C59" s="426">
        <v>9.9999999999999995E-7</v>
      </c>
      <c r="D59" s="426">
        <v>9.9999999999999995E-7</v>
      </c>
      <c r="E59" s="427">
        <v>9.9999999999999995E-7</v>
      </c>
      <c r="F59" s="430">
        <v>0.43</v>
      </c>
      <c r="G59" s="423"/>
      <c r="H59" s="1012"/>
      <c r="I59" s="436">
        <v>0.01</v>
      </c>
      <c r="J59" s="426">
        <v>9.9999999999999995E-7</v>
      </c>
      <c r="K59" s="426">
        <v>9.9999999999999995E-7</v>
      </c>
      <c r="L59" s="427">
        <v>9.9999999999999995E-7</v>
      </c>
      <c r="M59" s="430">
        <v>0.43</v>
      </c>
      <c r="N59" s="423"/>
      <c r="O59" s="1012"/>
      <c r="P59" s="430">
        <v>0.01</v>
      </c>
      <c r="Q59" s="426">
        <v>9.9999999999999995E-7</v>
      </c>
      <c r="R59" s="426">
        <v>9.9999999999999995E-7</v>
      </c>
      <c r="S59" s="427">
        <v>9.9999999999999995E-7</v>
      </c>
      <c r="T59" s="430">
        <v>1.2</v>
      </c>
    </row>
    <row r="60" spans="1:20" ht="12.75" customHeight="1">
      <c r="A60" s="1012"/>
      <c r="B60" s="430">
        <v>0.1</v>
      </c>
      <c r="C60" s="432">
        <v>6.0000000000000001E-3</v>
      </c>
      <c r="D60" s="426">
        <v>9.9999999999999995E-7</v>
      </c>
      <c r="E60" s="427">
        <v>9.9999999999999995E-7</v>
      </c>
      <c r="F60" s="430">
        <v>0.43</v>
      </c>
      <c r="G60" s="423"/>
      <c r="H60" s="1012"/>
      <c r="I60" s="436">
        <v>0.1</v>
      </c>
      <c r="J60" s="432">
        <v>2E-3</v>
      </c>
      <c r="K60" s="432">
        <v>2E-3</v>
      </c>
      <c r="L60" s="427">
        <v>9.9999999999999995E-7</v>
      </c>
      <c r="M60" s="430">
        <v>0.43</v>
      </c>
      <c r="N60" s="423"/>
      <c r="O60" s="1012"/>
      <c r="P60" s="430">
        <v>0.1</v>
      </c>
      <c r="Q60" s="432">
        <v>1E-3</v>
      </c>
      <c r="R60" s="432">
        <v>-2E-3</v>
      </c>
      <c r="S60" s="427">
        <v>9.9999999999999995E-7</v>
      </c>
      <c r="T60" s="430">
        <v>1.2</v>
      </c>
    </row>
    <row r="61" spans="1:20" ht="12.75" customHeight="1">
      <c r="A61" s="1012"/>
      <c r="B61" s="430">
        <v>1</v>
      </c>
      <c r="C61" s="432">
        <v>7.0000000000000001E-3</v>
      </c>
      <c r="D61" s="432">
        <v>-1E-3</v>
      </c>
      <c r="E61" s="427">
        <v>9.9999999999999995E-7</v>
      </c>
      <c r="F61" s="430">
        <v>0.43</v>
      </c>
      <c r="G61" s="423"/>
      <c r="H61" s="1012"/>
      <c r="I61" s="436">
        <v>1</v>
      </c>
      <c r="J61" s="432">
        <v>3.0000000000000001E-3</v>
      </c>
      <c r="K61" s="432">
        <v>1.2E-2</v>
      </c>
      <c r="L61" s="427">
        <v>9.9999999999999995E-7</v>
      </c>
      <c r="M61" s="430">
        <v>0.43</v>
      </c>
      <c r="N61" s="423"/>
      <c r="O61" s="1012"/>
      <c r="P61" s="430">
        <v>1</v>
      </c>
      <c r="Q61" s="432">
        <v>2E-3</v>
      </c>
      <c r="R61" s="432">
        <v>-1E-3</v>
      </c>
      <c r="S61" s="427">
        <v>9.9999999999999995E-7</v>
      </c>
      <c r="T61" s="430">
        <v>1.2</v>
      </c>
    </row>
    <row r="62" spans="1:20" ht="12.75" customHeight="1">
      <c r="A62" s="1012"/>
      <c r="B62" s="430">
        <v>2</v>
      </c>
      <c r="C62" s="426">
        <v>9.9999999999999995E-7</v>
      </c>
      <c r="D62" s="426">
        <v>9.9999999999999995E-7</v>
      </c>
      <c r="E62" s="427">
        <v>9.9999999999999995E-7</v>
      </c>
      <c r="F62" s="430">
        <v>0.43</v>
      </c>
      <c r="G62" s="423"/>
      <c r="H62" s="1012"/>
      <c r="I62" s="436">
        <v>2</v>
      </c>
      <c r="J62" s="426">
        <v>9.9999999999999995E-7</v>
      </c>
      <c r="K62" s="426">
        <v>9.9999999999999995E-7</v>
      </c>
      <c r="L62" s="427">
        <v>9.9999999999999995E-7</v>
      </c>
      <c r="M62" s="430">
        <v>0.43</v>
      </c>
      <c r="N62" s="423"/>
      <c r="O62" s="1012"/>
      <c r="P62" s="430">
        <v>2</v>
      </c>
      <c r="Q62" s="426">
        <v>9.9999999999999995E-7</v>
      </c>
      <c r="R62" s="426">
        <v>9.9999999999999995E-7</v>
      </c>
      <c r="S62" s="427">
        <v>9.9999999999999995E-7</v>
      </c>
      <c r="T62" s="430">
        <v>1.2</v>
      </c>
    </row>
    <row r="63" spans="1:20" ht="15.5">
      <c r="A63" s="300"/>
      <c r="B63" s="437"/>
      <c r="C63" s="438"/>
      <c r="D63" s="438"/>
      <c r="E63" s="438"/>
      <c r="F63" s="438"/>
      <c r="G63" s="423"/>
      <c r="H63" s="301"/>
      <c r="I63" s="439"/>
      <c r="J63" s="438"/>
      <c r="K63" s="438"/>
      <c r="L63" s="438"/>
      <c r="M63" s="438"/>
      <c r="N63" s="423"/>
      <c r="O63" s="301"/>
      <c r="P63" s="437"/>
      <c r="Q63" s="438"/>
      <c r="R63" s="423"/>
      <c r="S63" s="423"/>
      <c r="T63" s="435"/>
    </row>
    <row r="64" spans="1:20" ht="15" customHeight="1">
      <c r="A64" s="1012" t="s">
        <v>196</v>
      </c>
      <c r="B64" s="1009" t="s">
        <v>226</v>
      </c>
      <c r="C64" s="1009"/>
      <c r="D64" s="1009"/>
      <c r="E64" s="1009"/>
      <c r="F64" s="1009"/>
      <c r="G64" s="296"/>
      <c r="H64" s="1012" t="s">
        <v>227</v>
      </c>
      <c r="I64" s="1013" t="s">
        <v>343</v>
      </c>
      <c r="J64" s="1013"/>
      <c r="K64" s="1013"/>
      <c r="L64" s="1013"/>
      <c r="M64" s="1013"/>
      <c r="N64" s="297"/>
      <c r="O64" s="1012" t="s">
        <v>41</v>
      </c>
      <c r="P64" s="1013" t="s">
        <v>344</v>
      </c>
      <c r="Q64" s="1013"/>
      <c r="R64" s="1013"/>
      <c r="S64" s="1013"/>
      <c r="T64" s="1013"/>
    </row>
    <row r="65" spans="1:20" ht="15" customHeight="1">
      <c r="A65" s="1012"/>
      <c r="B65" s="1014" t="s">
        <v>215</v>
      </c>
      <c r="C65" s="1014"/>
      <c r="D65" s="1014"/>
      <c r="E65" s="1014"/>
      <c r="F65" s="1014"/>
      <c r="G65" s="421"/>
      <c r="H65" s="1012"/>
      <c r="I65" s="1015" t="s">
        <v>215</v>
      </c>
      <c r="J65" s="1015"/>
      <c r="K65" s="1015"/>
      <c r="L65" s="1015"/>
      <c r="M65" s="1015"/>
      <c r="N65" s="422"/>
      <c r="O65" s="1012"/>
      <c r="P65" s="1015" t="s">
        <v>215</v>
      </c>
      <c r="Q65" s="1015"/>
      <c r="R65" s="1015"/>
      <c r="S65" s="1015"/>
      <c r="T65" s="1015"/>
    </row>
    <row r="66" spans="1:20" ht="12.75" customHeight="1">
      <c r="A66" s="1012"/>
      <c r="B66" s="1009" t="s">
        <v>216</v>
      </c>
      <c r="C66" s="1009"/>
      <c r="D66" s="1009"/>
      <c r="E66" s="1009" t="s">
        <v>217</v>
      </c>
      <c r="F66" s="1009" t="s">
        <v>90</v>
      </c>
      <c r="G66" s="423"/>
      <c r="H66" s="1012"/>
      <c r="I66" s="1009" t="str">
        <f>B66</f>
        <v>Setting VAC</v>
      </c>
      <c r="J66" s="1009"/>
      <c r="K66" s="1009"/>
      <c r="L66" s="1009" t="s">
        <v>217</v>
      </c>
      <c r="M66" s="1009" t="s">
        <v>90</v>
      </c>
      <c r="N66" s="423"/>
      <c r="O66" s="1012"/>
      <c r="P66" s="1009" t="str">
        <f>B66</f>
        <v>Setting VAC</v>
      </c>
      <c r="Q66" s="1009"/>
      <c r="R66" s="1009"/>
      <c r="S66" s="1009" t="s">
        <v>217</v>
      </c>
      <c r="T66" s="1009" t="s">
        <v>90</v>
      </c>
    </row>
    <row r="67" spans="1:20" ht="15" customHeight="1">
      <c r="A67" s="1012"/>
      <c r="B67" s="424" t="s">
        <v>218</v>
      </c>
      <c r="C67" s="415">
        <v>2019</v>
      </c>
      <c r="D67" s="415">
        <v>2020</v>
      </c>
      <c r="E67" s="1009"/>
      <c r="F67" s="1009"/>
      <c r="G67" s="423"/>
      <c r="H67" s="1012"/>
      <c r="I67" s="424" t="s">
        <v>218</v>
      </c>
      <c r="J67" s="415">
        <v>2019</v>
      </c>
      <c r="K67" s="415">
        <v>2020</v>
      </c>
      <c r="L67" s="1009"/>
      <c r="M67" s="1009"/>
      <c r="N67" s="423"/>
      <c r="O67" s="1012"/>
      <c r="P67" s="424" t="s">
        <v>218</v>
      </c>
      <c r="Q67" s="415">
        <v>2020</v>
      </c>
      <c r="R67" s="415">
        <v>2022</v>
      </c>
      <c r="S67" s="1009"/>
      <c r="T67" s="1009"/>
    </row>
    <row r="68" spans="1:20" ht="12.75" customHeight="1">
      <c r="A68" s="1012"/>
      <c r="B68" s="425">
        <v>150</v>
      </c>
      <c r="C68" s="426">
        <v>0.21</v>
      </c>
      <c r="D68" s="426">
        <v>0.21</v>
      </c>
      <c r="E68" s="427">
        <v>9.9999999999999995E-7</v>
      </c>
      <c r="F68" s="429">
        <v>1.2</v>
      </c>
      <c r="G68" s="423"/>
      <c r="H68" s="1012"/>
      <c r="I68" s="425">
        <v>150</v>
      </c>
      <c r="J68" s="426">
        <v>9.9999999999999995E-7</v>
      </c>
      <c r="K68" s="426">
        <v>-0.17</v>
      </c>
      <c r="L68" s="427">
        <f>0.5*(MAX(J68:K68)-MIN(J68:K68))</f>
        <v>8.5000500000000007E-2</v>
      </c>
      <c r="M68" s="426">
        <v>1.2</v>
      </c>
      <c r="N68" s="423"/>
      <c r="O68" s="1012"/>
      <c r="P68" s="425">
        <v>150</v>
      </c>
      <c r="Q68" s="426">
        <v>-0.24</v>
      </c>
      <c r="R68" s="426">
        <v>-0.17</v>
      </c>
      <c r="S68" s="427">
        <f t="shared" ref="S68:S73" si="17">0.5*(MAX(Q68:R68)-MIN(Q68:R68))</f>
        <v>3.4999999999999989E-2</v>
      </c>
      <c r="T68" s="426">
        <v>1.2</v>
      </c>
    </row>
    <row r="69" spans="1:20" ht="12.75" customHeight="1">
      <c r="A69" s="1012"/>
      <c r="B69" s="425">
        <v>180</v>
      </c>
      <c r="C69" s="426">
        <v>0.33</v>
      </c>
      <c r="D69" s="426">
        <v>0.33</v>
      </c>
      <c r="E69" s="427">
        <v>9.9999999999999995E-7</v>
      </c>
      <c r="F69" s="429">
        <v>1.2</v>
      </c>
      <c r="G69" s="423"/>
      <c r="H69" s="1012"/>
      <c r="I69" s="425">
        <v>180</v>
      </c>
      <c r="J69" s="426">
        <v>9.9999999999999995E-7</v>
      </c>
      <c r="K69" s="426">
        <v>-0.22</v>
      </c>
      <c r="L69" s="427">
        <f t="shared" ref="L69:L72" si="18">0.5*(MAX(J69:K69)-MIN(J69:K69))</f>
        <v>0.1100005</v>
      </c>
      <c r="M69" s="426">
        <v>1.2</v>
      </c>
      <c r="N69" s="423"/>
      <c r="O69" s="1012"/>
      <c r="P69" s="425">
        <v>180</v>
      </c>
      <c r="Q69" s="426">
        <v>-0.14000000000000001</v>
      </c>
      <c r="R69" s="426">
        <v>-0.39</v>
      </c>
      <c r="S69" s="427">
        <f t="shared" si="17"/>
        <v>0.125</v>
      </c>
      <c r="T69" s="426">
        <v>1.2</v>
      </c>
    </row>
    <row r="70" spans="1:20" ht="12.75" customHeight="1">
      <c r="A70" s="1012"/>
      <c r="B70" s="425">
        <v>200</v>
      </c>
      <c r="C70" s="426">
        <v>0.34</v>
      </c>
      <c r="D70" s="426">
        <v>0.34</v>
      </c>
      <c r="E70" s="427">
        <v>9.9999999999999995E-7</v>
      </c>
      <c r="F70" s="429">
        <v>1.2</v>
      </c>
      <c r="G70" s="423"/>
      <c r="H70" s="1012"/>
      <c r="I70" s="425">
        <v>200</v>
      </c>
      <c r="J70" s="426">
        <v>9.9999999999999995E-7</v>
      </c>
      <c r="K70" s="426">
        <v>-0.33</v>
      </c>
      <c r="L70" s="427">
        <f t="shared" si="18"/>
        <v>0.16500049999999999</v>
      </c>
      <c r="M70" s="426">
        <v>1.2</v>
      </c>
      <c r="N70" s="423"/>
      <c r="O70" s="1012"/>
      <c r="P70" s="425">
        <v>200</v>
      </c>
      <c r="Q70" s="426">
        <v>-0.33</v>
      </c>
      <c r="R70" s="426">
        <v>-0.23</v>
      </c>
      <c r="S70" s="427">
        <f t="shared" si="17"/>
        <v>0.05</v>
      </c>
      <c r="T70" s="426">
        <v>1.2</v>
      </c>
    </row>
    <row r="71" spans="1:20" ht="12.75" customHeight="1">
      <c r="A71" s="1012"/>
      <c r="B71" s="425">
        <v>220</v>
      </c>
      <c r="C71" s="426">
        <v>0.37</v>
      </c>
      <c r="D71" s="426">
        <v>0.37</v>
      </c>
      <c r="E71" s="427">
        <v>9.9999999999999995E-7</v>
      </c>
      <c r="F71" s="429">
        <v>1.2</v>
      </c>
      <c r="G71" s="423"/>
      <c r="H71" s="1012"/>
      <c r="I71" s="425">
        <v>220</v>
      </c>
      <c r="J71" s="426">
        <v>9.9999999999999995E-7</v>
      </c>
      <c r="K71" s="426">
        <v>-0.39</v>
      </c>
      <c r="L71" s="427">
        <f t="shared" si="18"/>
        <v>0.19500049999999999</v>
      </c>
      <c r="M71" s="426">
        <v>1.2</v>
      </c>
      <c r="N71" s="423"/>
      <c r="O71" s="1012"/>
      <c r="P71" s="425">
        <v>220</v>
      </c>
      <c r="Q71" s="426">
        <v>-0.45</v>
      </c>
      <c r="R71" s="426">
        <v>-0.45</v>
      </c>
      <c r="S71" s="427">
        <v>9.9999999999999995E-7</v>
      </c>
      <c r="T71" s="426">
        <v>1.2</v>
      </c>
    </row>
    <row r="72" spans="1:20" ht="12.75" customHeight="1">
      <c r="A72" s="1012"/>
      <c r="B72" s="425">
        <v>230</v>
      </c>
      <c r="C72" s="426">
        <v>0.47</v>
      </c>
      <c r="D72" s="426">
        <v>0.47</v>
      </c>
      <c r="E72" s="427">
        <v>9.9999999999999995E-7</v>
      </c>
      <c r="F72" s="429">
        <v>1.2</v>
      </c>
      <c r="G72" s="423"/>
      <c r="H72" s="1012"/>
      <c r="I72" s="425">
        <v>230</v>
      </c>
      <c r="J72" s="426">
        <v>9.9999999999999995E-7</v>
      </c>
      <c r="K72" s="426">
        <v>-0.39</v>
      </c>
      <c r="L72" s="427">
        <f t="shared" si="18"/>
        <v>0.19500049999999999</v>
      </c>
      <c r="M72" s="426">
        <v>1.2</v>
      </c>
      <c r="N72" s="423"/>
      <c r="O72" s="1012"/>
      <c r="P72" s="425">
        <v>230</v>
      </c>
      <c r="Q72" s="426">
        <v>-0.54</v>
      </c>
      <c r="R72" s="426">
        <v>-0.16</v>
      </c>
      <c r="S72" s="427">
        <f t="shared" si="17"/>
        <v>0.19</v>
      </c>
      <c r="T72" s="426">
        <v>1.2</v>
      </c>
    </row>
    <row r="73" spans="1:20" ht="12.75" customHeight="1">
      <c r="A73" s="1012"/>
      <c r="B73" s="425">
        <v>250</v>
      </c>
      <c r="C73" s="426">
        <v>9.9999999999999995E-7</v>
      </c>
      <c r="D73" s="426">
        <v>9.9999999999999995E-7</v>
      </c>
      <c r="E73" s="427">
        <v>9.9999999999999995E-7</v>
      </c>
      <c r="F73" s="429">
        <v>1.2</v>
      </c>
      <c r="G73" s="423"/>
      <c r="H73" s="1012"/>
      <c r="I73" s="425">
        <v>250</v>
      </c>
      <c r="J73" s="426">
        <v>9.9999999999999995E-7</v>
      </c>
      <c r="K73" s="426">
        <v>9.9999999999999995E-7</v>
      </c>
      <c r="L73" s="427">
        <v>9.9999999999999995E-7</v>
      </c>
      <c r="M73" s="426">
        <v>1.2</v>
      </c>
      <c r="N73" s="423"/>
      <c r="O73" s="1012"/>
      <c r="P73" s="425">
        <v>250</v>
      </c>
      <c r="Q73" s="426">
        <v>9.9999999999999995E-7</v>
      </c>
      <c r="R73" s="426">
        <v>-0.15</v>
      </c>
      <c r="S73" s="427">
        <f t="shared" si="17"/>
        <v>7.5000499999999998E-2</v>
      </c>
      <c r="T73" s="426">
        <v>1.2</v>
      </c>
    </row>
    <row r="74" spans="1:20" ht="12.75" customHeight="1">
      <c r="A74" s="1012"/>
      <c r="B74" s="1008" t="s">
        <v>219</v>
      </c>
      <c r="C74" s="1008"/>
      <c r="D74" s="1008"/>
      <c r="E74" s="1009" t="s">
        <v>217</v>
      </c>
      <c r="F74" s="1009" t="s">
        <v>90</v>
      </c>
      <c r="G74" s="423"/>
      <c r="H74" s="1012"/>
      <c r="I74" s="1008" t="str">
        <f>B74</f>
        <v>Current Leakage</v>
      </c>
      <c r="J74" s="1008"/>
      <c r="K74" s="1008"/>
      <c r="L74" s="1009" t="s">
        <v>217</v>
      </c>
      <c r="M74" s="1009" t="s">
        <v>90</v>
      </c>
      <c r="N74" s="423"/>
      <c r="O74" s="1012"/>
      <c r="P74" s="1008" t="str">
        <f>B74</f>
        <v>Current Leakage</v>
      </c>
      <c r="Q74" s="1008"/>
      <c r="R74" s="1008"/>
      <c r="S74" s="1009" t="s">
        <v>217</v>
      </c>
      <c r="T74" s="1009" t="s">
        <v>90</v>
      </c>
    </row>
    <row r="75" spans="1:20" ht="15" customHeight="1">
      <c r="A75" s="1012"/>
      <c r="B75" s="424" t="s">
        <v>220</v>
      </c>
      <c r="C75" s="415">
        <f>C67</f>
        <v>2019</v>
      </c>
      <c r="D75" s="415">
        <f>D67</f>
        <v>2020</v>
      </c>
      <c r="E75" s="1009"/>
      <c r="F75" s="1009"/>
      <c r="G75" s="423"/>
      <c r="H75" s="1012"/>
      <c r="I75" s="424" t="s">
        <v>220</v>
      </c>
      <c r="J75" s="415">
        <f>J67</f>
        <v>2019</v>
      </c>
      <c r="K75" s="415">
        <f>K67</f>
        <v>2020</v>
      </c>
      <c r="L75" s="1009"/>
      <c r="M75" s="1009"/>
      <c r="N75" s="423"/>
      <c r="O75" s="1012"/>
      <c r="P75" s="424" t="s">
        <v>220</v>
      </c>
      <c r="Q75" s="415">
        <f>Q67</f>
        <v>2020</v>
      </c>
      <c r="R75" s="415">
        <f>R67</f>
        <v>2022</v>
      </c>
      <c r="S75" s="1009"/>
      <c r="T75" s="1009"/>
    </row>
    <row r="76" spans="1:20" ht="12.75" customHeight="1">
      <c r="A76" s="1012"/>
      <c r="B76" s="430">
        <v>0</v>
      </c>
      <c r="C76" s="426">
        <v>9.9999999999999995E-7</v>
      </c>
      <c r="D76" s="426">
        <v>9.9999999999999995E-7</v>
      </c>
      <c r="E76" s="427">
        <v>9.9999999999999995E-7</v>
      </c>
      <c r="F76" s="430">
        <v>0.59</v>
      </c>
      <c r="G76" s="423"/>
      <c r="H76" s="1012"/>
      <c r="I76" s="430">
        <v>0</v>
      </c>
      <c r="J76" s="426">
        <v>9.9999999999999995E-7</v>
      </c>
      <c r="K76" s="426">
        <v>9.9999999999999995E-7</v>
      </c>
      <c r="L76" s="427">
        <v>9.9999999999999995E-7</v>
      </c>
      <c r="M76" s="431">
        <v>0.59</v>
      </c>
      <c r="N76" s="423"/>
      <c r="O76" s="1012"/>
      <c r="P76" s="430">
        <v>9.9999999999999995E-7</v>
      </c>
      <c r="Q76" s="426">
        <v>9.9999999999999995E-7</v>
      </c>
      <c r="R76" s="426">
        <v>9.9999999999999995E-7</v>
      </c>
      <c r="S76" s="427">
        <v>9.9999999999999995E-7</v>
      </c>
      <c r="T76" s="426">
        <v>0.59</v>
      </c>
    </row>
    <row r="77" spans="1:20" ht="12.75" customHeight="1">
      <c r="A77" s="1012"/>
      <c r="B77" s="430">
        <v>50</v>
      </c>
      <c r="C77" s="426">
        <v>1.7</v>
      </c>
      <c r="D77" s="426">
        <v>1.7</v>
      </c>
      <c r="E77" s="427">
        <v>9.9999999999999995E-7</v>
      </c>
      <c r="F77" s="430">
        <v>0.59</v>
      </c>
      <c r="G77" s="423"/>
      <c r="H77" s="1012"/>
      <c r="I77" s="430">
        <v>50</v>
      </c>
      <c r="J77" s="426">
        <v>9.9999999999999995E-7</v>
      </c>
      <c r="K77" s="426">
        <v>1.7</v>
      </c>
      <c r="L77" s="427">
        <f t="shared" ref="L77:L81" si="19">0.5*(MAX(J77:K77)-MIN(J77:K77))</f>
        <v>0.84999950000000002</v>
      </c>
      <c r="M77" s="431">
        <v>0.59</v>
      </c>
      <c r="N77" s="423"/>
      <c r="O77" s="1012"/>
      <c r="P77" s="430">
        <v>50</v>
      </c>
      <c r="Q77" s="426">
        <v>2.1</v>
      </c>
      <c r="R77" s="426">
        <v>5</v>
      </c>
      <c r="S77" s="427">
        <f t="shared" ref="S77:S81" si="20">0.5*(MAX(Q77:R77)-MIN(Q77:R77))</f>
        <v>1.45</v>
      </c>
      <c r="T77" s="426">
        <v>0.59</v>
      </c>
    </row>
    <row r="78" spans="1:20" ht="12.75" customHeight="1">
      <c r="A78" s="1012"/>
      <c r="B78" s="430">
        <v>100</v>
      </c>
      <c r="C78" s="426">
        <v>1.7</v>
      </c>
      <c r="D78" s="426">
        <v>1.7</v>
      </c>
      <c r="E78" s="427">
        <v>9.9999999999999995E-7</v>
      </c>
      <c r="F78" s="430">
        <v>0.59</v>
      </c>
      <c r="G78" s="423"/>
      <c r="H78" s="1012"/>
      <c r="I78" s="430">
        <v>100</v>
      </c>
      <c r="J78" s="426">
        <v>9.9999999999999995E-7</v>
      </c>
      <c r="K78" s="426">
        <v>3.4</v>
      </c>
      <c r="L78" s="427">
        <f t="shared" si="19"/>
        <v>1.6999994999999999</v>
      </c>
      <c r="M78" s="431">
        <v>0.59</v>
      </c>
      <c r="N78" s="423"/>
      <c r="O78" s="1012"/>
      <c r="P78" s="430">
        <v>100</v>
      </c>
      <c r="Q78" s="426">
        <v>3.7</v>
      </c>
      <c r="R78" s="426">
        <v>0.7</v>
      </c>
      <c r="S78" s="427">
        <f t="shared" si="20"/>
        <v>1.5</v>
      </c>
      <c r="T78" s="426">
        <v>0.59</v>
      </c>
    </row>
    <row r="79" spans="1:20" ht="12.75" customHeight="1">
      <c r="A79" s="1012"/>
      <c r="B79" s="430">
        <v>200</v>
      </c>
      <c r="C79" s="426">
        <v>0.4</v>
      </c>
      <c r="D79" s="426">
        <v>0.4</v>
      </c>
      <c r="E79" s="427">
        <v>9.9999999999999995E-7</v>
      </c>
      <c r="F79" s="430">
        <v>0.59</v>
      </c>
      <c r="G79" s="423"/>
      <c r="H79" s="1012"/>
      <c r="I79" s="430">
        <v>500</v>
      </c>
      <c r="J79" s="426">
        <v>9.9999999999999995E-7</v>
      </c>
      <c r="K79" s="426">
        <v>7.2</v>
      </c>
      <c r="L79" s="427">
        <f t="shared" si="19"/>
        <v>3.5999995</v>
      </c>
      <c r="M79" s="431">
        <v>0.59</v>
      </c>
      <c r="N79" s="423"/>
      <c r="O79" s="1012"/>
      <c r="P79" s="430">
        <v>200</v>
      </c>
      <c r="Q79" s="426">
        <v>8.3000000000000007</v>
      </c>
      <c r="R79" s="426">
        <v>-8.1999999999999993</v>
      </c>
      <c r="S79" s="427">
        <f t="shared" si="20"/>
        <v>8.25</v>
      </c>
      <c r="T79" s="426">
        <v>0.59</v>
      </c>
    </row>
    <row r="80" spans="1:20" ht="12.75" customHeight="1">
      <c r="A80" s="1012"/>
      <c r="B80" s="430">
        <v>500</v>
      </c>
      <c r="C80" s="426">
        <v>3</v>
      </c>
      <c r="D80" s="426">
        <v>3</v>
      </c>
      <c r="E80" s="427">
        <v>9.9999999999999995E-7</v>
      </c>
      <c r="F80" s="430">
        <v>0.59</v>
      </c>
      <c r="G80" s="423"/>
      <c r="H80" s="1012"/>
      <c r="I80" s="430">
        <v>500</v>
      </c>
      <c r="J80" s="426">
        <v>9.9999999999999995E-7</v>
      </c>
      <c r="K80" s="426">
        <v>7.2</v>
      </c>
      <c r="L80" s="427">
        <f t="shared" si="19"/>
        <v>3.5999995</v>
      </c>
      <c r="M80" s="431">
        <v>0.59</v>
      </c>
      <c r="N80" s="423"/>
      <c r="O80" s="1012"/>
      <c r="P80" s="430">
        <v>500</v>
      </c>
      <c r="Q80" s="426">
        <v>8.3000000000000007</v>
      </c>
      <c r="R80" s="426">
        <v>-31.8</v>
      </c>
      <c r="S80" s="427">
        <f t="shared" si="20"/>
        <v>20.05</v>
      </c>
      <c r="T80" s="426">
        <v>0.59</v>
      </c>
    </row>
    <row r="81" spans="1:20" ht="12.75" customHeight="1">
      <c r="A81" s="1012"/>
      <c r="B81" s="430">
        <v>1000</v>
      </c>
      <c r="C81" s="426">
        <v>5</v>
      </c>
      <c r="D81" s="426">
        <v>4</v>
      </c>
      <c r="E81" s="427">
        <f t="shared" ref="E81" si="21">0.5*(MAX(C81:D81)-MIN(C81:D81))</f>
        <v>0.5</v>
      </c>
      <c r="F81" s="430">
        <v>0.59</v>
      </c>
      <c r="G81" s="423"/>
      <c r="H81" s="1012"/>
      <c r="I81" s="430">
        <v>1000</v>
      </c>
      <c r="J81" s="426">
        <v>9.9999999999999995E-7</v>
      </c>
      <c r="K81" s="426">
        <v>80</v>
      </c>
      <c r="L81" s="427">
        <f t="shared" si="19"/>
        <v>39.999999500000001</v>
      </c>
      <c r="M81" s="431">
        <v>0.59</v>
      </c>
      <c r="N81" s="423"/>
      <c r="O81" s="1012"/>
      <c r="P81" s="430">
        <v>1000</v>
      </c>
      <c r="Q81" s="426">
        <v>-97</v>
      </c>
      <c r="R81" s="426">
        <v>-74</v>
      </c>
      <c r="S81" s="427">
        <f t="shared" si="20"/>
        <v>11.5</v>
      </c>
      <c r="T81" s="426">
        <v>0.59</v>
      </c>
    </row>
    <row r="82" spans="1:20" ht="12.75" customHeight="1">
      <c r="A82" s="1012"/>
      <c r="B82" s="1008"/>
      <c r="C82" s="1008"/>
      <c r="D82" s="1008"/>
      <c r="E82" s="1009" t="s">
        <v>217</v>
      </c>
      <c r="F82" s="1009" t="s">
        <v>90</v>
      </c>
      <c r="G82" s="423"/>
      <c r="H82" s="1012"/>
      <c r="I82" s="1008" t="s">
        <v>221</v>
      </c>
      <c r="J82" s="1008"/>
      <c r="K82" s="1008"/>
      <c r="L82" s="1009" t="s">
        <v>217</v>
      </c>
      <c r="M82" s="1009" t="s">
        <v>90</v>
      </c>
      <c r="N82" s="423"/>
      <c r="O82" s="1012"/>
      <c r="P82" s="1008" t="s">
        <v>221</v>
      </c>
      <c r="Q82" s="1008"/>
      <c r="R82" s="1008"/>
      <c r="S82" s="1009" t="s">
        <v>217</v>
      </c>
      <c r="T82" s="1009" t="s">
        <v>90</v>
      </c>
    </row>
    <row r="83" spans="1:20" ht="15" customHeight="1">
      <c r="A83" s="1012"/>
      <c r="B83" s="424" t="s">
        <v>434</v>
      </c>
      <c r="C83" s="415">
        <v>2020</v>
      </c>
      <c r="D83" s="415">
        <v>2018</v>
      </c>
      <c r="E83" s="1009"/>
      <c r="F83" s="1009"/>
      <c r="G83" s="423"/>
      <c r="H83" s="1012"/>
      <c r="I83" s="424" t="s">
        <v>434</v>
      </c>
      <c r="J83" s="415">
        <f>J67</f>
        <v>2019</v>
      </c>
      <c r="K83" s="415">
        <f>K67</f>
        <v>2020</v>
      </c>
      <c r="L83" s="1009"/>
      <c r="M83" s="1009"/>
      <c r="N83" s="423"/>
      <c r="O83" s="1012"/>
      <c r="P83" s="424" t="s">
        <v>434</v>
      </c>
      <c r="Q83" s="415">
        <f>Q67</f>
        <v>2020</v>
      </c>
      <c r="R83" s="415">
        <f>R67</f>
        <v>2022</v>
      </c>
      <c r="S83" s="1009"/>
      <c r="T83" s="1009"/>
    </row>
    <row r="84" spans="1:20" ht="12.75" customHeight="1">
      <c r="A84" s="1012"/>
      <c r="B84" s="430">
        <v>10</v>
      </c>
      <c r="C84" s="428" t="s">
        <v>155</v>
      </c>
      <c r="D84" s="426">
        <v>9.9999999999999995E-7</v>
      </c>
      <c r="E84" s="427">
        <v>1.0000000000000001E-5</v>
      </c>
      <c r="F84" s="429">
        <v>1.7</v>
      </c>
      <c r="G84" s="423"/>
      <c r="H84" s="1012"/>
      <c r="I84" s="430">
        <v>10</v>
      </c>
      <c r="J84" s="426">
        <v>9.9999999999999995E-7</v>
      </c>
      <c r="K84" s="426">
        <v>9.9999999999999995E-7</v>
      </c>
      <c r="L84" s="427">
        <v>9.9999999999999995E-7</v>
      </c>
      <c r="M84" s="426">
        <v>0</v>
      </c>
      <c r="N84" s="423"/>
      <c r="O84" s="1012"/>
      <c r="P84" s="430">
        <v>10</v>
      </c>
      <c r="Q84" s="426">
        <v>9.9999999999999995E-7</v>
      </c>
      <c r="R84" s="426">
        <v>9.9999999999999995E-7</v>
      </c>
      <c r="S84" s="427">
        <v>9.9999999999999995E-7</v>
      </c>
      <c r="T84" s="426">
        <v>1.7</v>
      </c>
    </row>
    <row r="85" spans="1:20" ht="12.75" customHeight="1">
      <c r="A85" s="1012"/>
      <c r="B85" s="430">
        <v>20</v>
      </c>
      <c r="C85" s="428" t="s">
        <v>155</v>
      </c>
      <c r="D85" s="428">
        <v>0.1</v>
      </c>
      <c r="E85" s="427">
        <v>1.0000000000000001E-5</v>
      </c>
      <c r="F85" s="429">
        <v>1.7</v>
      </c>
      <c r="G85" s="423"/>
      <c r="H85" s="1012"/>
      <c r="I85" s="430">
        <v>20</v>
      </c>
      <c r="J85" s="426">
        <v>9.9999999999999995E-7</v>
      </c>
      <c r="K85" s="426">
        <v>9.9999999999999995E-7</v>
      </c>
      <c r="L85" s="427">
        <v>9.9999999999999995E-7</v>
      </c>
      <c r="M85" s="426">
        <v>0</v>
      </c>
      <c r="N85" s="423"/>
      <c r="O85" s="1012"/>
      <c r="P85" s="430">
        <v>20</v>
      </c>
      <c r="Q85" s="426">
        <v>9.9999999999999995E-7</v>
      </c>
      <c r="R85" s="426">
        <v>9.9999999999999995E-7</v>
      </c>
      <c r="S85" s="427">
        <v>9.9999999999999995E-7</v>
      </c>
      <c r="T85" s="426">
        <v>1.7</v>
      </c>
    </row>
    <row r="86" spans="1:20" ht="12.75" customHeight="1">
      <c r="A86" s="1012"/>
      <c r="B86" s="430">
        <v>50</v>
      </c>
      <c r="C86" s="428" t="s">
        <v>155</v>
      </c>
      <c r="D86" s="428">
        <v>0.4</v>
      </c>
      <c r="E86" s="427">
        <v>1.0000000000000001E-5</v>
      </c>
      <c r="F86" s="429">
        <v>1.7</v>
      </c>
      <c r="G86" s="423"/>
      <c r="H86" s="1012"/>
      <c r="I86" s="430">
        <v>50</v>
      </c>
      <c r="J86" s="426">
        <v>9.9999999999999995E-7</v>
      </c>
      <c r="K86" s="426">
        <v>9.9999999999999995E-7</v>
      </c>
      <c r="L86" s="427">
        <v>9.9999999999999995E-7</v>
      </c>
      <c r="M86" s="426">
        <v>0</v>
      </c>
      <c r="N86" s="423"/>
      <c r="O86" s="1012"/>
      <c r="P86" s="430">
        <v>50</v>
      </c>
      <c r="Q86" s="426">
        <v>9.9999999999999995E-7</v>
      </c>
      <c r="R86" s="428">
        <v>0.2</v>
      </c>
      <c r="S86" s="427">
        <f t="shared" ref="S86:S87" si="22">0.5*(MAX(Q86:R86)-MIN(Q86:R86))</f>
        <v>9.9999500000000005E-2</v>
      </c>
      <c r="T86" s="426">
        <v>1.7</v>
      </c>
    </row>
    <row r="87" spans="1:20" ht="12.75" customHeight="1">
      <c r="A87" s="1012"/>
      <c r="B87" s="430">
        <v>100</v>
      </c>
      <c r="C87" s="428" t="s">
        <v>155</v>
      </c>
      <c r="D87" s="428">
        <v>1.4</v>
      </c>
      <c r="E87" s="427">
        <v>1.0000000000000001E-5</v>
      </c>
      <c r="F87" s="429">
        <v>1.7</v>
      </c>
      <c r="G87" s="423"/>
      <c r="H87" s="1012"/>
      <c r="I87" s="430">
        <v>100</v>
      </c>
      <c r="J87" s="426">
        <v>9.9999999999999995E-7</v>
      </c>
      <c r="K87" s="426">
        <v>9.9999999999999995E-7</v>
      </c>
      <c r="L87" s="427">
        <v>9.9999999999999995E-7</v>
      </c>
      <c r="M87" s="426">
        <v>0</v>
      </c>
      <c r="N87" s="423"/>
      <c r="O87" s="1012"/>
      <c r="P87" s="430">
        <v>100</v>
      </c>
      <c r="Q87" s="426">
        <v>9.9999999999999995E-7</v>
      </c>
      <c r="R87" s="428">
        <v>0.4</v>
      </c>
      <c r="S87" s="427">
        <f t="shared" si="22"/>
        <v>0.19999950000000002</v>
      </c>
      <c r="T87" s="426">
        <v>1.7</v>
      </c>
    </row>
    <row r="88" spans="1:20" ht="12.75" customHeight="1">
      <c r="A88" s="1012"/>
      <c r="B88" s="1008" t="s">
        <v>222</v>
      </c>
      <c r="C88" s="1008"/>
      <c r="D88" s="1008"/>
      <c r="E88" s="1009" t="s">
        <v>217</v>
      </c>
      <c r="F88" s="1009" t="s">
        <v>90</v>
      </c>
      <c r="G88" s="423"/>
      <c r="H88" s="1012"/>
      <c r="I88" s="1008" t="s">
        <v>222</v>
      </c>
      <c r="J88" s="1008"/>
      <c r="K88" s="1008"/>
      <c r="L88" s="1009" t="s">
        <v>217</v>
      </c>
      <c r="M88" s="1009" t="s">
        <v>90</v>
      </c>
      <c r="N88" s="423"/>
      <c r="O88" s="1012"/>
      <c r="P88" s="1008" t="str">
        <f>B88</f>
        <v>Resistance</v>
      </c>
      <c r="Q88" s="1008"/>
      <c r="R88" s="1008"/>
      <c r="S88" s="1009" t="s">
        <v>217</v>
      </c>
      <c r="T88" s="1009" t="s">
        <v>90</v>
      </c>
    </row>
    <row r="89" spans="1:20" ht="15" customHeight="1">
      <c r="A89" s="1012"/>
      <c r="B89" s="424" t="s">
        <v>435</v>
      </c>
      <c r="C89" s="415">
        <f>C67</f>
        <v>2019</v>
      </c>
      <c r="D89" s="415">
        <f>D67</f>
        <v>2020</v>
      </c>
      <c r="E89" s="1009"/>
      <c r="F89" s="1009"/>
      <c r="G89" s="423"/>
      <c r="H89" s="1012"/>
      <c r="I89" s="424" t="s">
        <v>435</v>
      </c>
      <c r="J89" s="415">
        <f>J67</f>
        <v>2019</v>
      </c>
      <c r="K89" s="415">
        <f>K67</f>
        <v>2020</v>
      </c>
      <c r="L89" s="1009"/>
      <c r="M89" s="1009"/>
      <c r="N89" s="423"/>
      <c r="O89" s="1012"/>
      <c r="P89" s="424" t="s">
        <v>435</v>
      </c>
      <c r="Q89" s="415">
        <f>Q67</f>
        <v>2020</v>
      </c>
      <c r="R89" s="415">
        <f>R67</f>
        <v>2022</v>
      </c>
      <c r="S89" s="1009"/>
      <c r="T89" s="1009"/>
    </row>
    <row r="90" spans="1:20" ht="12.75" customHeight="1">
      <c r="A90" s="1012"/>
      <c r="B90" s="430">
        <v>0.01</v>
      </c>
      <c r="C90" s="426">
        <v>9.9999999999999995E-7</v>
      </c>
      <c r="D90" s="426">
        <v>9.9999999999999995E-7</v>
      </c>
      <c r="E90" s="427">
        <v>9.9999999999999995E-7</v>
      </c>
      <c r="F90" s="430">
        <v>1.2</v>
      </c>
      <c r="G90" s="423"/>
      <c r="H90" s="1012"/>
      <c r="I90" s="430">
        <v>0.01</v>
      </c>
      <c r="J90" s="426">
        <v>9.9999999999999995E-7</v>
      </c>
      <c r="K90" s="426">
        <v>9.9999999999999995E-7</v>
      </c>
      <c r="L90" s="427">
        <v>9.9999999999999995E-7</v>
      </c>
      <c r="M90" s="440">
        <v>1.2</v>
      </c>
      <c r="N90" s="423"/>
      <c r="O90" s="1012"/>
      <c r="P90" s="430">
        <v>0.01</v>
      </c>
      <c r="Q90" s="426">
        <v>9.9999999999999995E-7</v>
      </c>
      <c r="R90" s="426">
        <v>9.9999999999999995E-7</v>
      </c>
      <c r="S90" s="427">
        <v>9.9999999999999995E-7</v>
      </c>
      <c r="T90" s="431">
        <v>1.2</v>
      </c>
    </row>
    <row r="91" spans="1:20" ht="12.75" customHeight="1">
      <c r="A91" s="1012"/>
      <c r="B91" s="430">
        <v>0.1</v>
      </c>
      <c r="C91" s="426">
        <v>9.9999999999999995E-7</v>
      </c>
      <c r="D91" s="426">
        <v>9.9999999999999995E-7</v>
      </c>
      <c r="E91" s="427">
        <v>9.9999999999999995E-7</v>
      </c>
      <c r="F91" s="430">
        <v>1.2</v>
      </c>
      <c r="G91" s="423"/>
      <c r="H91" s="1012"/>
      <c r="I91" s="430">
        <v>0.1</v>
      </c>
      <c r="J91" s="426">
        <v>9.9999999999999995E-7</v>
      </c>
      <c r="K91" s="433">
        <v>-2E-3</v>
      </c>
      <c r="L91" s="427">
        <v>9.9999999999999995E-7</v>
      </c>
      <c r="M91" s="440">
        <v>1.2</v>
      </c>
      <c r="N91" s="423"/>
      <c r="O91" s="1012"/>
      <c r="P91" s="430">
        <v>0.1</v>
      </c>
      <c r="Q91" s="433">
        <v>-3.0000000000000001E-3</v>
      </c>
      <c r="R91" s="426">
        <v>9.9999999999999995E-7</v>
      </c>
      <c r="S91" s="427">
        <v>9.9999999999999995E-7</v>
      </c>
      <c r="T91" s="431">
        <v>1.2</v>
      </c>
    </row>
    <row r="92" spans="1:20" ht="12.75" customHeight="1">
      <c r="A92" s="1012"/>
      <c r="B92" s="430">
        <v>1</v>
      </c>
      <c r="C92" s="433">
        <v>-2.3E-3</v>
      </c>
      <c r="D92" s="433">
        <v>-2.3E-3</v>
      </c>
      <c r="E92" s="427">
        <v>9.9999999999999995E-7</v>
      </c>
      <c r="F92" s="430">
        <v>1.2</v>
      </c>
      <c r="G92" s="423"/>
      <c r="H92" s="1012"/>
      <c r="I92" s="430">
        <v>1</v>
      </c>
      <c r="J92" s="426">
        <v>9.9999999999999995E-7</v>
      </c>
      <c r="K92" s="433">
        <v>-1E-3</v>
      </c>
      <c r="L92" s="427">
        <v>9.9999999999999995E-7</v>
      </c>
      <c r="M92" s="440">
        <v>1.2</v>
      </c>
      <c r="N92" s="423"/>
      <c r="O92" s="1012"/>
      <c r="P92" s="430">
        <v>1</v>
      </c>
      <c r="Q92" s="433">
        <v>-1E-3</v>
      </c>
      <c r="R92" s="433">
        <v>3.0000000000000001E-3</v>
      </c>
      <c r="S92" s="427">
        <v>9.9999999999999995E-7</v>
      </c>
      <c r="T92" s="431">
        <v>1.2</v>
      </c>
    </row>
    <row r="93" spans="1:20" ht="12.75" customHeight="1">
      <c r="A93" s="1012"/>
      <c r="B93" s="430">
        <v>2</v>
      </c>
      <c r="C93" s="426">
        <v>9.9999999999999995E-7</v>
      </c>
      <c r="D93" s="426">
        <v>9.9999999999999995E-7</v>
      </c>
      <c r="E93" s="427">
        <v>9.9999999999999995E-7</v>
      </c>
      <c r="F93" s="430">
        <v>1.2</v>
      </c>
      <c r="G93" s="423"/>
      <c r="H93" s="1012"/>
      <c r="I93" s="430">
        <v>2</v>
      </c>
      <c r="J93" s="426">
        <v>9.9999999999999995E-7</v>
      </c>
      <c r="K93" s="433">
        <v>-6.0000000000000001E-3</v>
      </c>
      <c r="L93" s="427">
        <v>9.9999999999999995E-7</v>
      </c>
      <c r="M93" s="440">
        <v>1.2</v>
      </c>
      <c r="N93" s="423"/>
      <c r="O93" s="1012"/>
      <c r="P93" s="430">
        <v>2</v>
      </c>
      <c r="Q93" s="433">
        <v>-6.0000000000000001E-3</v>
      </c>
      <c r="R93" s="433">
        <v>4.0000000000000001E-3</v>
      </c>
      <c r="S93" s="427">
        <f t="shared" ref="S93" si="23">0.5*(MAX(Q93:R93)-MIN(Q93:R93))</f>
        <v>5.0000000000000001E-3</v>
      </c>
      <c r="T93" s="431">
        <v>1.2</v>
      </c>
    </row>
    <row r="94" spans="1:20" ht="16" thickBot="1">
      <c r="A94" s="300"/>
      <c r="B94" s="437"/>
      <c r="C94" s="438"/>
      <c r="D94" s="438"/>
      <c r="E94" s="438"/>
      <c r="F94" s="438"/>
      <c r="G94" s="423"/>
      <c r="H94" s="301"/>
      <c r="I94" s="439"/>
      <c r="J94" s="438"/>
      <c r="K94" s="438"/>
      <c r="L94" s="438"/>
      <c r="M94" s="438"/>
      <c r="N94" s="423"/>
      <c r="O94" s="301"/>
      <c r="P94" s="437"/>
      <c r="Q94" s="438"/>
      <c r="R94" s="423"/>
      <c r="S94" s="423"/>
      <c r="T94" s="435"/>
    </row>
    <row r="95" spans="1:20" ht="16" thickBot="1">
      <c r="A95" s="1010"/>
      <c r="B95" s="1011"/>
      <c r="C95" s="1011"/>
      <c r="D95" s="1011"/>
      <c r="E95" s="1011"/>
      <c r="F95" s="1011"/>
      <c r="G95" s="1011"/>
      <c r="H95" s="1011"/>
      <c r="I95" s="1011"/>
      <c r="J95" s="1011"/>
      <c r="K95" s="1011"/>
      <c r="L95" s="1011"/>
      <c r="M95" s="1011"/>
      <c r="N95" s="1011"/>
      <c r="O95" s="1011"/>
      <c r="P95" s="1011"/>
      <c r="Q95" s="1011"/>
      <c r="R95" s="441"/>
      <c r="S95" s="441"/>
      <c r="T95" s="442"/>
    </row>
    <row r="96" spans="1:20" ht="13" thickBot="1">
      <c r="A96" s="443"/>
      <c r="B96" s="444"/>
      <c r="C96" s="444"/>
    </row>
    <row r="97" spans="1:17" ht="14">
      <c r="A97" s="1005" t="s">
        <v>23</v>
      </c>
      <c r="B97" s="1001" t="s">
        <v>187</v>
      </c>
      <c r="C97" s="1006" t="s">
        <v>215</v>
      </c>
      <c r="D97" s="1006"/>
      <c r="E97" s="1006"/>
      <c r="F97" s="1006"/>
      <c r="G97" s="1006"/>
      <c r="H97" s="302"/>
      <c r="I97" s="1005" t="s">
        <v>23</v>
      </c>
      <c r="J97" s="1001" t="s">
        <v>187</v>
      </c>
      <c r="K97" s="1006" t="s">
        <v>215</v>
      </c>
      <c r="L97" s="1006"/>
      <c r="M97" s="1006"/>
      <c r="N97" s="1006"/>
      <c r="O97" s="1006"/>
      <c r="Q97" s="303"/>
    </row>
    <row r="98" spans="1:17" ht="13">
      <c r="A98" s="1005"/>
      <c r="B98" s="1001"/>
      <c r="C98" s="1007" t="str">
        <f>B4</f>
        <v>Setting VAC</v>
      </c>
      <c r="D98" s="1007"/>
      <c r="E98" s="1007"/>
      <c r="F98" s="417" t="s">
        <v>217</v>
      </c>
      <c r="G98" s="417" t="s">
        <v>90</v>
      </c>
      <c r="I98" s="1005"/>
      <c r="J98" s="1001"/>
      <c r="K98" s="1003" t="str">
        <f>B12</f>
        <v>Current Leakage</v>
      </c>
      <c r="L98" s="1003"/>
      <c r="M98" s="1003"/>
      <c r="N98" s="417" t="s">
        <v>217</v>
      </c>
      <c r="O98" s="417" t="s">
        <v>90</v>
      </c>
      <c r="Q98" s="445"/>
    </row>
    <row r="99" spans="1:17" ht="14">
      <c r="A99" s="1005"/>
      <c r="B99" s="1001"/>
      <c r="C99" s="418" t="s">
        <v>218</v>
      </c>
      <c r="D99" s="417"/>
      <c r="E99" s="417"/>
      <c r="F99" s="417"/>
      <c r="G99" s="417"/>
      <c r="I99" s="1005"/>
      <c r="J99" s="1001"/>
      <c r="K99" s="418" t="s">
        <v>220</v>
      </c>
      <c r="L99" s="417"/>
      <c r="M99" s="417"/>
      <c r="N99" s="417"/>
      <c r="O99" s="417"/>
      <c r="Q99" s="445"/>
    </row>
    <row r="100" spans="1:17" ht="14">
      <c r="A100" s="1004" t="s">
        <v>41</v>
      </c>
      <c r="B100" s="304">
        <v>1</v>
      </c>
      <c r="C100" s="305">
        <f>B6</f>
        <v>150</v>
      </c>
      <c r="D100" s="305">
        <f t="shared" ref="D100:G100" si="24">C6</f>
        <v>0.76</v>
      </c>
      <c r="E100" s="305">
        <f t="shared" si="24"/>
        <v>0.31</v>
      </c>
      <c r="F100" s="305">
        <f t="shared" si="24"/>
        <v>0.22500000000000001</v>
      </c>
      <c r="G100" s="305">
        <f t="shared" si="24"/>
        <v>0.47</v>
      </c>
      <c r="I100" s="1004" t="s">
        <v>41</v>
      </c>
      <c r="J100" s="304">
        <v>1</v>
      </c>
      <c r="K100" s="446">
        <f>B14</f>
        <v>9.9999999999999995E-7</v>
      </c>
      <c r="L100" s="446">
        <f t="shared" ref="L100:O100" si="25">C14</f>
        <v>9.9999999999999995E-7</v>
      </c>
      <c r="M100" s="446">
        <f t="shared" si="25"/>
        <v>9.9999999999999995E-7</v>
      </c>
      <c r="N100" s="446">
        <f t="shared" si="25"/>
        <v>9.9999999999999995E-7</v>
      </c>
      <c r="O100" s="446">
        <f t="shared" si="25"/>
        <v>0.28999999999999998</v>
      </c>
    </row>
    <row r="101" spans="1:17" ht="14">
      <c r="A101" s="1004"/>
      <c r="B101" s="306">
        <v>2</v>
      </c>
      <c r="C101" s="307">
        <f>I6</f>
        <v>150</v>
      </c>
      <c r="D101" s="307">
        <f t="shared" ref="D101:G101" si="26">J6</f>
        <v>0.23</v>
      </c>
      <c r="E101" s="307">
        <f t="shared" si="26"/>
        <v>0.15</v>
      </c>
      <c r="F101" s="307">
        <f t="shared" si="26"/>
        <v>4.0000000000000008E-2</v>
      </c>
      <c r="G101" s="307">
        <f t="shared" si="26"/>
        <v>0.47</v>
      </c>
      <c r="I101" s="1004"/>
      <c r="J101" s="306">
        <v>2</v>
      </c>
      <c r="K101" s="446">
        <f>I14</f>
        <v>9.9999999999999995E-7</v>
      </c>
      <c r="L101" s="446">
        <f t="shared" ref="L101:O101" si="27">J14</f>
        <v>9.9999999999999995E-7</v>
      </c>
      <c r="M101" s="446">
        <f t="shared" si="27"/>
        <v>9.9999999999999995E-7</v>
      </c>
      <c r="N101" s="446">
        <f t="shared" si="27"/>
        <v>9.9999999999999995E-7</v>
      </c>
      <c r="O101" s="446">
        <f t="shared" si="27"/>
        <v>0.28999999999999998</v>
      </c>
    </row>
    <row r="102" spans="1:17" ht="13">
      <c r="A102" s="1004"/>
      <c r="B102" s="447">
        <v>3</v>
      </c>
      <c r="C102" s="307">
        <f>P6</f>
        <v>150</v>
      </c>
      <c r="D102" s="307">
        <f t="shared" ref="D102:G102" si="28">Q6</f>
        <v>-7.0000000000000007E-2</v>
      </c>
      <c r="E102" s="307">
        <f t="shared" si="28"/>
        <v>-1.43</v>
      </c>
      <c r="F102" s="307">
        <f t="shared" si="28"/>
        <v>0.67999999999999994</v>
      </c>
      <c r="G102" s="307">
        <f t="shared" si="28"/>
        <v>1.2</v>
      </c>
      <c r="I102" s="1004"/>
      <c r="J102" s="447">
        <v>3</v>
      </c>
      <c r="K102" s="446">
        <f>P14</f>
        <v>9.9999999999999995E-7</v>
      </c>
      <c r="L102" s="446">
        <f t="shared" ref="L102:O102" si="29">Q14</f>
        <v>9.9999999999999995E-7</v>
      </c>
      <c r="M102" s="446">
        <f t="shared" si="29"/>
        <v>9.9999999999999995E-7</v>
      </c>
      <c r="N102" s="446">
        <f t="shared" si="29"/>
        <v>9.9999999999999995E-7</v>
      </c>
      <c r="O102" s="446">
        <f t="shared" si="29"/>
        <v>0.59</v>
      </c>
    </row>
    <row r="103" spans="1:17" ht="13">
      <c r="A103" s="1004"/>
      <c r="B103" s="447">
        <v>4</v>
      </c>
      <c r="C103" s="307">
        <f>B37</f>
        <v>150</v>
      </c>
      <c r="D103" s="307">
        <f t="shared" ref="D103:G103" si="30">C37</f>
        <v>-0.09</v>
      </c>
      <c r="E103" s="307">
        <f t="shared" si="30"/>
        <v>0.11</v>
      </c>
      <c r="F103" s="307">
        <f t="shared" si="30"/>
        <v>0.1</v>
      </c>
      <c r="G103" s="307">
        <f t="shared" si="30"/>
        <v>0.47</v>
      </c>
      <c r="I103" s="1004"/>
      <c r="J103" s="447">
        <v>4</v>
      </c>
      <c r="K103" s="446">
        <f>B45</f>
        <v>0</v>
      </c>
      <c r="L103" s="446">
        <f t="shared" ref="L103:O103" si="31">C45</f>
        <v>9.9999999999999995E-7</v>
      </c>
      <c r="M103" s="446">
        <f t="shared" si="31"/>
        <v>9.9999999999999995E-7</v>
      </c>
      <c r="N103" s="446">
        <f t="shared" si="31"/>
        <v>9.9999999999999995E-7</v>
      </c>
      <c r="O103" s="446">
        <f t="shared" si="31"/>
        <v>0.28999999999999998</v>
      </c>
    </row>
    <row r="104" spans="1:17" ht="13">
      <c r="A104" s="1004"/>
      <c r="B104" s="447">
        <v>5</v>
      </c>
      <c r="C104" s="307">
        <f>I37</f>
        <v>150</v>
      </c>
      <c r="D104" s="307">
        <f t="shared" ref="D104:G104" si="32">J37</f>
        <v>-0.06</v>
      </c>
      <c r="E104" s="307">
        <f t="shared" si="32"/>
        <v>0.02</v>
      </c>
      <c r="F104" s="307">
        <f t="shared" si="32"/>
        <v>0.04</v>
      </c>
      <c r="G104" s="307">
        <f t="shared" si="32"/>
        <v>0.47</v>
      </c>
      <c r="I104" s="1004"/>
      <c r="J104" s="447">
        <v>5</v>
      </c>
      <c r="K104" s="446">
        <f>I45</f>
        <v>0</v>
      </c>
      <c r="L104" s="446">
        <f t="shared" ref="L104:O104" si="33">J45</f>
        <v>9.9999999999999995E-7</v>
      </c>
      <c r="M104" s="446">
        <f t="shared" si="33"/>
        <v>9.9999999999999995E-7</v>
      </c>
      <c r="N104" s="446">
        <f t="shared" si="33"/>
        <v>9.9999999999999995E-7</v>
      </c>
      <c r="O104" s="446">
        <f t="shared" si="33"/>
        <v>0.28999999999999998</v>
      </c>
    </row>
    <row r="105" spans="1:17" ht="13">
      <c r="A105" s="1004"/>
      <c r="B105" s="447">
        <v>6</v>
      </c>
      <c r="C105" s="307">
        <f>P37</f>
        <v>150</v>
      </c>
      <c r="D105" s="307">
        <f t="shared" ref="D105:G105" si="34">Q37</f>
        <v>0.03</v>
      </c>
      <c r="E105" s="307">
        <f t="shared" si="34"/>
        <v>-0.15</v>
      </c>
      <c r="F105" s="307">
        <f t="shared" si="34"/>
        <v>0.09</v>
      </c>
      <c r="G105" s="307">
        <f t="shared" si="34"/>
        <v>1.2</v>
      </c>
      <c r="I105" s="1004"/>
      <c r="J105" s="447">
        <v>6</v>
      </c>
      <c r="K105" s="446">
        <f>P45</f>
        <v>9.9999999999999995E-7</v>
      </c>
      <c r="L105" s="446">
        <f t="shared" ref="L105:O105" si="35">Q45</f>
        <v>9.9999999999999995E-7</v>
      </c>
      <c r="M105" s="446">
        <f t="shared" si="35"/>
        <v>9.9999999999999995E-7</v>
      </c>
      <c r="N105" s="446">
        <f t="shared" si="35"/>
        <v>9.9999999999999995E-7</v>
      </c>
      <c r="O105" s="446">
        <f t="shared" si="35"/>
        <v>0.59</v>
      </c>
    </row>
    <row r="106" spans="1:17" ht="13">
      <c r="A106" s="1004"/>
      <c r="B106" s="447">
        <v>7</v>
      </c>
      <c r="C106" s="307">
        <f>B68</f>
        <v>150</v>
      </c>
      <c r="D106" s="307">
        <f t="shared" ref="D106:G106" si="36">C68</f>
        <v>0.21</v>
      </c>
      <c r="E106" s="307">
        <f t="shared" si="36"/>
        <v>0.21</v>
      </c>
      <c r="F106" s="307">
        <f t="shared" si="36"/>
        <v>9.9999999999999995E-7</v>
      </c>
      <c r="G106" s="307">
        <f t="shared" si="36"/>
        <v>1.2</v>
      </c>
      <c r="I106" s="1004"/>
      <c r="J106" s="447">
        <v>7</v>
      </c>
      <c r="K106" s="446">
        <f>B76</f>
        <v>0</v>
      </c>
      <c r="L106" s="446">
        <f t="shared" ref="L106:O106" si="37">C76</f>
        <v>9.9999999999999995E-7</v>
      </c>
      <c r="M106" s="446">
        <f t="shared" si="37"/>
        <v>9.9999999999999995E-7</v>
      </c>
      <c r="N106" s="446">
        <f t="shared" si="37"/>
        <v>9.9999999999999995E-7</v>
      </c>
      <c r="O106" s="446">
        <f t="shared" si="37"/>
        <v>0.59</v>
      </c>
    </row>
    <row r="107" spans="1:17" ht="13">
      <c r="A107" s="1004"/>
      <c r="B107" s="447">
        <v>8</v>
      </c>
      <c r="C107" s="307">
        <f>I68</f>
        <v>150</v>
      </c>
      <c r="D107" s="307">
        <f t="shared" ref="D107:G107" si="38">J68</f>
        <v>9.9999999999999995E-7</v>
      </c>
      <c r="E107" s="307">
        <f t="shared" si="38"/>
        <v>-0.17</v>
      </c>
      <c r="F107" s="307">
        <f t="shared" si="38"/>
        <v>8.5000500000000007E-2</v>
      </c>
      <c r="G107" s="307">
        <f t="shared" si="38"/>
        <v>1.2</v>
      </c>
      <c r="I107" s="1004"/>
      <c r="J107" s="447">
        <v>8</v>
      </c>
      <c r="K107" s="446">
        <f>I76</f>
        <v>0</v>
      </c>
      <c r="L107" s="446">
        <f t="shared" ref="L107:O107" si="39">J76</f>
        <v>9.9999999999999995E-7</v>
      </c>
      <c r="M107" s="446">
        <f t="shared" si="39"/>
        <v>9.9999999999999995E-7</v>
      </c>
      <c r="N107" s="446">
        <f t="shared" si="39"/>
        <v>9.9999999999999995E-7</v>
      </c>
      <c r="O107" s="446">
        <f t="shared" si="39"/>
        <v>0.59</v>
      </c>
    </row>
    <row r="108" spans="1:17" ht="13">
      <c r="A108" s="1004"/>
      <c r="B108" s="447">
        <v>9</v>
      </c>
      <c r="C108" s="307">
        <f>P68</f>
        <v>150</v>
      </c>
      <c r="D108" s="307">
        <f t="shared" ref="D108:G108" si="40">Q68</f>
        <v>-0.24</v>
      </c>
      <c r="E108" s="307">
        <f t="shared" si="40"/>
        <v>-0.17</v>
      </c>
      <c r="F108" s="307">
        <f t="shared" si="40"/>
        <v>3.4999999999999989E-2</v>
      </c>
      <c r="G108" s="307">
        <f t="shared" si="40"/>
        <v>1.2</v>
      </c>
      <c r="I108" s="1004"/>
      <c r="J108" s="447">
        <v>9</v>
      </c>
      <c r="K108" s="446">
        <f>P76</f>
        <v>9.9999999999999995E-7</v>
      </c>
      <c r="L108" s="446">
        <f t="shared" ref="L108:O108" si="41">Q76</f>
        <v>9.9999999999999995E-7</v>
      </c>
      <c r="M108" s="446">
        <f t="shared" si="41"/>
        <v>9.9999999999999995E-7</v>
      </c>
      <c r="N108" s="446">
        <f t="shared" si="41"/>
        <v>9.9999999999999995E-7</v>
      </c>
      <c r="O108" s="446">
        <f t="shared" si="41"/>
        <v>0.59</v>
      </c>
    </row>
    <row r="109" spans="1:17" ht="14">
      <c r="A109" s="1004" t="s">
        <v>42</v>
      </c>
      <c r="B109" s="304">
        <v>1</v>
      </c>
      <c r="C109" s="305">
        <f>B7</f>
        <v>180</v>
      </c>
      <c r="D109" s="305">
        <f t="shared" ref="D109:G109" si="42">C7</f>
        <v>-0.13</v>
      </c>
      <c r="E109" s="305">
        <f t="shared" si="42"/>
        <v>0.1</v>
      </c>
      <c r="F109" s="305">
        <f t="shared" si="42"/>
        <v>0.115</v>
      </c>
      <c r="G109" s="305">
        <f t="shared" si="42"/>
        <v>0.47</v>
      </c>
      <c r="I109" s="1004" t="s">
        <v>42</v>
      </c>
      <c r="J109" s="304">
        <v>1</v>
      </c>
      <c r="K109" s="448">
        <f>B15</f>
        <v>50</v>
      </c>
      <c r="L109" s="448">
        <f t="shared" ref="L109:O109" si="43">C15</f>
        <v>-0.06</v>
      </c>
      <c r="M109" s="448">
        <f t="shared" si="43"/>
        <v>0.1</v>
      </c>
      <c r="N109" s="448">
        <f t="shared" si="43"/>
        <v>0.08</v>
      </c>
      <c r="O109" s="448">
        <f t="shared" si="43"/>
        <v>0.28999999999999998</v>
      </c>
    </row>
    <row r="110" spans="1:17" ht="14">
      <c r="A110" s="1004"/>
      <c r="B110" s="306">
        <v>2</v>
      </c>
      <c r="C110" s="448">
        <f>I7</f>
        <v>180</v>
      </c>
      <c r="D110" s="448">
        <f t="shared" ref="D110:G110" si="44">J7</f>
        <v>-0.06</v>
      </c>
      <c r="E110" s="305">
        <f t="shared" si="44"/>
        <v>0.12</v>
      </c>
      <c r="F110" s="448">
        <f t="shared" si="44"/>
        <v>0.09</v>
      </c>
      <c r="G110" s="448">
        <f t="shared" si="44"/>
        <v>0.47</v>
      </c>
      <c r="I110" s="1004"/>
      <c r="J110" s="306">
        <v>2</v>
      </c>
      <c r="K110" s="448">
        <f>I15</f>
        <v>50</v>
      </c>
      <c r="L110" s="305">
        <f t="shared" ref="L110:O110" si="45">J15</f>
        <v>0.1</v>
      </c>
      <c r="M110" s="449">
        <f t="shared" si="45"/>
        <v>0.1</v>
      </c>
      <c r="N110" s="448">
        <f t="shared" si="45"/>
        <v>9.9999999999999995E-7</v>
      </c>
      <c r="O110" s="448">
        <f t="shared" si="45"/>
        <v>0.28999999999999998</v>
      </c>
    </row>
    <row r="111" spans="1:17">
      <c r="A111" s="1004"/>
      <c r="B111" s="447">
        <v>3</v>
      </c>
      <c r="C111" s="448">
        <f>P7</f>
        <v>180</v>
      </c>
      <c r="D111" s="448">
        <f t="shared" ref="D111:G111" si="46">Q7</f>
        <v>-0.13</v>
      </c>
      <c r="E111" s="448">
        <f t="shared" si="46"/>
        <v>-1.81</v>
      </c>
      <c r="F111" s="448">
        <f t="shared" si="46"/>
        <v>0.84000000000000008</v>
      </c>
      <c r="G111" s="448">
        <f t="shared" si="46"/>
        <v>1.2</v>
      </c>
      <c r="I111" s="1004"/>
      <c r="J111" s="447">
        <v>3</v>
      </c>
      <c r="K111" s="448">
        <f>P15</f>
        <v>50</v>
      </c>
      <c r="L111" s="448">
        <f t="shared" ref="L111:O111" si="47">Q15</f>
        <v>2</v>
      </c>
      <c r="M111" s="448">
        <f t="shared" si="47"/>
        <v>9.1</v>
      </c>
      <c r="N111" s="448">
        <f t="shared" si="47"/>
        <v>3.55</v>
      </c>
      <c r="O111" s="448">
        <f t="shared" si="47"/>
        <v>0.59</v>
      </c>
    </row>
    <row r="112" spans="1:17">
      <c r="A112" s="1004"/>
      <c r="B112" s="447">
        <v>4</v>
      </c>
      <c r="C112" s="448">
        <f>B38</f>
        <v>180</v>
      </c>
      <c r="D112" s="448">
        <f t="shared" ref="D112:G112" si="48">C38</f>
        <v>-0.09</v>
      </c>
      <c r="E112" s="448">
        <f t="shared" si="48"/>
        <v>0.03</v>
      </c>
      <c r="F112" s="448">
        <f t="shared" si="48"/>
        <v>0.06</v>
      </c>
      <c r="G112" s="448">
        <f t="shared" si="48"/>
        <v>0.47</v>
      </c>
      <c r="I112" s="1004"/>
      <c r="J112" s="447">
        <v>4</v>
      </c>
      <c r="K112" s="448">
        <f>B46</f>
        <v>50</v>
      </c>
      <c r="L112" s="448">
        <f t="shared" ref="L112:O112" si="49">C46</f>
        <v>-0.1</v>
      </c>
      <c r="M112" s="448">
        <f t="shared" si="49"/>
        <v>0.2</v>
      </c>
      <c r="N112" s="448">
        <f t="shared" si="49"/>
        <v>0.15000000000000002</v>
      </c>
      <c r="O112" s="448">
        <f t="shared" si="49"/>
        <v>0.28999999999999998</v>
      </c>
    </row>
    <row r="113" spans="1:15">
      <c r="A113" s="1004"/>
      <c r="B113" s="447">
        <v>5</v>
      </c>
      <c r="C113" s="448">
        <f>I38</f>
        <v>180</v>
      </c>
      <c r="D113" s="448">
        <f t="shared" ref="D113:G113" si="50">J38</f>
        <v>-0.11</v>
      </c>
      <c r="E113" s="448">
        <f t="shared" si="50"/>
        <v>0.1</v>
      </c>
      <c r="F113" s="448">
        <f t="shared" si="50"/>
        <v>0.10500000000000001</v>
      </c>
      <c r="G113" s="448">
        <f t="shared" si="50"/>
        <v>0.47</v>
      </c>
      <c r="I113" s="1004"/>
      <c r="J113" s="447">
        <v>5</v>
      </c>
      <c r="K113" s="448">
        <f>I46</f>
        <v>50</v>
      </c>
      <c r="L113" s="448">
        <f t="shared" ref="L113:O113" si="51">J46</f>
        <v>4.7</v>
      </c>
      <c r="M113" s="448">
        <f t="shared" si="51"/>
        <v>-0.33</v>
      </c>
      <c r="N113" s="448">
        <f t="shared" si="51"/>
        <v>2.5150000000000001</v>
      </c>
      <c r="O113" s="448">
        <f t="shared" si="51"/>
        <v>0.28999999999999998</v>
      </c>
    </row>
    <row r="114" spans="1:15">
      <c r="A114" s="1004"/>
      <c r="B114" s="447">
        <v>6</v>
      </c>
      <c r="C114" s="448">
        <f>P38</f>
        <v>180</v>
      </c>
      <c r="D114" s="448">
        <f t="shared" ref="D114:G114" si="52">Q38</f>
        <v>9.9999999999999995E-7</v>
      </c>
      <c r="E114" s="448">
        <f t="shared" si="52"/>
        <v>-0.11</v>
      </c>
      <c r="F114" s="448">
        <f t="shared" si="52"/>
        <v>5.5000500000000001E-2</v>
      </c>
      <c r="G114" s="448">
        <f t="shared" si="52"/>
        <v>1.2</v>
      </c>
      <c r="I114" s="1004"/>
      <c r="J114" s="447">
        <v>6</v>
      </c>
      <c r="K114" s="448">
        <f>P46</f>
        <v>50</v>
      </c>
      <c r="L114" s="448">
        <f t="shared" ref="L114:O114" si="53">Q46</f>
        <v>2.1</v>
      </c>
      <c r="M114" s="448">
        <f t="shared" si="53"/>
        <v>2.6</v>
      </c>
      <c r="N114" s="448">
        <f t="shared" si="53"/>
        <v>0.25</v>
      </c>
      <c r="O114" s="448">
        <f t="shared" si="53"/>
        <v>0.59</v>
      </c>
    </row>
    <row r="115" spans="1:15">
      <c r="A115" s="1004"/>
      <c r="B115" s="447">
        <v>7</v>
      </c>
      <c r="C115" s="448">
        <f>B69</f>
        <v>180</v>
      </c>
      <c r="D115" s="448">
        <f t="shared" ref="D115:G115" si="54">C69</f>
        <v>0.33</v>
      </c>
      <c r="E115" s="448">
        <f t="shared" si="54"/>
        <v>0.33</v>
      </c>
      <c r="F115" s="448">
        <f t="shared" si="54"/>
        <v>9.9999999999999995E-7</v>
      </c>
      <c r="G115" s="448">
        <f t="shared" si="54"/>
        <v>1.2</v>
      </c>
      <c r="I115" s="1004"/>
      <c r="J115" s="447">
        <v>7</v>
      </c>
      <c r="K115" s="448">
        <f>B77</f>
        <v>50</v>
      </c>
      <c r="L115" s="448">
        <f t="shared" ref="L115:O115" si="55">C77</f>
        <v>1.7</v>
      </c>
      <c r="M115" s="448">
        <f t="shared" si="55"/>
        <v>1.7</v>
      </c>
      <c r="N115" s="448">
        <f t="shared" si="55"/>
        <v>9.9999999999999995E-7</v>
      </c>
      <c r="O115" s="448">
        <f t="shared" si="55"/>
        <v>0.59</v>
      </c>
    </row>
    <row r="116" spans="1:15">
      <c r="A116" s="1004"/>
      <c r="B116" s="447">
        <v>8</v>
      </c>
      <c r="C116" s="448">
        <f>I69</f>
        <v>180</v>
      </c>
      <c r="D116" s="448">
        <f t="shared" ref="D116:G116" si="56">J69</f>
        <v>9.9999999999999995E-7</v>
      </c>
      <c r="E116" s="448">
        <f t="shared" si="56"/>
        <v>-0.22</v>
      </c>
      <c r="F116" s="448">
        <f t="shared" si="56"/>
        <v>0.1100005</v>
      </c>
      <c r="G116" s="448">
        <f t="shared" si="56"/>
        <v>1.2</v>
      </c>
      <c r="I116" s="1004"/>
      <c r="J116" s="447">
        <v>8</v>
      </c>
      <c r="K116" s="448">
        <f>I77</f>
        <v>50</v>
      </c>
      <c r="L116" s="448">
        <f t="shared" ref="L116:O116" si="57">J77</f>
        <v>9.9999999999999995E-7</v>
      </c>
      <c r="M116" s="448">
        <f t="shared" si="57"/>
        <v>1.7</v>
      </c>
      <c r="N116" s="448">
        <f t="shared" si="57"/>
        <v>0.84999950000000002</v>
      </c>
      <c r="O116" s="448">
        <f t="shared" si="57"/>
        <v>0.59</v>
      </c>
    </row>
    <row r="117" spans="1:15">
      <c r="A117" s="1004"/>
      <c r="B117" s="447">
        <v>9</v>
      </c>
      <c r="C117" s="448">
        <f>P69</f>
        <v>180</v>
      </c>
      <c r="D117" s="448">
        <f t="shared" ref="D117:G117" si="58">Q69</f>
        <v>-0.14000000000000001</v>
      </c>
      <c r="E117" s="448">
        <f t="shared" si="58"/>
        <v>-0.39</v>
      </c>
      <c r="F117" s="448">
        <f t="shared" si="58"/>
        <v>0.125</v>
      </c>
      <c r="G117" s="448">
        <f t="shared" si="58"/>
        <v>1.2</v>
      </c>
      <c r="I117" s="1004"/>
      <c r="J117" s="447">
        <v>9</v>
      </c>
      <c r="K117" s="448">
        <f>P77</f>
        <v>50</v>
      </c>
      <c r="L117" s="448">
        <f t="shared" ref="L117:O117" si="59">Q77</f>
        <v>2.1</v>
      </c>
      <c r="M117" s="448">
        <f t="shared" si="59"/>
        <v>5</v>
      </c>
      <c r="N117" s="448">
        <f t="shared" si="59"/>
        <v>1.45</v>
      </c>
      <c r="O117" s="448">
        <f t="shared" si="59"/>
        <v>0.59</v>
      </c>
    </row>
    <row r="118" spans="1:15" ht="14">
      <c r="A118" s="1004" t="s">
        <v>43</v>
      </c>
      <c r="B118" s="304">
        <v>1</v>
      </c>
      <c r="C118" s="305">
        <f>B8</f>
        <v>200</v>
      </c>
      <c r="D118" s="305">
        <f t="shared" ref="D118:G118" si="60">C8</f>
        <v>-0.16</v>
      </c>
      <c r="E118" s="305">
        <f t="shared" si="60"/>
        <v>-0.04</v>
      </c>
      <c r="F118" s="305">
        <f t="shared" si="60"/>
        <v>0.06</v>
      </c>
      <c r="G118" s="305">
        <f t="shared" si="60"/>
        <v>0.47</v>
      </c>
      <c r="I118" s="1004" t="s">
        <v>43</v>
      </c>
      <c r="J118" s="304">
        <v>1</v>
      </c>
      <c r="K118" s="448">
        <f>B16</f>
        <v>100</v>
      </c>
      <c r="L118" s="448">
        <f t="shared" ref="L118:O118" si="61">C16</f>
        <v>-0.06</v>
      </c>
      <c r="M118" s="448">
        <f t="shared" si="61"/>
        <v>0.2</v>
      </c>
      <c r="N118" s="448">
        <f t="shared" si="61"/>
        <v>0.13</v>
      </c>
      <c r="O118" s="448">
        <f t="shared" si="61"/>
        <v>0.28999999999999998</v>
      </c>
    </row>
    <row r="119" spans="1:15" ht="14">
      <c r="A119" s="1004"/>
      <c r="B119" s="306">
        <v>2</v>
      </c>
      <c r="C119" s="305">
        <f>I8</f>
        <v>200</v>
      </c>
      <c r="D119" s="305">
        <f t="shared" ref="D119:G119" si="62">J8</f>
        <v>-0.18</v>
      </c>
      <c r="E119" s="305">
        <f t="shared" si="62"/>
        <v>0.06</v>
      </c>
      <c r="F119" s="305">
        <f t="shared" si="62"/>
        <v>0.12</v>
      </c>
      <c r="G119" s="305">
        <f t="shared" si="62"/>
        <v>0.47</v>
      </c>
      <c r="I119" s="1004"/>
      <c r="J119" s="306">
        <v>2</v>
      </c>
      <c r="K119" s="448">
        <f>I16</f>
        <v>100</v>
      </c>
      <c r="L119" s="448">
        <f t="shared" ref="L119:O119" si="63">J16</f>
        <v>2.2000000000000002</v>
      </c>
      <c r="M119" s="448">
        <f t="shared" si="63"/>
        <v>0.4</v>
      </c>
      <c r="N119" s="448">
        <f t="shared" si="63"/>
        <v>0.90000000000000013</v>
      </c>
      <c r="O119" s="448">
        <f t="shared" si="63"/>
        <v>0.28999999999999998</v>
      </c>
    </row>
    <row r="120" spans="1:15">
      <c r="A120" s="1004"/>
      <c r="B120" s="447">
        <v>3</v>
      </c>
      <c r="C120" s="448">
        <f>P8</f>
        <v>200</v>
      </c>
      <c r="D120" s="448">
        <f t="shared" ref="D120:G120" si="64">Q8</f>
        <v>-0.26</v>
      </c>
      <c r="E120" s="448">
        <f t="shared" si="64"/>
        <v>-2.0499999999999998</v>
      </c>
      <c r="F120" s="448">
        <f t="shared" si="64"/>
        <v>0.89499999999999991</v>
      </c>
      <c r="G120" s="448">
        <f t="shared" si="64"/>
        <v>1.2</v>
      </c>
      <c r="I120" s="1004"/>
      <c r="J120" s="447">
        <v>3</v>
      </c>
      <c r="K120" s="448">
        <f>P16</f>
        <v>100</v>
      </c>
      <c r="L120" s="448">
        <f t="shared" ref="L120:O120" si="65">Q16</f>
        <v>2</v>
      </c>
      <c r="M120" s="448">
        <f t="shared" si="65"/>
        <v>6</v>
      </c>
      <c r="N120" s="448">
        <f t="shared" si="65"/>
        <v>2</v>
      </c>
      <c r="O120" s="448">
        <f t="shared" si="65"/>
        <v>0.59</v>
      </c>
    </row>
    <row r="121" spans="1:15">
      <c r="A121" s="1004"/>
      <c r="B121" s="447">
        <v>4</v>
      </c>
      <c r="C121" s="448">
        <f>B39</f>
        <v>200</v>
      </c>
      <c r="D121" s="448">
        <f t="shared" ref="D121:G121" si="66">C39</f>
        <v>-0.14000000000000001</v>
      </c>
      <c r="E121" s="448">
        <f t="shared" si="66"/>
        <v>0.05</v>
      </c>
      <c r="F121" s="448">
        <f t="shared" si="66"/>
        <v>9.5000000000000001E-2</v>
      </c>
      <c r="G121" s="448">
        <f t="shared" si="66"/>
        <v>0.47</v>
      </c>
      <c r="I121" s="1004"/>
      <c r="J121" s="447">
        <v>4</v>
      </c>
      <c r="K121" s="448">
        <f>B47</f>
        <v>100</v>
      </c>
      <c r="L121" s="448">
        <f t="shared" ref="L121:O121" si="67">C47</f>
        <v>-0.1</v>
      </c>
      <c r="M121" s="448">
        <f t="shared" si="67"/>
        <v>0.3</v>
      </c>
      <c r="N121" s="448">
        <f t="shared" si="67"/>
        <v>0.2</v>
      </c>
      <c r="O121" s="448">
        <f t="shared" si="67"/>
        <v>0.28999999999999998</v>
      </c>
    </row>
    <row r="122" spans="1:15">
      <c r="A122" s="1004"/>
      <c r="B122" s="447">
        <v>5</v>
      </c>
      <c r="C122" s="448">
        <f>I39</f>
        <v>200</v>
      </c>
      <c r="D122" s="448">
        <f t="shared" ref="D122:G122" si="68">J39</f>
        <v>-0.17</v>
      </c>
      <c r="E122" s="448">
        <f t="shared" si="68"/>
        <v>-0.03</v>
      </c>
      <c r="F122" s="448">
        <f t="shared" si="68"/>
        <v>7.0000000000000007E-2</v>
      </c>
      <c r="G122" s="448">
        <f t="shared" si="68"/>
        <v>0.47</v>
      </c>
      <c r="I122" s="1004"/>
      <c r="J122" s="447">
        <v>5</v>
      </c>
      <c r="K122" s="448">
        <f>I47</f>
        <v>100</v>
      </c>
      <c r="L122" s="448">
        <f t="shared" ref="L122:O122" si="69">J47</f>
        <v>4.4000000000000004</v>
      </c>
      <c r="M122" s="448">
        <f t="shared" si="69"/>
        <v>-0.42</v>
      </c>
      <c r="N122" s="448">
        <f t="shared" si="69"/>
        <v>2.41</v>
      </c>
      <c r="O122" s="448">
        <f t="shared" si="69"/>
        <v>0.28999999999999998</v>
      </c>
    </row>
    <row r="123" spans="1:15">
      <c r="A123" s="1004"/>
      <c r="B123" s="447">
        <v>6</v>
      </c>
      <c r="C123" s="448">
        <f>P39</f>
        <v>200</v>
      </c>
      <c r="D123" s="448">
        <f t="shared" ref="D123:G123" si="70">Q39</f>
        <v>0.05</v>
      </c>
      <c r="E123" s="448">
        <f t="shared" si="70"/>
        <v>-0.1</v>
      </c>
      <c r="F123" s="448">
        <f t="shared" si="70"/>
        <v>7.5000000000000011E-2</v>
      </c>
      <c r="G123" s="448">
        <f t="shared" si="70"/>
        <v>1.2</v>
      </c>
      <c r="I123" s="1004"/>
      <c r="J123" s="447">
        <v>6</v>
      </c>
      <c r="K123" s="448">
        <f>P47</f>
        <v>100</v>
      </c>
      <c r="L123" s="448">
        <f t="shared" ref="L123:O123" si="71">Q47</f>
        <v>2.2999999999999998</v>
      </c>
      <c r="M123" s="448">
        <f t="shared" si="71"/>
        <v>2.6</v>
      </c>
      <c r="N123" s="448">
        <f t="shared" si="71"/>
        <v>0.15000000000000013</v>
      </c>
      <c r="O123" s="448">
        <f t="shared" si="71"/>
        <v>0.59</v>
      </c>
    </row>
    <row r="124" spans="1:15">
      <c r="A124" s="1004"/>
      <c r="B124" s="447">
        <v>7</v>
      </c>
      <c r="C124" s="448">
        <f>B70</f>
        <v>200</v>
      </c>
      <c r="D124" s="448">
        <f t="shared" ref="D124:G124" si="72">C70</f>
        <v>0.34</v>
      </c>
      <c r="E124" s="448">
        <f t="shared" si="72"/>
        <v>0.34</v>
      </c>
      <c r="F124" s="448">
        <f t="shared" si="72"/>
        <v>9.9999999999999995E-7</v>
      </c>
      <c r="G124" s="448">
        <f t="shared" si="72"/>
        <v>1.2</v>
      </c>
      <c r="I124" s="1004"/>
      <c r="J124" s="447">
        <v>7</v>
      </c>
      <c r="K124" s="448">
        <f>B78</f>
        <v>100</v>
      </c>
      <c r="L124" s="448">
        <f t="shared" ref="L124:O124" si="73">C78</f>
        <v>1.7</v>
      </c>
      <c r="M124" s="448">
        <f t="shared" si="73"/>
        <v>1.7</v>
      </c>
      <c r="N124" s="448">
        <f t="shared" si="73"/>
        <v>9.9999999999999995E-7</v>
      </c>
      <c r="O124" s="448">
        <f t="shared" si="73"/>
        <v>0.59</v>
      </c>
    </row>
    <row r="125" spans="1:15">
      <c r="A125" s="1004"/>
      <c r="B125" s="447">
        <v>8</v>
      </c>
      <c r="C125" s="448">
        <f>I70</f>
        <v>200</v>
      </c>
      <c r="D125" s="448">
        <f t="shared" ref="D125:G125" si="74">J70</f>
        <v>9.9999999999999995E-7</v>
      </c>
      <c r="E125" s="448">
        <f t="shared" si="74"/>
        <v>-0.33</v>
      </c>
      <c r="F125" s="448">
        <f t="shared" si="74"/>
        <v>0.16500049999999999</v>
      </c>
      <c r="G125" s="448">
        <f t="shared" si="74"/>
        <v>1.2</v>
      </c>
      <c r="I125" s="1004"/>
      <c r="J125" s="447">
        <v>8</v>
      </c>
      <c r="K125" s="448">
        <f>I78</f>
        <v>100</v>
      </c>
      <c r="L125" s="448">
        <f t="shared" ref="L125:O125" si="75">J78</f>
        <v>9.9999999999999995E-7</v>
      </c>
      <c r="M125" s="448">
        <f t="shared" si="75"/>
        <v>3.4</v>
      </c>
      <c r="N125" s="448">
        <f t="shared" si="75"/>
        <v>1.6999994999999999</v>
      </c>
      <c r="O125" s="448">
        <f t="shared" si="75"/>
        <v>0.59</v>
      </c>
    </row>
    <row r="126" spans="1:15">
      <c r="A126" s="1004"/>
      <c r="B126" s="447">
        <v>9</v>
      </c>
      <c r="C126" s="448">
        <f>P70</f>
        <v>200</v>
      </c>
      <c r="D126" s="448">
        <f t="shared" ref="D126:G126" si="76">Q70</f>
        <v>-0.33</v>
      </c>
      <c r="E126" s="448">
        <f t="shared" si="76"/>
        <v>-0.23</v>
      </c>
      <c r="F126" s="448">
        <f t="shared" si="76"/>
        <v>0.05</v>
      </c>
      <c r="G126" s="448">
        <f t="shared" si="76"/>
        <v>1.2</v>
      </c>
      <c r="I126" s="1004"/>
      <c r="J126" s="447">
        <v>9</v>
      </c>
      <c r="K126" s="448">
        <f>P78</f>
        <v>100</v>
      </c>
      <c r="L126" s="448">
        <f t="shared" ref="L126:O126" si="77">Q78</f>
        <v>3.7</v>
      </c>
      <c r="M126" s="448">
        <f t="shared" si="77"/>
        <v>0.7</v>
      </c>
      <c r="N126" s="448">
        <f t="shared" si="77"/>
        <v>1.5</v>
      </c>
      <c r="O126" s="448">
        <f t="shared" si="77"/>
        <v>0.59</v>
      </c>
    </row>
    <row r="127" spans="1:15" ht="14">
      <c r="A127" s="1004" t="s">
        <v>44</v>
      </c>
      <c r="B127" s="304">
        <v>1</v>
      </c>
      <c r="C127" s="305">
        <f>B9</f>
        <v>220</v>
      </c>
      <c r="D127" s="305">
        <f t="shared" ref="D127:G127" si="78">C9</f>
        <v>-0.18</v>
      </c>
      <c r="E127" s="305">
        <f t="shared" si="78"/>
        <v>-0.28000000000000003</v>
      </c>
      <c r="F127" s="305">
        <f t="shared" si="78"/>
        <v>5.0000000000000017E-2</v>
      </c>
      <c r="G127" s="305">
        <f t="shared" si="78"/>
        <v>0.47</v>
      </c>
      <c r="I127" s="1004" t="s">
        <v>44</v>
      </c>
      <c r="J127" s="304">
        <v>1</v>
      </c>
      <c r="K127" s="448">
        <f>B17</f>
        <v>200</v>
      </c>
      <c r="L127" s="448">
        <f t="shared" ref="L127:O127" si="79">C17</f>
        <v>0</v>
      </c>
      <c r="M127" s="448">
        <f t="shared" si="79"/>
        <v>0.4</v>
      </c>
      <c r="N127" s="448">
        <f t="shared" si="79"/>
        <v>0.2</v>
      </c>
      <c r="O127" s="448">
        <f t="shared" si="79"/>
        <v>0.28999999999999998</v>
      </c>
    </row>
    <row r="128" spans="1:15" ht="14">
      <c r="A128" s="1004"/>
      <c r="B128" s="306">
        <v>2</v>
      </c>
      <c r="C128" s="448">
        <f>I9</f>
        <v>220</v>
      </c>
      <c r="D128" s="448">
        <f t="shared" ref="D128:G128" si="80">J9</f>
        <v>-0.03</v>
      </c>
      <c r="E128" s="448">
        <f t="shared" si="80"/>
        <v>0.05</v>
      </c>
      <c r="F128" s="448">
        <f t="shared" si="80"/>
        <v>0.04</v>
      </c>
      <c r="G128" s="448">
        <f t="shared" si="80"/>
        <v>0.47</v>
      </c>
      <c r="I128" s="1004"/>
      <c r="J128" s="306">
        <v>2</v>
      </c>
      <c r="K128" s="448">
        <f>I17</f>
        <v>200</v>
      </c>
      <c r="L128" s="448">
        <f t="shared" ref="L128:O128" si="81">J17</f>
        <v>3.3</v>
      </c>
      <c r="M128" s="448">
        <f t="shared" si="81"/>
        <v>0.7</v>
      </c>
      <c r="N128" s="448">
        <f t="shared" si="81"/>
        <v>1.2999999999999998</v>
      </c>
      <c r="O128" s="448">
        <f t="shared" si="81"/>
        <v>0.28999999999999998</v>
      </c>
    </row>
    <row r="129" spans="1:15">
      <c r="A129" s="1004"/>
      <c r="B129" s="447">
        <v>3</v>
      </c>
      <c r="C129" s="448">
        <f>P9</f>
        <v>220</v>
      </c>
      <c r="D129" s="448">
        <f t="shared" ref="D129:G129" si="82">Q9</f>
        <v>-0.28999999999999998</v>
      </c>
      <c r="E129" s="448">
        <f t="shared" si="82"/>
        <v>-2.29</v>
      </c>
      <c r="F129" s="448">
        <f t="shared" si="82"/>
        <v>1</v>
      </c>
      <c r="G129" s="448">
        <f t="shared" si="82"/>
        <v>1.2</v>
      </c>
      <c r="I129" s="1004"/>
      <c r="J129" s="447">
        <v>3</v>
      </c>
      <c r="K129" s="448">
        <f>P17</f>
        <v>200</v>
      </c>
      <c r="L129" s="448">
        <f t="shared" ref="L129:O129" si="83">Q17</f>
        <v>3.6</v>
      </c>
      <c r="M129" s="448">
        <f t="shared" si="83"/>
        <v>-3.6</v>
      </c>
      <c r="N129" s="448">
        <f t="shared" si="83"/>
        <v>3.6</v>
      </c>
      <c r="O129" s="448">
        <f t="shared" si="83"/>
        <v>0.59</v>
      </c>
    </row>
    <row r="130" spans="1:15">
      <c r="A130" s="1004"/>
      <c r="B130" s="447">
        <v>4</v>
      </c>
      <c r="C130" s="448">
        <f>B40</f>
        <v>220</v>
      </c>
      <c r="D130" s="448">
        <f t="shared" ref="D130:G130" si="84">C40</f>
        <v>-0.19</v>
      </c>
      <c r="E130" s="448">
        <f t="shared" si="84"/>
        <v>0.1</v>
      </c>
      <c r="F130" s="448">
        <f t="shared" si="84"/>
        <v>0.14500000000000002</v>
      </c>
      <c r="G130" s="448">
        <f t="shared" si="84"/>
        <v>0.47</v>
      </c>
      <c r="I130" s="1004"/>
      <c r="J130" s="447">
        <v>4</v>
      </c>
      <c r="K130" s="448">
        <f>B48</f>
        <v>200</v>
      </c>
      <c r="L130" s="448">
        <f t="shared" ref="L130:O130" si="85">C48</f>
        <v>1.1000000000000001</v>
      </c>
      <c r="M130" s="448">
        <f t="shared" si="85"/>
        <v>1.4</v>
      </c>
      <c r="N130" s="448">
        <f t="shared" si="85"/>
        <v>0.14999999999999991</v>
      </c>
      <c r="O130" s="448">
        <f t="shared" si="85"/>
        <v>0.28999999999999998</v>
      </c>
    </row>
    <row r="131" spans="1:15">
      <c r="A131" s="1004"/>
      <c r="B131" s="447">
        <v>5</v>
      </c>
      <c r="C131" s="448">
        <f>I40</f>
        <v>220</v>
      </c>
      <c r="D131" s="448">
        <f t="shared" ref="D131:G131" si="86">J40</f>
        <v>-0.25</v>
      </c>
      <c r="E131" s="448">
        <f t="shared" si="86"/>
        <v>0.38</v>
      </c>
      <c r="F131" s="448">
        <f t="shared" si="86"/>
        <v>0.315</v>
      </c>
      <c r="G131" s="448">
        <f t="shared" si="86"/>
        <v>0.47</v>
      </c>
      <c r="I131" s="1004"/>
      <c r="J131" s="447">
        <v>5</v>
      </c>
      <c r="K131" s="448">
        <f>I48</f>
        <v>200</v>
      </c>
      <c r="L131" s="448">
        <f t="shared" ref="L131:O131" si="87">J48</f>
        <v>15.6</v>
      </c>
      <c r="M131" s="448">
        <f t="shared" si="87"/>
        <v>1.3</v>
      </c>
      <c r="N131" s="448">
        <f t="shared" si="87"/>
        <v>7.1499999999999995</v>
      </c>
      <c r="O131" s="448">
        <f t="shared" si="87"/>
        <v>0.28999999999999998</v>
      </c>
    </row>
    <row r="132" spans="1:15">
      <c r="A132" s="1004"/>
      <c r="B132" s="447">
        <v>6</v>
      </c>
      <c r="C132" s="448">
        <f>P40</f>
        <v>220</v>
      </c>
      <c r="D132" s="448">
        <f t="shared" ref="D132:G132" si="88">Q40</f>
        <v>0.05</v>
      </c>
      <c r="E132" s="448">
        <f t="shared" si="88"/>
        <v>-0.13</v>
      </c>
      <c r="F132" s="448">
        <f t="shared" si="88"/>
        <v>0.09</v>
      </c>
      <c r="G132" s="448">
        <f t="shared" si="88"/>
        <v>1.2</v>
      </c>
      <c r="I132" s="1004"/>
      <c r="J132" s="447">
        <v>6</v>
      </c>
      <c r="K132" s="448">
        <f>P48</f>
        <v>200</v>
      </c>
      <c r="L132" s="448">
        <f t="shared" ref="L132:O132" si="89">Q48</f>
        <v>0.2</v>
      </c>
      <c r="M132" s="448">
        <f t="shared" si="89"/>
        <v>3.1</v>
      </c>
      <c r="N132" s="448">
        <f t="shared" si="89"/>
        <v>1.45</v>
      </c>
      <c r="O132" s="448">
        <f t="shared" si="89"/>
        <v>0.59</v>
      </c>
    </row>
    <row r="133" spans="1:15">
      <c r="A133" s="1004"/>
      <c r="B133" s="447">
        <v>7</v>
      </c>
      <c r="C133" s="448">
        <f>B71</f>
        <v>220</v>
      </c>
      <c r="D133" s="448">
        <f t="shared" ref="D133:G133" si="90">C71</f>
        <v>0.37</v>
      </c>
      <c r="E133" s="448">
        <f t="shared" si="90"/>
        <v>0.37</v>
      </c>
      <c r="F133" s="448">
        <f t="shared" si="90"/>
        <v>9.9999999999999995E-7</v>
      </c>
      <c r="G133" s="448">
        <f t="shared" si="90"/>
        <v>1.2</v>
      </c>
      <c r="I133" s="1004"/>
      <c r="J133" s="447">
        <v>7</v>
      </c>
      <c r="K133" s="448">
        <f>B79</f>
        <v>200</v>
      </c>
      <c r="L133" s="448">
        <f t="shared" ref="L133:O133" si="91">C79</f>
        <v>0.4</v>
      </c>
      <c r="M133" s="448">
        <f t="shared" si="91"/>
        <v>0.4</v>
      </c>
      <c r="N133" s="448">
        <f t="shared" si="91"/>
        <v>9.9999999999999995E-7</v>
      </c>
      <c r="O133" s="448">
        <f t="shared" si="91"/>
        <v>0.59</v>
      </c>
    </row>
    <row r="134" spans="1:15">
      <c r="A134" s="1004"/>
      <c r="B134" s="447">
        <v>8</v>
      </c>
      <c r="C134" s="448">
        <f>I71</f>
        <v>220</v>
      </c>
      <c r="D134" s="448">
        <f t="shared" ref="D134:G134" si="92">J71</f>
        <v>9.9999999999999995E-7</v>
      </c>
      <c r="E134" s="448">
        <f t="shared" si="92"/>
        <v>-0.39</v>
      </c>
      <c r="F134" s="448">
        <f t="shared" si="92"/>
        <v>0.19500049999999999</v>
      </c>
      <c r="G134" s="448">
        <f t="shared" si="92"/>
        <v>1.2</v>
      </c>
      <c r="I134" s="1004"/>
      <c r="J134" s="447">
        <v>8</v>
      </c>
      <c r="K134" s="448">
        <f>I79</f>
        <v>500</v>
      </c>
      <c r="L134" s="448">
        <f t="shared" ref="L134:O134" si="93">J79</f>
        <v>9.9999999999999995E-7</v>
      </c>
      <c r="M134" s="448">
        <f t="shared" si="93"/>
        <v>7.2</v>
      </c>
      <c r="N134" s="448">
        <f t="shared" si="93"/>
        <v>3.5999995</v>
      </c>
      <c r="O134" s="448">
        <f t="shared" si="93"/>
        <v>0.59</v>
      </c>
    </row>
    <row r="135" spans="1:15">
      <c r="A135" s="1004"/>
      <c r="B135" s="447">
        <v>9</v>
      </c>
      <c r="C135" s="448">
        <f>P71</f>
        <v>220</v>
      </c>
      <c r="D135" s="448">
        <f t="shared" ref="D135:G135" si="94">Q71</f>
        <v>-0.45</v>
      </c>
      <c r="E135" s="448">
        <f t="shared" si="94"/>
        <v>-0.45</v>
      </c>
      <c r="F135" s="448">
        <f t="shared" si="94"/>
        <v>9.9999999999999995E-7</v>
      </c>
      <c r="G135" s="448">
        <f t="shared" si="94"/>
        <v>1.2</v>
      </c>
      <c r="I135" s="1004"/>
      <c r="J135" s="447">
        <v>9</v>
      </c>
      <c r="K135" s="448">
        <f>P79</f>
        <v>200</v>
      </c>
      <c r="L135" s="448">
        <f t="shared" ref="L135:O135" si="95">Q79</f>
        <v>8.3000000000000007</v>
      </c>
      <c r="M135" s="448">
        <f t="shared" si="95"/>
        <v>-8.1999999999999993</v>
      </c>
      <c r="N135" s="448">
        <f t="shared" si="95"/>
        <v>8.25</v>
      </c>
      <c r="O135" s="448">
        <f t="shared" si="95"/>
        <v>0.59</v>
      </c>
    </row>
    <row r="136" spans="1:15" ht="14">
      <c r="A136" s="1004" t="s">
        <v>45</v>
      </c>
      <c r="B136" s="304">
        <v>1</v>
      </c>
      <c r="C136" s="305">
        <f>B10</f>
        <v>230</v>
      </c>
      <c r="D136" s="305">
        <f t="shared" ref="D136:G136" si="96">C10</f>
        <v>-0.26</v>
      </c>
      <c r="E136" s="305">
        <f t="shared" si="96"/>
        <v>-0.2</v>
      </c>
      <c r="F136" s="305">
        <f t="shared" si="96"/>
        <v>0.03</v>
      </c>
      <c r="G136" s="305">
        <f t="shared" si="96"/>
        <v>0.47</v>
      </c>
      <c r="I136" s="1004" t="s">
        <v>45</v>
      </c>
      <c r="J136" s="304">
        <v>1</v>
      </c>
      <c r="K136" s="448">
        <f>B18</f>
        <v>500</v>
      </c>
      <c r="L136" s="448">
        <f t="shared" ref="L136:O136" si="97">C18</f>
        <v>-0.9</v>
      </c>
      <c r="M136" s="448">
        <f t="shared" si="97"/>
        <v>3.8</v>
      </c>
      <c r="N136" s="448">
        <f t="shared" si="97"/>
        <v>2.35</v>
      </c>
      <c r="O136" s="448">
        <f t="shared" si="97"/>
        <v>0.28999999999999998</v>
      </c>
    </row>
    <row r="137" spans="1:15" ht="14">
      <c r="A137" s="1004"/>
      <c r="B137" s="306">
        <v>2</v>
      </c>
      <c r="C137" s="448">
        <f>I10</f>
        <v>230</v>
      </c>
      <c r="D137" s="448">
        <f t="shared" ref="D137:G137" si="98">J10</f>
        <v>-10.02</v>
      </c>
      <c r="E137" s="448">
        <f t="shared" si="98"/>
        <v>0.05</v>
      </c>
      <c r="F137" s="448">
        <f t="shared" si="98"/>
        <v>5.0350000000000001</v>
      </c>
      <c r="G137" s="448">
        <f t="shared" si="98"/>
        <v>0.47</v>
      </c>
      <c r="I137" s="1004"/>
      <c r="J137" s="306">
        <v>2</v>
      </c>
      <c r="K137" s="448">
        <f>I18</f>
        <v>500</v>
      </c>
      <c r="L137" s="448">
        <f t="shared" ref="L137:O137" si="99">J18</f>
        <v>20</v>
      </c>
      <c r="M137" s="448">
        <f t="shared" si="99"/>
        <v>0.8</v>
      </c>
      <c r="N137" s="448">
        <f t="shared" si="99"/>
        <v>9.6</v>
      </c>
      <c r="O137" s="448">
        <f t="shared" si="99"/>
        <v>0.28999999999999998</v>
      </c>
    </row>
    <row r="138" spans="1:15">
      <c r="A138" s="1004"/>
      <c r="B138" s="447">
        <v>3</v>
      </c>
      <c r="C138" s="448">
        <f>P10</f>
        <v>230</v>
      </c>
      <c r="D138" s="448">
        <f t="shared" ref="D138:G138" si="100">Q10</f>
        <v>-0.23</v>
      </c>
      <c r="E138" s="448">
        <f t="shared" si="100"/>
        <v>-11.79</v>
      </c>
      <c r="F138" s="448">
        <f t="shared" si="100"/>
        <v>5.7799999999999994</v>
      </c>
      <c r="G138" s="448">
        <f t="shared" si="100"/>
        <v>1.2</v>
      </c>
      <c r="I138" s="1004"/>
      <c r="J138" s="447">
        <v>3</v>
      </c>
      <c r="K138" s="448">
        <f>P18</f>
        <v>500</v>
      </c>
      <c r="L138" s="448">
        <f t="shared" ref="L138:O138" si="101">Q18</f>
        <v>2.9</v>
      </c>
      <c r="M138" s="448">
        <f t="shared" si="101"/>
        <v>-18.8</v>
      </c>
      <c r="N138" s="448">
        <f t="shared" si="101"/>
        <v>10.85</v>
      </c>
      <c r="O138" s="448">
        <f t="shared" si="101"/>
        <v>0.59</v>
      </c>
    </row>
    <row r="139" spans="1:15">
      <c r="A139" s="1004"/>
      <c r="B139" s="447">
        <v>4</v>
      </c>
      <c r="C139" s="448">
        <f>B41</f>
        <v>230</v>
      </c>
      <c r="D139" s="448">
        <f t="shared" ref="D139:G139" si="102">C41</f>
        <v>-0.2</v>
      </c>
      <c r="E139" s="448">
        <f t="shared" si="102"/>
        <v>0.36799999999999999</v>
      </c>
      <c r="F139" s="448">
        <f t="shared" si="102"/>
        <v>0.28400000000000003</v>
      </c>
      <c r="G139" s="448">
        <f t="shared" si="102"/>
        <v>0.47</v>
      </c>
      <c r="I139" s="1004"/>
      <c r="J139" s="447">
        <v>4</v>
      </c>
      <c r="K139" s="448">
        <f>B49</f>
        <v>500</v>
      </c>
      <c r="L139" s="448">
        <f t="shared" ref="L139:O139" si="103">C49</f>
        <v>0.9</v>
      </c>
      <c r="M139" s="448">
        <f t="shared" si="103"/>
        <v>2.8</v>
      </c>
      <c r="N139" s="448">
        <f t="shared" si="103"/>
        <v>0.95</v>
      </c>
      <c r="O139" s="448">
        <f t="shared" si="103"/>
        <v>0.28999999999999998</v>
      </c>
    </row>
    <row r="140" spans="1:15">
      <c r="A140" s="1004"/>
      <c r="B140" s="447">
        <v>5</v>
      </c>
      <c r="C140" s="448">
        <f>I41</f>
        <v>230</v>
      </c>
      <c r="D140" s="448">
        <f t="shared" ref="D140:G140" si="104">J41</f>
        <v>-0.23</v>
      </c>
      <c r="E140" s="448">
        <f t="shared" si="104"/>
        <v>-0.16</v>
      </c>
      <c r="F140" s="448">
        <f t="shared" si="104"/>
        <v>3.5000000000000003E-2</v>
      </c>
      <c r="G140" s="448">
        <f t="shared" si="104"/>
        <v>0.47</v>
      </c>
      <c r="I140" s="1004"/>
      <c r="J140" s="447">
        <v>5</v>
      </c>
      <c r="K140" s="448">
        <f>I49</f>
        <v>500</v>
      </c>
      <c r="L140" s="448">
        <f t="shared" ref="L140:O140" si="105">J49</f>
        <v>14.3</v>
      </c>
      <c r="M140" s="448">
        <f t="shared" si="105"/>
        <v>0.7</v>
      </c>
      <c r="N140" s="448">
        <f t="shared" si="105"/>
        <v>6.8000000000000007</v>
      </c>
      <c r="O140" s="448">
        <f t="shared" si="105"/>
        <v>0.28999999999999998</v>
      </c>
    </row>
    <row r="141" spans="1:15">
      <c r="A141" s="1004"/>
      <c r="B141" s="447">
        <v>6</v>
      </c>
      <c r="C141" s="448">
        <f>P41</f>
        <v>230</v>
      </c>
      <c r="D141" s="448">
        <f t="shared" ref="D141:G141" si="106">Q41</f>
        <v>-0.05</v>
      </c>
      <c r="E141" s="448">
        <f t="shared" si="106"/>
        <v>-0.15</v>
      </c>
      <c r="F141" s="448">
        <f t="shared" si="106"/>
        <v>4.9999999999999996E-2</v>
      </c>
      <c r="G141" s="448">
        <f t="shared" si="106"/>
        <v>1.2</v>
      </c>
      <c r="I141" s="1004"/>
      <c r="J141" s="447">
        <v>6</v>
      </c>
      <c r="K141" s="448">
        <f>P49</f>
        <v>500</v>
      </c>
      <c r="L141" s="448">
        <f t="shared" ref="L141:O141" si="107">Q49</f>
        <v>2.8</v>
      </c>
      <c r="M141" s="448">
        <f t="shared" si="107"/>
        <v>3.9</v>
      </c>
      <c r="N141" s="448">
        <f t="shared" si="107"/>
        <v>0.55000000000000004</v>
      </c>
      <c r="O141" s="448">
        <f t="shared" si="107"/>
        <v>0.59</v>
      </c>
    </row>
    <row r="142" spans="1:15">
      <c r="A142" s="1004"/>
      <c r="B142" s="447">
        <v>7</v>
      </c>
      <c r="C142" s="448">
        <f>B72</f>
        <v>230</v>
      </c>
      <c r="D142" s="448">
        <f t="shared" ref="D142:G142" si="108">C72</f>
        <v>0.47</v>
      </c>
      <c r="E142" s="448">
        <f t="shared" si="108"/>
        <v>0.47</v>
      </c>
      <c r="F142" s="448">
        <f t="shared" si="108"/>
        <v>9.9999999999999995E-7</v>
      </c>
      <c r="G142" s="448">
        <f t="shared" si="108"/>
        <v>1.2</v>
      </c>
      <c r="I142" s="1004"/>
      <c r="J142" s="447">
        <v>7</v>
      </c>
      <c r="K142" s="448">
        <f>B80</f>
        <v>500</v>
      </c>
      <c r="L142" s="448">
        <f t="shared" ref="L142:O142" si="109">C80</f>
        <v>3</v>
      </c>
      <c r="M142" s="448">
        <f t="shared" si="109"/>
        <v>3</v>
      </c>
      <c r="N142" s="448">
        <f t="shared" si="109"/>
        <v>9.9999999999999995E-7</v>
      </c>
      <c r="O142" s="448">
        <f t="shared" si="109"/>
        <v>0.59</v>
      </c>
    </row>
    <row r="143" spans="1:15">
      <c r="A143" s="1004"/>
      <c r="B143" s="447">
        <v>8</v>
      </c>
      <c r="C143" s="448">
        <f>I72</f>
        <v>230</v>
      </c>
      <c r="D143" s="448">
        <f t="shared" ref="D143:G143" si="110">J72</f>
        <v>9.9999999999999995E-7</v>
      </c>
      <c r="E143" s="448">
        <f t="shared" si="110"/>
        <v>-0.39</v>
      </c>
      <c r="F143" s="448">
        <f t="shared" si="110"/>
        <v>0.19500049999999999</v>
      </c>
      <c r="G143" s="448">
        <f t="shared" si="110"/>
        <v>1.2</v>
      </c>
      <c r="I143" s="1004"/>
      <c r="J143" s="447">
        <v>8</v>
      </c>
      <c r="K143" s="448">
        <f>I80</f>
        <v>500</v>
      </c>
      <c r="L143" s="448">
        <f t="shared" ref="L143:O143" si="111">J80</f>
        <v>9.9999999999999995E-7</v>
      </c>
      <c r="M143" s="448">
        <f t="shared" si="111"/>
        <v>7.2</v>
      </c>
      <c r="N143" s="448">
        <f t="shared" si="111"/>
        <v>3.5999995</v>
      </c>
      <c r="O143" s="448">
        <f t="shared" si="111"/>
        <v>0.59</v>
      </c>
    </row>
    <row r="144" spans="1:15">
      <c r="A144" s="1004"/>
      <c r="B144" s="447">
        <v>9</v>
      </c>
      <c r="C144" s="448">
        <f>P72</f>
        <v>230</v>
      </c>
      <c r="D144" s="448">
        <f t="shared" ref="D144:G144" si="112">Q72</f>
        <v>-0.54</v>
      </c>
      <c r="E144" s="448">
        <f t="shared" si="112"/>
        <v>-0.16</v>
      </c>
      <c r="F144" s="448">
        <f t="shared" si="112"/>
        <v>0.19</v>
      </c>
      <c r="G144" s="448">
        <f t="shared" si="112"/>
        <v>1.2</v>
      </c>
      <c r="I144" s="1004"/>
      <c r="J144" s="447">
        <v>9</v>
      </c>
      <c r="K144" s="448">
        <f>P80</f>
        <v>500</v>
      </c>
      <c r="L144" s="448">
        <f t="shared" ref="L144:O144" si="113">Q80</f>
        <v>8.3000000000000007</v>
      </c>
      <c r="M144" s="448">
        <f t="shared" si="113"/>
        <v>-31.8</v>
      </c>
      <c r="N144" s="448">
        <f t="shared" si="113"/>
        <v>20.05</v>
      </c>
      <c r="O144" s="448">
        <f t="shared" si="113"/>
        <v>0.59</v>
      </c>
    </row>
    <row r="145" spans="1:16" ht="14">
      <c r="A145" s="1004" t="s">
        <v>228</v>
      </c>
      <c r="B145" s="304">
        <v>1</v>
      </c>
      <c r="C145" s="305">
        <f>B11</f>
        <v>250</v>
      </c>
      <c r="D145" s="305">
        <f t="shared" ref="D145:G145" si="114">C11</f>
        <v>9.9999999999999995E-7</v>
      </c>
      <c r="E145" s="305">
        <f t="shared" si="114"/>
        <v>9.9999999999999995E-7</v>
      </c>
      <c r="F145" s="305">
        <f t="shared" si="114"/>
        <v>9.9999999999999995E-7</v>
      </c>
      <c r="G145" s="305">
        <f t="shared" si="114"/>
        <v>0.47</v>
      </c>
      <c r="I145" s="1004" t="s">
        <v>228</v>
      </c>
      <c r="J145" s="304">
        <v>1</v>
      </c>
      <c r="K145" s="448">
        <f>B19</f>
        <v>1000</v>
      </c>
      <c r="L145" s="448">
        <f t="shared" ref="L145:O145" si="115">C19</f>
        <v>-3.0000000000000001E-3</v>
      </c>
      <c r="M145" s="448">
        <f t="shared" si="115"/>
        <v>9</v>
      </c>
      <c r="N145" s="448">
        <f t="shared" si="115"/>
        <v>4.5015000000000001</v>
      </c>
      <c r="O145" s="448">
        <f t="shared" si="115"/>
        <v>0.28999999999999998</v>
      </c>
    </row>
    <row r="146" spans="1:16" ht="14">
      <c r="A146" s="1004"/>
      <c r="B146" s="306">
        <v>2</v>
      </c>
      <c r="C146" s="448">
        <f>I11</f>
        <v>250</v>
      </c>
      <c r="D146" s="448">
        <f t="shared" ref="D146:G146" si="116">J11</f>
        <v>9.9999999999999995E-7</v>
      </c>
      <c r="E146" s="448">
        <f t="shared" si="116"/>
        <v>9.9999999999999995E-7</v>
      </c>
      <c r="F146" s="448">
        <f t="shared" si="116"/>
        <v>9.9999999999999995E-7</v>
      </c>
      <c r="G146" s="448">
        <f t="shared" si="116"/>
        <v>0.47</v>
      </c>
      <c r="I146" s="1004"/>
      <c r="J146" s="306">
        <v>2</v>
      </c>
      <c r="K146" s="448">
        <f>I19</f>
        <v>1000</v>
      </c>
      <c r="L146" s="448">
        <f t="shared" ref="L146:O146" si="117">J19</f>
        <v>2</v>
      </c>
      <c r="M146" s="448">
        <f t="shared" si="117"/>
        <v>8.0000000000000002E-3</v>
      </c>
      <c r="N146" s="448">
        <f t="shared" si="117"/>
        <v>0.996</v>
      </c>
      <c r="O146" s="448">
        <f t="shared" si="117"/>
        <v>0.28999999999999998</v>
      </c>
    </row>
    <row r="147" spans="1:16">
      <c r="A147" s="1004"/>
      <c r="B147" s="447">
        <v>3</v>
      </c>
      <c r="C147" s="448">
        <f>P11</f>
        <v>250</v>
      </c>
      <c r="D147" s="448">
        <f t="shared" ref="D147:G147" si="118">Q11</f>
        <v>9.9999999999999995E-7</v>
      </c>
      <c r="E147" s="448">
        <f t="shared" si="118"/>
        <v>9.9999999999999995E-7</v>
      </c>
      <c r="F147" s="448">
        <f t="shared" si="118"/>
        <v>9.9999999999999995E-7</v>
      </c>
      <c r="G147" s="448">
        <f t="shared" si="118"/>
        <v>1.2</v>
      </c>
      <c r="I147" s="1004"/>
      <c r="J147" s="447">
        <v>3</v>
      </c>
      <c r="K147" s="448">
        <f>P19</f>
        <v>1000</v>
      </c>
      <c r="L147" s="448">
        <f t="shared" ref="L147:O147" si="119">Q19</f>
        <v>3</v>
      </c>
      <c r="M147" s="448">
        <f t="shared" si="119"/>
        <v>-47</v>
      </c>
      <c r="N147" s="448">
        <f t="shared" si="119"/>
        <v>25</v>
      </c>
      <c r="O147" s="448">
        <f t="shared" si="119"/>
        <v>0.59</v>
      </c>
    </row>
    <row r="148" spans="1:16">
      <c r="A148" s="1004"/>
      <c r="B148" s="447">
        <v>4</v>
      </c>
      <c r="C148" s="448">
        <f>B42</f>
        <v>250</v>
      </c>
      <c r="D148" s="448">
        <f t="shared" ref="D148:G148" si="120">C42</f>
        <v>9.9999999999999995E-7</v>
      </c>
      <c r="E148" s="448">
        <f t="shared" si="120"/>
        <v>9.9999999999999995E-7</v>
      </c>
      <c r="F148" s="448">
        <f t="shared" si="120"/>
        <v>9.9999999999999995E-7</v>
      </c>
      <c r="G148" s="448">
        <f t="shared" si="120"/>
        <v>0.47</v>
      </c>
      <c r="I148" s="1004"/>
      <c r="J148" s="447">
        <v>4</v>
      </c>
      <c r="K148" s="448">
        <f>B50</f>
        <v>1000</v>
      </c>
      <c r="L148" s="448">
        <f t="shared" ref="L148:O148" si="121">C50</f>
        <v>2</v>
      </c>
      <c r="M148" s="448">
        <f t="shared" si="121"/>
        <v>1.2E-2</v>
      </c>
      <c r="N148" s="448">
        <f t="shared" si="121"/>
        <v>0.99399999999999999</v>
      </c>
      <c r="O148" s="448">
        <f t="shared" si="121"/>
        <v>0.28999999999999998</v>
      </c>
    </row>
    <row r="149" spans="1:16">
      <c r="A149" s="1004"/>
      <c r="B149" s="447">
        <v>5</v>
      </c>
      <c r="C149" s="448">
        <f>I42</f>
        <v>250</v>
      </c>
      <c r="D149" s="448">
        <f t="shared" ref="D149:G149" si="122">J42</f>
        <v>9.9999999999999995E-7</v>
      </c>
      <c r="E149" s="448">
        <f t="shared" si="122"/>
        <v>9.9999999999999995E-7</v>
      </c>
      <c r="F149" s="448">
        <f t="shared" si="122"/>
        <v>9.9999999999999995E-7</v>
      </c>
      <c r="G149" s="448">
        <f t="shared" si="122"/>
        <v>0.47</v>
      </c>
      <c r="I149" s="1004"/>
      <c r="J149" s="447">
        <v>5</v>
      </c>
      <c r="K149" s="448">
        <f>I50</f>
        <v>1000</v>
      </c>
      <c r="L149" s="448">
        <f t="shared" ref="L149:O149" si="123">J50</f>
        <v>15</v>
      </c>
      <c r="M149" s="448">
        <f t="shared" si="123"/>
        <v>2E-3</v>
      </c>
      <c r="N149" s="448">
        <f t="shared" si="123"/>
        <v>7.4989999999999997</v>
      </c>
      <c r="O149" s="448">
        <f t="shared" si="123"/>
        <v>0.28999999999999998</v>
      </c>
    </row>
    <row r="150" spans="1:16">
      <c r="A150" s="1004"/>
      <c r="B150" s="447">
        <v>6</v>
      </c>
      <c r="C150" s="448">
        <f>P42</f>
        <v>250</v>
      </c>
      <c r="D150" s="448">
        <f t="shared" ref="D150:G150" si="124">Q42</f>
        <v>9.9999999999999995E-7</v>
      </c>
      <c r="E150" s="448">
        <f t="shared" si="124"/>
        <v>9.9999999999999995E-7</v>
      </c>
      <c r="F150" s="448">
        <f t="shared" si="124"/>
        <v>9.9999999999999995E-7</v>
      </c>
      <c r="G150" s="448">
        <f t="shared" si="124"/>
        <v>1.2</v>
      </c>
      <c r="I150" s="1004"/>
      <c r="J150" s="447">
        <v>6</v>
      </c>
      <c r="K150" s="448">
        <f>P50</f>
        <v>1000</v>
      </c>
      <c r="L150" s="448">
        <f t="shared" ref="L150:O150" si="125">Q50</f>
        <v>13</v>
      </c>
      <c r="M150" s="448">
        <f t="shared" si="125"/>
        <v>5.0000000000000001E-3</v>
      </c>
      <c r="N150" s="448">
        <f t="shared" si="125"/>
        <v>6.4974999999999996</v>
      </c>
      <c r="O150" s="448">
        <f t="shared" si="125"/>
        <v>0.59</v>
      </c>
    </row>
    <row r="151" spans="1:16">
      <c r="A151" s="1004"/>
      <c r="B151" s="447">
        <v>7</v>
      </c>
      <c r="C151" s="448">
        <f>B73</f>
        <v>250</v>
      </c>
      <c r="D151" s="448">
        <f t="shared" ref="D151:G151" si="126">C73</f>
        <v>9.9999999999999995E-7</v>
      </c>
      <c r="E151" s="448">
        <f t="shared" si="126"/>
        <v>9.9999999999999995E-7</v>
      </c>
      <c r="F151" s="448">
        <f t="shared" si="126"/>
        <v>9.9999999999999995E-7</v>
      </c>
      <c r="G151" s="448">
        <f t="shared" si="126"/>
        <v>1.2</v>
      </c>
      <c r="I151" s="1004"/>
      <c r="J151" s="447">
        <v>7</v>
      </c>
      <c r="K151" s="448">
        <f>B81</f>
        <v>1000</v>
      </c>
      <c r="L151" s="448">
        <f t="shared" ref="L151:O151" si="127">C81</f>
        <v>5</v>
      </c>
      <c r="M151" s="448">
        <f t="shared" si="127"/>
        <v>4</v>
      </c>
      <c r="N151" s="448">
        <f t="shared" si="127"/>
        <v>0.5</v>
      </c>
      <c r="O151" s="448">
        <f t="shared" si="127"/>
        <v>0.59</v>
      </c>
    </row>
    <row r="152" spans="1:16">
      <c r="A152" s="1004"/>
      <c r="B152" s="447">
        <v>8</v>
      </c>
      <c r="C152" s="448">
        <f>I73</f>
        <v>250</v>
      </c>
      <c r="D152" s="448">
        <f t="shared" ref="D152:G152" si="128">J73</f>
        <v>9.9999999999999995E-7</v>
      </c>
      <c r="E152" s="448">
        <f t="shared" si="128"/>
        <v>9.9999999999999995E-7</v>
      </c>
      <c r="F152" s="448">
        <f t="shared" si="128"/>
        <v>9.9999999999999995E-7</v>
      </c>
      <c r="G152" s="448">
        <f t="shared" si="128"/>
        <v>1.2</v>
      </c>
      <c r="I152" s="1004"/>
      <c r="J152" s="447">
        <v>8</v>
      </c>
      <c r="K152" s="448">
        <f>I81</f>
        <v>1000</v>
      </c>
      <c r="L152" s="448">
        <f t="shared" ref="L152:O152" si="129">J81</f>
        <v>9.9999999999999995E-7</v>
      </c>
      <c r="M152" s="448">
        <f t="shared" si="129"/>
        <v>80</v>
      </c>
      <c r="N152" s="448">
        <f t="shared" si="129"/>
        <v>39.999999500000001</v>
      </c>
      <c r="O152" s="448">
        <f t="shared" si="129"/>
        <v>0.59</v>
      </c>
    </row>
    <row r="153" spans="1:16">
      <c r="A153" s="1004"/>
      <c r="B153" s="447">
        <v>9</v>
      </c>
      <c r="C153" s="448">
        <f>P73</f>
        <v>250</v>
      </c>
      <c r="D153" s="448">
        <f t="shared" ref="D153:G153" si="130">Q73</f>
        <v>9.9999999999999995E-7</v>
      </c>
      <c r="E153" s="448">
        <f t="shared" si="130"/>
        <v>-0.15</v>
      </c>
      <c r="F153" s="448">
        <f t="shared" si="130"/>
        <v>7.5000499999999998E-2</v>
      </c>
      <c r="G153" s="448">
        <f t="shared" si="130"/>
        <v>1.2</v>
      </c>
      <c r="I153" s="1004"/>
      <c r="J153" s="447">
        <v>9</v>
      </c>
      <c r="K153" s="448">
        <f>P81</f>
        <v>1000</v>
      </c>
      <c r="L153" s="448">
        <f t="shared" ref="L153:O153" si="131">Q81</f>
        <v>-97</v>
      </c>
      <c r="M153" s="448">
        <f t="shared" si="131"/>
        <v>-74</v>
      </c>
      <c r="N153" s="448">
        <f t="shared" si="131"/>
        <v>11.5</v>
      </c>
      <c r="O153" s="448">
        <f t="shared" si="131"/>
        <v>0.59</v>
      </c>
    </row>
    <row r="154" spans="1:16">
      <c r="A154" s="443"/>
      <c r="B154" s="444"/>
      <c r="C154" s="444"/>
      <c r="O154" s="450"/>
    </row>
    <row r="155" spans="1:16" ht="14">
      <c r="A155" s="1005" t="s">
        <v>23</v>
      </c>
      <c r="B155" s="1001" t="s">
        <v>187</v>
      </c>
      <c r="C155" s="1006" t="s">
        <v>215</v>
      </c>
      <c r="D155" s="1006"/>
      <c r="E155" s="1006"/>
      <c r="F155" s="1006"/>
      <c r="G155" s="1006"/>
      <c r="H155" s="303"/>
      <c r="I155" s="1005" t="s">
        <v>23</v>
      </c>
      <c r="J155" s="1001" t="s">
        <v>187</v>
      </c>
      <c r="K155" s="1002" t="s">
        <v>215</v>
      </c>
      <c r="L155" s="1002"/>
      <c r="M155" s="1002"/>
      <c r="N155" s="1002"/>
      <c r="O155" s="1002"/>
      <c r="P155" s="308"/>
    </row>
    <row r="156" spans="1:16" ht="13">
      <c r="A156" s="1005"/>
      <c r="B156" s="1001"/>
      <c r="C156" s="1003" t="str">
        <f>B20</f>
        <v>Main-PE</v>
      </c>
      <c r="D156" s="1003"/>
      <c r="E156" s="1003"/>
      <c r="F156" s="417" t="s">
        <v>217</v>
      </c>
      <c r="G156" s="417" t="s">
        <v>90</v>
      </c>
      <c r="I156" s="1005"/>
      <c r="J156" s="1001"/>
      <c r="K156" s="1003" t="str">
        <f>B26</f>
        <v>Resistance</v>
      </c>
      <c r="L156" s="1003"/>
      <c r="M156" s="1003"/>
      <c r="N156" s="417" t="s">
        <v>217</v>
      </c>
      <c r="O156" s="417" t="s">
        <v>90</v>
      </c>
    </row>
    <row r="157" spans="1:16" ht="14.5">
      <c r="A157" s="1005"/>
      <c r="B157" s="1001"/>
      <c r="C157" s="418" t="s">
        <v>434</v>
      </c>
      <c r="D157" s="417"/>
      <c r="E157" s="417"/>
      <c r="F157" s="417"/>
      <c r="G157" s="417"/>
      <c r="I157" s="1005"/>
      <c r="J157" s="1001"/>
      <c r="K157" s="418" t="s">
        <v>435</v>
      </c>
      <c r="L157" s="417"/>
      <c r="M157" s="417"/>
      <c r="N157" s="417"/>
      <c r="O157" s="417"/>
    </row>
    <row r="158" spans="1:16" ht="14">
      <c r="A158" s="1000" t="s">
        <v>41</v>
      </c>
      <c r="B158" s="451">
        <v>1</v>
      </c>
      <c r="C158" s="448">
        <f>B22</f>
        <v>10</v>
      </c>
      <c r="D158" s="448" t="str">
        <f t="shared" ref="D158:G158" si="132">C22</f>
        <v>-</v>
      </c>
      <c r="E158" s="448">
        <f t="shared" si="132"/>
        <v>9.9999999999999995E-7</v>
      </c>
      <c r="F158" s="448">
        <f t="shared" si="132"/>
        <v>9.9999999999999995E-7</v>
      </c>
      <c r="G158" s="448">
        <f t="shared" si="132"/>
        <v>1.4</v>
      </c>
      <c r="I158" s="1000" t="s">
        <v>41</v>
      </c>
      <c r="J158" s="451">
        <v>1</v>
      </c>
      <c r="K158" s="305">
        <f>B28</f>
        <v>0.01</v>
      </c>
      <c r="L158" s="305">
        <f t="shared" ref="L158:O158" si="133">C28</f>
        <v>9.9999999999999995E-7</v>
      </c>
      <c r="M158" s="305">
        <f t="shared" si="133"/>
        <v>9.9999999999999995E-7</v>
      </c>
      <c r="N158" s="305">
        <f t="shared" si="133"/>
        <v>9.9999999999999995E-7</v>
      </c>
      <c r="O158" s="305">
        <f t="shared" si="133"/>
        <v>0.43</v>
      </c>
    </row>
    <row r="159" spans="1:16">
      <c r="A159" s="1000"/>
      <c r="B159" s="451">
        <v>2</v>
      </c>
      <c r="C159" s="448">
        <f>I22</f>
        <v>10</v>
      </c>
      <c r="D159" s="448">
        <f t="shared" ref="D159:G159" si="134">J22</f>
        <v>0</v>
      </c>
      <c r="E159" s="448">
        <f t="shared" si="134"/>
        <v>0.1</v>
      </c>
      <c r="F159" s="448">
        <f t="shared" si="134"/>
        <v>0.05</v>
      </c>
      <c r="G159" s="448">
        <f t="shared" si="134"/>
        <v>1.3</v>
      </c>
      <c r="I159" s="1000"/>
      <c r="J159" s="451">
        <v>2</v>
      </c>
      <c r="K159" s="448">
        <f>I28</f>
        <v>0.01</v>
      </c>
      <c r="L159" s="448">
        <f t="shared" ref="L159:O159" si="135">J28</f>
        <v>9.9999999999999995E-7</v>
      </c>
      <c r="M159" s="448">
        <f t="shared" si="135"/>
        <v>9.9999999999999995E-7</v>
      </c>
      <c r="N159" s="448">
        <f t="shared" si="135"/>
        <v>9.9999999999999995E-7</v>
      </c>
      <c r="O159" s="448">
        <f t="shared" si="135"/>
        <v>0.43</v>
      </c>
    </row>
    <row r="160" spans="1:16">
      <c r="A160" s="1000"/>
      <c r="B160" s="451">
        <v>3</v>
      </c>
      <c r="C160" s="448">
        <f>P22</f>
        <v>10</v>
      </c>
      <c r="D160" s="448">
        <f t="shared" ref="D160:G160" si="136">Q22</f>
        <v>9.9999999999999995E-7</v>
      </c>
      <c r="E160" s="448">
        <f t="shared" si="136"/>
        <v>9.9999999999999995E-7</v>
      </c>
      <c r="F160" s="448">
        <f t="shared" si="136"/>
        <v>9.9999999999999995E-7</v>
      </c>
      <c r="G160" s="448">
        <f t="shared" si="136"/>
        <v>5.1000000000000004E-2</v>
      </c>
      <c r="I160" s="1000"/>
      <c r="J160" s="451">
        <v>3</v>
      </c>
      <c r="K160" s="448">
        <f>P28</f>
        <v>0.01</v>
      </c>
      <c r="L160" s="448">
        <f t="shared" ref="L160:O160" si="137">Q28</f>
        <v>9.9999999999999995E-7</v>
      </c>
      <c r="M160" s="448">
        <f t="shared" si="137"/>
        <v>9.9999999999999995E-7</v>
      </c>
      <c r="N160" s="448">
        <f t="shared" si="137"/>
        <v>9.9999999999999995E-7</v>
      </c>
      <c r="O160" s="448">
        <f t="shared" si="137"/>
        <v>1.2</v>
      </c>
    </row>
    <row r="161" spans="1:15">
      <c r="A161" s="1000"/>
      <c r="B161" s="451">
        <v>4</v>
      </c>
      <c r="C161" s="448">
        <f>B53</f>
        <v>10</v>
      </c>
      <c r="D161" s="448">
        <f t="shared" ref="D161:G161" si="138">C53</f>
        <v>9.9999999999999995E-7</v>
      </c>
      <c r="E161" s="448">
        <f t="shared" si="138"/>
        <v>0.1</v>
      </c>
      <c r="F161" s="448">
        <f t="shared" si="138"/>
        <v>4.9999500000000002E-2</v>
      </c>
      <c r="G161" s="448">
        <f t="shared" si="138"/>
        <v>1.3</v>
      </c>
      <c r="I161" s="1000"/>
      <c r="J161" s="451">
        <v>4</v>
      </c>
      <c r="K161" s="448">
        <f>B59</f>
        <v>0.01</v>
      </c>
      <c r="L161" s="448">
        <f t="shared" ref="L161:O161" si="139">C59</f>
        <v>9.9999999999999995E-7</v>
      </c>
      <c r="M161" s="448">
        <f t="shared" si="139"/>
        <v>9.9999999999999995E-7</v>
      </c>
      <c r="N161" s="448">
        <f t="shared" si="139"/>
        <v>9.9999999999999995E-7</v>
      </c>
      <c r="O161" s="448">
        <f t="shared" si="139"/>
        <v>0.43</v>
      </c>
    </row>
    <row r="162" spans="1:15">
      <c r="A162" s="1000"/>
      <c r="B162" s="451">
        <v>5</v>
      </c>
      <c r="C162" s="448">
        <f>I53</f>
        <v>10</v>
      </c>
      <c r="D162" s="448">
        <f t="shared" ref="D162:G162" si="140">J53</f>
        <v>9.9999999999999995E-7</v>
      </c>
      <c r="E162" s="448">
        <f t="shared" si="140"/>
        <v>0.1</v>
      </c>
      <c r="F162" s="448">
        <f t="shared" si="140"/>
        <v>4.9999500000000002E-2</v>
      </c>
      <c r="G162" s="448">
        <f t="shared" si="140"/>
        <v>1.3</v>
      </c>
      <c r="I162" s="1000"/>
      <c r="J162" s="451">
        <v>5</v>
      </c>
      <c r="K162" s="448">
        <f>I59</f>
        <v>0.01</v>
      </c>
      <c r="L162" s="448">
        <f t="shared" ref="L162:O162" si="141">J59</f>
        <v>9.9999999999999995E-7</v>
      </c>
      <c r="M162" s="448">
        <f t="shared" si="141"/>
        <v>9.9999999999999995E-7</v>
      </c>
      <c r="N162" s="448">
        <f t="shared" si="141"/>
        <v>9.9999999999999995E-7</v>
      </c>
      <c r="O162" s="448">
        <f t="shared" si="141"/>
        <v>0.43</v>
      </c>
    </row>
    <row r="163" spans="1:15">
      <c r="A163" s="1000"/>
      <c r="B163" s="451">
        <v>6</v>
      </c>
      <c r="C163" s="448">
        <f>P53</f>
        <v>10</v>
      </c>
      <c r="D163" s="448">
        <f t="shared" ref="D163:G163" si="142">Q53</f>
        <v>9.9999999999999995E-7</v>
      </c>
      <c r="E163" s="448">
        <f t="shared" si="142"/>
        <v>0.1</v>
      </c>
      <c r="F163" s="448">
        <f t="shared" si="142"/>
        <v>4.9999500000000002E-2</v>
      </c>
      <c r="G163" s="448">
        <f t="shared" si="142"/>
        <v>1.7</v>
      </c>
      <c r="I163" s="1000"/>
      <c r="J163" s="451">
        <v>6</v>
      </c>
      <c r="K163" s="448">
        <f>P59</f>
        <v>0.01</v>
      </c>
      <c r="L163" s="448">
        <f t="shared" ref="L163:O163" si="143">Q59</f>
        <v>9.9999999999999995E-7</v>
      </c>
      <c r="M163" s="448">
        <f t="shared" si="143"/>
        <v>9.9999999999999995E-7</v>
      </c>
      <c r="N163" s="448">
        <f t="shared" si="143"/>
        <v>9.9999999999999995E-7</v>
      </c>
      <c r="O163" s="448">
        <f t="shared" si="143"/>
        <v>1.2</v>
      </c>
    </row>
    <row r="164" spans="1:15">
      <c r="A164" s="1000"/>
      <c r="B164" s="451">
        <v>7</v>
      </c>
      <c r="C164" s="448">
        <f>B84</f>
        <v>10</v>
      </c>
      <c r="D164" s="448" t="str">
        <f t="shared" ref="D164:G164" si="144">C84</f>
        <v>-</v>
      </c>
      <c r="E164" s="448">
        <f t="shared" si="144"/>
        <v>9.9999999999999995E-7</v>
      </c>
      <c r="F164" s="448">
        <f t="shared" si="144"/>
        <v>1.0000000000000001E-5</v>
      </c>
      <c r="G164" s="448">
        <f t="shared" si="144"/>
        <v>1.7</v>
      </c>
      <c r="I164" s="1000"/>
      <c r="J164" s="451">
        <v>7</v>
      </c>
      <c r="K164" s="448">
        <f>B90</f>
        <v>0.01</v>
      </c>
      <c r="L164" s="448">
        <f t="shared" ref="L164:O164" si="145">C90</f>
        <v>9.9999999999999995E-7</v>
      </c>
      <c r="M164" s="448">
        <f t="shared" si="145"/>
        <v>9.9999999999999995E-7</v>
      </c>
      <c r="N164" s="448">
        <f t="shared" si="145"/>
        <v>9.9999999999999995E-7</v>
      </c>
      <c r="O164" s="448">
        <f t="shared" si="145"/>
        <v>1.2</v>
      </c>
    </row>
    <row r="165" spans="1:15">
      <c r="A165" s="1000"/>
      <c r="B165" s="451">
        <v>8</v>
      </c>
      <c r="C165" s="448">
        <f>I84</f>
        <v>10</v>
      </c>
      <c r="D165" s="448">
        <f t="shared" ref="D165:G165" si="146">J84</f>
        <v>9.9999999999999995E-7</v>
      </c>
      <c r="E165" s="448">
        <f t="shared" si="146"/>
        <v>9.9999999999999995E-7</v>
      </c>
      <c r="F165" s="448">
        <f t="shared" si="146"/>
        <v>9.9999999999999995E-7</v>
      </c>
      <c r="G165" s="448">
        <f t="shared" si="146"/>
        <v>0</v>
      </c>
      <c r="I165" s="1000"/>
      <c r="J165" s="451">
        <v>8</v>
      </c>
      <c r="K165" s="448">
        <f>I90</f>
        <v>0.01</v>
      </c>
      <c r="L165" s="448">
        <f t="shared" ref="L165:O165" si="147">J90</f>
        <v>9.9999999999999995E-7</v>
      </c>
      <c r="M165" s="448">
        <f t="shared" si="147"/>
        <v>9.9999999999999995E-7</v>
      </c>
      <c r="N165" s="448">
        <f t="shared" si="147"/>
        <v>9.9999999999999995E-7</v>
      </c>
      <c r="O165" s="448">
        <f t="shared" si="147"/>
        <v>1.2</v>
      </c>
    </row>
    <row r="166" spans="1:15">
      <c r="A166" s="1000"/>
      <c r="B166" s="451">
        <v>9</v>
      </c>
      <c r="C166" s="448">
        <f>P84</f>
        <v>10</v>
      </c>
      <c r="D166" s="448">
        <f t="shared" ref="D166:F166" si="148">Q84</f>
        <v>9.9999999999999995E-7</v>
      </c>
      <c r="E166" s="448">
        <f t="shared" si="148"/>
        <v>9.9999999999999995E-7</v>
      </c>
      <c r="F166" s="448">
        <f t="shared" si="148"/>
        <v>9.9999999999999995E-7</v>
      </c>
      <c r="G166" s="448">
        <f>T84</f>
        <v>1.7</v>
      </c>
      <c r="I166" s="1000"/>
      <c r="J166" s="451">
        <v>9</v>
      </c>
      <c r="K166" s="448">
        <f>P90</f>
        <v>0.01</v>
      </c>
      <c r="L166" s="448">
        <f t="shared" ref="L166:O166" si="149">Q90</f>
        <v>9.9999999999999995E-7</v>
      </c>
      <c r="M166" s="448">
        <f t="shared" si="149"/>
        <v>9.9999999999999995E-7</v>
      </c>
      <c r="N166" s="448">
        <f t="shared" si="149"/>
        <v>9.9999999999999995E-7</v>
      </c>
      <c r="O166" s="448">
        <f t="shared" si="149"/>
        <v>1.2</v>
      </c>
    </row>
    <row r="167" spans="1:15">
      <c r="A167" s="1000" t="s">
        <v>42</v>
      </c>
      <c r="B167" s="451">
        <v>1</v>
      </c>
      <c r="C167" s="448">
        <f>B23</f>
        <v>20</v>
      </c>
      <c r="D167" s="448" t="str">
        <f t="shared" ref="D167:G167" si="150">C23</f>
        <v>-</v>
      </c>
      <c r="E167" s="448">
        <f t="shared" si="150"/>
        <v>9.9999999999999995E-7</v>
      </c>
      <c r="F167" s="448">
        <f t="shared" si="150"/>
        <v>9.9999999999999995E-7</v>
      </c>
      <c r="G167" s="448">
        <f t="shared" si="150"/>
        <v>1.4</v>
      </c>
      <c r="I167" s="1000" t="s">
        <v>42</v>
      </c>
      <c r="J167" s="451">
        <v>1</v>
      </c>
      <c r="K167" s="448">
        <f>B29</f>
        <v>0.1</v>
      </c>
      <c r="L167" s="448">
        <f t="shared" ref="L167:O167" si="151">C29</f>
        <v>2E-3</v>
      </c>
      <c r="M167" s="448">
        <f t="shared" si="151"/>
        <v>-1E-3</v>
      </c>
      <c r="N167" s="448">
        <f t="shared" si="151"/>
        <v>9.9999999999999995E-7</v>
      </c>
      <c r="O167" s="448">
        <f t="shared" si="151"/>
        <v>0.43</v>
      </c>
    </row>
    <row r="168" spans="1:15">
      <c r="A168" s="1000"/>
      <c r="B168" s="451">
        <v>2</v>
      </c>
      <c r="C168" s="448">
        <f>I23</f>
        <v>20</v>
      </c>
      <c r="D168" s="448">
        <f t="shared" ref="D168:G168" si="152">J23</f>
        <v>0.1</v>
      </c>
      <c r="E168" s="448">
        <f t="shared" si="152"/>
        <v>0.2</v>
      </c>
      <c r="F168" s="448">
        <f t="shared" si="152"/>
        <v>0.05</v>
      </c>
      <c r="G168" s="448">
        <f t="shared" si="152"/>
        <v>1.3</v>
      </c>
      <c r="I168" s="1000"/>
      <c r="J168" s="451">
        <v>2</v>
      </c>
      <c r="K168" s="448">
        <f>I29</f>
        <v>0.1</v>
      </c>
      <c r="L168" s="448">
        <f t="shared" ref="L168:O168" si="153">J29</f>
        <v>5.0000000000000001E-3</v>
      </c>
      <c r="M168" s="448">
        <f t="shared" si="153"/>
        <v>6.0000000000000001E-3</v>
      </c>
      <c r="N168" s="448">
        <f t="shared" si="153"/>
        <v>9.9999999999999995E-7</v>
      </c>
      <c r="O168" s="448">
        <f t="shared" si="153"/>
        <v>0.43</v>
      </c>
    </row>
    <row r="169" spans="1:15">
      <c r="A169" s="1000"/>
      <c r="B169" s="451">
        <v>3</v>
      </c>
      <c r="C169" s="448">
        <f>P23</f>
        <v>20</v>
      </c>
      <c r="D169" s="448">
        <f t="shared" ref="D169:G169" si="154">Q23</f>
        <v>9.9999999999999995E-7</v>
      </c>
      <c r="E169" s="448">
        <f t="shared" si="154"/>
        <v>9.9999999999999995E-7</v>
      </c>
      <c r="F169" s="448">
        <f t="shared" si="154"/>
        <v>9.9999999999999995E-7</v>
      </c>
      <c r="G169" s="448">
        <f t="shared" si="154"/>
        <v>5.1000000000000004E-2</v>
      </c>
      <c r="I169" s="1000"/>
      <c r="J169" s="451">
        <v>3</v>
      </c>
      <c r="K169" s="448">
        <f>P29</f>
        <v>0.1</v>
      </c>
      <c r="L169" s="448">
        <f t="shared" ref="L169:O169" si="155">Q29</f>
        <v>9.9999999999999995E-7</v>
      </c>
      <c r="M169" s="448">
        <f t="shared" si="155"/>
        <v>9.9999999999999995E-7</v>
      </c>
      <c r="N169" s="448">
        <f t="shared" si="155"/>
        <v>9.9999999999999995E-7</v>
      </c>
      <c r="O169" s="448">
        <f t="shared" si="155"/>
        <v>1.2</v>
      </c>
    </row>
    <row r="170" spans="1:15">
      <c r="A170" s="1000"/>
      <c r="B170" s="451">
        <v>4</v>
      </c>
      <c r="C170" s="448">
        <f>B54</f>
        <v>20</v>
      </c>
      <c r="D170" s="448">
        <f t="shared" ref="D170:G170" si="156">C54</f>
        <v>0.1</v>
      </c>
      <c r="E170" s="448">
        <f t="shared" si="156"/>
        <v>0.2</v>
      </c>
      <c r="F170" s="448">
        <f t="shared" si="156"/>
        <v>0.05</v>
      </c>
      <c r="G170" s="448">
        <f t="shared" si="156"/>
        <v>1.3</v>
      </c>
      <c r="I170" s="1000"/>
      <c r="J170" s="451">
        <v>4</v>
      </c>
      <c r="K170" s="448">
        <f>B60</f>
        <v>0.1</v>
      </c>
      <c r="L170" s="448">
        <f t="shared" ref="L170:O170" si="157">C60</f>
        <v>6.0000000000000001E-3</v>
      </c>
      <c r="M170" s="448">
        <f t="shared" si="157"/>
        <v>9.9999999999999995E-7</v>
      </c>
      <c r="N170" s="448">
        <f t="shared" si="157"/>
        <v>9.9999999999999995E-7</v>
      </c>
      <c r="O170" s="448">
        <f t="shared" si="157"/>
        <v>0.43</v>
      </c>
    </row>
    <row r="171" spans="1:15">
      <c r="A171" s="1000"/>
      <c r="B171" s="451">
        <v>5</v>
      </c>
      <c r="C171" s="448">
        <f>I54</f>
        <v>20</v>
      </c>
      <c r="D171" s="448">
        <f t="shared" ref="D171:G171" si="158">J54</f>
        <v>0.1</v>
      </c>
      <c r="E171" s="448">
        <f t="shared" si="158"/>
        <v>0.1</v>
      </c>
      <c r="F171" s="448">
        <f t="shared" si="158"/>
        <v>9.9999999999999995E-7</v>
      </c>
      <c r="G171" s="448">
        <f t="shared" si="158"/>
        <v>1.3</v>
      </c>
      <c r="I171" s="1000"/>
      <c r="J171" s="451">
        <v>5</v>
      </c>
      <c r="K171" s="448">
        <f>I60</f>
        <v>0.1</v>
      </c>
      <c r="L171" s="448">
        <f t="shared" ref="L171:O171" si="159">J60</f>
        <v>2E-3</v>
      </c>
      <c r="M171" s="448">
        <f t="shared" si="159"/>
        <v>2E-3</v>
      </c>
      <c r="N171" s="448">
        <f t="shared" si="159"/>
        <v>9.9999999999999995E-7</v>
      </c>
      <c r="O171" s="448">
        <f t="shared" si="159"/>
        <v>0.43</v>
      </c>
    </row>
    <row r="172" spans="1:15">
      <c r="A172" s="1000"/>
      <c r="B172" s="451">
        <v>6</v>
      </c>
      <c r="C172" s="448">
        <f>P54</f>
        <v>20</v>
      </c>
      <c r="D172" s="448">
        <f t="shared" ref="D172:G172" si="160">Q54</f>
        <v>0.1</v>
      </c>
      <c r="E172" s="448">
        <f t="shared" si="160"/>
        <v>0.1</v>
      </c>
      <c r="F172" s="448">
        <f t="shared" si="160"/>
        <v>9.9999999999999995E-7</v>
      </c>
      <c r="G172" s="448">
        <f t="shared" si="160"/>
        <v>1.7</v>
      </c>
      <c r="I172" s="1000"/>
      <c r="J172" s="451">
        <v>6</v>
      </c>
      <c r="K172" s="448">
        <f>P60</f>
        <v>0.1</v>
      </c>
      <c r="L172" s="448">
        <f t="shared" ref="L172:O172" si="161">Q60</f>
        <v>1E-3</v>
      </c>
      <c r="M172" s="448">
        <f t="shared" si="161"/>
        <v>-2E-3</v>
      </c>
      <c r="N172" s="448">
        <f t="shared" si="161"/>
        <v>9.9999999999999995E-7</v>
      </c>
      <c r="O172" s="448">
        <f t="shared" si="161"/>
        <v>1.2</v>
      </c>
    </row>
    <row r="173" spans="1:15">
      <c r="A173" s="1000"/>
      <c r="B173" s="451">
        <v>7</v>
      </c>
      <c r="C173" s="448">
        <f>B85</f>
        <v>20</v>
      </c>
      <c r="D173" s="448" t="str">
        <f t="shared" ref="D173:G173" si="162">C85</f>
        <v>-</v>
      </c>
      <c r="E173" s="448">
        <f t="shared" si="162"/>
        <v>0.1</v>
      </c>
      <c r="F173" s="448">
        <f t="shared" si="162"/>
        <v>1.0000000000000001E-5</v>
      </c>
      <c r="G173" s="448">
        <f t="shared" si="162"/>
        <v>1.7</v>
      </c>
      <c r="I173" s="1000"/>
      <c r="J173" s="451">
        <v>7</v>
      </c>
      <c r="K173" s="448">
        <f>B91</f>
        <v>0.1</v>
      </c>
      <c r="L173" s="448">
        <f t="shared" ref="L173:O173" si="163">C91</f>
        <v>9.9999999999999995E-7</v>
      </c>
      <c r="M173" s="448">
        <f t="shared" si="163"/>
        <v>9.9999999999999995E-7</v>
      </c>
      <c r="N173" s="448">
        <f t="shared" si="163"/>
        <v>9.9999999999999995E-7</v>
      </c>
      <c r="O173" s="448">
        <f t="shared" si="163"/>
        <v>1.2</v>
      </c>
    </row>
    <row r="174" spans="1:15">
      <c r="A174" s="1000"/>
      <c r="B174" s="451">
        <v>8</v>
      </c>
      <c r="C174" s="448">
        <f>I85</f>
        <v>20</v>
      </c>
      <c r="D174" s="448">
        <f t="shared" ref="D174:G174" si="164">J85</f>
        <v>9.9999999999999995E-7</v>
      </c>
      <c r="E174" s="448">
        <f t="shared" si="164"/>
        <v>9.9999999999999995E-7</v>
      </c>
      <c r="F174" s="448">
        <f t="shared" si="164"/>
        <v>9.9999999999999995E-7</v>
      </c>
      <c r="G174" s="448">
        <f t="shared" si="164"/>
        <v>0</v>
      </c>
      <c r="I174" s="1000"/>
      <c r="J174" s="451">
        <v>8</v>
      </c>
      <c r="K174" s="448">
        <f>I91</f>
        <v>0.1</v>
      </c>
      <c r="L174" s="448">
        <f t="shared" ref="L174:O174" si="165">J91</f>
        <v>9.9999999999999995E-7</v>
      </c>
      <c r="M174" s="448">
        <f t="shared" si="165"/>
        <v>-2E-3</v>
      </c>
      <c r="N174" s="448">
        <f t="shared" si="165"/>
        <v>9.9999999999999995E-7</v>
      </c>
      <c r="O174" s="448">
        <f t="shared" si="165"/>
        <v>1.2</v>
      </c>
    </row>
    <row r="175" spans="1:15">
      <c r="A175" s="1000"/>
      <c r="B175" s="451">
        <v>9</v>
      </c>
      <c r="C175" s="448">
        <f>P85</f>
        <v>20</v>
      </c>
      <c r="D175" s="448">
        <f t="shared" ref="D175:G175" si="166">Q85</f>
        <v>9.9999999999999995E-7</v>
      </c>
      <c r="E175" s="448">
        <f t="shared" si="166"/>
        <v>9.9999999999999995E-7</v>
      </c>
      <c r="F175" s="448">
        <f t="shared" si="166"/>
        <v>9.9999999999999995E-7</v>
      </c>
      <c r="G175" s="448">
        <f t="shared" si="166"/>
        <v>1.7</v>
      </c>
      <c r="I175" s="1000"/>
      <c r="J175" s="451">
        <v>9</v>
      </c>
      <c r="K175" s="448">
        <f>P91</f>
        <v>0.1</v>
      </c>
      <c r="L175" s="448">
        <f t="shared" ref="L175:O175" si="167">Q91</f>
        <v>-3.0000000000000001E-3</v>
      </c>
      <c r="M175" s="448">
        <f t="shared" si="167"/>
        <v>9.9999999999999995E-7</v>
      </c>
      <c r="N175" s="448">
        <f t="shared" si="167"/>
        <v>9.9999999999999995E-7</v>
      </c>
      <c r="O175" s="448">
        <f t="shared" si="167"/>
        <v>1.2</v>
      </c>
    </row>
    <row r="176" spans="1:15">
      <c r="A176" s="1000" t="s">
        <v>43</v>
      </c>
      <c r="B176" s="451">
        <v>1</v>
      </c>
      <c r="C176" s="448">
        <f>B24</f>
        <v>50</v>
      </c>
      <c r="D176" s="448" t="str">
        <f>C24</f>
        <v>-</v>
      </c>
      <c r="E176" s="448">
        <f>D24</f>
        <v>9.9999999999999995E-7</v>
      </c>
      <c r="F176" s="448">
        <f>E24</f>
        <v>9.9999999999999995E-7</v>
      </c>
      <c r="G176" s="448">
        <f>F24</f>
        <v>1.4</v>
      </c>
      <c r="I176" s="1000" t="s">
        <v>43</v>
      </c>
      <c r="J176" s="451">
        <v>1</v>
      </c>
      <c r="K176" s="448">
        <f>B30</f>
        <v>1</v>
      </c>
      <c r="L176" s="448">
        <f t="shared" ref="L176:O176" si="168">C30</f>
        <v>1.2E-2</v>
      </c>
      <c r="M176" s="448">
        <f t="shared" si="168"/>
        <v>4.0000000000000001E-3</v>
      </c>
      <c r="N176" s="448">
        <f t="shared" si="168"/>
        <v>9.9999999999999995E-7</v>
      </c>
      <c r="O176" s="448">
        <f t="shared" si="168"/>
        <v>0.43</v>
      </c>
    </row>
    <row r="177" spans="1:15">
      <c r="A177" s="1000"/>
      <c r="B177" s="451">
        <v>2</v>
      </c>
      <c r="C177" s="448">
        <f>I24</f>
        <v>50</v>
      </c>
      <c r="D177" s="448">
        <f>J24</f>
        <v>0.1</v>
      </c>
      <c r="E177" s="448">
        <f>K24</f>
        <v>0.3</v>
      </c>
      <c r="F177" s="448">
        <f>L24</f>
        <v>9.9999999999999992E-2</v>
      </c>
      <c r="G177" s="448">
        <f>M24</f>
        <v>1.3</v>
      </c>
      <c r="I177" s="1000"/>
      <c r="J177" s="451">
        <v>2</v>
      </c>
      <c r="K177" s="448">
        <f>I30</f>
        <v>1</v>
      </c>
      <c r="L177" s="448">
        <f t="shared" ref="L177:O177" si="169">J30</f>
        <v>5.5E-2</v>
      </c>
      <c r="M177" s="448">
        <f t="shared" si="169"/>
        <v>4.4999999999999998E-2</v>
      </c>
      <c r="N177" s="448">
        <f t="shared" si="169"/>
        <v>5.000000000000001E-3</v>
      </c>
      <c r="O177" s="448">
        <f t="shared" si="169"/>
        <v>0.43</v>
      </c>
    </row>
    <row r="178" spans="1:15">
      <c r="A178" s="1000"/>
      <c r="B178" s="451">
        <v>3</v>
      </c>
      <c r="C178" s="448">
        <f>P24</f>
        <v>50</v>
      </c>
      <c r="D178" s="448">
        <f>Q24</f>
        <v>0.3</v>
      </c>
      <c r="E178" s="448">
        <f t="shared" ref="E178:G178" si="170">R24</f>
        <v>0.1</v>
      </c>
      <c r="F178" s="448">
        <f t="shared" si="170"/>
        <v>9.9999999999999992E-2</v>
      </c>
      <c r="G178" s="448">
        <f t="shared" si="170"/>
        <v>5.1000000000000004E-2</v>
      </c>
      <c r="I178" s="1000"/>
      <c r="J178" s="451">
        <v>3</v>
      </c>
      <c r="K178" s="448">
        <f>P30</f>
        <v>1</v>
      </c>
      <c r="L178" s="448">
        <f t="shared" ref="L178:O178" si="171">Q30</f>
        <v>9.9999999999999995E-7</v>
      </c>
      <c r="M178" s="448">
        <f t="shared" si="171"/>
        <v>3.0000000000000001E-3</v>
      </c>
      <c r="N178" s="448">
        <f t="shared" si="171"/>
        <v>9.9999999999999995E-7</v>
      </c>
      <c r="O178" s="448">
        <f t="shared" si="171"/>
        <v>1.2</v>
      </c>
    </row>
    <row r="179" spans="1:15">
      <c r="A179" s="1000"/>
      <c r="B179" s="451">
        <v>4</v>
      </c>
      <c r="C179" s="448">
        <f>B55</f>
        <v>50</v>
      </c>
      <c r="D179" s="448">
        <f>C55</f>
        <v>0.3</v>
      </c>
      <c r="E179" s="448">
        <f>D55</f>
        <v>0.5</v>
      </c>
      <c r="F179" s="448">
        <f>E55</f>
        <v>0.1</v>
      </c>
      <c r="G179" s="448">
        <f>F55</f>
        <v>1.3</v>
      </c>
      <c r="I179" s="1000"/>
      <c r="J179" s="451">
        <v>4</v>
      </c>
      <c r="K179" s="448">
        <f>B61</f>
        <v>1</v>
      </c>
      <c r="L179" s="448">
        <f t="shared" ref="L179:O179" si="172">C61</f>
        <v>7.0000000000000001E-3</v>
      </c>
      <c r="M179" s="448">
        <f t="shared" si="172"/>
        <v>-1E-3</v>
      </c>
      <c r="N179" s="448">
        <f t="shared" si="172"/>
        <v>9.9999999999999995E-7</v>
      </c>
      <c r="O179" s="448">
        <f t="shared" si="172"/>
        <v>0.43</v>
      </c>
    </row>
    <row r="180" spans="1:15">
      <c r="A180" s="1000"/>
      <c r="B180" s="451">
        <v>5</v>
      </c>
      <c r="C180" s="448">
        <f>I55</f>
        <v>50</v>
      </c>
      <c r="D180" s="448">
        <f>J55</f>
        <v>0.3</v>
      </c>
      <c r="E180" s="448">
        <f>K55</f>
        <v>0.4</v>
      </c>
      <c r="F180" s="448">
        <f>L55</f>
        <v>5.0000000000000017E-2</v>
      </c>
      <c r="G180" s="448">
        <f>M55</f>
        <v>1.3</v>
      </c>
      <c r="I180" s="1000"/>
      <c r="J180" s="451">
        <v>5</v>
      </c>
      <c r="K180" s="448">
        <f>I61</f>
        <v>1</v>
      </c>
      <c r="L180" s="448">
        <f t="shared" ref="L180:O180" si="173">J61</f>
        <v>3.0000000000000001E-3</v>
      </c>
      <c r="M180" s="448">
        <f t="shared" si="173"/>
        <v>1.2E-2</v>
      </c>
      <c r="N180" s="448">
        <f t="shared" si="173"/>
        <v>9.9999999999999995E-7</v>
      </c>
      <c r="O180" s="448">
        <f t="shared" si="173"/>
        <v>0.43</v>
      </c>
    </row>
    <row r="181" spans="1:15">
      <c r="A181" s="1000"/>
      <c r="B181" s="451">
        <v>6</v>
      </c>
      <c r="C181" s="448">
        <f>P55</f>
        <v>50</v>
      </c>
      <c r="D181" s="448">
        <f>Q55</f>
        <v>0.3</v>
      </c>
      <c r="E181" s="448">
        <f t="shared" ref="E181:G181" si="174">R55</f>
        <v>0.3</v>
      </c>
      <c r="F181" s="448">
        <f t="shared" si="174"/>
        <v>9.9999999999999995E-7</v>
      </c>
      <c r="G181" s="448">
        <f t="shared" si="174"/>
        <v>1.7</v>
      </c>
      <c r="I181" s="1000"/>
      <c r="J181" s="451">
        <v>6</v>
      </c>
      <c r="K181" s="448">
        <f>P61</f>
        <v>1</v>
      </c>
      <c r="L181" s="448">
        <f t="shared" ref="L181:O181" si="175">Q61</f>
        <v>2E-3</v>
      </c>
      <c r="M181" s="448">
        <f t="shared" si="175"/>
        <v>-1E-3</v>
      </c>
      <c r="N181" s="448">
        <f t="shared" si="175"/>
        <v>9.9999999999999995E-7</v>
      </c>
      <c r="O181" s="448">
        <f t="shared" si="175"/>
        <v>1.2</v>
      </c>
    </row>
    <row r="182" spans="1:15">
      <c r="A182" s="1000"/>
      <c r="B182" s="451">
        <v>7</v>
      </c>
      <c r="C182" s="448">
        <f>B86</f>
        <v>50</v>
      </c>
      <c r="D182" s="448" t="str">
        <f t="shared" ref="D182:G182" si="176">C86</f>
        <v>-</v>
      </c>
      <c r="E182" s="448">
        <f t="shared" si="176"/>
        <v>0.4</v>
      </c>
      <c r="F182" s="448">
        <f t="shared" si="176"/>
        <v>1.0000000000000001E-5</v>
      </c>
      <c r="G182" s="448">
        <f t="shared" si="176"/>
        <v>1.7</v>
      </c>
      <c r="I182" s="1000"/>
      <c r="J182" s="451">
        <v>7</v>
      </c>
      <c r="K182" s="448">
        <f>B92</f>
        <v>1</v>
      </c>
      <c r="L182" s="448">
        <f t="shared" ref="L182:O182" si="177">C92</f>
        <v>-2.3E-3</v>
      </c>
      <c r="M182" s="448">
        <f t="shared" si="177"/>
        <v>-2.3E-3</v>
      </c>
      <c r="N182" s="448">
        <f t="shared" si="177"/>
        <v>9.9999999999999995E-7</v>
      </c>
      <c r="O182" s="448">
        <f t="shared" si="177"/>
        <v>1.2</v>
      </c>
    </row>
    <row r="183" spans="1:15">
      <c r="A183" s="1000"/>
      <c r="B183" s="451">
        <v>8</v>
      </c>
      <c r="C183" s="448">
        <f>I86</f>
        <v>50</v>
      </c>
      <c r="D183" s="448">
        <f t="shared" ref="D183:G183" si="178">J86</f>
        <v>9.9999999999999995E-7</v>
      </c>
      <c r="E183" s="448">
        <f t="shared" si="178"/>
        <v>9.9999999999999995E-7</v>
      </c>
      <c r="F183" s="448">
        <f t="shared" si="178"/>
        <v>9.9999999999999995E-7</v>
      </c>
      <c r="G183" s="448">
        <f t="shared" si="178"/>
        <v>0</v>
      </c>
      <c r="I183" s="1000"/>
      <c r="J183" s="451">
        <v>8</v>
      </c>
      <c r="K183" s="448">
        <f>I92</f>
        <v>1</v>
      </c>
      <c r="L183" s="448">
        <f t="shared" ref="L183:O183" si="179">J92</f>
        <v>9.9999999999999995E-7</v>
      </c>
      <c r="M183" s="448">
        <f t="shared" si="179"/>
        <v>-1E-3</v>
      </c>
      <c r="N183" s="448">
        <f t="shared" si="179"/>
        <v>9.9999999999999995E-7</v>
      </c>
      <c r="O183" s="448">
        <f t="shared" si="179"/>
        <v>1.2</v>
      </c>
    </row>
    <row r="184" spans="1:15">
      <c r="A184" s="1000"/>
      <c r="B184" s="451">
        <v>9</v>
      </c>
      <c r="C184" s="448">
        <f>P86</f>
        <v>50</v>
      </c>
      <c r="D184" s="448">
        <f t="shared" ref="D184:G184" si="180">Q86</f>
        <v>9.9999999999999995E-7</v>
      </c>
      <c r="E184" s="448">
        <f t="shared" si="180"/>
        <v>0.2</v>
      </c>
      <c r="F184" s="448">
        <f t="shared" si="180"/>
        <v>9.9999500000000005E-2</v>
      </c>
      <c r="G184" s="448">
        <f t="shared" si="180"/>
        <v>1.7</v>
      </c>
      <c r="I184" s="1000"/>
      <c r="J184" s="451">
        <v>9</v>
      </c>
      <c r="K184" s="448">
        <f>P92</f>
        <v>1</v>
      </c>
      <c r="L184" s="448">
        <f t="shared" ref="L184:O184" si="181">Q92</f>
        <v>-1E-3</v>
      </c>
      <c r="M184" s="448">
        <f t="shared" si="181"/>
        <v>3.0000000000000001E-3</v>
      </c>
      <c r="N184" s="448">
        <f t="shared" si="181"/>
        <v>9.9999999999999995E-7</v>
      </c>
      <c r="O184" s="448">
        <f t="shared" si="181"/>
        <v>1.2</v>
      </c>
    </row>
    <row r="185" spans="1:15">
      <c r="A185" s="1000" t="s">
        <v>44</v>
      </c>
      <c r="B185" s="451">
        <v>1</v>
      </c>
      <c r="C185" s="448">
        <f>B25</f>
        <v>100</v>
      </c>
      <c r="D185" s="448" t="str">
        <f t="shared" ref="D185:G185" si="182">C25</f>
        <v>-</v>
      </c>
      <c r="E185" s="448">
        <f t="shared" si="182"/>
        <v>-0.3</v>
      </c>
      <c r="F185" s="448">
        <f t="shared" si="182"/>
        <v>9.9999999999999995E-7</v>
      </c>
      <c r="G185" s="448">
        <f t="shared" si="182"/>
        <v>1.4</v>
      </c>
      <c r="I185" s="1000" t="s">
        <v>44</v>
      </c>
      <c r="J185" s="451">
        <v>1</v>
      </c>
      <c r="K185" s="448">
        <f>B31</f>
        <v>2</v>
      </c>
      <c r="L185" s="448">
        <f t="shared" ref="L185:O185" si="183">C31</f>
        <v>9.9999999999999995E-7</v>
      </c>
      <c r="M185" s="448">
        <f t="shared" si="183"/>
        <v>7.0000000000000001E-3</v>
      </c>
      <c r="N185" s="448">
        <f t="shared" si="183"/>
        <v>9.9999999999999995E-7</v>
      </c>
      <c r="O185" s="448">
        <f t="shared" si="183"/>
        <v>0.43</v>
      </c>
    </row>
    <row r="186" spans="1:15">
      <c r="A186" s="1000"/>
      <c r="B186" s="451">
        <v>2</v>
      </c>
      <c r="C186" s="448">
        <f>I25</f>
        <v>100</v>
      </c>
      <c r="D186" s="448">
        <f t="shared" ref="D186:G186" si="184">J25</f>
        <v>9.9999999999999995E-7</v>
      </c>
      <c r="E186" s="448">
        <f t="shared" si="184"/>
        <v>0.3</v>
      </c>
      <c r="F186" s="448">
        <f t="shared" si="184"/>
        <v>0.14999950000000001</v>
      </c>
      <c r="G186" s="448">
        <f t="shared" si="184"/>
        <v>1.3</v>
      </c>
      <c r="I186" s="1000"/>
      <c r="J186" s="451">
        <v>2</v>
      </c>
      <c r="K186" s="448">
        <f>I31</f>
        <v>2</v>
      </c>
      <c r="L186" s="448">
        <f t="shared" ref="L186:O186" si="185">J31</f>
        <v>9.9999999999999995E-7</v>
      </c>
      <c r="M186" s="448">
        <f t="shared" si="185"/>
        <v>9.9999999999999995E-7</v>
      </c>
      <c r="N186" s="448">
        <f t="shared" si="185"/>
        <v>9.9999999999999995E-7</v>
      </c>
      <c r="O186" s="448">
        <f t="shared" si="185"/>
        <v>0.43</v>
      </c>
    </row>
    <row r="187" spans="1:15">
      <c r="A187" s="1000"/>
      <c r="B187" s="451">
        <v>3</v>
      </c>
      <c r="C187" s="448">
        <f>P25</f>
        <v>100</v>
      </c>
      <c r="D187" s="448">
        <f t="shared" ref="D187:G187" si="186">Q25</f>
        <v>0.6</v>
      </c>
      <c r="E187" s="448">
        <f t="shared" si="186"/>
        <v>0.1</v>
      </c>
      <c r="F187" s="448">
        <f t="shared" si="186"/>
        <v>0.25</v>
      </c>
      <c r="G187" s="448">
        <f t="shared" si="186"/>
        <v>5.1000000000000004E-2</v>
      </c>
      <c r="I187" s="1000"/>
      <c r="J187" s="451">
        <v>3</v>
      </c>
      <c r="K187" s="448">
        <f>P31</f>
        <v>2</v>
      </c>
      <c r="L187" s="448">
        <f t="shared" ref="L187:O187" si="187">Q31</f>
        <v>9.9999999999999995E-7</v>
      </c>
      <c r="M187" s="448">
        <f t="shared" si="187"/>
        <v>4.0000000000000001E-3</v>
      </c>
      <c r="N187" s="448">
        <f t="shared" si="187"/>
        <v>9.9999999999999995E-7</v>
      </c>
      <c r="O187" s="448">
        <f t="shared" si="187"/>
        <v>1.2</v>
      </c>
    </row>
    <row r="188" spans="1:15">
      <c r="A188" s="1000"/>
      <c r="B188" s="451">
        <v>4</v>
      </c>
      <c r="C188" s="448">
        <f>B56</f>
        <v>100</v>
      </c>
      <c r="D188" s="448">
        <f t="shared" ref="D188:G188" si="188">C56</f>
        <v>0.6</v>
      </c>
      <c r="E188" s="448">
        <f t="shared" si="188"/>
        <v>1</v>
      </c>
      <c r="F188" s="448">
        <f t="shared" si="188"/>
        <v>0.2</v>
      </c>
      <c r="G188" s="448">
        <f t="shared" si="188"/>
        <v>1.3</v>
      </c>
      <c r="I188" s="1000"/>
      <c r="J188" s="451">
        <v>4</v>
      </c>
      <c r="K188" s="448">
        <f>B62</f>
        <v>2</v>
      </c>
      <c r="L188" s="448">
        <f t="shared" ref="L188:O188" si="189">C62</f>
        <v>9.9999999999999995E-7</v>
      </c>
      <c r="M188" s="448">
        <f t="shared" si="189"/>
        <v>9.9999999999999995E-7</v>
      </c>
      <c r="N188" s="448">
        <f t="shared" si="189"/>
        <v>9.9999999999999995E-7</v>
      </c>
      <c r="O188" s="448">
        <f t="shared" si="189"/>
        <v>0.43</v>
      </c>
    </row>
    <row r="189" spans="1:15">
      <c r="A189" s="1000"/>
      <c r="B189" s="451">
        <v>5</v>
      </c>
      <c r="C189" s="448">
        <f>I56</f>
        <v>100</v>
      </c>
      <c r="D189" s="448">
        <f t="shared" ref="D189:G189" si="190">J56</f>
        <v>1.3</v>
      </c>
      <c r="E189" s="448">
        <f t="shared" si="190"/>
        <v>0.8</v>
      </c>
      <c r="F189" s="448">
        <f t="shared" si="190"/>
        <v>0.25</v>
      </c>
      <c r="G189" s="448">
        <f t="shared" si="190"/>
        <v>1.3</v>
      </c>
      <c r="I189" s="1000"/>
      <c r="J189" s="451">
        <v>5</v>
      </c>
      <c r="K189" s="448">
        <f>I62</f>
        <v>2</v>
      </c>
      <c r="L189" s="448">
        <f t="shared" ref="L189:O189" si="191">J62</f>
        <v>9.9999999999999995E-7</v>
      </c>
      <c r="M189" s="448">
        <f t="shared" si="191"/>
        <v>9.9999999999999995E-7</v>
      </c>
      <c r="N189" s="448">
        <f t="shared" si="191"/>
        <v>9.9999999999999995E-7</v>
      </c>
      <c r="O189" s="448">
        <f t="shared" si="191"/>
        <v>0.43</v>
      </c>
    </row>
    <row r="190" spans="1:15">
      <c r="A190" s="1000"/>
      <c r="B190" s="451">
        <v>6</v>
      </c>
      <c r="C190" s="448">
        <f>P56</f>
        <v>100</v>
      </c>
      <c r="D190" s="448">
        <f t="shared" ref="D190:G190" si="192">Q56</f>
        <v>0.9</v>
      </c>
      <c r="E190" s="448">
        <f t="shared" si="192"/>
        <v>0.6</v>
      </c>
      <c r="F190" s="448">
        <f t="shared" si="192"/>
        <v>0.15000000000000002</v>
      </c>
      <c r="G190" s="448">
        <f t="shared" si="192"/>
        <v>1.7</v>
      </c>
      <c r="I190" s="1000"/>
      <c r="J190" s="451">
        <v>6</v>
      </c>
      <c r="K190" s="448">
        <f>P62</f>
        <v>2</v>
      </c>
      <c r="L190" s="448">
        <f t="shared" ref="L190:O190" si="193">Q62</f>
        <v>9.9999999999999995E-7</v>
      </c>
      <c r="M190" s="448">
        <f t="shared" si="193"/>
        <v>9.9999999999999995E-7</v>
      </c>
      <c r="N190" s="448">
        <f t="shared" si="193"/>
        <v>9.9999999999999995E-7</v>
      </c>
      <c r="O190" s="448">
        <f t="shared" si="193"/>
        <v>1.2</v>
      </c>
    </row>
    <row r="191" spans="1:15">
      <c r="A191" s="1000"/>
      <c r="B191" s="451">
        <v>7</v>
      </c>
      <c r="C191" s="448">
        <f>B87</f>
        <v>100</v>
      </c>
      <c r="D191" s="448" t="str">
        <f t="shared" ref="D191:G191" si="194">C87</f>
        <v>-</v>
      </c>
      <c r="E191" s="448">
        <f t="shared" si="194"/>
        <v>1.4</v>
      </c>
      <c r="F191" s="448">
        <f t="shared" si="194"/>
        <v>1.0000000000000001E-5</v>
      </c>
      <c r="G191" s="448">
        <f t="shared" si="194"/>
        <v>1.7</v>
      </c>
      <c r="I191" s="1000"/>
      <c r="J191" s="451">
        <v>7</v>
      </c>
      <c r="K191" s="448">
        <f>B93</f>
        <v>2</v>
      </c>
      <c r="L191" s="448">
        <f t="shared" ref="L191:O191" si="195">C93</f>
        <v>9.9999999999999995E-7</v>
      </c>
      <c r="M191" s="448">
        <f t="shared" si="195"/>
        <v>9.9999999999999995E-7</v>
      </c>
      <c r="N191" s="448">
        <f t="shared" si="195"/>
        <v>9.9999999999999995E-7</v>
      </c>
      <c r="O191" s="448">
        <f t="shared" si="195"/>
        <v>1.2</v>
      </c>
    </row>
    <row r="192" spans="1:15">
      <c r="A192" s="1000"/>
      <c r="B192" s="451">
        <v>8</v>
      </c>
      <c r="C192" s="448">
        <f>I87</f>
        <v>100</v>
      </c>
      <c r="D192" s="448">
        <f t="shared" ref="D192:G192" si="196">J87</f>
        <v>9.9999999999999995E-7</v>
      </c>
      <c r="E192" s="448">
        <f t="shared" si="196"/>
        <v>9.9999999999999995E-7</v>
      </c>
      <c r="F192" s="448">
        <f t="shared" si="196"/>
        <v>9.9999999999999995E-7</v>
      </c>
      <c r="G192" s="448">
        <f t="shared" si="196"/>
        <v>0</v>
      </c>
      <c r="I192" s="1000"/>
      <c r="J192" s="451">
        <v>8</v>
      </c>
      <c r="K192" s="448">
        <f>I93</f>
        <v>2</v>
      </c>
      <c r="L192" s="448">
        <f t="shared" ref="L192:O192" si="197">J93</f>
        <v>9.9999999999999995E-7</v>
      </c>
      <c r="M192" s="448">
        <f t="shared" si="197"/>
        <v>-6.0000000000000001E-3</v>
      </c>
      <c r="N192" s="448">
        <f t="shared" si="197"/>
        <v>9.9999999999999995E-7</v>
      </c>
      <c r="O192" s="448">
        <f t="shared" si="197"/>
        <v>1.2</v>
      </c>
    </row>
    <row r="193" spans="1:20">
      <c r="A193" s="1000"/>
      <c r="B193" s="451">
        <v>9</v>
      </c>
      <c r="C193" s="448">
        <f>P87</f>
        <v>100</v>
      </c>
      <c r="D193" s="448">
        <f t="shared" ref="D193:G193" si="198">Q87</f>
        <v>9.9999999999999995E-7</v>
      </c>
      <c r="E193" s="448">
        <f t="shared" si="198"/>
        <v>0.4</v>
      </c>
      <c r="F193" s="448">
        <f t="shared" si="198"/>
        <v>0.19999950000000002</v>
      </c>
      <c r="G193" s="448">
        <f t="shared" si="198"/>
        <v>1.7</v>
      </c>
      <c r="I193" s="1000"/>
      <c r="J193" s="451">
        <v>9</v>
      </c>
      <c r="K193" s="448">
        <f>P93</f>
        <v>2</v>
      </c>
      <c r="L193" s="448">
        <f t="shared" ref="L193:O193" si="199">Q93</f>
        <v>-6.0000000000000001E-3</v>
      </c>
      <c r="M193" s="448">
        <f t="shared" si="199"/>
        <v>4.0000000000000001E-3</v>
      </c>
      <c r="N193" s="448">
        <f t="shared" si="199"/>
        <v>5.0000000000000001E-3</v>
      </c>
      <c r="O193" s="448">
        <f t="shared" si="199"/>
        <v>1.2</v>
      </c>
    </row>
    <row r="194" spans="1:20" ht="13" thickBot="1">
      <c r="A194" s="443"/>
      <c r="B194" s="444"/>
      <c r="C194" s="444"/>
    </row>
    <row r="195" spans="1:20" ht="24.75" customHeight="1">
      <c r="A195" s="309">
        <f>A244</f>
        <v>7</v>
      </c>
      <c r="B195" s="978" t="str">
        <f>A234</f>
        <v>Electrical Safety Analyzer, Merek : Fluke, Model : ESA 615, SN : 3699030</v>
      </c>
      <c r="C195" s="978"/>
      <c r="D195" s="978"/>
      <c r="E195" s="979"/>
      <c r="F195" s="452"/>
      <c r="G195" s="980"/>
      <c r="H195" s="981"/>
      <c r="I195" s="981"/>
      <c r="J195" s="982"/>
      <c r="K195" s="452"/>
      <c r="L195" s="983" t="s">
        <v>229</v>
      </c>
      <c r="M195" s="986" t="s">
        <v>230</v>
      </c>
      <c r="N195" s="989" t="s">
        <v>231</v>
      </c>
    </row>
    <row r="196" spans="1:20" ht="14.5" thickBot="1">
      <c r="A196" s="991" t="s">
        <v>215</v>
      </c>
      <c r="B196" s="992"/>
      <c r="C196" s="992"/>
      <c r="D196" s="992"/>
      <c r="E196" s="993"/>
      <c r="F196" s="453"/>
      <c r="G196" s="310"/>
      <c r="H196" s="451"/>
      <c r="I196" s="311"/>
      <c r="J196" s="451"/>
      <c r="K196" s="453"/>
      <c r="L196" s="984"/>
      <c r="M196" s="987"/>
      <c r="N196" s="990"/>
    </row>
    <row r="197" spans="1:20" ht="13.5" thickBot="1">
      <c r="A197" s="994" t="str">
        <f>B4</f>
        <v>Setting VAC</v>
      </c>
      <c r="B197" s="995"/>
      <c r="C197" s="995"/>
      <c r="D197" s="996" t="s">
        <v>217</v>
      </c>
      <c r="E197" s="998" t="s">
        <v>90</v>
      </c>
      <c r="F197" s="453"/>
      <c r="G197" s="313"/>
      <c r="H197" s="311"/>
      <c r="I197" s="314"/>
      <c r="J197" s="312"/>
      <c r="K197" s="453"/>
      <c r="L197" s="985"/>
      <c r="M197" s="988"/>
      <c r="N197" s="990"/>
    </row>
    <row r="198" spans="1:20" ht="15.5">
      <c r="A198" s="454" t="s">
        <v>218</v>
      </c>
      <c r="B198" s="416">
        <f>VLOOKUP(B195,A235:K243,9,FALSE)</f>
        <v>2019</v>
      </c>
      <c r="C198" s="416">
        <f>VLOOKUP(B195,A235:K243,10,FALSE)</f>
        <v>2020</v>
      </c>
      <c r="D198" s="997"/>
      <c r="E198" s="999"/>
      <c r="F198" s="453"/>
      <c r="G198" s="310"/>
      <c r="H198" s="451"/>
      <c r="I198" s="311"/>
      <c r="J198" s="451"/>
      <c r="K198" s="453"/>
      <c r="L198" s="455">
        <f>ID!E18</f>
        <v>221.7</v>
      </c>
      <c r="M198" s="315"/>
      <c r="N198" s="316"/>
      <c r="P198" s="420" t="s">
        <v>14</v>
      </c>
      <c r="Q198" s="317"/>
    </row>
    <row r="199" spans="1:20" ht="15.5">
      <c r="A199" s="318">
        <f>VLOOKUP($A195,$B100:$G108,2,(FALSE))</f>
        <v>150</v>
      </c>
      <c r="B199" s="319">
        <f>VLOOKUP($A$195,$B$100:$G$108,3,(FALSE))</f>
        <v>0.21</v>
      </c>
      <c r="C199" s="319">
        <f>VLOOKUP($A$195,$B$100:$G$108,4,(FALSE))</f>
        <v>0.21</v>
      </c>
      <c r="D199" s="319">
        <f>VLOOKUP($A$195,$B$100:$G$108,5,(FALSE))</f>
        <v>9.9999999999999995E-7</v>
      </c>
      <c r="E199" s="320">
        <f>VLOOKUP($A$195,$B$100:$G$108,6,(FALSE))</f>
        <v>1.2</v>
      </c>
      <c r="F199" s="453"/>
      <c r="G199" s="975"/>
      <c r="H199" s="976"/>
      <c r="I199" s="976"/>
      <c r="J199" s="977"/>
      <c r="K199" s="453"/>
      <c r="L199" s="456" t="str">
        <f>ID!I27</f>
        <v>OL</v>
      </c>
      <c r="M199" s="321"/>
      <c r="N199" s="322"/>
      <c r="Q199" s="317"/>
    </row>
    <row r="200" spans="1:20" ht="15.5">
      <c r="A200" s="457">
        <f>VLOOKUP($A$195,$B$109:$G$117,2,(FALSE))</f>
        <v>180</v>
      </c>
      <c r="B200" s="458">
        <f>VLOOKUP($A$195,$B$109:$G$117,3,(FALSE))</f>
        <v>0.33</v>
      </c>
      <c r="C200" s="458">
        <f>VLOOKUP($A$195,$B$109:$G$117,4,(FALSE))</f>
        <v>0.33</v>
      </c>
      <c r="D200" s="458">
        <f>VLOOKUP($A$195,$B$109:$G$117,5,(FALSE))</f>
        <v>9.9999999999999995E-7</v>
      </c>
      <c r="E200" s="459">
        <f>VLOOKUP($A$195,$B$109:$G$117,6,(FALSE))</f>
        <v>1.2</v>
      </c>
      <c r="F200" s="453"/>
      <c r="G200" s="310"/>
      <c r="H200" s="451"/>
      <c r="I200" s="311"/>
      <c r="J200" s="451"/>
      <c r="K200" s="453"/>
      <c r="L200" s="460">
        <f>ID!I28</f>
        <v>8.8999999999999996E-2</v>
      </c>
      <c r="M200" s="323"/>
      <c r="N200" s="324"/>
      <c r="Q200" s="317"/>
      <c r="T200" s="317"/>
    </row>
    <row r="201" spans="1:20" ht="16" thickBot="1">
      <c r="A201" s="457">
        <f>VLOOKUP($A$195,$B$118:$G$126,2,(FALSE))</f>
        <v>200</v>
      </c>
      <c r="B201" s="458">
        <f>VLOOKUP($A$195,$B$118:$G$126,3,(FALSE))</f>
        <v>0.34</v>
      </c>
      <c r="C201" s="458">
        <f>VLOOKUP($A$195,$B$118:$G$126,4,(FALSE))</f>
        <v>0.34</v>
      </c>
      <c r="D201" s="458">
        <f>VLOOKUP($A$195,$B$118:$G$126,5,(FALSE))</f>
        <v>9.9999999999999995E-7</v>
      </c>
      <c r="E201" s="459">
        <f>VLOOKUP($A$195,$B$118:$G$126,6,(FALSE))</f>
        <v>1.2</v>
      </c>
      <c r="F201" s="453"/>
      <c r="G201" s="313"/>
      <c r="H201" s="311"/>
      <c r="I201" s="314"/>
      <c r="J201" s="312"/>
      <c r="K201" s="461" t="s">
        <v>345</v>
      </c>
      <c r="L201" s="456">
        <f>ID!I29</f>
        <v>56.6</v>
      </c>
      <c r="M201" s="325"/>
      <c r="N201" s="326"/>
      <c r="Q201" s="317"/>
      <c r="T201" s="317"/>
    </row>
    <row r="202" spans="1:20" ht="16" thickBot="1">
      <c r="A202" s="457">
        <f>VLOOKUP($A$195,$B$127:$G$135,2,(FALSE))</f>
        <v>220</v>
      </c>
      <c r="B202" s="458">
        <f>VLOOKUP($A$195,$B$127:$G$135,3,(FALSE))</f>
        <v>0.37</v>
      </c>
      <c r="C202" s="458">
        <f>VLOOKUP($A$195,$B$127:$G$135,4,(FALSE))</f>
        <v>0.37</v>
      </c>
      <c r="D202" s="458">
        <f>VLOOKUP($A$195,$B$127:$G$135,5,(FALSE))</f>
        <v>9.9999999999999995E-7</v>
      </c>
      <c r="E202" s="459">
        <f>VLOOKUP($A$195,$B$127:$G$135,6,(FALSE))</f>
        <v>1.2</v>
      </c>
      <c r="F202" s="453"/>
      <c r="G202" s="310"/>
      <c r="H202" s="451"/>
      <c r="I202" s="311"/>
      <c r="J202" s="451"/>
      <c r="K202" s="461" t="s">
        <v>331</v>
      </c>
      <c r="L202" s="460">
        <f>ID!N29</f>
        <v>12</v>
      </c>
      <c r="M202" s="325"/>
      <c r="N202" s="326"/>
      <c r="Q202" s="317"/>
      <c r="T202" s="317"/>
    </row>
    <row r="203" spans="1:20" ht="15.5">
      <c r="A203" s="457">
        <f>VLOOKUP($A$195,$B$136:$G$144,2,(FALSE))</f>
        <v>230</v>
      </c>
      <c r="B203" s="458">
        <f>VLOOKUP($A$195,$B$136:$G$144,3,(FALSE))</f>
        <v>0.47</v>
      </c>
      <c r="C203" s="458">
        <f>VLOOKUP($A$195,$B$136:$G$144,4,(FALSE))</f>
        <v>0.47</v>
      </c>
      <c r="D203" s="458">
        <f>VLOOKUP($A$195,$B$136:$G$144,5,(FALSE))</f>
        <v>9.9999999999999995E-7</v>
      </c>
      <c r="E203" s="459">
        <f>VLOOKUP($A$195,$B$136:$G$144,6,(FALSE))</f>
        <v>1.2</v>
      </c>
      <c r="F203" s="453"/>
      <c r="G203" s="975"/>
      <c r="H203" s="976"/>
      <c r="I203" s="976"/>
      <c r="J203" s="977"/>
      <c r="K203" s="453"/>
      <c r="L203" s="327"/>
      <c r="M203" s="328"/>
      <c r="N203" s="774">
        <f>E201</f>
        <v>1.2</v>
      </c>
      <c r="Q203" s="317"/>
      <c r="T203" s="317"/>
    </row>
    <row r="204" spans="1:20" ht="16" thickBot="1">
      <c r="A204" s="462">
        <f>VLOOKUP($A$195,$B$145:$G$153,2,(FALSE))</f>
        <v>250</v>
      </c>
      <c r="B204" s="463">
        <f>VLOOKUP($A$195,$B$145:$G$153,3,(FALSE))</f>
        <v>9.9999999999999995E-7</v>
      </c>
      <c r="C204" s="463">
        <f>VLOOKUP($A$195,$B$145:$G$153,4,(FALSE))</f>
        <v>9.9999999999999995E-7</v>
      </c>
      <c r="D204" s="463">
        <f>VLOOKUP($A$195,$B$145:$G$153,5,(FALSE))</f>
        <v>9.9999999999999995E-7</v>
      </c>
      <c r="E204" s="464">
        <f>VLOOKUP($A$195,$B$145:$G$153,6,(FALSE))</f>
        <v>1.2</v>
      </c>
      <c r="F204" s="453"/>
      <c r="G204" s="310"/>
      <c r="H204" s="451"/>
      <c r="I204" s="311"/>
      <c r="J204" s="451"/>
      <c r="K204" s="453"/>
      <c r="L204" s="327"/>
      <c r="M204" s="328"/>
      <c r="N204" s="329"/>
      <c r="Q204" s="317"/>
      <c r="T204" s="317"/>
    </row>
    <row r="205" spans="1:20" ht="15.5">
      <c r="A205" s="973" t="str">
        <f>B12</f>
        <v>Current Leakage</v>
      </c>
      <c r="B205" s="974"/>
      <c r="C205" s="974"/>
      <c r="D205" s="465" t="s">
        <v>217</v>
      </c>
      <c r="E205" s="466" t="s">
        <v>90</v>
      </c>
      <c r="F205" s="453"/>
      <c r="G205" s="331"/>
      <c r="H205" s="311"/>
      <c r="I205" s="314"/>
      <c r="J205" s="330"/>
      <c r="K205" s="453"/>
      <c r="L205" s="327"/>
      <c r="M205" s="328"/>
      <c r="N205" s="329"/>
      <c r="S205" s="467"/>
      <c r="T205" s="317"/>
    </row>
    <row r="206" spans="1:20" ht="15.5">
      <c r="A206" s="454" t="s">
        <v>220</v>
      </c>
      <c r="B206" s="416">
        <f>B198</f>
        <v>2019</v>
      </c>
      <c r="C206" s="416">
        <f>C198</f>
        <v>2020</v>
      </c>
      <c r="D206" s="416"/>
      <c r="E206" s="468"/>
      <c r="F206" s="453"/>
      <c r="G206" s="310"/>
      <c r="H206" s="451"/>
      <c r="I206" s="311"/>
      <c r="J206" s="451"/>
      <c r="K206" s="453"/>
      <c r="L206" s="327"/>
      <c r="M206" s="328"/>
      <c r="N206" s="329"/>
      <c r="T206" s="317"/>
    </row>
    <row r="207" spans="1:20">
      <c r="A207" s="469">
        <f>VLOOKUP($A$195,$J$100:$O$108,2,(FALSE))</f>
        <v>0</v>
      </c>
      <c r="B207" s="458">
        <f>VLOOKUP($A$195,$J$100:$O$108,3,(FALSE))</f>
        <v>9.9999999999999995E-7</v>
      </c>
      <c r="C207" s="458">
        <f>VLOOKUP($A$195,$J$100:$O$108,4,(FALSE))</f>
        <v>9.9999999999999995E-7</v>
      </c>
      <c r="D207" s="458">
        <f>VLOOKUP($A$195,$J$100:$O$108,5,(FALSE))</f>
        <v>9.9999999999999995E-7</v>
      </c>
      <c r="E207" s="459">
        <f>VLOOKUP($A$195,$J$100:$O$108,6,(FALSE))</f>
        <v>0.59</v>
      </c>
      <c r="F207" s="453"/>
      <c r="G207" s="975"/>
      <c r="H207" s="976"/>
      <c r="I207" s="976"/>
      <c r="J207" s="977"/>
      <c r="K207" s="453"/>
      <c r="L207" s="332"/>
      <c r="M207" s="332"/>
      <c r="N207" s="333"/>
    </row>
    <row r="208" spans="1:20">
      <c r="A208" s="469">
        <f>VLOOKUP($A$195,$J$109:$O$117,2,(FALSE))</f>
        <v>50</v>
      </c>
      <c r="B208" s="458">
        <f>VLOOKUP($A$195,$J$109:$O$117,3,(FALSE))</f>
        <v>1.7</v>
      </c>
      <c r="C208" s="458">
        <f>VLOOKUP($A$195,$J$109:$O$117,4,(FALSE))</f>
        <v>1.7</v>
      </c>
      <c r="D208" s="458">
        <f>VLOOKUP($A$195,$J$109:$O$117,5,(FALSE))</f>
        <v>9.9999999999999995E-7</v>
      </c>
      <c r="E208" s="459">
        <f>VLOOKUP($A$195,$J$109:$O$117,6,(FALSE))</f>
        <v>0.59</v>
      </c>
      <c r="F208" s="453"/>
      <c r="G208" s="310"/>
      <c r="H208" s="451"/>
      <c r="I208" s="311"/>
      <c r="J208" s="451"/>
      <c r="K208" s="453"/>
      <c r="L208" s="334"/>
      <c r="M208" s="334"/>
      <c r="N208" s="329"/>
    </row>
    <row r="209" spans="1:15">
      <c r="A209" s="469">
        <f>VLOOKUP($A$195,$J$118:$O$126,2,(FALSE))</f>
        <v>100</v>
      </c>
      <c r="B209" s="458">
        <f>VLOOKUP($A$195,$J$118:$O$126,3,(FALSE))</f>
        <v>1.7</v>
      </c>
      <c r="C209" s="458">
        <f>VLOOKUP($A$195,$J$118:$O$126,4,(FALSE))</f>
        <v>1.7</v>
      </c>
      <c r="D209" s="458">
        <f>VLOOKUP($A$195,$J$118:$O$126,5,(FALSE))</f>
        <v>9.9999999999999995E-7</v>
      </c>
      <c r="E209" s="459">
        <f>VLOOKUP($A$195,$J$118:$O$126,6,(FALSE))</f>
        <v>0.59</v>
      </c>
      <c r="F209" s="453"/>
      <c r="G209" s="335"/>
      <c r="H209" s="311"/>
      <c r="I209" s="336"/>
      <c r="J209" s="312"/>
      <c r="K209" s="453"/>
      <c r="L209" s="453"/>
      <c r="M209" s="453"/>
      <c r="N209" s="470"/>
    </row>
    <row r="210" spans="1:15" ht="13" thickBot="1">
      <c r="A210" s="469">
        <f>VLOOKUP($A$195,$J$127:$O$135,2,(FALSE))</f>
        <v>200</v>
      </c>
      <c r="B210" s="458">
        <f>VLOOKUP($A$195,$J$127:$O$135,3,(FALSE))</f>
        <v>0.4</v>
      </c>
      <c r="C210" s="458">
        <f>VLOOKUP($A$195,$J$127:$O$135,4,(FALSE))</f>
        <v>0.4</v>
      </c>
      <c r="D210" s="458">
        <f>VLOOKUP($A$195,$J$127:$O$135,5,(FALSE))</f>
        <v>9.9999999999999995E-7</v>
      </c>
      <c r="E210" s="459">
        <f>VLOOKUP($A$195,$J$127:$O$135,6,(FALSE))</f>
        <v>0.59</v>
      </c>
      <c r="F210" s="453"/>
      <c r="G210" s="337"/>
      <c r="H210" s="451"/>
      <c r="I210" s="338"/>
      <c r="J210" s="451"/>
      <c r="K210" s="453"/>
      <c r="L210" s="453"/>
      <c r="M210" s="453"/>
      <c r="N210" s="470"/>
    </row>
    <row r="211" spans="1:15" ht="13">
      <c r="A211" s="469">
        <f>VLOOKUP($A$195,$J$136:$O$144,2,(FALSE))</f>
        <v>500</v>
      </c>
      <c r="B211" s="458">
        <f>VLOOKUP($A$195,$J$136:$O$144,3,(FALSE))</f>
        <v>3</v>
      </c>
      <c r="C211" s="458">
        <f>VLOOKUP($A$195,$J$136:$O$144,4,(FALSE))</f>
        <v>3</v>
      </c>
      <c r="D211" s="458">
        <f>VLOOKUP($A$195,$J$136:$O$144,5,(FALSE))</f>
        <v>9.9999999999999995E-7</v>
      </c>
      <c r="E211" s="459">
        <f>VLOOKUP($A$195,$J$136:$O$144,6,(FALSE))</f>
        <v>0.59</v>
      </c>
      <c r="F211" s="453"/>
      <c r="G211" s="975"/>
      <c r="H211" s="976"/>
      <c r="I211" s="976"/>
      <c r="J211" s="977"/>
      <c r="K211" s="453"/>
      <c r="L211" s="339"/>
      <c r="M211" s="339"/>
      <c r="N211" s="340"/>
      <c r="O211" s="341"/>
    </row>
    <row r="212" spans="1:15" ht="13" thickBot="1">
      <c r="A212" s="471">
        <f>VLOOKUP($A$195,$J$145:$O$153,2,(FALSE))</f>
        <v>1000</v>
      </c>
      <c r="B212" s="463">
        <f>VLOOKUP($A$195,$J$145:$O$153,3,(FALSE))</f>
        <v>5</v>
      </c>
      <c r="C212" s="463">
        <f>VLOOKUP($A$195,$J$145:$O$153,4,(FALSE))</f>
        <v>4</v>
      </c>
      <c r="D212" s="463">
        <f>VLOOKUP($A$195,$J$145:$O$153,5,(FALSE))</f>
        <v>0.5</v>
      </c>
      <c r="E212" s="464">
        <f>VLOOKUP($A$195,$J$145:$O$153,6,(FALSE))</f>
        <v>0.59</v>
      </c>
      <c r="F212" s="453"/>
      <c r="G212" s="310"/>
      <c r="H212" s="451"/>
      <c r="I212" s="311"/>
      <c r="J212" s="451"/>
      <c r="K212" s="453"/>
      <c r="L212" s="342"/>
      <c r="M212" s="342"/>
      <c r="N212" s="343"/>
      <c r="O212" s="344"/>
    </row>
    <row r="213" spans="1:15" ht="13">
      <c r="A213" s="973" t="str">
        <f>B20</f>
        <v>Main-PE</v>
      </c>
      <c r="B213" s="974"/>
      <c r="C213" s="974"/>
      <c r="D213" s="465" t="s">
        <v>217</v>
      </c>
      <c r="E213" s="466" t="s">
        <v>90</v>
      </c>
      <c r="F213" s="453"/>
      <c r="G213" s="335"/>
      <c r="H213" s="311"/>
      <c r="I213" s="336"/>
      <c r="J213" s="312"/>
      <c r="K213" s="453"/>
      <c r="L213" s="345"/>
      <c r="M213" s="342"/>
      <c r="N213" s="346"/>
      <c r="O213" s="347"/>
    </row>
    <row r="214" spans="1:15" ht="15" thickBot="1">
      <c r="A214" s="454" t="s">
        <v>434</v>
      </c>
      <c r="B214" s="416">
        <f>B206</f>
        <v>2019</v>
      </c>
      <c r="C214" s="416">
        <f>C206</f>
        <v>2020</v>
      </c>
      <c r="D214" s="416"/>
      <c r="E214" s="468"/>
      <c r="F214" s="453"/>
      <c r="G214" s="337"/>
      <c r="H214" s="451"/>
      <c r="I214" s="338"/>
      <c r="J214" s="451"/>
      <c r="K214" s="453"/>
      <c r="L214" s="342"/>
      <c r="M214" s="342"/>
      <c r="N214" s="343"/>
      <c r="O214" s="344"/>
    </row>
    <row r="215" spans="1:15">
      <c r="A215" s="469">
        <f>VLOOKUP($A$195,$B$158:$G$166,2,(FALSE))</f>
        <v>10</v>
      </c>
      <c r="B215" s="458" t="str">
        <f>VLOOKUP($A$195,$B$158:$G$166,3,(FALSE))</f>
        <v>-</v>
      </c>
      <c r="C215" s="458">
        <f>VLOOKUP($A$195,$B$158:$G$166,4,(FALSE))</f>
        <v>9.9999999999999995E-7</v>
      </c>
      <c r="D215" s="458">
        <f>VLOOKUP($A$195,$B$158:$G$166,5,(FALSE))</f>
        <v>1.0000000000000001E-5</v>
      </c>
      <c r="E215" s="472">
        <f>VLOOKUP($A$195,$B$158:$G$166,6,(FALSE))</f>
        <v>1.7</v>
      </c>
      <c r="F215" s="453"/>
      <c r="G215" s="972"/>
      <c r="H215" s="972"/>
      <c r="I215" s="972"/>
      <c r="J215" s="972"/>
      <c r="K215" s="453"/>
      <c r="L215" s="453"/>
      <c r="M215" s="453"/>
      <c r="N215" s="470"/>
    </row>
    <row r="216" spans="1:15">
      <c r="A216" s="469">
        <f>VLOOKUP($A$195,$B$167:$G$175,2,(FALSE))</f>
        <v>20</v>
      </c>
      <c r="B216" s="458" t="str">
        <f>VLOOKUP($A$195,$B$167:$G$175,3,(FALSE))</f>
        <v>-</v>
      </c>
      <c r="C216" s="458">
        <f>VLOOKUP($A$195,$B$167:$G$175,4,(FALSE))</f>
        <v>0.1</v>
      </c>
      <c r="D216" s="458">
        <f>VLOOKUP($A$195,$B$167:$G$175,5,(FALSE))</f>
        <v>1.0000000000000001E-5</v>
      </c>
      <c r="E216" s="472">
        <f>VLOOKUP($A$195,$B$167:$G$175,6,(FALSE))</f>
        <v>1.7</v>
      </c>
      <c r="F216" s="453"/>
      <c r="G216" s="805"/>
      <c r="H216" s="805"/>
      <c r="I216" s="805"/>
      <c r="J216" s="806"/>
      <c r="K216" s="453"/>
      <c r="L216" s="453"/>
      <c r="M216" s="453"/>
      <c r="N216" s="470"/>
    </row>
    <row r="217" spans="1:15">
      <c r="A217" s="469">
        <f>VLOOKUP($A$195,$B$176:$G$184,2,(FALSE))</f>
        <v>50</v>
      </c>
      <c r="B217" s="458" t="str">
        <f>VLOOKUP($A$195,$B$176:$G$184,3,(FALSE))</f>
        <v>-</v>
      </c>
      <c r="C217" s="458">
        <f>VLOOKUP($A$195,$B$176:$G$184,4,(FALSE))</f>
        <v>0.4</v>
      </c>
      <c r="D217" s="458">
        <f>VLOOKUP($A$195,$B$176:$G$184,5,(FALSE))</f>
        <v>1.0000000000000001E-5</v>
      </c>
      <c r="E217" s="472">
        <f>VLOOKUP($A$195,$B$176:$G$184,6,(FALSE))</f>
        <v>1.7</v>
      </c>
      <c r="F217" s="453"/>
      <c r="G217" s="806"/>
      <c r="H217" s="805"/>
      <c r="I217" s="806"/>
      <c r="J217" s="806"/>
      <c r="K217" s="453"/>
      <c r="L217" s="453"/>
      <c r="M217" s="453"/>
      <c r="N217" s="470"/>
    </row>
    <row r="218" spans="1:15" ht="13" thickBot="1">
      <c r="A218" s="471">
        <f>VLOOKUP($A$195,$B$185:$G$193,2,(FALSE))</f>
        <v>100</v>
      </c>
      <c r="B218" s="463" t="str">
        <f>VLOOKUP($A$195,$B$185:$G$193,3,(FALSE))</f>
        <v>-</v>
      </c>
      <c r="C218" s="463">
        <f>VLOOKUP($A$195,$B$185:$G$193,4,(FALSE))</f>
        <v>1.4</v>
      </c>
      <c r="D218" s="463">
        <f>VLOOKUP($A$195,$B$185:$G$193,5,(FALSE))</f>
        <v>1.0000000000000001E-5</v>
      </c>
      <c r="E218" s="473">
        <f>VLOOKUP($A$195,$B$185:$G$193,6,(FALSE))</f>
        <v>1.7</v>
      </c>
      <c r="F218" s="453"/>
      <c r="G218" s="805"/>
      <c r="H218" s="805"/>
      <c r="I218" s="805"/>
      <c r="J218" s="806"/>
      <c r="K218" s="453"/>
      <c r="L218" s="453"/>
      <c r="M218" s="453"/>
      <c r="N218" s="470"/>
    </row>
    <row r="219" spans="1:15" ht="13">
      <c r="A219" s="973" t="str">
        <f>B26</f>
        <v>Resistance</v>
      </c>
      <c r="B219" s="974"/>
      <c r="C219" s="974"/>
      <c r="D219" s="465" t="s">
        <v>217</v>
      </c>
      <c r="E219" s="466" t="s">
        <v>90</v>
      </c>
      <c r="F219" s="453"/>
      <c r="G219" s="972"/>
      <c r="H219" s="972"/>
      <c r="I219" s="972"/>
      <c r="J219" s="972"/>
      <c r="K219" s="453"/>
      <c r="L219" s="453"/>
      <c r="M219" s="453"/>
      <c r="N219" s="470"/>
    </row>
    <row r="220" spans="1:15" ht="14.5">
      <c r="A220" s="454" t="s">
        <v>435</v>
      </c>
      <c r="B220" s="416">
        <f>B214</f>
        <v>2019</v>
      </c>
      <c r="C220" s="416">
        <f>C214</f>
        <v>2020</v>
      </c>
      <c r="D220" s="416"/>
      <c r="E220" s="468"/>
      <c r="F220" s="453"/>
      <c r="G220" s="805"/>
      <c r="H220" s="805"/>
      <c r="I220" s="805"/>
      <c r="J220" s="806"/>
      <c r="K220" s="453"/>
      <c r="L220" s="453"/>
      <c r="M220" s="453"/>
      <c r="N220" s="470"/>
    </row>
    <row r="221" spans="1:15" ht="14">
      <c r="A221" s="348">
        <f>VLOOKUP($A$195,$J$158:$O$166,2,(FALSE))</f>
        <v>0.01</v>
      </c>
      <c r="B221" s="349">
        <f>VLOOKUP($A$195,$J$158:$O$166,3,(FALSE))</f>
        <v>9.9999999999999995E-7</v>
      </c>
      <c r="C221" s="349">
        <f>VLOOKUP($A$195,$J$158:$O$166,4,(FALSE))</f>
        <v>9.9999999999999995E-7</v>
      </c>
      <c r="D221" s="491">
        <f>VLOOKUP($A$195,$J$158:$O$166,5,(FALSE))</f>
        <v>9.9999999999999995E-7</v>
      </c>
      <c r="E221" s="350">
        <f>VLOOKUP($A$195,$J$158:$O$166,6,(FALSE))</f>
        <v>1.2</v>
      </c>
      <c r="F221" s="453"/>
      <c r="G221" s="806"/>
      <c r="H221" s="805"/>
      <c r="I221" s="806"/>
      <c r="J221" s="806"/>
      <c r="K221" s="453"/>
      <c r="L221" s="453"/>
      <c r="M221" s="453"/>
      <c r="N221" s="470"/>
    </row>
    <row r="222" spans="1:15" ht="14">
      <c r="A222" s="348">
        <f>VLOOKUP($A$195,$J$167:$O$175,2,(FALSE))</f>
        <v>0.1</v>
      </c>
      <c r="B222" s="349">
        <f>VLOOKUP($A$195,$J$167:$O$175,3,(FALSE))</f>
        <v>9.9999999999999995E-7</v>
      </c>
      <c r="C222" s="349">
        <f>VLOOKUP($A$195,$J$167:$O$175,4,(FALSE))</f>
        <v>9.9999999999999995E-7</v>
      </c>
      <c r="D222" s="349">
        <f>VLOOKUP($A$195,$J$167:$O$175,5,(FALSE))</f>
        <v>9.9999999999999995E-7</v>
      </c>
      <c r="E222" s="350">
        <f>VLOOKUP($A$195,$J$167:$O$175,6,(FALSE))</f>
        <v>1.2</v>
      </c>
      <c r="F222" s="453"/>
      <c r="G222" s="805"/>
      <c r="H222" s="805"/>
      <c r="I222" s="805"/>
      <c r="J222" s="806"/>
      <c r="K222" s="453"/>
      <c r="L222" s="453"/>
      <c r="M222" s="453"/>
      <c r="N222" s="470"/>
    </row>
    <row r="223" spans="1:15" ht="14">
      <c r="A223" s="348">
        <f>VLOOKUP($A$195,$J$176:$O$184,2,(FALSE))</f>
        <v>1</v>
      </c>
      <c r="B223" s="349">
        <f>VLOOKUP($A$195,$J$176:$O$184,3,(FALSE))</f>
        <v>-2.3E-3</v>
      </c>
      <c r="C223" s="349">
        <f>VLOOKUP($A$195,$J$176:$O$184,4,(FALSE))</f>
        <v>-2.3E-3</v>
      </c>
      <c r="D223" s="349">
        <f>VLOOKUP($A$195,$J$176:$O$184,5,(FALSE))</f>
        <v>9.9999999999999995E-7</v>
      </c>
      <c r="E223" s="350">
        <f>VLOOKUP($A$195,$J$176:$O$184,6,(FALSE))</f>
        <v>1.2</v>
      </c>
      <c r="F223" s="453"/>
      <c r="G223" s="972"/>
      <c r="H223" s="972"/>
      <c r="I223" s="972"/>
      <c r="J223" s="972"/>
      <c r="K223" s="453"/>
      <c r="L223" s="453"/>
      <c r="M223" s="453"/>
      <c r="N223" s="470"/>
    </row>
    <row r="224" spans="1:15" ht="14.5" thickBot="1">
      <c r="A224" s="351">
        <f>VLOOKUP($A$195,$J$185:$O$193,2,(FALSE))</f>
        <v>2</v>
      </c>
      <c r="B224" s="352">
        <f>VLOOKUP($A$195,$J$185:$O$193,3,(FALSE))</f>
        <v>9.9999999999999995E-7</v>
      </c>
      <c r="C224" s="353">
        <f>VLOOKUP($A$195,$J$185:$O$193,4,(FALSE))</f>
        <v>9.9999999999999995E-7</v>
      </c>
      <c r="D224" s="353">
        <f>VLOOKUP($A$195,$J$185:$O$193,5,(FALSE))</f>
        <v>9.9999999999999995E-7</v>
      </c>
      <c r="E224" s="354">
        <f>VLOOKUP($A$195,$J$185:$O$193,6,(FALSE))</f>
        <v>1.2</v>
      </c>
      <c r="F224" s="453"/>
      <c r="G224" s="805"/>
      <c r="H224" s="805"/>
      <c r="I224" s="805"/>
      <c r="J224" s="806"/>
      <c r="K224" s="453"/>
      <c r="L224" s="453"/>
      <c r="M224" s="453"/>
      <c r="N224" s="470"/>
    </row>
    <row r="225" spans="1:24">
      <c r="A225" s="474"/>
      <c r="B225" s="453"/>
      <c r="C225" s="453"/>
      <c r="D225" s="453"/>
      <c r="E225" s="453"/>
      <c r="F225" s="453"/>
      <c r="G225" s="806"/>
      <c r="H225" s="805"/>
      <c r="I225" s="806"/>
      <c r="J225" s="806"/>
      <c r="K225" s="453"/>
      <c r="L225" s="453"/>
      <c r="M225" s="453"/>
      <c r="N225" s="470"/>
    </row>
    <row r="226" spans="1:24">
      <c r="A226" s="474"/>
      <c r="B226" s="453"/>
      <c r="C226" s="453"/>
      <c r="D226" s="453"/>
      <c r="E226" s="453"/>
      <c r="F226" s="453"/>
      <c r="G226" s="805"/>
      <c r="H226" s="805"/>
      <c r="I226" s="805"/>
      <c r="J226" s="806"/>
      <c r="K226" s="453"/>
      <c r="L226" s="453"/>
      <c r="M226" s="453"/>
      <c r="N226" s="470"/>
    </row>
    <row r="227" spans="1:24" ht="15.75" customHeight="1">
      <c r="A227" s="474"/>
      <c r="B227" s="453"/>
      <c r="C227" s="453"/>
      <c r="D227" s="453"/>
      <c r="E227" s="453"/>
      <c r="F227" s="453"/>
      <c r="G227" s="972"/>
      <c r="H227" s="972"/>
      <c r="I227" s="972"/>
      <c r="J227" s="972"/>
      <c r="K227" s="453"/>
      <c r="L227" s="453"/>
      <c r="M227" s="453"/>
      <c r="N227" s="470"/>
    </row>
    <row r="228" spans="1:24">
      <c r="A228" s="474"/>
      <c r="B228" s="453"/>
      <c r="C228" s="453"/>
      <c r="D228" s="453"/>
      <c r="E228" s="453"/>
      <c r="F228" s="453"/>
      <c r="G228" s="805"/>
      <c r="H228" s="805"/>
      <c r="I228" s="805"/>
      <c r="J228" s="806"/>
      <c r="K228" s="453"/>
      <c r="L228" s="453"/>
      <c r="M228" s="453"/>
      <c r="N228" s="470"/>
    </row>
    <row r="229" spans="1:24">
      <c r="A229" s="474"/>
      <c r="B229" s="453"/>
      <c r="C229" s="453"/>
      <c r="D229" s="453"/>
      <c r="E229" s="453"/>
      <c r="F229" s="453"/>
      <c r="G229" s="806"/>
      <c r="H229" s="805"/>
      <c r="I229" s="806"/>
      <c r="J229" s="806"/>
      <c r="K229" s="453"/>
      <c r="L229" s="453"/>
      <c r="M229" s="453"/>
      <c r="N229" s="470"/>
    </row>
    <row r="230" spans="1:24" ht="13" thickBot="1">
      <c r="A230" s="475"/>
      <c r="B230" s="476"/>
      <c r="C230" s="476"/>
      <c r="D230" s="476"/>
      <c r="E230" s="476"/>
      <c r="F230" s="476"/>
      <c r="G230" s="807"/>
      <c r="H230" s="807"/>
      <c r="I230" s="807"/>
      <c r="J230" s="808"/>
      <c r="K230" s="476"/>
      <c r="L230" s="476"/>
      <c r="M230" s="476"/>
      <c r="N230" s="477"/>
    </row>
    <row r="233" spans="1:24" ht="13" thickBot="1"/>
    <row r="234" spans="1:24" ht="14">
      <c r="A234" s="614" t="str">
        <f>ID!B51</f>
        <v>Electrical Safety Analyzer, Merek : Fluke, Model : ESA 615, SN : 3699030</v>
      </c>
      <c r="B234" s="614"/>
      <c r="C234" s="614"/>
      <c r="D234" s="614"/>
      <c r="E234" s="614"/>
      <c r="F234" s="614"/>
      <c r="G234" s="614"/>
      <c r="H234" s="614"/>
      <c r="I234" s="614"/>
      <c r="J234" s="614"/>
      <c r="K234" s="614"/>
      <c r="L234" s="478"/>
      <c r="M234" s="966">
        <f>A244</f>
        <v>7</v>
      </c>
      <c r="N234" s="967"/>
      <c r="O234" s="967"/>
      <c r="P234" s="967"/>
      <c r="Q234" s="967"/>
      <c r="R234" s="967"/>
      <c r="S234" s="967"/>
      <c r="T234" s="967"/>
      <c r="U234" s="967"/>
      <c r="V234" s="967"/>
      <c r="W234" s="967"/>
      <c r="X234" s="968"/>
    </row>
    <row r="235" spans="1:24" ht="14">
      <c r="A235" s="614" t="s">
        <v>436</v>
      </c>
      <c r="B235" s="615"/>
      <c r="C235" s="615"/>
      <c r="D235" s="616"/>
      <c r="E235" s="616"/>
      <c r="F235" s="616"/>
      <c r="G235" s="616"/>
      <c r="H235" s="616"/>
      <c r="I235" s="617">
        <f>C5</f>
        <v>2019</v>
      </c>
      <c r="J235" s="617">
        <f>D5</f>
        <v>2020</v>
      </c>
      <c r="K235" s="618">
        <v>1</v>
      </c>
      <c r="L235" s="478"/>
      <c r="M235" s="607">
        <v>1</v>
      </c>
      <c r="N235" s="608" t="s">
        <v>311</v>
      </c>
      <c r="O235" s="609"/>
      <c r="P235" s="609"/>
      <c r="Q235" s="609"/>
      <c r="R235" s="609"/>
      <c r="S235" s="609"/>
      <c r="T235" s="609"/>
      <c r="U235" s="609"/>
      <c r="V235" s="609"/>
      <c r="W235" s="609"/>
      <c r="X235" s="610"/>
    </row>
    <row r="236" spans="1:24" ht="14">
      <c r="A236" s="614" t="s">
        <v>437</v>
      </c>
      <c r="B236" s="615"/>
      <c r="C236" s="615"/>
      <c r="D236" s="616"/>
      <c r="E236" s="616"/>
      <c r="F236" s="616"/>
      <c r="G236" s="616"/>
      <c r="H236" s="616"/>
      <c r="I236" s="617">
        <f>J5</f>
        <v>2017</v>
      </c>
      <c r="J236" s="617">
        <f>K5</f>
        <v>2019</v>
      </c>
      <c r="K236" s="618">
        <v>2</v>
      </c>
      <c r="L236" s="478"/>
      <c r="M236" s="607">
        <v>2</v>
      </c>
      <c r="N236" s="608" t="s">
        <v>312</v>
      </c>
      <c r="O236" s="609"/>
      <c r="P236" s="609"/>
      <c r="Q236" s="609"/>
      <c r="R236" s="609"/>
      <c r="S236" s="609"/>
      <c r="T236" s="609"/>
      <c r="U236" s="609"/>
      <c r="V236" s="609"/>
      <c r="W236" s="609"/>
      <c r="X236" s="610"/>
    </row>
    <row r="237" spans="1:24" ht="14">
      <c r="A237" s="614" t="s">
        <v>301</v>
      </c>
      <c r="B237" s="615"/>
      <c r="C237" s="615"/>
      <c r="D237" s="616"/>
      <c r="E237" s="616"/>
      <c r="F237" s="616"/>
      <c r="G237" s="616"/>
      <c r="H237" s="616"/>
      <c r="I237" s="617">
        <f>Q5</f>
        <v>2018</v>
      </c>
      <c r="J237" s="617">
        <f>R5</f>
        <v>2022</v>
      </c>
      <c r="K237" s="618">
        <v>3</v>
      </c>
      <c r="L237" s="478"/>
      <c r="M237" s="607">
        <v>3</v>
      </c>
      <c r="N237" s="608" t="s">
        <v>311</v>
      </c>
      <c r="O237" s="609"/>
      <c r="P237" s="609"/>
      <c r="Q237" s="609"/>
      <c r="R237" s="609"/>
      <c r="S237" s="609"/>
      <c r="T237" s="609"/>
      <c r="U237" s="609"/>
      <c r="V237" s="609"/>
      <c r="W237" s="609"/>
      <c r="X237" s="610"/>
    </row>
    <row r="238" spans="1:24" ht="14">
      <c r="A238" s="614" t="s">
        <v>438</v>
      </c>
      <c r="B238" s="615"/>
      <c r="C238" s="615"/>
      <c r="D238" s="616"/>
      <c r="E238" s="616"/>
      <c r="F238" s="616"/>
      <c r="G238" s="616"/>
      <c r="H238" s="616"/>
      <c r="I238" s="617">
        <f>C36</f>
        <v>2017</v>
      </c>
      <c r="J238" s="617">
        <f>D36</f>
        <v>2019</v>
      </c>
      <c r="K238" s="618">
        <v>4</v>
      </c>
      <c r="L238" s="478"/>
      <c r="M238" s="607">
        <v>4</v>
      </c>
      <c r="N238" s="608" t="s">
        <v>311</v>
      </c>
      <c r="O238" s="609"/>
      <c r="P238" s="609"/>
      <c r="Q238" s="609"/>
      <c r="R238" s="609"/>
      <c r="S238" s="609"/>
      <c r="T238" s="609"/>
      <c r="U238" s="609"/>
      <c r="V238" s="609"/>
      <c r="W238" s="609"/>
      <c r="X238" s="610"/>
    </row>
    <row r="239" spans="1:24" ht="14">
      <c r="A239" s="614" t="s">
        <v>439</v>
      </c>
      <c r="B239" s="615"/>
      <c r="C239" s="615"/>
      <c r="D239" s="616"/>
      <c r="E239" s="616"/>
      <c r="F239" s="616"/>
      <c r="G239" s="616"/>
      <c r="H239" s="616"/>
      <c r="I239" s="617">
        <f>J36</f>
        <v>2017</v>
      </c>
      <c r="J239" s="617">
        <f>K36</f>
        <v>2019</v>
      </c>
      <c r="K239" s="618">
        <v>5</v>
      </c>
      <c r="L239" s="478"/>
      <c r="M239" s="607">
        <v>5</v>
      </c>
      <c r="N239" s="608" t="s">
        <v>311</v>
      </c>
      <c r="O239" s="609"/>
      <c r="P239" s="609"/>
      <c r="Q239" s="609"/>
      <c r="R239" s="609"/>
      <c r="S239" s="609"/>
      <c r="T239" s="609"/>
      <c r="U239" s="609"/>
      <c r="V239" s="609"/>
      <c r="W239" s="609"/>
      <c r="X239" s="610"/>
    </row>
    <row r="240" spans="1:24" ht="14">
      <c r="A240" s="614" t="s">
        <v>302</v>
      </c>
      <c r="B240" s="615"/>
      <c r="C240" s="615"/>
      <c r="D240" s="616"/>
      <c r="E240" s="616"/>
      <c r="F240" s="616"/>
      <c r="G240" s="616"/>
      <c r="H240" s="616"/>
      <c r="I240" s="617">
        <f>Q36</f>
        <v>2018</v>
      </c>
      <c r="J240" s="617">
        <f>R36</f>
        <v>2019</v>
      </c>
      <c r="K240" s="618">
        <v>6</v>
      </c>
      <c r="L240" s="478"/>
      <c r="M240" s="607">
        <v>6</v>
      </c>
      <c r="N240" s="608" t="s">
        <v>311</v>
      </c>
      <c r="O240" s="609"/>
      <c r="P240" s="609"/>
      <c r="Q240" s="609"/>
      <c r="R240" s="609"/>
      <c r="S240" s="609"/>
      <c r="T240" s="609"/>
      <c r="U240" s="609"/>
      <c r="V240" s="609"/>
      <c r="W240" s="609"/>
      <c r="X240" s="610"/>
    </row>
    <row r="241" spans="1:24" ht="14">
      <c r="A241" s="614" t="s">
        <v>303</v>
      </c>
      <c r="B241" s="615"/>
      <c r="C241" s="615"/>
      <c r="D241" s="616"/>
      <c r="E241" s="616"/>
      <c r="F241" s="616"/>
      <c r="G241" s="616"/>
      <c r="H241" s="616"/>
      <c r="I241" s="617">
        <f>C67</f>
        <v>2019</v>
      </c>
      <c r="J241" s="617">
        <f>D67</f>
        <v>2020</v>
      </c>
      <c r="K241" s="618">
        <v>7</v>
      </c>
      <c r="L241" s="478"/>
      <c r="M241" s="607">
        <v>7</v>
      </c>
      <c r="N241" s="608" t="s">
        <v>311</v>
      </c>
      <c r="O241" s="609"/>
      <c r="P241" s="609"/>
      <c r="Q241" s="609"/>
      <c r="R241" s="609"/>
      <c r="S241" s="609"/>
      <c r="T241" s="609"/>
      <c r="U241" s="609"/>
      <c r="V241" s="609"/>
      <c r="W241" s="609"/>
      <c r="X241" s="610"/>
    </row>
    <row r="242" spans="1:24" ht="14">
      <c r="A242" s="614" t="s">
        <v>346</v>
      </c>
      <c r="B242" s="615"/>
      <c r="C242" s="615"/>
      <c r="D242" s="616"/>
      <c r="E242" s="616"/>
      <c r="F242" s="616"/>
      <c r="G242" s="616"/>
      <c r="H242" s="616"/>
      <c r="I242" s="617">
        <f>J67</f>
        <v>2019</v>
      </c>
      <c r="J242" s="617">
        <f>K67</f>
        <v>2020</v>
      </c>
      <c r="K242" s="618">
        <v>8</v>
      </c>
      <c r="L242" s="478"/>
      <c r="M242" s="607">
        <v>8</v>
      </c>
      <c r="N242" s="608" t="s">
        <v>311</v>
      </c>
      <c r="O242" s="609"/>
      <c r="P242" s="609"/>
      <c r="Q242" s="609"/>
      <c r="R242" s="609"/>
      <c r="S242" s="609"/>
      <c r="T242" s="609"/>
      <c r="U242" s="609"/>
      <c r="V242" s="609"/>
      <c r="W242" s="609"/>
      <c r="X242" s="610"/>
    </row>
    <row r="243" spans="1:24" ht="14">
      <c r="A243" s="614" t="s">
        <v>347</v>
      </c>
      <c r="B243" s="615"/>
      <c r="C243" s="615"/>
      <c r="D243" s="616"/>
      <c r="E243" s="616"/>
      <c r="F243" s="616"/>
      <c r="G243" s="616"/>
      <c r="H243" s="616"/>
      <c r="I243" s="617">
        <f>Q67</f>
        <v>2020</v>
      </c>
      <c r="J243" s="617">
        <f>R67</f>
        <v>2022</v>
      </c>
      <c r="K243" s="618">
        <v>9</v>
      </c>
      <c r="L243" s="478"/>
      <c r="M243" s="607">
        <v>9</v>
      </c>
      <c r="N243" s="608" t="s">
        <v>311</v>
      </c>
      <c r="O243" s="609"/>
      <c r="P243" s="609"/>
      <c r="Q243" s="609"/>
      <c r="R243" s="609"/>
      <c r="S243" s="609"/>
      <c r="T243" s="609"/>
      <c r="U243" s="609"/>
      <c r="V243" s="609"/>
      <c r="W243" s="609"/>
      <c r="X243" s="610"/>
    </row>
    <row r="244" spans="1:24" ht="14.5" thickBot="1">
      <c r="A244" s="969">
        <f>VLOOKUP(A234,A235:K243,11,(FALSE))</f>
        <v>7</v>
      </c>
      <c r="B244" s="970"/>
      <c r="C244" s="970"/>
      <c r="D244" s="970"/>
      <c r="E244" s="970"/>
      <c r="F244" s="970"/>
      <c r="G244" s="970"/>
      <c r="H244" s="970"/>
      <c r="I244" s="970"/>
      <c r="J244" s="970"/>
      <c r="K244" s="971"/>
      <c r="L244" s="478"/>
      <c r="M244" s="611" t="str">
        <f>VLOOKUP(M234,M235:X243,2,FALSE)</f>
        <v>Hasil pengujian Keselamatan Listrik tertelusur ke Satuan Internasional ( SI ) melalui PT. Kaliman (LK-032-IDN)</v>
      </c>
      <c r="N244" s="612"/>
      <c r="O244" s="612"/>
      <c r="P244" s="612"/>
      <c r="Q244" s="612"/>
      <c r="R244" s="612"/>
      <c r="S244" s="612"/>
      <c r="T244" s="612"/>
      <c r="U244" s="612"/>
      <c r="V244" s="612"/>
      <c r="W244" s="612"/>
      <c r="X244" s="613"/>
    </row>
    <row r="245" spans="1:24">
      <c r="A245" s="478"/>
      <c r="B245" s="478"/>
      <c r="C245" s="478"/>
      <c r="D245" s="478"/>
      <c r="E245" s="478"/>
      <c r="F245" s="478"/>
      <c r="G245" s="478"/>
      <c r="H245" s="478"/>
      <c r="I245" s="478"/>
      <c r="J245" s="478"/>
      <c r="K245" s="478"/>
      <c r="L245" s="478"/>
      <c r="M245" s="478"/>
      <c r="N245" s="478"/>
      <c r="O245" s="478"/>
      <c r="P245" s="478"/>
      <c r="Q245" s="478"/>
      <c r="R245" s="478"/>
      <c r="S245" s="478"/>
      <c r="T245" s="478"/>
      <c r="U245" s="478"/>
      <c r="V245" s="478"/>
      <c r="W245" s="478"/>
      <c r="X245" s="478"/>
    </row>
    <row r="246" spans="1:24">
      <c r="A246" s="478"/>
      <c r="B246" s="478"/>
      <c r="C246" s="478"/>
      <c r="D246" s="478"/>
      <c r="E246" s="478"/>
      <c r="F246" s="478"/>
      <c r="G246" s="478"/>
      <c r="H246" s="478"/>
      <c r="I246" s="478"/>
      <c r="J246" s="478"/>
      <c r="K246" s="478"/>
      <c r="L246" s="478"/>
      <c r="M246" s="478"/>
      <c r="N246" s="478"/>
      <c r="O246" s="478"/>
      <c r="P246" s="478"/>
      <c r="Q246" s="478"/>
      <c r="R246" s="478"/>
      <c r="S246" s="478"/>
      <c r="T246" s="478"/>
      <c r="U246" s="478"/>
      <c r="V246" s="478"/>
      <c r="W246" s="478"/>
      <c r="X246" s="478"/>
    </row>
    <row r="247" spans="1:24">
      <c r="A247" s="478"/>
      <c r="B247" s="478"/>
      <c r="C247" s="478"/>
      <c r="D247" s="478"/>
      <c r="E247" s="478"/>
      <c r="F247" s="478"/>
      <c r="G247" s="478"/>
      <c r="H247" s="478"/>
      <c r="I247" s="478"/>
      <c r="J247" s="478"/>
      <c r="K247" s="478"/>
      <c r="L247" s="478"/>
      <c r="M247" s="478"/>
      <c r="N247" s="478"/>
      <c r="O247" s="478"/>
      <c r="P247" s="478"/>
      <c r="Q247" s="478"/>
      <c r="R247" s="478"/>
      <c r="S247" s="478"/>
      <c r="T247" s="478"/>
      <c r="U247" s="478"/>
      <c r="V247" s="478"/>
      <c r="W247" s="478"/>
      <c r="X247" s="478"/>
    </row>
    <row r="248" spans="1:24">
      <c r="A248" s="478"/>
      <c r="B248" s="478"/>
      <c r="C248" s="478"/>
      <c r="D248" s="478"/>
      <c r="E248" s="478"/>
      <c r="F248" s="478"/>
      <c r="G248" s="478"/>
      <c r="H248" s="478"/>
      <c r="I248" s="478"/>
      <c r="J248" s="478"/>
      <c r="K248" s="478"/>
      <c r="L248" s="478"/>
      <c r="M248" s="478"/>
      <c r="N248" s="478"/>
      <c r="O248" s="478"/>
      <c r="P248" s="478"/>
      <c r="Q248" s="478"/>
      <c r="R248" s="478"/>
      <c r="S248" s="478"/>
      <c r="T248" s="478"/>
      <c r="U248" s="478"/>
      <c r="V248" s="478"/>
      <c r="W248" s="478"/>
      <c r="X248" s="478"/>
    </row>
    <row r="249" spans="1:24">
      <c r="A249" s="478"/>
      <c r="B249" s="478"/>
      <c r="C249" s="478"/>
      <c r="D249" s="478"/>
      <c r="E249" s="478"/>
      <c r="F249" s="478"/>
      <c r="G249" s="478"/>
      <c r="H249" s="478"/>
      <c r="I249" s="478"/>
      <c r="J249" s="478"/>
      <c r="K249" s="478"/>
      <c r="L249" s="478"/>
      <c r="M249" s="478"/>
      <c r="N249" s="478"/>
      <c r="O249" s="478"/>
      <c r="P249" s="478"/>
      <c r="Q249" s="478"/>
      <c r="R249" s="478"/>
      <c r="S249" s="478"/>
      <c r="T249" s="478"/>
      <c r="U249" s="478"/>
      <c r="V249" s="478"/>
      <c r="W249" s="478"/>
      <c r="X249" s="478"/>
    </row>
  </sheetData>
  <mergeCells count="179"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M234:X234"/>
    <mergeCell ref="A244:K244"/>
    <mergeCell ref="G215:J215"/>
    <mergeCell ref="A219:C219"/>
    <mergeCell ref="G219:J219"/>
    <mergeCell ref="G223:J223"/>
    <mergeCell ref="G227:J227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0"/>
  <sheetViews>
    <sheetView topLeftCell="H371" workbookViewId="0">
      <selection activeCell="X385" sqref="X385"/>
    </sheetView>
  </sheetViews>
  <sheetFormatPr defaultColWidth="8.7265625" defaultRowHeight="12.5"/>
  <cols>
    <col min="1" max="16384" width="8.7265625" style="620"/>
  </cols>
  <sheetData>
    <row r="1" spans="1:24" ht="18" thickBot="1">
      <c r="A1" s="1066" t="s">
        <v>173</v>
      </c>
      <c r="B1" s="1067"/>
      <c r="C1" s="1067"/>
      <c r="D1" s="1067"/>
      <c r="E1" s="1067"/>
      <c r="F1" s="1067"/>
      <c r="G1" s="1067"/>
      <c r="H1" s="1067"/>
      <c r="I1" s="1067"/>
      <c r="J1" s="1067"/>
      <c r="K1" s="1067"/>
      <c r="L1" s="1067"/>
      <c r="M1" s="1067"/>
      <c r="N1" s="1067"/>
      <c r="O1" s="1067"/>
      <c r="P1" s="1067"/>
      <c r="Q1" s="1067"/>
      <c r="R1" s="1067"/>
      <c r="S1" s="1067"/>
      <c r="T1" s="1067"/>
      <c r="U1" s="1067"/>
    </row>
    <row r="2" spans="1:24">
      <c r="A2" s="1050">
        <v>1</v>
      </c>
      <c r="B2" s="1051" t="s">
        <v>174</v>
      </c>
      <c r="C2" s="1051"/>
      <c r="D2" s="1051"/>
      <c r="E2" s="1051"/>
      <c r="F2" s="1051"/>
      <c r="G2" s="1051"/>
      <c r="I2" s="1051" t="str">
        <f>B2</f>
        <v>KOREKSI KIMO THERMOHYGROMETER 15062873</v>
      </c>
      <c r="J2" s="1051"/>
      <c r="K2" s="1051"/>
      <c r="L2" s="1051"/>
      <c r="M2" s="1051"/>
      <c r="N2" s="1051"/>
      <c r="P2" s="1051" t="str">
        <f>I2</f>
        <v>KOREKSI KIMO THERMOHYGROMETER 15062873</v>
      </c>
      <c r="Q2" s="1051"/>
      <c r="R2" s="1051"/>
      <c r="S2" s="1051"/>
      <c r="T2" s="1051"/>
      <c r="U2" s="1051"/>
      <c r="W2" s="1057" t="s">
        <v>90</v>
      </c>
      <c r="X2" s="1058"/>
    </row>
    <row r="3" spans="1:24" ht="13">
      <c r="A3" s="1050"/>
      <c r="B3" s="1059" t="s">
        <v>152</v>
      </c>
      <c r="C3" s="1059"/>
      <c r="D3" s="1059" t="s">
        <v>175</v>
      </c>
      <c r="E3" s="1059"/>
      <c r="F3" s="1059"/>
      <c r="G3" s="1059" t="s">
        <v>154</v>
      </c>
      <c r="I3" s="1059" t="s">
        <v>153</v>
      </c>
      <c r="J3" s="1059"/>
      <c r="K3" s="1059" t="s">
        <v>175</v>
      </c>
      <c r="L3" s="1059"/>
      <c r="M3" s="1059"/>
      <c r="N3" s="1059" t="s">
        <v>154</v>
      </c>
      <c r="P3" s="1059" t="s">
        <v>450</v>
      </c>
      <c r="Q3" s="1059"/>
      <c r="R3" s="1059" t="s">
        <v>175</v>
      </c>
      <c r="S3" s="1059"/>
      <c r="T3" s="1059"/>
      <c r="U3" s="1059" t="s">
        <v>154</v>
      </c>
      <c r="W3" s="621" t="s">
        <v>152</v>
      </c>
      <c r="X3" s="622">
        <v>0.6</v>
      </c>
    </row>
    <row r="4" spans="1:24" ht="14.5">
      <c r="A4" s="1050"/>
      <c r="B4" s="1049" t="s">
        <v>176</v>
      </c>
      <c r="C4" s="1049"/>
      <c r="D4" s="623">
        <v>2020</v>
      </c>
      <c r="E4" s="623">
        <v>2017</v>
      </c>
      <c r="F4" s="623">
        <v>2016</v>
      </c>
      <c r="G4" s="1059"/>
      <c r="I4" s="1048" t="s">
        <v>70</v>
      </c>
      <c r="J4" s="1049"/>
      <c r="K4" s="623">
        <f>D4</f>
        <v>2020</v>
      </c>
      <c r="L4" s="623">
        <f>E4</f>
        <v>2017</v>
      </c>
      <c r="M4" s="623">
        <v>2016</v>
      </c>
      <c r="N4" s="1059"/>
      <c r="P4" s="1048" t="s">
        <v>451</v>
      </c>
      <c r="Q4" s="1049"/>
      <c r="R4" s="623">
        <f>K4</f>
        <v>2020</v>
      </c>
      <c r="S4" s="623">
        <f>L4</f>
        <v>2017</v>
      </c>
      <c r="T4" s="623">
        <v>2016</v>
      </c>
      <c r="U4" s="1059"/>
      <c r="W4" s="621" t="s">
        <v>70</v>
      </c>
      <c r="X4" s="622">
        <v>3.1</v>
      </c>
    </row>
    <row r="5" spans="1:24" ht="13.5" thickBot="1">
      <c r="A5" s="1050"/>
      <c r="B5" s="624">
        <v>1</v>
      </c>
      <c r="C5" s="625">
        <v>15</v>
      </c>
      <c r="D5" s="626">
        <v>-0.5</v>
      </c>
      <c r="E5" s="626">
        <v>0.3</v>
      </c>
      <c r="F5" s="625">
        <v>0</v>
      </c>
      <c r="G5" s="627">
        <f>0.5*(MAX(D5:F5)-MIN(D5:F5))</f>
        <v>0.4</v>
      </c>
      <c r="I5" s="624">
        <v>1</v>
      </c>
      <c r="J5" s="625">
        <v>35</v>
      </c>
      <c r="K5" s="626">
        <v>-6</v>
      </c>
      <c r="L5" s="626">
        <v>-9.4</v>
      </c>
      <c r="M5" s="628"/>
      <c r="N5" s="627">
        <f>0.5*(MAX(K5:M5)-MIN(K5:M5))</f>
        <v>1.7000000000000002</v>
      </c>
      <c r="P5" s="624">
        <v>1</v>
      </c>
      <c r="Q5" s="625">
        <v>750</v>
      </c>
      <c r="R5" s="629" t="s">
        <v>155</v>
      </c>
      <c r="S5" s="629" t="s">
        <v>155</v>
      </c>
      <c r="T5" s="630"/>
      <c r="U5" s="627">
        <f>0.5*(MAX(R5:T5)-MIN(R5:T5))</f>
        <v>0</v>
      </c>
      <c r="W5" s="631" t="s">
        <v>451</v>
      </c>
      <c r="X5" s="632">
        <v>0</v>
      </c>
    </row>
    <row r="6" spans="1:24" ht="13">
      <c r="A6" s="1050"/>
      <c r="B6" s="624">
        <v>2</v>
      </c>
      <c r="C6" s="625">
        <v>20</v>
      </c>
      <c r="D6" s="626">
        <v>-0.2</v>
      </c>
      <c r="E6" s="626">
        <v>0.2</v>
      </c>
      <c r="F6" s="625">
        <v>0</v>
      </c>
      <c r="G6" s="627">
        <f t="shared" ref="G6:G11" si="0">0.5*(MAX(D6:F6)-MIN(D6:F6))</f>
        <v>0.2</v>
      </c>
      <c r="I6" s="624">
        <v>2</v>
      </c>
      <c r="J6" s="625">
        <v>40</v>
      </c>
      <c r="K6" s="626">
        <v>-6</v>
      </c>
      <c r="L6" s="626">
        <v>-8.6</v>
      </c>
      <c r="M6" s="628"/>
      <c r="N6" s="627">
        <f t="shared" ref="N6:N11" si="1">0.5*(MAX(K6:M6)-MIN(K6:M6))</f>
        <v>1.2999999999999998</v>
      </c>
      <c r="P6" s="624">
        <v>2</v>
      </c>
      <c r="Q6" s="625">
        <v>800</v>
      </c>
      <c r="R6" s="629" t="s">
        <v>155</v>
      </c>
      <c r="S6" s="629" t="s">
        <v>155</v>
      </c>
      <c r="T6" s="630"/>
      <c r="U6" s="627">
        <f t="shared" ref="U6:U11" si="2">0.5*(MAX(R6:T6)-MIN(R6:T6))</f>
        <v>0</v>
      </c>
    </row>
    <row r="7" spans="1:24" ht="13">
      <c r="A7" s="1050"/>
      <c r="B7" s="624">
        <v>3</v>
      </c>
      <c r="C7" s="625">
        <v>25</v>
      </c>
      <c r="D7" s="626">
        <v>9.9999999999999995E-7</v>
      </c>
      <c r="E7" s="626">
        <v>0.1</v>
      </c>
      <c r="F7" s="625">
        <v>0</v>
      </c>
      <c r="G7" s="627">
        <f t="shared" si="0"/>
        <v>0.05</v>
      </c>
      <c r="I7" s="624">
        <v>3</v>
      </c>
      <c r="J7" s="625">
        <v>50</v>
      </c>
      <c r="K7" s="626">
        <v>-5.8</v>
      </c>
      <c r="L7" s="626">
        <v>-7.2</v>
      </c>
      <c r="M7" s="628"/>
      <c r="N7" s="627">
        <f t="shared" si="1"/>
        <v>0.70000000000000018</v>
      </c>
      <c r="P7" s="624">
        <v>3</v>
      </c>
      <c r="Q7" s="625">
        <v>850</v>
      </c>
      <c r="R7" s="629" t="s">
        <v>155</v>
      </c>
      <c r="S7" s="629" t="s">
        <v>155</v>
      </c>
      <c r="T7" s="630"/>
      <c r="U7" s="627">
        <f t="shared" si="2"/>
        <v>0</v>
      </c>
    </row>
    <row r="8" spans="1:24" ht="13">
      <c r="A8" s="1050"/>
      <c r="B8" s="624">
        <v>4</v>
      </c>
      <c r="C8" s="633">
        <v>30</v>
      </c>
      <c r="D8" s="626">
        <v>9.9999999999999995E-7</v>
      </c>
      <c r="E8" s="634">
        <v>-0.2</v>
      </c>
      <c r="F8" s="625">
        <v>0</v>
      </c>
      <c r="G8" s="627">
        <f t="shared" si="0"/>
        <v>0.10000050000000001</v>
      </c>
      <c r="I8" s="624">
        <v>4</v>
      </c>
      <c r="J8" s="633">
        <v>60</v>
      </c>
      <c r="K8" s="634">
        <v>-5.3</v>
      </c>
      <c r="L8" s="634">
        <v>-5.2</v>
      </c>
      <c r="M8" s="628"/>
      <c r="N8" s="627">
        <f t="shared" si="1"/>
        <v>4.9999999999999822E-2</v>
      </c>
      <c r="P8" s="624">
        <v>4</v>
      </c>
      <c r="Q8" s="633">
        <v>900</v>
      </c>
      <c r="R8" s="634" t="s">
        <v>155</v>
      </c>
      <c r="S8" s="634" t="s">
        <v>155</v>
      </c>
      <c r="T8" s="630"/>
      <c r="U8" s="627">
        <f t="shared" si="2"/>
        <v>0</v>
      </c>
    </row>
    <row r="9" spans="1:24" ht="13">
      <c r="A9" s="1050"/>
      <c r="B9" s="624">
        <v>5</v>
      </c>
      <c r="C9" s="633">
        <v>35</v>
      </c>
      <c r="D9" s="634">
        <v>-0.1</v>
      </c>
      <c r="E9" s="634">
        <v>-0.5</v>
      </c>
      <c r="F9" s="625">
        <v>0</v>
      </c>
      <c r="G9" s="627">
        <f t="shared" si="0"/>
        <v>0.25</v>
      </c>
      <c r="I9" s="624">
        <v>5</v>
      </c>
      <c r="J9" s="633">
        <v>70</v>
      </c>
      <c r="K9" s="634">
        <v>-4.4000000000000004</v>
      </c>
      <c r="L9" s="634">
        <v>-2.6</v>
      </c>
      <c r="M9" s="628"/>
      <c r="N9" s="627">
        <f t="shared" si="1"/>
        <v>0.90000000000000013</v>
      </c>
      <c r="P9" s="624">
        <v>5</v>
      </c>
      <c r="Q9" s="633">
        <v>1000</v>
      </c>
      <c r="R9" s="634" t="s">
        <v>155</v>
      </c>
      <c r="S9" s="634" t="s">
        <v>155</v>
      </c>
      <c r="T9" s="630"/>
      <c r="U9" s="627">
        <f t="shared" si="2"/>
        <v>0</v>
      </c>
    </row>
    <row r="10" spans="1:24" ht="13">
      <c r="A10" s="1050"/>
      <c r="B10" s="624">
        <v>6</v>
      </c>
      <c r="C10" s="633">
        <v>37</v>
      </c>
      <c r="D10" s="634">
        <v>-0.2</v>
      </c>
      <c r="E10" s="634">
        <v>-0.6</v>
      </c>
      <c r="F10" s="625">
        <v>0</v>
      </c>
      <c r="G10" s="627">
        <f t="shared" si="0"/>
        <v>0.3</v>
      </c>
      <c r="I10" s="624">
        <v>6</v>
      </c>
      <c r="J10" s="633">
        <v>80</v>
      </c>
      <c r="K10" s="634">
        <v>-3.2</v>
      </c>
      <c r="L10" s="634">
        <v>0.7</v>
      </c>
      <c r="M10" s="628"/>
      <c r="N10" s="627">
        <f t="shared" si="1"/>
        <v>1.9500000000000002</v>
      </c>
      <c r="P10" s="624">
        <v>6</v>
      </c>
      <c r="Q10" s="633">
        <v>1005</v>
      </c>
      <c r="R10" s="634" t="s">
        <v>155</v>
      </c>
      <c r="S10" s="634" t="s">
        <v>155</v>
      </c>
      <c r="T10" s="630"/>
      <c r="U10" s="627">
        <f t="shared" si="2"/>
        <v>0</v>
      </c>
    </row>
    <row r="11" spans="1:24" ht="13.5" thickBot="1">
      <c r="A11" s="1050"/>
      <c r="B11" s="624">
        <v>7</v>
      </c>
      <c r="C11" s="633">
        <v>40</v>
      </c>
      <c r="D11" s="634">
        <v>-0.3</v>
      </c>
      <c r="E11" s="634">
        <v>-0.8</v>
      </c>
      <c r="F11" s="625">
        <v>0</v>
      </c>
      <c r="G11" s="627">
        <f t="shared" si="0"/>
        <v>0.4</v>
      </c>
      <c r="I11" s="624">
        <v>7</v>
      </c>
      <c r="J11" s="633">
        <v>90</v>
      </c>
      <c r="K11" s="634">
        <v>-1.6</v>
      </c>
      <c r="L11" s="634">
        <v>4.5</v>
      </c>
      <c r="M11" s="628"/>
      <c r="N11" s="627">
        <f t="shared" si="1"/>
        <v>3.05</v>
      </c>
      <c r="P11" s="624">
        <v>7</v>
      </c>
      <c r="Q11" s="633">
        <v>1020</v>
      </c>
      <c r="R11" s="634" t="s">
        <v>155</v>
      </c>
      <c r="S11" s="634" t="s">
        <v>155</v>
      </c>
      <c r="T11" s="630"/>
      <c r="U11" s="627">
        <f t="shared" si="2"/>
        <v>0</v>
      </c>
    </row>
    <row r="12" spans="1:24" ht="13.5" thickBot="1">
      <c r="A12" s="635"/>
      <c r="B12" s="635"/>
      <c r="O12" s="636"/>
      <c r="P12" s="637"/>
    </row>
    <row r="13" spans="1:24">
      <c r="A13" s="1050">
        <v>2</v>
      </c>
      <c r="B13" s="1051" t="s">
        <v>177</v>
      </c>
      <c r="C13" s="1051"/>
      <c r="D13" s="1051"/>
      <c r="E13" s="1051"/>
      <c r="F13" s="1051"/>
      <c r="G13" s="1051"/>
      <c r="I13" s="1051" t="str">
        <f>B13</f>
        <v>KOREKSI KIMO THERMOHYGROMETER 15062874</v>
      </c>
      <c r="J13" s="1051"/>
      <c r="K13" s="1051"/>
      <c r="L13" s="1051"/>
      <c r="M13" s="1051"/>
      <c r="N13" s="1051"/>
      <c r="P13" s="1051" t="str">
        <f>I13</f>
        <v>KOREKSI KIMO THERMOHYGROMETER 15062874</v>
      </c>
      <c r="Q13" s="1051"/>
      <c r="R13" s="1051"/>
      <c r="S13" s="1051"/>
      <c r="T13" s="1051"/>
      <c r="U13" s="1051"/>
      <c r="W13" s="1057" t="s">
        <v>90</v>
      </c>
      <c r="X13" s="1058"/>
    </row>
    <row r="14" spans="1:24" ht="13">
      <c r="A14" s="1050"/>
      <c r="B14" s="1059" t="s">
        <v>152</v>
      </c>
      <c r="C14" s="1059"/>
      <c r="D14" s="1059" t="s">
        <v>175</v>
      </c>
      <c r="E14" s="1059"/>
      <c r="F14" s="1059"/>
      <c r="G14" s="1059" t="s">
        <v>154</v>
      </c>
      <c r="I14" s="1059" t="s">
        <v>153</v>
      </c>
      <c r="J14" s="1059"/>
      <c r="K14" s="1059" t="s">
        <v>175</v>
      </c>
      <c r="L14" s="1059"/>
      <c r="M14" s="1059"/>
      <c r="N14" s="1059" t="s">
        <v>154</v>
      </c>
      <c r="P14" s="1059" t="s">
        <v>450</v>
      </c>
      <c r="Q14" s="1059"/>
      <c r="R14" s="1059" t="s">
        <v>175</v>
      </c>
      <c r="S14" s="1059"/>
      <c r="T14" s="1059"/>
      <c r="U14" s="1059" t="s">
        <v>154</v>
      </c>
      <c r="W14" s="621" t="s">
        <v>152</v>
      </c>
      <c r="X14" s="622">
        <v>0.8</v>
      </c>
    </row>
    <row r="15" spans="1:24" ht="14.5">
      <c r="A15" s="1050"/>
      <c r="B15" s="1049" t="s">
        <v>176</v>
      </c>
      <c r="C15" s="1049"/>
      <c r="D15" s="623">
        <v>2021</v>
      </c>
      <c r="E15" s="623">
        <v>2018</v>
      </c>
      <c r="F15" s="623">
        <v>2016</v>
      </c>
      <c r="G15" s="1059"/>
      <c r="I15" s="1048" t="s">
        <v>70</v>
      </c>
      <c r="J15" s="1049"/>
      <c r="K15" s="623">
        <f>D15</f>
        <v>2021</v>
      </c>
      <c r="L15" s="623">
        <f>E15</f>
        <v>2018</v>
      </c>
      <c r="M15" s="623">
        <v>2016</v>
      </c>
      <c r="N15" s="1059"/>
      <c r="P15" s="1048" t="s">
        <v>451</v>
      </c>
      <c r="Q15" s="1049"/>
      <c r="R15" s="623">
        <f>K15</f>
        <v>2021</v>
      </c>
      <c r="S15" s="623">
        <f>L15</f>
        <v>2018</v>
      </c>
      <c r="T15" s="623">
        <v>2016</v>
      </c>
      <c r="U15" s="1059"/>
      <c r="W15" s="621" t="s">
        <v>70</v>
      </c>
      <c r="X15" s="622">
        <v>2.2000000000000002</v>
      </c>
    </row>
    <row r="16" spans="1:24" ht="13.5" thickBot="1">
      <c r="A16" s="1050"/>
      <c r="B16" s="624">
        <v>1</v>
      </c>
      <c r="C16" s="625">
        <v>15</v>
      </c>
      <c r="D16" s="626">
        <v>0.4</v>
      </c>
      <c r="E16" s="626">
        <v>9.9999999999999995E-7</v>
      </c>
      <c r="F16" s="630"/>
      <c r="G16" s="627">
        <f>0.5*(MAX(D16:F16)-MIN(D16:F16))</f>
        <v>0.19999950000000002</v>
      </c>
      <c r="I16" s="624">
        <v>1</v>
      </c>
      <c r="J16" s="625">
        <v>35</v>
      </c>
      <c r="K16" s="626">
        <v>-6.9</v>
      </c>
      <c r="L16" s="626">
        <v>-1.6</v>
      </c>
      <c r="M16" s="630"/>
      <c r="N16" s="627">
        <f>0.5*(MAX(K16:M16)-MIN(K16:M16))</f>
        <v>2.6500000000000004</v>
      </c>
      <c r="P16" s="624">
        <v>1</v>
      </c>
      <c r="Q16" s="625">
        <v>750</v>
      </c>
      <c r="R16" s="629" t="s">
        <v>155</v>
      </c>
      <c r="S16" s="629" t="s">
        <v>155</v>
      </c>
      <c r="T16" s="630"/>
      <c r="U16" s="627">
        <f>0.5*(MAX(R16:T16)-MIN(R16:T16))</f>
        <v>0</v>
      </c>
      <c r="W16" s="631" t="s">
        <v>451</v>
      </c>
      <c r="X16" s="632">
        <v>0</v>
      </c>
    </row>
    <row r="17" spans="1:24" ht="13">
      <c r="A17" s="1050"/>
      <c r="B17" s="624">
        <v>2</v>
      </c>
      <c r="C17" s="625">
        <v>20</v>
      </c>
      <c r="D17" s="626">
        <v>0.7</v>
      </c>
      <c r="E17" s="626">
        <v>-0.1</v>
      </c>
      <c r="F17" s="630"/>
      <c r="G17" s="627">
        <f t="shared" ref="G17:G22" si="3">0.5*(MAX(D17:F17)-MIN(D17:F17))</f>
        <v>0.39999999999999997</v>
      </c>
      <c r="I17" s="624">
        <v>2</v>
      </c>
      <c r="J17" s="625">
        <v>40</v>
      </c>
      <c r="K17" s="626">
        <v>-6.2</v>
      </c>
      <c r="L17" s="626">
        <v>-1.6</v>
      </c>
      <c r="M17" s="630"/>
      <c r="N17" s="627">
        <f t="shared" ref="N17:N22" si="4">0.5*(MAX(K17:M17)-MIN(K17:M17))</f>
        <v>2.2999999999999998</v>
      </c>
      <c r="P17" s="624">
        <v>2</v>
      </c>
      <c r="Q17" s="625">
        <v>800</v>
      </c>
      <c r="R17" s="629" t="s">
        <v>155</v>
      </c>
      <c r="S17" s="629" t="s">
        <v>155</v>
      </c>
      <c r="T17" s="630"/>
      <c r="U17" s="627">
        <f t="shared" ref="U17:U22" si="5">0.5*(MAX(R17:T17)-MIN(R17:T17))</f>
        <v>0</v>
      </c>
    </row>
    <row r="18" spans="1:24" ht="13">
      <c r="A18" s="1050"/>
      <c r="B18" s="624">
        <v>3</v>
      </c>
      <c r="C18" s="625">
        <v>25</v>
      </c>
      <c r="D18" s="626">
        <v>0.5</v>
      </c>
      <c r="E18" s="626">
        <v>-0.2</v>
      </c>
      <c r="F18" s="630"/>
      <c r="G18" s="627">
        <f t="shared" si="3"/>
        <v>0.35</v>
      </c>
      <c r="I18" s="624">
        <v>3</v>
      </c>
      <c r="J18" s="625">
        <v>50</v>
      </c>
      <c r="K18" s="626">
        <v>-5.3</v>
      </c>
      <c r="L18" s="626">
        <v>-1.5</v>
      </c>
      <c r="M18" s="630"/>
      <c r="N18" s="627">
        <f t="shared" si="4"/>
        <v>1.9</v>
      </c>
      <c r="P18" s="624">
        <v>3</v>
      </c>
      <c r="Q18" s="625">
        <v>850</v>
      </c>
      <c r="R18" s="629" t="s">
        <v>155</v>
      </c>
      <c r="S18" s="629" t="s">
        <v>155</v>
      </c>
      <c r="T18" s="630"/>
      <c r="U18" s="627">
        <f t="shared" si="5"/>
        <v>0</v>
      </c>
    </row>
    <row r="19" spans="1:24" ht="13">
      <c r="A19" s="1050"/>
      <c r="B19" s="624">
        <v>4</v>
      </c>
      <c r="C19" s="633">
        <v>30</v>
      </c>
      <c r="D19" s="634">
        <v>0.2</v>
      </c>
      <c r="E19" s="634">
        <v>-0.3</v>
      </c>
      <c r="F19" s="630"/>
      <c r="G19" s="627">
        <f t="shared" si="3"/>
        <v>0.25</v>
      </c>
      <c r="I19" s="624">
        <v>4</v>
      </c>
      <c r="J19" s="633">
        <v>60</v>
      </c>
      <c r="K19" s="634">
        <v>-4</v>
      </c>
      <c r="L19" s="634">
        <v>-1.3</v>
      </c>
      <c r="M19" s="630"/>
      <c r="N19" s="627">
        <f t="shared" si="4"/>
        <v>1.35</v>
      </c>
      <c r="P19" s="624">
        <v>4</v>
      </c>
      <c r="Q19" s="633">
        <v>900</v>
      </c>
      <c r="R19" s="634" t="s">
        <v>155</v>
      </c>
      <c r="S19" s="634" t="s">
        <v>155</v>
      </c>
      <c r="T19" s="630"/>
      <c r="U19" s="627">
        <f t="shared" si="5"/>
        <v>0</v>
      </c>
    </row>
    <row r="20" spans="1:24" ht="13">
      <c r="A20" s="1050"/>
      <c r="B20" s="624">
        <v>5</v>
      </c>
      <c r="C20" s="633">
        <v>35</v>
      </c>
      <c r="D20" s="634">
        <v>-0.1</v>
      </c>
      <c r="E20" s="634">
        <v>-0.3</v>
      </c>
      <c r="F20" s="630"/>
      <c r="G20" s="627">
        <f t="shared" si="3"/>
        <v>9.9999999999999992E-2</v>
      </c>
      <c r="I20" s="624">
        <v>5</v>
      </c>
      <c r="J20" s="633">
        <v>70</v>
      </c>
      <c r="K20" s="634">
        <v>-2.4</v>
      </c>
      <c r="L20" s="634">
        <v>-1.1000000000000001</v>
      </c>
      <c r="M20" s="630"/>
      <c r="N20" s="627">
        <f t="shared" si="4"/>
        <v>0.64999999999999991</v>
      </c>
      <c r="P20" s="624">
        <v>5</v>
      </c>
      <c r="Q20" s="633">
        <v>1000</v>
      </c>
      <c r="R20" s="634" t="s">
        <v>155</v>
      </c>
      <c r="S20" s="634" t="s">
        <v>155</v>
      </c>
      <c r="T20" s="630"/>
      <c r="U20" s="627">
        <f t="shared" si="5"/>
        <v>0</v>
      </c>
    </row>
    <row r="21" spans="1:24" ht="13">
      <c r="A21" s="1050"/>
      <c r="B21" s="624">
        <v>6</v>
      </c>
      <c r="C21" s="633">
        <v>37</v>
      </c>
      <c r="D21" s="634">
        <v>-0.2</v>
      </c>
      <c r="E21" s="634">
        <v>-0.3</v>
      </c>
      <c r="F21" s="630"/>
      <c r="G21" s="627">
        <f t="shared" si="3"/>
        <v>4.9999999999999989E-2</v>
      </c>
      <c r="I21" s="624">
        <v>6</v>
      </c>
      <c r="J21" s="633">
        <v>80</v>
      </c>
      <c r="K21" s="634">
        <v>-0.5</v>
      </c>
      <c r="L21" s="634">
        <v>-0.7</v>
      </c>
      <c r="M21" s="630"/>
      <c r="N21" s="627">
        <f t="shared" si="4"/>
        <v>9.9999999999999978E-2</v>
      </c>
      <c r="P21" s="624">
        <v>6</v>
      </c>
      <c r="Q21" s="633">
        <v>1005</v>
      </c>
      <c r="R21" s="634" t="s">
        <v>155</v>
      </c>
      <c r="S21" s="634" t="s">
        <v>155</v>
      </c>
      <c r="T21" s="630"/>
      <c r="U21" s="627">
        <f t="shared" si="5"/>
        <v>0</v>
      </c>
    </row>
    <row r="22" spans="1:24" ht="13.5" thickBot="1">
      <c r="A22" s="1050"/>
      <c r="B22" s="624">
        <v>7</v>
      </c>
      <c r="C22" s="633">
        <v>40</v>
      </c>
      <c r="D22" s="634">
        <v>-0.1</v>
      </c>
      <c r="E22" s="634">
        <v>-0.3</v>
      </c>
      <c r="F22" s="630"/>
      <c r="G22" s="627">
        <f t="shared" si="3"/>
        <v>9.9999999999999992E-2</v>
      </c>
      <c r="I22" s="624">
        <v>7</v>
      </c>
      <c r="J22" s="633">
        <v>90</v>
      </c>
      <c r="K22" s="634">
        <v>1.7</v>
      </c>
      <c r="L22" s="634">
        <v>-0.3</v>
      </c>
      <c r="M22" s="630"/>
      <c r="N22" s="627">
        <f t="shared" si="4"/>
        <v>1</v>
      </c>
      <c r="P22" s="624">
        <v>7</v>
      </c>
      <c r="Q22" s="633">
        <v>1020</v>
      </c>
      <c r="R22" s="634" t="s">
        <v>155</v>
      </c>
      <c r="S22" s="634" t="s">
        <v>155</v>
      </c>
      <c r="T22" s="630"/>
      <c r="U22" s="627">
        <f t="shared" si="5"/>
        <v>0</v>
      </c>
    </row>
    <row r="23" spans="1:24" ht="13.5" thickBot="1">
      <c r="A23" s="635"/>
      <c r="B23" s="635"/>
      <c r="O23" s="636"/>
      <c r="P23" s="637"/>
    </row>
    <row r="24" spans="1:24">
      <c r="A24" s="1063">
        <v>3</v>
      </c>
      <c r="B24" s="1051" t="s">
        <v>178</v>
      </c>
      <c r="C24" s="1051"/>
      <c r="D24" s="1051"/>
      <c r="E24" s="1051"/>
      <c r="F24" s="1051"/>
      <c r="G24" s="1051"/>
      <c r="I24" s="1051" t="str">
        <f>B24</f>
        <v>KOREKSI KIMO THERMOHYGROMETER 14082463</v>
      </c>
      <c r="J24" s="1051"/>
      <c r="K24" s="1051"/>
      <c r="L24" s="1051"/>
      <c r="M24" s="1051"/>
      <c r="N24" s="1051"/>
      <c r="P24" s="1051" t="str">
        <f>I24</f>
        <v>KOREKSI KIMO THERMOHYGROMETER 14082463</v>
      </c>
      <c r="Q24" s="1051"/>
      <c r="R24" s="1051"/>
      <c r="S24" s="1051"/>
      <c r="T24" s="1051"/>
      <c r="U24" s="1051"/>
      <c r="W24" s="1057" t="s">
        <v>90</v>
      </c>
      <c r="X24" s="1058"/>
    </row>
    <row r="25" spans="1:24" ht="13">
      <c r="A25" s="1064"/>
      <c r="B25" s="1059" t="s">
        <v>152</v>
      </c>
      <c r="C25" s="1059"/>
      <c r="D25" s="1059" t="s">
        <v>175</v>
      </c>
      <c r="E25" s="1059"/>
      <c r="F25" s="1059"/>
      <c r="G25" s="1059" t="s">
        <v>154</v>
      </c>
      <c r="I25" s="1059" t="s">
        <v>153</v>
      </c>
      <c r="J25" s="1059"/>
      <c r="K25" s="1059" t="s">
        <v>175</v>
      </c>
      <c r="L25" s="1059"/>
      <c r="M25" s="1059"/>
      <c r="N25" s="1059" t="s">
        <v>154</v>
      </c>
      <c r="P25" s="1059" t="s">
        <v>450</v>
      </c>
      <c r="Q25" s="1059"/>
      <c r="R25" s="1059" t="s">
        <v>175</v>
      </c>
      <c r="S25" s="1059"/>
      <c r="T25" s="1059"/>
      <c r="U25" s="1059" t="s">
        <v>154</v>
      </c>
      <c r="W25" s="621" t="s">
        <v>152</v>
      </c>
      <c r="X25" s="622">
        <v>0.5</v>
      </c>
    </row>
    <row r="26" spans="1:24" ht="14.5">
      <c r="A26" s="1064"/>
      <c r="B26" s="1049" t="s">
        <v>176</v>
      </c>
      <c r="C26" s="1049"/>
      <c r="D26" s="623">
        <v>2021</v>
      </c>
      <c r="E26" s="623">
        <v>2018</v>
      </c>
      <c r="F26" s="623">
        <v>2016</v>
      </c>
      <c r="G26" s="1059"/>
      <c r="I26" s="1048" t="s">
        <v>70</v>
      </c>
      <c r="J26" s="1049"/>
      <c r="K26" s="623">
        <f>D26</f>
        <v>2021</v>
      </c>
      <c r="L26" s="623">
        <f>E26</f>
        <v>2018</v>
      </c>
      <c r="M26" s="623">
        <v>2016</v>
      </c>
      <c r="N26" s="1059"/>
      <c r="P26" s="1048" t="s">
        <v>451</v>
      </c>
      <c r="Q26" s="1049"/>
      <c r="R26" s="623">
        <f>K26</f>
        <v>2021</v>
      </c>
      <c r="S26" s="623">
        <f>L26</f>
        <v>2018</v>
      </c>
      <c r="T26" s="623">
        <v>2016</v>
      </c>
      <c r="U26" s="1059"/>
      <c r="W26" s="621" t="s">
        <v>70</v>
      </c>
      <c r="X26" s="622">
        <v>3.1</v>
      </c>
    </row>
    <row r="27" spans="1:24" ht="13.5" thickBot="1">
      <c r="A27" s="1064"/>
      <c r="B27" s="624">
        <v>1</v>
      </c>
      <c r="C27" s="625">
        <v>15</v>
      </c>
      <c r="D27" s="626">
        <v>0.4</v>
      </c>
      <c r="E27" s="626">
        <v>9.9999999999999995E-7</v>
      </c>
      <c r="F27" s="638"/>
      <c r="G27" s="627">
        <f>0.5*(MAX(D27:F27)-MIN(D27:F27))</f>
        <v>0.19999950000000002</v>
      </c>
      <c r="I27" s="624">
        <v>1</v>
      </c>
      <c r="J27" s="625">
        <v>30</v>
      </c>
      <c r="K27" s="626">
        <v>-7.3</v>
      </c>
      <c r="L27" s="626">
        <v>-5.7</v>
      </c>
      <c r="M27" s="626"/>
      <c r="N27" s="627">
        <f>0.5*(MAX(K27:M27)-MIN(K27:M27))</f>
        <v>0.79999999999999982</v>
      </c>
      <c r="P27" s="624">
        <v>1</v>
      </c>
      <c r="Q27" s="625">
        <v>750</v>
      </c>
      <c r="R27" s="629" t="s">
        <v>155</v>
      </c>
      <c r="S27" s="629" t="s">
        <v>155</v>
      </c>
      <c r="T27" s="625"/>
      <c r="U27" s="627">
        <f>0.5*(MAX(R27:T27)-MIN(R27:T27))</f>
        <v>0</v>
      </c>
      <c r="W27" s="631" t="s">
        <v>451</v>
      </c>
      <c r="X27" s="632">
        <v>0</v>
      </c>
    </row>
    <row r="28" spans="1:24" ht="13">
      <c r="A28" s="1064"/>
      <c r="B28" s="624">
        <v>2</v>
      </c>
      <c r="C28" s="625">
        <v>20</v>
      </c>
      <c r="D28" s="626">
        <v>1</v>
      </c>
      <c r="E28" s="626">
        <v>9.9999999999999995E-7</v>
      </c>
      <c r="F28" s="638"/>
      <c r="G28" s="627">
        <f t="shared" ref="G28:G33" si="6">0.5*(MAX(D28:F28)-MIN(D28:F28))</f>
        <v>0.49999949999999999</v>
      </c>
      <c r="I28" s="624">
        <v>2</v>
      </c>
      <c r="J28" s="625">
        <v>40</v>
      </c>
      <c r="K28" s="626">
        <v>-5.9</v>
      </c>
      <c r="L28" s="626">
        <v>-5.3</v>
      </c>
      <c r="M28" s="626"/>
      <c r="N28" s="627">
        <f t="shared" ref="N28:N33" si="7">0.5*(MAX(K28:M28)-MIN(K28:M28))</f>
        <v>0.30000000000000027</v>
      </c>
      <c r="P28" s="624">
        <v>2</v>
      </c>
      <c r="Q28" s="625">
        <v>800</v>
      </c>
      <c r="R28" s="629" t="s">
        <v>155</v>
      </c>
      <c r="S28" s="629" t="s">
        <v>155</v>
      </c>
      <c r="T28" s="625"/>
      <c r="U28" s="627">
        <f t="shared" ref="U28:U33" si="8">0.5*(MAX(R28:T28)-MIN(R28:T28))</f>
        <v>0</v>
      </c>
    </row>
    <row r="29" spans="1:24" ht="13">
      <c r="A29" s="1064"/>
      <c r="B29" s="624">
        <v>3</v>
      </c>
      <c r="C29" s="625">
        <v>25</v>
      </c>
      <c r="D29" s="626">
        <v>0.7</v>
      </c>
      <c r="E29" s="626">
        <v>-0.1</v>
      </c>
      <c r="F29" s="638"/>
      <c r="G29" s="627">
        <f t="shared" si="6"/>
        <v>0.39999999999999997</v>
      </c>
      <c r="I29" s="624">
        <v>3</v>
      </c>
      <c r="J29" s="625">
        <v>50</v>
      </c>
      <c r="K29" s="626">
        <v>-4.5</v>
      </c>
      <c r="L29" s="626">
        <v>-4.9000000000000004</v>
      </c>
      <c r="M29" s="626"/>
      <c r="N29" s="627">
        <f t="shared" si="7"/>
        <v>0.20000000000000018</v>
      </c>
      <c r="P29" s="624">
        <v>3</v>
      </c>
      <c r="Q29" s="625">
        <v>850</v>
      </c>
      <c r="R29" s="629" t="s">
        <v>155</v>
      </c>
      <c r="S29" s="629" t="s">
        <v>155</v>
      </c>
      <c r="T29" s="625"/>
      <c r="U29" s="627">
        <f t="shared" si="8"/>
        <v>0</v>
      </c>
    </row>
    <row r="30" spans="1:24" ht="13">
      <c r="A30" s="1064"/>
      <c r="B30" s="624">
        <v>4</v>
      </c>
      <c r="C30" s="633">
        <v>30</v>
      </c>
      <c r="D30" s="626">
        <v>9.9999999999999995E-7</v>
      </c>
      <c r="E30" s="634">
        <v>-0.3</v>
      </c>
      <c r="F30" s="638"/>
      <c r="G30" s="627">
        <f t="shared" si="6"/>
        <v>0.15000049999999998</v>
      </c>
      <c r="I30" s="624">
        <v>4</v>
      </c>
      <c r="J30" s="633">
        <v>60</v>
      </c>
      <c r="K30" s="634">
        <v>-3.2</v>
      </c>
      <c r="L30" s="634">
        <v>-4.3</v>
      </c>
      <c r="M30" s="626"/>
      <c r="N30" s="627">
        <f t="shared" si="7"/>
        <v>0.54999999999999982</v>
      </c>
      <c r="P30" s="624">
        <v>4</v>
      </c>
      <c r="Q30" s="633">
        <v>900</v>
      </c>
      <c r="R30" s="634" t="s">
        <v>155</v>
      </c>
      <c r="S30" s="634" t="s">
        <v>155</v>
      </c>
      <c r="T30" s="625"/>
      <c r="U30" s="627">
        <f t="shared" si="8"/>
        <v>0</v>
      </c>
    </row>
    <row r="31" spans="1:24" ht="13">
      <c r="A31" s="1064"/>
      <c r="B31" s="624">
        <v>5</v>
      </c>
      <c r="C31" s="633">
        <v>35</v>
      </c>
      <c r="D31" s="634">
        <v>-0.3</v>
      </c>
      <c r="E31" s="634">
        <v>-0.5</v>
      </c>
      <c r="F31" s="638"/>
      <c r="G31" s="627">
        <f t="shared" si="6"/>
        <v>0.1</v>
      </c>
      <c r="I31" s="624">
        <v>5</v>
      </c>
      <c r="J31" s="633">
        <v>70</v>
      </c>
      <c r="K31" s="634">
        <v>-2</v>
      </c>
      <c r="L31" s="634">
        <v>-3.6</v>
      </c>
      <c r="M31" s="626"/>
      <c r="N31" s="627">
        <f t="shared" si="7"/>
        <v>0.8</v>
      </c>
      <c r="P31" s="624">
        <v>5</v>
      </c>
      <c r="Q31" s="633">
        <v>1000</v>
      </c>
      <c r="R31" s="634" t="s">
        <v>155</v>
      </c>
      <c r="S31" s="634" t="s">
        <v>155</v>
      </c>
      <c r="T31" s="625"/>
      <c r="U31" s="627">
        <f t="shared" si="8"/>
        <v>0</v>
      </c>
    </row>
    <row r="32" spans="1:24" ht="13">
      <c r="A32" s="1064"/>
      <c r="B32" s="624">
        <v>6</v>
      </c>
      <c r="C32" s="633">
        <v>37</v>
      </c>
      <c r="D32" s="634">
        <v>-0.2</v>
      </c>
      <c r="E32" s="634">
        <v>-0.6</v>
      </c>
      <c r="F32" s="638"/>
      <c r="G32" s="627">
        <f t="shared" si="6"/>
        <v>0.19999999999999998</v>
      </c>
      <c r="I32" s="624">
        <v>6</v>
      </c>
      <c r="J32" s="633">
        <v>80</v>
      </c>
      <c r="K32" s="634">
        <v>-0.8</v>
      </c>
      <c r="L32" s="634">
        <v>-2.9</v>
      </c>
      <c r="M32" s="626"/>
      <c r="N32" s="627">
        <f t="shared" si="7"/>
        <v>1.0499999999999998</v>
      </c>
      <c r="P32" s="624">
        <v>6</v>
      </c>
      <c r="Q32" s="633">
        <v>1005</v>
      </c>
      <c r="R32" s="634" t="s">
        <v>155</v>
      </c>
      <c r="S32" s="634" t="s">
        <v>155</v>
      </c>
      <c r="T32" s="625"/>
      <c r="U32" s="627">
        <f t="shared" si="8"/>
        <v>0</v>
      </c>
    </row>
    <row r="33" spans="1:24" ht="13.5" thickBot="1">
      <c r="A33" s="1065"/>
      <c r="B33" s="624">
        <v>7</v>
      </c>
      <c r="C33" s="633">
        <v>40</v>
      </c>
      <c r="D33" s="634">
        <v>0.2</v>
      </c>
      <c r="E33" s="634">
        <v>-0.7</v>
      </c>
      <c r="F33" s="638"/>
      <c r="G33" s="627">
        <f t="shared" si="6"/>
        <v>0.44999999999999996</v>
      </c>
      <c r="I33" s="624">
        <v>7</v>
      </c>
      <c r="J33" s="633">
        <v>90</v>
      </c>
      <c r="K33" s="634">
        <v>0.3</v>
      </c>
      <c r="L33" s="634">
        <v>-2</v>
      </c>
      <c r="M33" s="626"/>
      <c r="N33" s="627">
        <f t="shared" si="7"/>
        <v>1.1499999999999999</v>
      </c>
      <c r="P33" s="624">
        <v>7</v>
      </c>
      <c r="Q33" s="633">
        <v>1020</v>
      </c>
      <c r="R33" s="634" t="s">
        <v>155</v>
      </c>
      <c r="S33" s="634" t="s">
        <v>155</v>
      </c>
      <c r="T33" s="625"/>
      <c r="U33" s="627">
        <f t="shared" si="8"/>
        <v>0</v>
      </c>
    </row>
    <row r="34" spans="1:24" ht="13.5" thickBot="1">
      <c r="A34" s="635"/>
      <c r="B34" s="635"/>
      <c r="H34" s="639"/>
      <c r="O34" s="636"/>
      <c r="P34" s="637"/>
    </row>
    <row r="35" spans="1:24">
      <c r="A35" s="1063">
        <v>4</v>
      </c>
      <c r="B35" s="1051" t="s">
        <v>179</v>
      </c>
      <c r="C35" s="1051"/>
      <c r="D35" s="1051"/>
      <c r="E35" s="1051"/>
      <c r="F35" s="1051"/>
      <c r="G35" s="1051"/>
      <c r="I35" s="1051" t="str">
        <f>B35</f>
        <v>KOREKSI KIMO THERMOHYGROMETER 15062872</v>
      </c>
      <c r="J35" s="1051"/>
      <c r="K35" s="1051"/>
      <c r="L35" s="1051"/>
      <c r="M35" s="1051"/>
      <c r="N35" s="1051"/>
      <c r="P35" s="1051" t="str">
        <f>I35</f>
        <v>KOREKSI KIMO THERMOHYGROMETER 15062872</v>
      </c>
      <c r="Q35" s="1051"/>
      <c r="R35" s="1051"/>
      <c r="S35" s="1051"/>
      <c r="T35" s="1051"/>
      <c r="U35" s="1051"/>
      <c r="W35" s="1057" t="s">
        <v>90</v>
      </c>
      <c r="X35" s="1058"/>
    </row>
    <row r="36" spans="1:24" ht="13">
      <c r="A36" s="1064"/>
      <c r="B36" s="1059" t="s">
        <v>152</v>
      </c>
      <c r="C36" s="1059"/>
      <c r="D36" s="1059" t="s">
        <v>175</v>
      </c>
      <c r="E36" s="1059"/>
      <c r="F36" s="1059"/>
      <c r="G36" s="1059" t="s">
        <v>154</v>
      </c>
      <c r="I36" s="1059" t="s">
        <v>153</v>
      </c>
      <c r="J36" s="1059"/>
      <c r="K36" s="1059" t="s">
        <v>175</v>
      </c>
      <c r="L36" s="1059"/>
      <c r="M36" s="1059"/>
      <c r="N36" s="1059" t="s">
        <v>154</v>
      </c>
      <c r="P36" s="1059" t="s">
        <v>450</v>
      </c>
      <c r="Q36" s="1059"/>
      <c r="R36" s="1059" t="s">
        <v>175</v>
      </c>
      <c r="S36" s="1059"/>
      <c r="T36" s="1059"/>
      <c r="U36" s="1059" t="s">
        <v>154</v>
      </c>
      <c r="W36" s="621" t="s">
        <v>152</v>
      </c>
      <c r="X36" s="622">
        <v>0.3</v>
      </c>
    </row>
    <row r="37" spans="1:24" ht="14.5">
      <c r="A37" s="1064"/>
      <c r="B37" s="1049" t="s">
        <v>176</v>
      </c>
      <c r="C37" s="1049"/>
      <c r="D37" s="623">
        <v>2019</v>
      </c>
      <c r="E37" s="623">
        <v>2017</v>
      </c>
      <c r="F37" s="623">
        <v>2016</v>
      </c>
      <c r="G37" s="1059"/>
      <c r="I37" s="1048" t="s">
        <v>70</v>
      </c>
      <c r="J37" s="1049"/>
      <c r="K37" s="623">
        <f>D37</f>
        <v>2019</v>
      </c>
      <c r="L37" s="623">
        <f>E37</f>
        <v>2017</v>
      </c>
      <c r="M37" s="623">
        <v>2016</v>
      </c>
      <c r="N37" s="1059"/>
      <c r="P37" s="1048" t="s">
        <v>451</v>
      </c>
      <c r="Q37" s="1049"/>
      <c r="R37" s="623">
        <f>K37</f>
        <v>2019</v>
      </c>
      <c r="S37" s="623">
        <f>L37</f>
        <v>2017</v>
      </c>
      <c r="T37" s="623">
        <v>2016</v>
      </c>
      <c r="U37" s="1059"/>
      <c r="W37" s="621" t="s">
        <v>70</v>
      </c>
      <c r="X37" s="622">
        <v>1.3</v>
      </c>
    </row>
    <row r="38" spans="1:24" ht="13.5" thickBot="1">
      <c r="A38" s="1064"/>
      <c r="B38" s="624">
        <v>1</v>
      </c>
      <c r="C38" s="625">
        <v>15</v>
      </c>
      <c r="D38" s="626">
        <v>-0.2</v>
      </c>
      <c r="E38" s="626">
        <v>-0.1</v>
      </c>
      <c r="F38" s="630"/>
      <c r="G38" s="627">
        <f>0.5*(MAX(D38:F38)-MIN(D38:F38))</f>
        <v>0.05</v>
      </c>
      <c r="I38" s="624">
        <v>1</v>
      </c>
      <c r="J38" s="625">
        <v>35</v>
      </c>
      <c r="K38" s="626">
        <v>-4.5</v>
      </c>
      <c r="L38" s="626">
        <v>-1.7</v>
      </c>
      <c r="M38" s="630"/>
      <c r="N38" s="627">
        <f>0.5*(MAX(K38:M38)-MIN(K38:M38))</f>
        <v>1.4</v>
      </c>
      <c r="P38" s="624">
        <v>1</v>
      </c>
      <c r="Q38" s="625">
        <v>750</v>
      </c>
      <c r="R38" s="629" t="s">
        <v>155</v>
      </c>
      <c r="S38" s="629" t="s">
        <v>155</v>
      </c>
      <c r="T38" s="630"/>
      <c r="U38" s="627">
        <f>0.5*(MAX(R38:T38)-MIN(R38:T38))</f>
        <v>0</v>
      </c>
      <c r="W38" s="631" t="s">
        <v>451</v>
      </c>
      <c r="X38" s="632">
        <v>0</v>
      </c>
    </row>
    <row r="39" spans="1:24" ht="13">
      <c r="A39" s="1064"/>
      <c r="B39" s="624">
        <v>2</v>
      </c>
      <c r="C39" s="625">
        <v>20</v>
      </c>
      <c r="D39" s="626">
        <v>-0.1</v>
      </c>
      <c r="E39" s="626">
        <v>-0.3</v>
      </c>
      <c r="F39" s="630"/>
      <c r="G39" s="627">
        <f t="shared" ref="G39:G44" si="9">0.5*(MAX(D39:F39)-MIN(D39:F39))</f>
        <v>9.9999999999999992E-2</v>
      </c>
      <c r="I39" s="624">
        <v>2</v>
      </c>
      <c r="J39" s="625">
        <v>40</v>
      </c>
      <c r="K39" s="626">
        <v>-4.4000000000000004</v>
      </c>
      <c r="L39" s="626">
        <v>-1.5</v>
      </c>
      <c r="M39" s="630"/>
      <c r="N39" s="627">
        <f t="shared" ref="N39:N44" si="10">0.5*(MAX(K39:L39)-MIN(K39:L39))</f>
        <v>1.4500000000000002</v>
      </c>
      <c r="P39" s="624">
        <v>2</v>
      </c>
      <c r="Q39" s="625">
        <v>800</v>
      </c>
      <c r="R39" s="629" t="s">
        <v>155</v>
      </c>
      <c r="S39" s="629" t="s">
        <v>155</v>
      </c>
      <c r="T39" s="630"/>
      <c r="U39" s="627">
        <f t="shared" ref="U39:U44" si="11">0.5*(MAX(R39:T39)-MIN(R39:T39))</f>
        <v>0</v>
      </c>
    </row>
    <row r="40" spans="1:24" ht="13">
      <c r="A40" s="1064"/>
      <c r="B40" s="624">
        <v>3</v>
      </c>
      <c r="C40" s="625">
        <v>25</v>
      </c>
      <c r="D40" s="626">
        <v>-0.1</v>
      </c>
      <c r="E40" s="626">
        <v>-0.5</v>
      </c>
      <c r="F40" s="630"/>
      <c r="G40" s="627">
        <f t="shared" si="9"/>
        <v>0.2</v>
      </c>
      <c r="I40" s="624">
        <v>3</v>
      </c>
      <c r="J40" s="625">
        <v>50</v>
      </c>
      <c r="K40" s="626">
        <v>-4.3</v>
      </c>
      <c r="L40" s="626">
        <v>-1</v>
      </c>
      <c r="M40" s="630"/>
      <c r="N40" s="627">
        <f t="shared" si="10"/>
        <v>1.65</v>
      </c>
      <c r="P40" s="624">
        <v>3</v>
      </c>
      <c r="Q40" s="625">
        <v>850</v>
      </c>
      <c r="R40" s="629" t="s">
        <v>155</v>
      </c>
      <c r="S40" s="629" t="s">
        <v>155</v>
      </c>
      <c r="T40" s="630"/>
      <c r="U40" s="627">
        <f t="shared" si="11"/>
        <v>0</v>
      </c>
    </row>
    <row r="41" spans="1:24" ht="13">
      <c r="A41" s="1064"/>
      <c r="B41" s="624">
        <v>4</v>
      </c>
      <c r="C41" s="633">
        <v>30</v>
      </c>
      <c r="D41" s="634">
        <v>-0.1</v>
      </c>
      <c r="E41" s="634">
        <v>-0.6</v>
      </c>
      <c r="F41" s="630"/>
      <c r="G41" s="627">
        <f t="shared" si="9"/>
        <v>0.25</v>
      </c>
      <c r="I41" s="624">
        <v>4</v>
      </c>
      <c r="J41" s="633">
        <v>60</v>
      </c>
      <c r="K41" s="634">
        <v>-4.2</v>
      </c>
      <c r="L41" s="634">
        <v>-0.3</v>
      </c>
      <c r="M41" s="630"/>
      <c r="N41" s="627">
        <f t="shared" si="10"/>
        <v>1.9500000000000002</v>
      </c>
      <c r="P41" s="624">
        <v>4</v>
      </c>
      <c r="Q41" s="633">
        <v>900</v>
      </c>
      <c r="R41" s="634" t="s">
        <v>155</v>
      </c>
      <c r="S41" s="634" t="s">
        <v>155</v>
      </c>
      <c r="T41" s="630"/>
      <c r="U41" s="627">
        <f t="shared" si="11"/>
        <v>0</v>
      </c>
    </row>
    <row r="42" spans="1:24" ht="13">
      <c r="A42" s="1064"/>
      <c r="B42" s="624">
        <v>5</v>
      </c>
      <c r="C42" s="633">
        <v>35</v>
      </c>
      <c r="D42" s="634">
        <v>-0.3</v>
      </c>
      <c r="E42" s="634">
        <v>-0.6</v>
      </c>
      <c r="F42" s="630"/>
      <c r="G42" s="627">
        <f t="shared" si="9"/>
        <v>0.15</v>
      </c>
      <c r="I42" s="624">
        <v>5</v>
      </c>
      <c r="J42" s="633">
        <v>70</v>
      </c>
      <c r="K42" s="634">
        <v>-4</v>
      </c>
      <c r="L42" s="634">
        <v>0.7</v>
      </c>
      <c r="M42" s="630"/>
      <c r="N42" s="627">
        <f t="shared" si="10"/>
        <v>2.35</v>
      </c>
      <c r="P42" s="624">
        <v>5</v>
      </c>
      <c r="Q42" s="633">
        <v>1000</v>
      </c>
      <c r="R42" s="634" t="s">
        <v>155</v>
      </c>
      <c r="S42" s="634" t="s">
        <v>155</v>
      </c>
      <c r="T42" s="630"/>
      <c r="U42" s="627">
        <f t="shared" si="11"/>
        <v>0</v>
      </c>
    </row>
    <row r="43" spans="1:24" ht="13">
      <c r="A43" s="1064"/>
      <c r="B43" s="624">
        <v>6</v>
      </c>
      <c r="C43" s="633">
        <v>37</v>
      </c>
      <c r="D43" s="634">
        <v>-0.4</v>
      </c>
      <c r="E43" s="634">
        <v>-0.6</v>
      </c>
      <c r="F43" s="630"/>
      <c r="G43" s="627">
        <f t="shared" si="9"/>
        <v>9.9999999999999978E-2</v>
      </c>
      <c r="I43" s="624">
        <v>6</v>
      </c>
      <c r="J43" s="633">
        <v>80</v>
      </c>
      <c r="K43" s="634">
        <v>-3.8</v>
      </c>
      <c r="L43" s="634">
        <v>1.9</v>
      </c>
      <c r="M43" s="630"/>
      <c r="N43" s="627">
        <f t="shared" si="10"/>
        <v>2.8499999999999996</v>
      </c>
      <c r="P43" s="624">
        <v>6</v>
      </c>
      <c r="Q43" s="633">
        <v>1005</v>
      </c>
      <c r="R43" s="634" t="s">
        <v>155</v>
      </c>
      <c r="S43" s="634" t="s">
        <v>155</v>
      </c>
      <c r="T43" s="630"/>
      <c r="U43" s="627">
        <f t="shared" si="11"/>
        <v>0</v>
      </c>
    </row>
    <row r="44" spans="1:24" ht="13.5" thickBot="1">
      <c r="A44" s="1065"/>
      <c r="B44" s="624">
        <v>7</v>
      </c>
      <c r="C44" s="633">
        <v>40</v>
      </c>
      <c r="D44" s="634">
        <v>-0.5</v>
      </c>
      <c r="E44" s="634">
        <v>-0.6</v>
      </c>
      <c r="F44" s="630"/>
      <c r="G44" s="627">
        <f t="shared" si="9"/>
        <v>4.9999999999999989E-2</v>
      </c>
      <c r="I44" s="624">
        <v>7</v>
      </c>
      <c r="J44" s="633">
        <v>90</v>
      </c>
      <c r="K44" s="634">
        <v>-3.5</v>
      </c>
      <c r="L44" s="634">
        <v>3.3</v>
      </c>
      <c r="M44" s="630"/>
      <c r="N44" s="627">
        <f t="shared" si="10"/>
        <v>3.4</v>
      </c>
      <c r="P44" s="624">
        <v>7</v>
      </c>
      <c r="Q44" s="633">
        <v>1020</v>
      </c>
      <c r="R44" s="634" t="s">
        <v>155</v>
      </c>
      <c r="S44" s="634" t="s">
        <v>155</v>
      </c>
      <c r="T44" s="630"/>
      <c r="U44" s="627">
        <f t="shared" si="11"/>
        <v>0</v>
      </c>
    </row>
    <row r="45" spans="1:24" ht="13.5" thickBot="1">
      <c r="A45" s="635"/>
      <c r="B45" s="635"/>
      <c r="O45" s="636"/>
      <c r="P45" s="637"/>
    </row>
    <row r="46" spans="1:24">
      <c r="A46" s="1063">
        <v>5</v>
      </c>
      <c r="B46" s="1051" t="s">
        <v>180</v>
      </c>
      <c r="C46" s="1051"/>
      <c r="D46" s="1051"/>
      <c r="E46" s="1051"/>
      <c r="F46" s="1051"/>
      <c r="G46" s="1051"/>
      <c r="I46" s="1051" t="str">
        <f>B46</f>
        <v>KOREKSI KIMO THERMOHYGROMETER 15062875</v>
      </c>
      <c r="J46" s="1051"/>
      <c r="K46" s="1051"/>
      <c r="L46" s="1051"/>
      <c r="M46" s="1051"/>
      <c r="N46" s="1051"/>
      <c r="P46" s="1051" t="str">
        <f>I46</f>
        <v>KOREKSI KIMO THERMOHYGROMETER 15062875</v>
      </c>
      <c r="Q46" s="1051"/>
      <c r="R46" s="1051"/>
      <c r="S46" s="1051"/>
      <c r="T46" s="1051"/>
      <c r="U46" s="1051"/>
      <c r="W46" s="1057" t="s">
        <v>90</v>
      </c>
      <c r="X46" s="1058"/>
    </row>
    <row r="47" spans="1:24" ht="13">
      <c r="A47" s="1064"/>
      <c r="B47" s="1059" t="s">
        <v>152</v>
      </c>
      <c r="C47" s="1059"/>
      <c r="D47" s="1059" t="s">
        <v>175</v>
      </c>
      <c r="E47" s="1059"/>
      <c r="F47" s="1059"/>
      <c r="G47" s="1059" t="s">
        <v>154</v>
      </c>
      <c r="I47" s="1059" t="s">
        <v>153</v>
      </c>
      <c r="J47" s="1059"/>
      <c r="K47" s="1059" t="s">
        <v>175</v>
      </c>
      <c r="L47" s="1059"/>
      <c r="M47" s="1059"/>
      <c r="N47" s="1059" t="s">
        <v>154</v>
      </c>
      <c r="P47" s="1059" t="s">
        <v>450</v>
      </c>
      <c r="Q47" s="1059"/>
      <c r="R47" s="1059" t="s">
        <v>175</v>
      </c>
      <c r="S47" s="1059"/>
      <c r="T47" s="1059"/>
      <c r="U47" s="1059" t="s">
        <v>154</v>
      </c>
      <c r="W47" s="621" t="s">
        <v>152</v>
      </c>
      <c r="X47" s="622">
        <v>0.4</v>
      </c>
    </row>
    <row r="48" spans="1:24" ht="14.5">
      <c r="A48" s="1064"/>
      <c r="B48" s="1049" t="s">
        <v>176</v>
      </c>
      <c r="C48" s="1049"/>
      <c r="D48" s="623">
        <v>2020</v>
      </c>
      <c r="E48" s="623">
        <v>2017</v>
      </c>
      <c r="F48" s="623">
        <v>2016</v>
      </c>
      <c r="G48" s="1059"/>
      <c r="I48" s="1048" t="s">
        <v>70</v>
      </c>
      <c r="J48" s="1049"/>
      <c r="K48" s="623">
        <f>D48</f>
        <v>2020</v>
      </c>
      <c r="L48" s="623">
        <f>E48</f>
        <v>2017</v>
      </c>
      <c r="M48" s="623">
        <v>2016</v>
      </c>
      <c r="N48" s="1059"/>
      <c r="P48" s="1048" t="s">
        <v>451</v>
      </c>
      <c r="Q48" s="1049"/>
      <c r="R48" s="623">
        <f>K48</f>
        <v>2020</v>
      </c>
      <c r="S48" s="623">
        <f>L48</f>
        <v>2017</v>
      </c>
      <c r="T48" s="623">
        <v>2016</v>
      </c>
      <c r="U48" s="1059"/>
      <c r="W48" s="621" t="s">
        <v>70</v>
      </c>
      <c r="X48" s="622">
        <v>2.8</v>
      </c>
    </row>
    <row r="49" spans="1:24" ht="13.5" thickBot="1">
      <c r="A49" s="1064"/>
      <c r="B49" s="624">
        <v>1</v>
      </c>
      <c r="C49" s="625">
        <v>15</v>
      </c>
      <c r="D49" s="626">
        <v>-0.3</v>
      </c>
      <c r="E49" s="626">
        <v>0.3</v>
      </c>
      <c r="F49" s="630"/>
      <c r="G49" s="627">
        <f>0.5*(MAX(D49:F49)-MIN(D49:F49))</f>
        <v>0.3</v>
      </c>
      <c r="I49" s="624">
        <v>1</v>
      </c>
      <c r="J49" s="625">
        <v>35</v>
      </c>
      <c r="K49" s="626">
        <v>-7.7</v>
      </c>
      <c r="L49" s="626">
        <v>-9.6</v>
      </c>
      <c r="M49" s="630"/>
      <c r="N49" s="627">
        <f>0.5*(MAX(K49:M49)-MIN(K49:M49))</f>
        <v>0.94999999999999973</v>
      </c>
      <c r="P49" s="624">
        <v>1</v>
      </c>
      <c r="Q49" s="625">
        <v>750</v>
      </c>
      <c r="R49" s="629" t="s">
        <v>155</v>
      </c>
      <c r="S49" s="629" t="s">
        <v>155</v>
      </c>
      <c r="T49" s="630"/>
      <c r="U49" s="627">
        <f>0.5*(MAX(R49:T49)-MIN(R49:T49))</f>
        <v>0</v>
      </c>
      <c r="W49" s="631" t="s">
        <v>451</v>
      </c>
      <c r="X49" s="632">
        <v>0</v>
      </c>
    </row>
    <row r="50" spans="1:24" ht="13">
      <c r="A50" s="1064"/>
      <c r="B50" s="624">
        <v>2</v>
      </c>
      <c r="C50" s="625">
        <v>20</v>
      </c>
      <c r="D50" s="626">
        <v>0.1</v>
      </c>
      <c r="E50" s="626">
        <v>0.3</v>
      </c>
      <c r="F50" s="630"/>
      <c r="G50" s="627">
        <f t="shared" ref="G50:G55" si="12">0.5*(MAX(D50:F50)-MIN(D50:F50))</f>
        <v>9.9999999999999992E-2</v>
      </c>
      <c r="I50" s="624">
        <v>2</v>
      </c>
      <c r="J50" s="625">
        <v>40</v>
      </c>
      <c r="K50" s="626">
        <v>-7.2</v>
      </c>
      <c r="L50" s="626">
        <v>-8</v>
      </c>
      <c r="M50" s="630"/>
      <c r="N50" s="627">
        <f t="shared" ref="N50:N55" si="13">0.5*(MAX(K50:M50)-MIN(K50:M50))</f>
        <v>0.39999999999999991</v>
      </c>
      <c r="P50" s="624">
        <v>2</v>
      </c>
      <c r="Q50" s="625">
        <v>800</v>
      </c>
      <c r="R50" s="629" t="s">
        <v>155</v>
      </c>
      <c r="S50" s="629" t="s">
        <v>155</v>
      </c>
      <c r="T50" s="630"/>
      <c r="U50" s="627">
        <f t="shared" ref="U50:U55" si="14">0.5*(MAX(R50:T50)-MIN(R50:T50))</f>
        <v>0</v>
      </c>
    </row>
    <row r="51" spans="1:24" ht="13">
      <c r="A51" s="1064"/>
      <c r="B51" s="624">
        <v>3</v>
      </c>
      <c r="C51" s="625">
        <v>25</v>
      </c>
      <c r="D51" s="626">
        <v>0.4</v>
      </c>
      <c r="E51" s="626">
        <v>0.2</v>
      </c>
      <c r="F51" s="630"/>
      <c r="G51" s="627">
        <f t="shared" si="12"/>
        <v>0.1</v>
      </c>
      <c r="I51" s="624">
        <v>3</v>
      </c>
      <c r="J51" s="625">
        <v>50</v>
      </c>
      <c r="K51" s="626">
        <v>-6.2</v>
      </c>
      <c r="L51" s="626">
        <v>-6.2</v>
      </c>
      <c r="M51" s="630"/>
      <c r="N51" s="627">
        <f t="shared" si="13"/>
        <v>0</v>
      </c>
      <c r="P51" s="624">
        <v>3</v>
      </c>
      <c r="Q51" s="625">
        <v>850</v>
      </c>
      <c r="R51" s="629" t="s">
        <v>155</v>
      </c>
      <c r="S51" s="629" t="s">
        <v>155</v>
      </c>
      <c r="T51" s="630"/>
      <c r="U51" s="627">
        <f t="shared" si="14"/>
        <v>0</v>
      </c>
    </row>
    <row r="52" spans="1:24" ht="13">
      <c r="A52" s="1064"/>
      <c r="B52" s="624">
        <v>4</v>
      </c>
      <c r="C52" s="633">
        <v>30</v>
      </c>
      <c r="D52" s="634">
        <v>0.6</v>
      </c>
      <c r="E52" s="634">
        <v>0.1</v>
      </c>
      <c r="F52" s="630"/>
      <c r="G52" s="627">
        <f t="shared" si="12"/>
        <v>0.25</v>
      </c>
      <c r="I52" s="624">
        <v>4</v>
      </c>
      <c r="J52" s="633">
        <v>60</v>
      </c>
      <c r="K52" s="634">
        <v>-5.2</v>
      </c>
      <c r="L52" s="634">
        <v>-4.2</v>
      </c>
      <c r="M52" s="630"/>
      <c r="N52" s="627">
        <f t="shared" si="13"/>
        <v>0.5</v>
      </c>
      <c r="P52" s="624">
        <v>4</v>
      </c>
      <c r="Q52" s="633">
        <v>900</v>
      </c>
      <c r="R52" s="634" t="s">
        <v>155</v>
      </c>
      <c r="S52" s="634" t="s">
        <v>155</v>
      </c>
      <c r="T52" s="630"/>
      <c r="U52" s="627">
        <f t="shared" si="14"/>
        <v>0</v>
      </c>
    </row>
    <row r="53" spans="1:24" ht="13">
      <c r="A53" s="1064"/>
      <c r="B53" s="624">
        <v>5</v>
      </c>
      <c r="C53" s="633">
        <v>35</v>
      </c>
      <c r="D53" s="634">
        <v>0.7</v>
      </c>
      <c r="E53" s="626">
        <v>9.9999999999999995E-7</v>
      </c>
      <c r="F53" s="630"/>
      <c r="G53" s="627">
        <f t="shared" si="12"/>
        <v>0.34999949999999996</v>
      </c>
      <c r="I53" s="624">
        <v>5</v>
      </c>
      <c r="J53" s="633">
        <v>70</v>
      </c>
      <c r="K53" s="634">
        <v>-4.0999999999999996</v>
      </c>
      <c r="L53" s="634">
        <v>-2.1</v>
      </c>
      <c r="M53" s="630"/>
      <c r="N53" s="627">
        <f t="shared" si="13"/>
        <v>0.99999999999999978</v>
      </c>
      <c r="P53" s="624">
        <v>5</v>
      </c>
      <c r="Q53" s="633">
        <v>1000</v>
      </c>
      <c r="R53" s="634" t="s">
        <v>155</v>
      </c>
      <c r="S53" s="634" t="s">
        <v>155</v>
      </c>
      <c r="T53" s="630"/>
      <c r="U53" s="627">
        <f t="shared" si="14"/>
        <v>0</v>
      </c>
    </row>
    <row r="54" spans="1:24" ht="13">
      <c r="A54" s="1064"/>
      <c r="B54" s="624">
        <v>6</v>
      </c>
      <c r="C54" s="633">
        <v>37</v>
      </c>
      <c r="D54" s="634">
        <v>0.7</v>
      </c>
      <c r="E54" s="626">
        <v>9.9999999999999995E-7</v>
      </c>
      <c r="F54" s="630"/>
      <c r="G54" s="627">
        <f t="shared" si="12"/>
        <v>0.34999949999999996</v>
      </c>
      <c r="I54" s="624">
        <v>6</v>
      </c>
      <c r="J54" s="633">
        <v>80</v>
      </c>
      <c r="K54" s="634">
        <v>-3</v>
      </c>
      <c r="L54" s="634">
        <v>0.2</v>
      </c>
      <c r="M54" s="630"/>
      <c r="N54" s="627">
        <f t="shared" si="13"/>
        <v>1.6</v>
      </c>
      <c r="P54" s="624">
        <v>6</v>
      </c>
      <c r="Q54" s="633">
        <v>1005</v>
      </c>
      <c r="R54" s="634" t="s">
        <v>155</v>
      </c>
      <c r="S54" s="634" t="s">
        <v>155</v>
      </c>
      <c r="T54" s="630"/>
      <c r="U54" s="627">
        <f t="shared" si="14"/>
        <v>0</v>
      </c>
    </row>
    <row r="55" spans="1:24" ht="13.5" thickBot="1">
      <c r="A55" s="1065"/>
      <c r="B55" s="624">
        <v>7</v>
      </c>
      <c r="C55" s="633">
        <v>40</v>
      </c>
      <c r="D55" s="634">
        <v>0.7</v>
      </c>
      <c r="E55" s="634">
        <v>-0.1</v>
      </c>
      <c r="F55" s="630"/>
      <c r="G55" s="627">
        <f t="shared" si="12"/>
        <v>0.39999999999999997</v>
      </c>
      <c r="I55" s="624">
        <v>7</v>
      </c>
      <c r="J55" s="633">
        <v>90</v>
      </c>
      <c r="K55" s="634">
        <v>-1.8</v>
      </c>
      <c r="L55" s="634">
        <v>2.7</v>
      </c>
      <c r="M55" s="630"/>
      <c r="N55" s="627">
        <f t="shared" si="13"/>
        <v>2.25</v>
      </c>
      <c r="P55" s="624">
        <v>7</v>
      </c>
      <c r="Q55" s="633">
        <v>1020</v>
      </c>
      <c r="R55" s="634" t="s">
        <v>155</v>
      </c>
      <c r="S55" s="634" t="s">
        <v>155</v>
      </c>
      <c r="T55" s="630"/>
      <c r="U55" s="627">
        <f t="shared" si="14"/>
        <v>0</v>
      </c>
    </row>
    <row r="56" spans="1:24" ht="13.5" thickBot="1">
      <c r="A56" s="640"/>
      <c r="B56" s="641"/>
      <c r="C56" s="641"/>
      <c r="D56" s="641"/>
      <c r="E56" s="642"/>
      <c r="F56" s="643"/>
      <c r="G56" s="644"/>
      <c r="H56" s="641"/>
      <c r="I56" s="641"/>
      <c r="J56" s="641"/>
      <c r="K56" s="642"/>
      <c r="L56" s="643"/>
      <c r="O56" s="636"/>
      <c r="P56" s="637"/>
    </row>
    <row r="57" spans="1:24">
      <c r="A57" s="1050">
        <v>6</v>
      </c>
      <c r="B57" s="1051" t="s">
        <v>181</v>
      </c>
      <c r="C57" s="1051"/>
      <c r="D57" s="1051"/>
      <c r="E57" s="1051"/>
      <c r="F57" s="1051"/>
      <c r="G57" s="1051"/>
      <c r="I57" s="1051" t="str">
        <f>B57</f>
        <v>KOREKSI GREISINGER 34903046</v>
      </c>
      <c r="J57" s="1051"/>
      <c r="K57" s="1051"/>
      <c r="L57" s="1051"/>
      <c r="M57" s="1051"/>
      <c r="N57" s="1051"/>
      <c r="P57" s="1051" t="str">
        <f>I57</f>
        <v>KOREKSI GREISINGER 34903046</v>
      </c>
      <c r="Q57" s="1051"/>
      <c r="R57" s="1051"/>
      <c r="S57" s="1051"/>
      <c r="T57" s="1051"/>
      <c r="U57" s="1051"/>
      <c r="W57" s="1057" t="s">
        <v>90</v>
      </c>
      <c r="X57" s="1058"/>
    </row>
    <row r="58" spans="1:24" ht="13">
      <c r="A58" s="1050"/>
      <c r="B58" s="1059" t="s">
        <v>152</v>
      </c>
      <c r="C58" s="1059"/>
      <c r="D58" s="1059" t="s">
        <v>175</v>
      </c>
      <c r="E58" s="1059"/>
      <c r="F58" s="1059"/>
      <c r="G58" s="1059" t="s">
        <v>154</v>
      </c>
      <c r="I58" s="1059" t="s">
        <v>153</v>
      </c>
      <c r="J58" s="1059"/>
      <c r="K58" s="1059" t="s">
        <v>175</v>
      </c>
      <c r="L58" s="1059"/>
      <c r="M58" s="1059"/>
      <c r="N58" s="1059" t="s">
        <v>154</v>
      </c>
      <c r="P58" s="1059" t="s">
        <v>450</v>
      </c>
      <c r="Q58" s="1059"/>
      <c r="R58" s="1060" t="s">
        <v>175</v>
      </c>
      <c r="S58" s="1061"/>
      <c r="T58" s="1062"/>
      <c r="U58" s="1059" t="s">
        <v>154</v>
      </c>
      <c r="W58" s="621" t="s">
        <v>152</v>
      </c>
      <c r="X58" s="622">
        <v>0.8</v>
      </c>
    </row>
    <row r="59" spans="1:24" ht="14.5">
      <c r="A59" s="1050"/>
      <c r="B59" s="1049" t="s">
        <v>176</v>
      </c>
      <c r="C59" s="1049"/>
      <c r="D59" s="623">
        <v>2019</v>
      </c>
      <c r="E59" s="623">
        <v>2018</v>
      </c>
      <c r="F59" s="623">
        <v>2016</v>
      </c>
      <c r="G59" s="1059"/>
      <c r="I59" s="1048" t="s">
        <v>70</v>
      </c>
      <c r="J59" s="1049"/>
      <c r="K59" s="623">
        <f>D59</f>
        <v>2019</v>
      </c>
      <c r="L59" s="623">
        <f>E59</f>
        <v>2018</v>
      </c>
      <c r="M59" s="623">
        <v>2016</v>
      </c>
      <c r="N59" s="1059"/>
      <c r="P59" s="1048" t="s">
        <v>451</v>
      </c>
      <c r="Q59" s="1049"/>
      <c r="R59" s="623">
        <f>K59</f>
        <v>2019</v>
      </c>
      <c r="S59" s="623">
        <f>L59</f>
        <v>2018</v>
      </c>
      <c r="T59" s="623">
        <v>2016</v>
      </c>
      <c r="U59" s="1059"/>
      <c r="W59" s="621" t="s">
        <v>70</v>
      </c>
      <c r="X59" s="622">
        <v>2.6</v>
      </c>
    </row>
    <row r="60" spans="1:24" ht="13.5" thickBot="1">
      <c r="A60" s="1050"/>
      <c r="B60" s="624">
        <v>1</v>
      </c>
      <c r="C60" s="625">
        <v>15</v>
      </c>
      <c r="D60" s="625">
        <v>0.4</v>
      </c>
      <c r="E60" s="625">
        <v>0.4</v>
      </c>
      <c r="F60" s="630"/>
      <c r="G60" s="627">
        <f>0.5*(MAX(D60:F60)-MIN(D60:F60))</f>
        <v>0</v>
      </c>
      <c r="I60" s="624">
        <v>1</v>
      </c>
      <c r="J60" s="625">
        <v>30</v>
      </c>
      <c r="K60" s="625">
        <v>-1.5</v>
      </c>
      <c r="L60" s="625">
        <v>1.7</v>
      </c>
      <c r="M60" s="630"/>
      <c r="N60" s="627">
        <f>0.5*(MAX(K60:M60)-MIN(K60:M60))</f>
        <v>1.6</v>
      </c>
      <c r="P60" s="624">
        <v>1</v>
      </c>
      <c r="Q60" s="625">
        <v>750</v>
      </c>
      <c r="R60" s="625">
        <v>0.9</v>
      </c>
      <c r="S60" s="625">
        <v>2.1</v>
      </c>
      <c r="T60" s="630"/>
      <c r="U60" s="627">
        <f>0.5*(MAX(R60:T60)-MIN(R60:T60))</f>
        <v>0.60000000000000009</v>
      </c>
      <c r="W60" s="631" t="s">
        <v>451</v>
      </c>
      <c r="X60" s="632">
        <v>1.6</v>
      </c>
    </row>
    <row r="61" spans="1:24" ht="13">
      <c r="A61" s="1050"/>
      <c r="B61" s="624">
        <v>2</v>
      </c>
      <c r="C61" s="625">
        <v>20</v>
      </c>
      <c r="D61" s="625">
        <v>0.3</v>
      </c>
      <c r="E61" s="625">
        <v>0.2</v>
      </c>
      <c r="F61" s="630"/>
      <c r="G61" s="627">
        <f t="shared" ref="G61:G66" si="15">0.5*(MAX(D61:F61)-MIN(D61:F61))</f>
        <v>4.9999999999999989E-2</v>
      </c>
      <c r="I61" s="624">
        <v>2</v>
      </c>
      <c r="J61" s="625">
        <v>40</v>
      </c>
      <c r="K61" s="625">
        <v>-3.8</v>
      </c>
      <c r="L61" s="625">
        <v>1.5</v>
      </c>
      <c r="M61" s="630"/>
      <c r="N61" s="627">
        <f t="shared" ref="N61:N66" si="16">0.5*(MAX(K61:M61)-MIN(K61:M61))</f>
        <v>2.65</v>
      </c>
      <c r="P61" s="624">
        <v>2</v>
      </c>
      <c r="Q61" s="625">
        <v>800</v>
      </c>
      <c r="R61" s="625">
        <v>0.9</v>
      </c>
      <c r="S61" s="625">
        <v>1.6</v>
      </c>
      <c r="T61" s="630"/>
      <c r="U61" s="627">
        <f t="shared" ref="U61:U66" si="17">0.5*(MAX(R61:T61)-MIN(R61:T61))</f>
        <v>0.35000000000000003</v>
      </c>
    </row>
    <row r="62" spans="1:24" ht="13">
      <c r="A62" s="1050"/>
      <c r="B62" s="624">
        <v>3</v>
      </c>
      <c r="C62" s="625">
        <v>25</v>
      </c>
      <c r="D62" s="625">
        <v>0.2</v>
      </c>
      <c r="E62" s="625">
        <v>-0.1</v>
      </c>
      <c r="F62" s="630"/>
      <c r="G62" s="627">
        <f t="shared" si="15"/>
        <v>0.15000000000000002</v>
      </c>
      <c r="I62" s="624">
        <v>3</v>
      </c>
      <c r="J62" s="625">
        <v>50</v>
      </c>
      <c r="K62" s="625">
        <v>-5.4</v>
      </c>
      <c r="L62" s="625">
        <v>1.2</v>
      </c>
      <c r="M62" s="630"/>
      <c r="N62" s="627">
        <f t="shared" si="16"/>
        <v>3.3000000000000003</v>
      </c>
      <c r="P62" s="624">
        <v>3</v>
      </c>
      <c r="Q62" s="625">
        <v>850</v>
      </c>
      <c r="R62" s="625">
        <v>0.9</v>
      </c>
      <c r="S62" s="625">
        <v>1.1000000000000001</v>
      </c>
      <c r="T62" s="630"/>
      <c r="U62" s="627">
        <f t="shared" si="17"/>
        <v>0.10000000000000003</v>
      </c>
    </row>
    <row r="63" spans="1:24" ht="13">
      <c r="A63" s="1050"/>
      <c r="B63" s="624">
        <v>4</v>
      </c>
      <c r="C63" s="633">
        <v>30</v>
      </c>
      <c r="D63" s="633">
        <v>0.1</v>
      </c>
      <c r="E63" s="633">
        <v>-0.5</v>
      </c>
      <c r="F63" s="630"/>
      <c r="G63" s="627">
        <f t="shared" si="15"/>
        <v>0.3</v>
      </c>
      <c r="I63" s="624">
        <v>4</v>
      </c>
      <c r="J63" s="633">
        <v>60</v>
      </c>
      <c r="K63" s="633">
        <v>-6.4</v>
      </c>
      <c r="L63" s="633">
        <v>1.1000000000000001</v>
      </c>
      <c r="M63" s="630"/>
      <c r="N63" s="627">
        <f t="shared" si="16"/>
        <v>3.75</v>
      </c>
      <c r="P63" s="624">
        <v>4</v>
      </c>
      <c r="Q63" s="633">
        <v>900</v>
      </c>
      <c r="R63" s="633">
        <v>0.9</v>
      </c>
      <c r="S63" s="633">
        <v>0.7</v>
      </c>
      <c r="T63" s="630"/>
      <c r="U63" s="627">
        <f t="shared" si="17"/>
        <v>0.10000000000000003</v>
      </c>
    </row>
    <row r="64" spans="1:24" ht="13">
      <c r="A64" s="1050"/>
      <c r="B64" s="624">
        <v>5</v>
      </c>
      <c r="C64" s="633">
        <v>35</v>
      </c>
      <c r="D64" s="633">
        <v>0.1</v>
      </c>
      <c r="E64" s="633">
        <v>-0.9</v>
      </c>
      <c r="F64" s="630"/>
      <c r="G64" s="627">
        <f t="shared" si="15"/>
        <v>0.5</v>
      </c>
      <c r="I64" s="624">
        <v>5</v>
      </c>
      <c r="J64" s="633">
        <v>70</v>
      </c>
      <c r="K64" s="633">
        <v>-6.7</v>
      </c>
      <c r="L64" s="633">
        <v>0.9</v>
      </c>
      <c r="M64" s="630"/>
      <c r="N64" s="627">
        <f t="shared" si="16"/>
        <v>3.8000000000000003</v>
      </c>
      <c r="P64" s="624">
        <v>5</v>
      </c>
      <c r="Q64" s="633">
        <v>1000</v>
      </c>
      <c r="R64" s="633">
        <v>0.9</v>
      </c>
      <c r="S64" s="633">
        <v>-0.3</v>
      </c>
      <c r="T64" s="630"/>
      <c r="U64" s="627">
        <f t="shared" si="17"/>
        <v>0.6</v>
      </c>
    </row>
    <row r="65" spans="1:24" ht="13">
      <c r="A65" s="1050"/>
      <c r="B65" s="624">
        <v>6</v>
      </c>
      <c r="C65" s="633">
        <v>37</v>
      </c>
      <c r="D65" s="633">
        <v>0.1</v>
      </c>
      <c r="E65" s="633">
        <v>-1.1000000000000001</v>
      </c>
      <c r="F65" s="630"/>
      <c r="G65" s="627">
        <f t="shared" si="15"/>
        <v>0.60000000000000009</v>
      </c>
      <c r="I65" s="624">
        <v>6</v>
      </c>
      <c r="J65" s="633">
        <v>80</v>
      </c>
      <c r="K65" s="633">
        <v>-6.3</v>
      </c>
      <c r="L65" s="633">
        <v>0.8</v>
      </c>
      <c r="M65" s="630"/>
      <c r="N65" s="627">
        <f t="shared" si="16"/>
        <v>3.55</v>
      </c>
      <c r="P65" s="624">
        <v>6</v>
      </c>
      <c r="Q65" s="633">
        <v>1005</v>
      </c>
      <c r="R65" s="633">
        <v>0.9</v>
      </c>
      <c r="S65" s="633">
        <v>-0.3</v>
      </c>
      <c r="T65" s="630"/>
      <c r="U65" s="627">
        <f t="shared" si="17"/>
        <v>0.6</v>
      </c>
    </row>
    <row r="66" spans="1:24" ht="13">
      <c r="A66" s="1050"/>
      <c r="B66" s="624">
        <v>7</v>
      </c>
      <c r="C66" s="633">
        <v>40</v>
      </c>
      <c r="D66" s="633">
        <v>0.1</v>
      </c>
      <c r="E66" s="633">
        <v>-1.4</v>
      </c>
      <c r="F66" s="630"/>
      <c r="G66" s="627">
        <f t="shared" si="15"/>
        <v>0.75</v>
      </c>
      <c r="I66" s="624">
        <v>7</v>
      </c>
      <c r="J66" s="633">
        <v>90</v>
      </c>
      <c r="K66" s="633">
        <v>-5.2</v>
      </c>
      <c r="L66" s="633">
        <v>0.7</v>
      </c>
      <c r="M66" s="630"/>
      <c r="N66" s="627">
        <f t="shared" si="16"/>
        <v>2.95</v>
      </c>
      <c r="P66" s="624">
        <v>7</v>
      </c>
      <c r="Q66" s="633">
        <v>1020</v>
      </c>
      <c r="R66" s="633">
        <v>0.9</v>
      </c>
      <c r="S66" s="626">
        <v>9.9999999999999995E-7</v>
      </c>
      <c r="T66" s="630"/>
      <c r="U66" s="627">
        <f t="shared" si="17"/>
        <v>0.4499995</v>
      </c>
    </row>
    <row r="67" spans="1:24" ht="13.5" thickBot="1">
      <c r="A67" s="640"/>
      <c r="B67" s="641"/>
      <c r="C67" s="641"/>
      <c r="D67" s="641"/>
      <c r="E67" s="642"/>
      <c r="F67" s="643"/>
      <c r="G67" s="644"/>
      <c r="I67" s="641"/>
      <c r="J67" s="641"/>
      <c r="K67" s="641"/>
      <c r="L67" s="642"/>
      <c r="M67" s="643"/>
      <c r="R67" s="637"/>
    </row>
    <row r="68" spans="1:24">
      <c r="A68" s="1050">
        <v>7</v>
      </c>
      <c r="B68" s="1051" t="s">
        <v>182</v>
      </c>
      <c r="C68" s="1051"/>
      <c r="D68" s="1051"/>
      <c r="E68" s="1051"/>
      <c r="F68" s="1051"/>
      <c r="G68" s="1051"/>
      <c r="I68" s="1051" t="str">
        <f>B68</f>
        <v>KOREKSI GREISINGER 34903053</v>
      </c>
      <c r="J68" s="1051"/>
      <c r="K68" s="1051"/>
      <c r="L68" s="1051"/>
      <c r="M68" s="1051"/>
      <c r="N68" s="1051"/>
      <c r="P68" s="1051" t="str">
        <f>I68</f>
        <v>KOREKSI GREISINGER 34903053</v>
      </c>
      <c r="Q68" s="1051"/>
      <c r="R68" s="1051"/>
      <c r="S68" s="1051"/>
      <c r="T68" s="1051"/>
      <c r="U68" s="1051"/>
      <c r="W68" s="1057" t="s">
        <v>90</v>
      </c>
      <c r="X68" s="1058"/>
    </row>
    <row r="69" spans="1:24" ht="13">
      <c r="A69" s="1050"/>
      <c r="B69" s="1059" t="s">
        <v>152</v>
      </c>
      <c r="C69" s="1059"/>
      <c r="D69" s="1059" t="s">
        <v>175</v>
      </c>
      <c r="E69" s="1059"/>
      <c r="F69" s="1059"/>
      <c r="G69" s="1059" t="s">
        <v>154</v>
      </c>
      <c r="I69" s="1059" t="s">
        <v>153</v>
      </c>
      <c r="J69" s="1059"/>
      <c r="K69" s="1059" t="s">
        <v>175</v>
      </c>
      <c r="L69" s="1059"/>
      <c r="M69" s="1059"/>
      <c r="N69" s="1059" t="s">
        <v>154</v>
      </c>
      <c r="P69" s="1059" t="s">
        <v>450</v>
      </c>
      <c r="Q69" s="1059"/>
      <c r="R69" s="1059" t="s">
        <v>175</v>
      </c>
      <c r="S69" s="1059"/>
      <c r="T69" s="1059"/>
      <c r="U69" s="1059" t="s">
        <v>154</v>
      </c>
      <c r="W69" s="621" t="s">
        <v>152</v>
      </c>
      <c r="X69" s="622">
        <v>0.2</v>
      </c>
    </row>
    <row r="70" spans="1:24" ht="14.5">
      <c r="A70" s="1050"/>
      <c r="B70" s="1049" t="s">
        <v>176</v>
      </c>
      <c r="C70" s="1049"/>
      <c r="D70" s="623">
        <v>2021</v>
      </c>
      <c r="E70" s="623">
        <v>2018</v>
      </c>
      <c r="F70" s="623">
        <v>2016</v>
      </c>
      <c r="G70" s="1059"/>
      <c r="I70" s="1048" t="s">
        <v>70</v>
      </c>
      <c r="J70" s="1049"/>
      <c r="K70" s="623">
        <f>D70</f>
        <v>2021</v>
      </c>
      <c r="L70" s="623">
        <f>E70</f>
        <v>2018</v>
      </c>
      <c r="M70" s="623">
        <v>2016</v>
      </c>
      <c r="N70" s="1059"/>
      <c r="P70" s="1048" t="s">
        <v>451</v>
      </c>
      <c r="Q70" s="1049"/>
      <c r="R70" s="623">
        <f>K70</f>
        <v>2021</v>
      </c>
      <c r="S70" s="623">
        <f>L70</f>
        <v>2018</v>
      </c>
      <c r="T70" s="623">
        <v>2016</v>
      </c>
      <c r="U70" s="1059"/>
      <c r="W70" s="621" t="s">
        <v>70</v>
      </c>
      <c r="X70" s="622">
        <v>2.4</v>
      </c>
    </row>
    <row r="71" spans="1:24" ht="13.5" thickBot="1">
      <c r="A71" s="1050"/>
      <c r="B71" s="624">
        <v>1</v>
      </c>
      <c r="C71" s="625">
        <v>15</v>
      </c>
      <c r="D71" s="625">
        <v>0.1</v>
      </c>
      <c r="E71" s="625">
        <v>0.3</v>
      </c>
      <c r="F71" s="630"/>
      <c r="G71" s="627">
        <f>0.5*(MAX(D71:F71)-MIN(D71:F71))</f>
        <v>9.9999999999999992E-2</v>
      </c>
      <c r="I71" s="624">
        <v>1</v>
      </c>
      <c r="J71" s="625">
        <v>30</v>
      </c>
      <c r="K71" s="625">
        <v>-1.9</v>
      </c>
      <c r="L71" s="625">
        <v>1.8</v>
      </c>
      <c r="M71" s="630"/>
      <c r="N71" s="627">
        <f>0.5*(MAX(K71:M71)-MIN(K71:M71))</f>
        <v>1.85</v>
      </c>
      <c r="P71" s="624">
        <v>1</v>
      </c>
      <c r="Q71" s="625">
        <v>750</v>
      </c>
      <c r="R71" s="626">
        <v>9.9999999999999995E-7</v>
      </c>
      <c r="S71" s="625">
        <v>3.2</v>
      </c>
      <c r="T71" s="630"/>
      <c r="U71" s="627">
        <f>0.5*(MAX(R71:T71)-MIN(R71:T71))</f>
        <v>1.5999995</v>
      </c>
      <c r="W71" s="631" t="s">
        <v>451</v>
      </c>
      <c r="X71" s="632">
        <v>2.4</v>
      </c>
    </row>
    <row r="72" spans="1:24" ht="13">
      <c r="A72" s="1050"/>
      <c r="B72" s="624">
        <v>2</v>
      </c>
      <c r="C72" s="625">
        <v>20</v>
      </c>
      <c r="D72" s="626">
        <v>9.9999999999999995E-7</v>
      </c>
      <c r="E72" s="625">
        <v>0.1</v>
      </c>
      <c r="F72" s="630"/>
      <c r="G72" s="627">
        <f t="shared" ref="G72:G77" si="18">0.5*(MAX(D72:F72)-MIN(D72:F72))</f>
        <v>4.9999500000000002E-2</v>
      </c>
      <c r="I72" s="624">
        <v>2</v>
      </c>
      <c r="J72" s="625">
        <v>40</v>
      </c>
      <c r="K72" s="625">
        <v>-1.9</v>
      </c>
      <c r="L72" s="625">
        <v>1.2</v>
      </c>
      <c r="M72" s="630"/>
      <c r="N72" s="627">
        <f t="shared" ref="N72:N77" si="19">0.5*(MAX(K72:M72)-MIN(K72:M72))</f>
        <v>1.5499999999999998</v>
      </c>
      <c r="P72" s="624">
        <v>2</v>
      </c>
      <c r="Q72" s="625">
        <v>800</v>
      </c>
      <c r="R72" s="626">
        <v>9.9999999999999995E-7</v>
      </c>
      <c r="S72" s="625">
        <v>2.5</v>
      </c>
      <c r="T72" s="630"/>
      <c r="U72" s="627">
        <f t="shared" ref="U72:U77" si="20">0.5*(MAX(R72:T72)-MIN(R72:T72))</f>
        <v>1.2499994999999999</v>
      </c>
    </row>
    <row r="73" spans="1:24" ht="13">
      <c r="A73" s="1050"/>
      <c r="B73" s="624">
        <v>3</v>
      </c>
      <c r="C73" s="625">
        <v>25</v>
      </c>
      <c r="D73" s="626">
        <v>9.9999999999999995E-7</v>
      </c>
      <c r="E73" s="625">
        <v>-0.2</v>
      </c>
      <c r="F73" s="630"/>
      <c r="G73" s="627">
        <f t="shared" si="18"/>
        <v>0.10000050000000001</v>
      </c>
      <c r="I73" s="624">
        <v>3</v>
      </c>
      <c r="J73" s="625">
        <v>50</v>
      </c>
      <c r="K73" s="625">
        <v>-1.9</v>
      </c>
      <c r="L73" s="625">
        <v>0.8</v>
      </c>
      <c r="M73" s="630"/>
      <c r="N73" s="627">
        <f t="shared" si="19"/>
        <v>1.35</v>
      </c>
      <c r="P73" s="624">
        <v>3</v>
      </c>
      <c r="Q73" s="625">
        <v>850</v>
      </c>
      <c r="R73" s="626">
        <v>9.9999999999999995E-7</v>
      </c>
      <c r="S73" s="625">
        <v>1.7</v>
      </c>
      <c r="T73" s="630"/>
      <c r="U73" s="627">
        <f t="shared" si="20"/>
        <v>0.84999950000000002</v>
      </c>
    </row>
    <row r="74" spans="1:24" ht="13">
      <c r="A74" s="1050"/>
      <c r="B74" s="624">
        <v>4</v>
      </c>
      <c r="C74" s="633">
        <v>30</v>
      </c>
      <c r="D74" s="626">
        <v>9.9999999999999995E-7</v>
      </c>
      <c r="E74" s="633">
        <v>-0.6</v>
      </c>
      <c r="F74" s="630"/>
      <c r="G74" s="627">
        <f t="shared" si="18"/>
        <v>0.3000005</v>
      </c>
      <c r="I74" s="624">
        <v>4</v>
      </c>
      <c r="J74" s="633">
        <v>60</v>
      </c>
      <c r="K74" s="633">
        <v>-2.1</v>
      </c>
      <c r="L74" s="633">
        <v>0.7</v>
      </c>
      <c r="M74" s="630"/>
      <c r="N74" s="627">
        <f t="shared" si="19"/>
        <v>1.4</v>
      </c>
      <c r="P74" s="624">
        <v>4</v>
      </c>
      <c r="Q74" s="633">
        <v>900</v>
      </c>
      <c r="R74" s="626">
        <v>9.9999999999999995E-7</v>
      </c>
      <c r="S74" s="633">
        <v>1</v>
      </c>
      <c r="T74" s="630"/>
      <c r="U74" s="627">
        <f t="shared" si="20"/>
        <v>0.49999949999999999</v>
      </c>
    </row>
    <row r="75" spans="1:24" ht="13">
      <c r="A75" s="1050"/>
      <c r="B75" s="624">
        <v>5</v>
      </c>
      <c r="C75" s="633">
        <v>35</v>
      </c>
      <c r="D75" s="626">
        <v>9.9999999999999995E-7</v>
      </c>
      <c r="E75" s="633">
        <v>-1.1000000000000001</v>
      </c>
      <c r="F75" s="630"/>
      <c r="G75" s="627">
        <f t="shared" si="18"/>
        <v>0.5500005</v>
      </c>
      <c r="I75" s="624">
        <v>5</v>
      </c>
      <c r="J75" s="633">
        <v>70</v>
      </c>
      <c r="K75" s="633">
        <v>-2.2999999999999998</v>
      </c>
      <c r="L75" s="633">
        <v>0.9</v>
      </c>
      <c r="M75" s="630"/>
      <c r="N75" s="627">
        <f t="shared" si="19"/>
        <v>1.5999999999999999</v>
      </c>
      <c r="P75" s="624">
        <v>5</v>
      </c>
      <c r="Q75" s="633">
        <v>1000</v>
      </c>
      <c r="R75" s="633">
        <v>-3.9</v>
      </c>
      <c r="S75" s="633">
        <v>-0.4</v>
      </c>
      <c r="T75" s="630"/>
      <c r="U75" s="627">
        <f t="shared" si="20"/>
        <v>1.75</v>
      </c>
    </row>
    <row r="76" spans="1:24" ht="13">
      <c r="A76" s="1050"/>
      <c r="B76" s="624">
        <v>6</v>
      </c>
      <c r="C76" s="633">
        <v>37</v>
      </c>
      <c r="D76" s="626">
        <v>9.9999999999999995E-7</v>
      </c>
      <c r="E76" s="633">
        <v>-1.4</v>
      </c>
      <c r="F76" s="630"/>
      <c r="G76" s="627">
        <f t="shared" si="18"/>
        <v>0.70000049999999991</v>
      </c>
      <c r="I76" s="624">
        <v>6</v>
      </c>
      <c r="J76" s="633">
        <v>80</v>
      </c>
      <c r="K76" s="633">
        <v>-2.6</v>
      </c>
      <c r="L76" s="633">
        <v>1.2</v>
      </c>
      <c r="M76" s="630"/>
      <c r="N76" s="627">
        <f t="shared" si="19"/>
        <v>1.9</v>
      </c>
      <c r="P76" s="624">
        <v>6</v>
      </c>
      <c r="Q76" s="633">
        <v>1005</v>
      </c>
      <c r="R76" s="633">
        <v>-3.8</v>
      </c>
      <c r="S76" s="633">
        <v>-0.5</v>
      </c>
      <c r="T76" s="630"/>
      <c r="U76" s="627">
        <f t="shared" si="20"/>
        <v>1.65</v>
      </c>
    </row>
    <row r="77" spans="1:24" ht="13.5" thickBot="1">
      <c r="A77" s="1050"/>
      <c r="B77" s="624">
        <v>7</v>
      </c>
      <c r="C77" s="633">
        <v>40</v>
      </c>
      <c r="D77" s="633">
        <v>0.1</v>
      </c>
      <c r="E77" s="633">
        <v>-1.7</v>
      </c>
      <c r="F77" s="630"/>
      <c r="G77" s="627">
        <f t="shared" si="18"/>
        <v>0.9</v>
      </c>
      <c r="I77" s="624">
        <v>7</v>
      </c>
      <c r="J77" s="633">
        <v>90</v>
      </c>
      <c r="K77" s="633">
        <v>-3</v>
      </c>
      <c r="L77" s="633">
        <v>1.8</v>
      </c>
      <c r="M77" s="630"/>
      <c r="N77" s="627">
        <f t="shared" si="19"/>
        <v>2.4</v>
      </c>
      <c r="P77" s="624">
        <v>7</v>
      </c>
      <c r="Q77" s="633">
        <v>1020</v>
      </c>
      <c r="R77" s="633">
        <v>-3.8</v>
      </c>
      <c r="S77" s="626">
        <v>9.9999999999999995E-7</v>
      </c>
      <c r="T77" s="630"/>
      <c r="U77" s="627">
        <f t="shared" si="20"/>
        <v>1.9000005</v>
      </c>
    </row>
    <row r="78" spans="1:24" ht="13.5" thickBot="1">
      <c r="A78" s="640"/>
      <c r="B78" s="641"/>
      <c r="C78" s="641"/>
      <c r="D78" s="641"/>
      <c r="E78" s="642"/>
      <c r="F78" s="643"/>
      <c r="G78" s="644"/>
      <c r="H78" s="641"/>
      <c r="I78" s="641"/>
      <c r="J78" s="641"/>
      <c r="K78" s="642"/>
      <c r="L78" s="643"/>
      <c r="O78" s="636"/>
      <c r="P78" s="637"/>
    </row>
    <row r="79" spans="1:24">
      <c r="A79" s="1050">
        <v>8</v>
      </c>
      <c r="B79" s="1051" t="s">
        <v>183</v>
      </c>
      <c r="C79" s="1051"/>
      <c r="D79" s="1051"/>
      <c r="E79" s="1051"/>
      <c r="F79" s="1051"/>
      <c r="G79" s="1051"/>
      <c r="I79" s="1051" t="str">
        <f>B79</f>
        <v>KOREKSI GREISINGER 34903051</v>
      </c>
      <c r="J79" s="1051"/>
      <c r="K79" s="1051"/>
      <c r="L79" s="1051"/>
      <c r="M79" s="1051"/>
      <c r="N79" s="1051"/>
      <c r="P79" s="1051" t="str">
        <f>I79</f>
        <v>KOREKSI GREISINGER 34903051</v>
      </c>
      <c r="Q79" s="1051"/>
      <c r="R79" s="1051"/>
      <c r="S79" s="1051"/>
      <c r="T79" s="1051"/>
      <c r="U79" s="1051"/>
      <c r="W79" s="1057" t="s">
        <v>90</v>
      </c>
      <c r="X79" s="1058"/>
    </row>
    <row r="80" spans="1:24" ht="13">
      <c r="A80" s="1050"/>
      <c r="B80" s="1059" t="s">
        <v>152</v>
      </c>
      <c r="C80" s="1059"/>
      <c r="D80" s="1059" t="s">
        <v>175</v>
      </c>
      <c r="E80" s="1059"/>
      <c r="F80" s="1059"/>
      <c r="G80" s="1059" t="s">
        <v>154</v>
      </c>
      <c r="I80" s="1059" t="s">
        <v>153</v>
      </c>
      <c r="J80" s="1059"/>
      <c r="K80" s="1059" t="s">
        <v>175</v>
      </c>
      <c r="L80" s="1059"/>
      <c r="M80" s="1059"/>
      <c r="N80" s="1059" t="s">
        <v>154</v>
      </c>
      <c r="P80" s="1059" t="s">
        <v>450</v>
      </c>
      <c r="Q80" s="1059"/>
      <c r="R80" s="1059" t="s">
        <v>175</v>
      </c>
      <c r="S80" s="1059"/>
      <c r="T80" s="1059"/>
      <c r="U80" s="1059" t="s">
        <v>154</v>
      </c>
      <c r="W80" s="621" t="s">
        <v>152</v>
      </c>
      <c r="X80" s="622">
        <v>0.3</v>
      </c>
    </row>
    <row r="81" spans="1:24" ht="14.5">
      <c r="A81" s="1050"/>
      <c r="B81" s="1049" t="s">
        <v>176</v>
      </c>
      <c r="C81" s="1049"/>
      <c r="D81" s="623">
        <v>2021</v>
      </c>
      <c r="E81" s="623">
        <v>2019</v>
      </c>
      <c r="F81" s="623">
        <v>2016</v>
      </c>
      <c r="G81" s="1059"/>
      <c r="I81" s="1048" t="s">
        <v>70</v>
      </c>
      <c r="J81" s="1049"/>
      <c r="K81" s="623">
        <f>D81</f>
        <v>2021</v>
      </c>
      <c r="L81" s="623">
        <f>E81</f>
        <v>2019</v>
      </c>
      <c r="M81" s="623">
        <v>2016</v>
      </c>
      <c r="N81" s="1059"/>
      <c r="P81" s="1048" t="s">
        <v>451</v>
      </c>
      <c r="Q81" s="1049"/>
      <c r="R81" s="623">
        <f>K81</f>
        <v>2021</v>
      </c>
      <c r="S81" s="623">
        <f>L81</f>
        <v>2019</v>
      </c>
      <c r="T81" s="623">
        <v>2016</v>
      </c>
      <c r="U81" s="1059"/>
      <c r="W81" s="621" t="s">
        <v>70</v>
      </c>
      <c r="X81" s="622">
        <v>2.5</v>
      </c>
    </row>
    <row r="82" spans="1:24" ht="13.5" thickBot="1">
      <c r="A82" s="1050"/>
      <c r="B82" s="624">
        <v>1</v>
      </c>
      <c r="C82" s="625">
        <v>15</v>
      </c>
      <c r="D82" s="625">
        <v>0.1</v>
      </c>
      <c r="E82" s="626">
        <v>9.9999999999999995E-7</v>
      </c>
      <c r="F82" s="630"/>
      <c r="G82" s="627">
        <f>0.5*(MAX(D82:F82)-MIN(D82:F82))</f>
        <v>4.9999500000000002E-2</v>
      </c>
      <c r="I82" s="624">
        <v>1</v>
      </c>
      <c r="J82" s="625">
        <v>30</v>
      </c>
      <c r="K82" s="625">
        <v>-4</v>
      </c>
      <c r="L82" s="625">
        <v>-1.4</v>
      </c>
      <c r="M82" s="630"/>
      <c r="N82" s="627">
        <f>0.5*(MAX(K82:M82)-MIN(K82:M82))</f>
        <v>1.3</v>
      </c>
      <c r="P82" s="624">
        <v>1</v>
      </c>
      <c r="Q82" s="625">
        <v>750</v>
      </c>
      <c r="R82" s="626">
        <v>9.9999999999999995E-7</v>
      </c>
      <c r="S82" s="626">
        <v>9.9999999999999995E-7</v>
      </c>
      <c r="T82" s="630"/>
      <c r="U82" s="627">
        <f>0.5*(MAX(R82:T82)-MIN(R82:T82))</f>
        <v>0</v>
      </c>
      <c r="W82" s="631" t="s">
        <v>451</v>
      </c>
      <c r="X82" s="632">
        <v>2.1</v>
      </c>
    </row>
    <row r="83" spans="1:24" ht="13">
      <c r="A83" s="1050"/>
      <c r="B83" s="624">
        <v>2</v>
      </c>
      <c r="C83" s="625">
        <v>20</v>
      </c>
      <c r="D83" s="626">
        <v>9.9999999999999995E-7</v>
      </c>
      <c r="E83" s="625">
        <v>-0.2</v>
      </c>
      <c r="F83" s="630"/>
      <c r="G83" s="627">
        <f t="shared" ref="G83:G88" si="21">0.5*(MAX(D83:F83)-MIN(D83:F83))</f>
        <v>0.10000050000000001</v>
      </c>
      <c r="I83" s="624">
        <v>2</v>
      </c>
      <c r="J83" s="625">
        <v>40</v>
      </c>
      <c r="K83" s="625">
        <v>-3.8</v>
      </c>
      <c r="L83" s="625">
        <v>-1.2</v>
      </c>
      <c r="M83" s="630"/>
      <c r="N83" s="627">
        <f t="shared" ref="N83:N88" si="22">0.5*(MAX(K83:M83)-MIN(K83:M83))</f>
        <v>1.2999999999999998</v>
      </c>
      <c r="P83" s="624">
        <v>2</v>
      </c>
      <c r="Q83" s="625">
        <v>800</v>
      </c>
      <c r="R83" s="626">
        <v>9.9999999999999995E-7</v>
      </c>
      <c r="S83" s="626">
        <v>9.9999999999999995E-7</v>
      </c>
      <c r="T83" s="630"/>
      <c r="U83" s="627">
        <f t="shared" ref="U83:U88" si="23">0.5*(MAX(R83:T83)-MIN(R83:T83))</f>
        <v>0</v>
      </c>
    </row>
    <row r="84" spans="1:24" ht="13">
      <c r="A84" s="1050"/>
      <c r="B84" s="624">
        <v>3</v>
      </c>
      <c r="C84" s="625">
        <v>25</v>
      </c>
      <c r="D84" s="625">
        <v>-0.1</v>
      </c>
      <c r="E84" s="625">
        <v>-0.4</v>
      </c>
      <c r="F84" s="630"/>
      <c r="G84" s="627">
        <f t="shared" si="21"/>
        <v>0.15000000000000002</v>
      </c>
      <c r="I84" s="624">
        <v>3</v>
      </c>
      <c r="J84" s="625">
        <v>50</v>
      </c>
      <c r="K84" s="625">
        <v>-3.8</v>
      </c>
      <c r="L84" s="625">
        <v>-1.2</v>
      </c>
      <c r="M84" s="630"/>
      <c r="N84" s="627">
        <f t="shared" si="22"/>
        <v>1.2999999999999998</v>
      </c>
      <c r="P84" s="624">
        <v>3</v>
      </c>
      <c r="Q84" s="625">
        <v>850</v>
      </c>
      <c r="R84" s="626">
        <v>9.9999999999999995E-7</v>
      </c>
      <c r="S84" s="626">
        <v>9.9999999999999995E-7</v>
      </c>
      <c r="T84" s="630"/>
      <c r="U84" s="627">
        <f t="shared" si="23"/>
        <v>0</v>
      </c>
    </row>
    <row r="85" spans="1:24" ht="13">
      <c r="A85" s="1050"/>
      <c r="B85" s="624">
        <v>4</v>
      </c>
      <c r="C85" s="633">
        <v>30</v>
      </c>
      <c r="D85" s="625">
        <v>-0.2</v>
      </c>
      <c r="E85" s="625">
        <v>-0.4</v>
      </c>
      <c r="F85" s="630"/>
      <c r="G85" s="627">
        <f t="shared" si="21"/>
        <v>0.1</v>
      </c>
      <c r="I85" s="624">
        <v>4</v>
      </c>
      <c r="J85" s="633">
        <v>60</v>
      </c>
      <c r="K85" s="633">
        <v>-3.9</v>
      </c>
      <c r="L85" s="633">
        <v>-1.1000000000000001</v>
      </c>
      <c r="M85" s="630"/>
      <c r="N85" s="627">
        <f t="shared" si="22"/>
        <v>1.4</v>
      </c>
      <c r="P85" s="624">
        <v>4</v>
      </c>
      <c r="Q85" s="633">
        <v>900</v>
      </c>
      <c r="R85" s="634">
        <v>-4.4000000000000004</v>
      </c>
      <c r="S85" s="626">
        <v>9.9999999999999995E-7</v>
      </c>
      <c r="T85" s="630"/>
      <c r="U85" s="627">
        <f t="shared" si="23"/>
        <v>2.2000005000000002</v>
      </c>
    </row>
    <row r="86" spans="1:24" ht="13">
      <c r="A86" s="1050"/>
      <c r="B86" s="624">
        <v>5</v>
      </c>
      <c r="C86" s="633">
        <v>35</v>
      </c>
      <c r="D86" s="633">
        <v>-0.1</v>
      </c>
      <c r="E86" s="633">
        <v>-0.5</v>
      </c>
      <c r="F86" s="630"/>
      <c r="G86" s="627">
        <f t="shared" si="21"/>
        <v>0.2</v>
      </c>
      <c r="I86" s="624">
        <v>5</v>
      </c>
      <c r="J86" s="633">
        <v>70</v>
      </c>
      <c r="K86" s="633">
        <v>-4.0999999999999996</v>
      </c>
      <c r="L86" s="633">
        <v>-1.2</v>
      </c>
      <c r="M86" s="630"/>
      <c r="N86" s="627">
        <f t="shared" si="22"/>
        <v>1.4499999999999997</v>
      </c>
      <c r="P86" s="624">
        <v>5</v>
      </c>
      <c r="Q86" s="633">
        <v>1000</v>
      </c>
      <c r="R86" s="634">
        <v>-3.5</v>
      </c>
      <c r="S86" s="634">
        <v>0.2</v>
      </c>
      <c r="T86" s="630"/>
      <c r="U86" s="627">
        <f t="shared" si="23"/>
        <v>1.85</v>
      </c>
    </row>
    <row r="87" spans="1:24" ht="13">
      <c r="A87" s="1050"/>
      <c r="B87" s="624">
        <v>6</v>
      </c>
      <c r="C87" s="633">
        <v>37</v>
      </c>
      <c r="D87" s="633">
        <v>-0.1</v>
      </c>
      <c r="E87" s="633">
        <v>-0.5</v>
      </c>
      <c r="F87" s="630"/>
      <c r="G87" s="627">
        <f t="shared" si="21"/>
        <v>0.2</v>
      </c>
      <c r="I87" s="624">
        <v>6</v>
      </c>
      <c r="J87" s="633">
        <v>80</v>
      </c>
      <c r="K87" s="633">
        <v>-4.5</v>
      </c>
      <c r="L87" s="633">
        <v>-1.2</v>
      </c>
      <c r="M87" s="630"/>
      <c r="N87" s="627">
        <f t="shared" si="22"/>
        <v>1.65</v>
      </c>
      <c r="P87" s="624">
        <v>6</v>
      </c>
      <c r="Q87" s="633">
        <v>1005</v>
      </c>
      <c r="R87" s="634">
        <v>-3.4</v>
      </c>
      <c r="S87" s="634">
        <v>0.2</v>
      </c>
      <c r="T87" s="630"/>
      <c r="U87" s="627">
        <f t="shared" si="23"/>
        <v>1.8</v>
      </c>
    </row>
    <row r="88" spans="1:24" ht="13">
      <c r="A88" s="1050"/>
      <c r="B88" s="624">
        <v>7</v>
      </c>
      <c r="C88" s="633">
        <v>40</v>
      </c>
      <c r="D88" s="626">
        <v>9.9999999999999995E-7</v>
      </c>
      <c r="E88" s="633">
        <v>-0.4</v>
      </c>
      <c r="F88" s="630"/>
      <c r="G88" s="627">
        <f t="shared" si="21"/>
        <v>0.2000005</v>
      </c>
      <c r="I88" s="624">
        <v>7</v>
      </c>
      <c r="J88" s="633">
        <v>90</v>
      </c>
      <c r="K88" s="633">
        <v>-4.9000000000000004</v>
      </c>
      <c r="L88" s="633">
        <v>-1.3</v>
      </c>
      <c r="M88" s="630"/>
      <c r="N88" s="627">
        <f t="shared" si="22"/>
        <v>1.8000000000000003</v>
      </c>
      <c r="P88" s="624">
        <v>7</v>
      </c>
      <c r="Q88" s="633">
        <v>1020</v>
      </c>
      <c r="R88" s="634">
        <v>-3.4</v>
      </c>
      <c r="S88" s="626">
        <v>9.9999999999999995E-7</v>
      </c>
      <c r="T88" s="630"/>
      <c r="U88" s="627">
        <f t="shared" si="23"/>
        <v>1.7000005</v>
      </c>
    </row>
    <row r="89" spans="1:24" ht="13.5" thickBot="1">
      <c r="A89" s="640"/>
      <c r="B89" s="641"/>
      <c r="C89" s="641"/>
      <c r="D89" s="641"/>
      <c r="E89" s="642"/>
      <c r="G89" s="643"/>
      <c r="I89" s="641"/>
      <c r="J89" s="641"/>
      <c r="K89" s="641"/>
      <c r="L89" s="642"/>
      <c r="N89" s="643"/>
      <c r="R89" s="637"/>
    </row>
    <row r="90" spans="1:24">
      <c r="A90" s="1050">
        <v>9</v>
      </c>
      <c r="B90" s="1051" t="s">
        <v>184</v>
      </c>
      <c r="C90" s="1051"/>
      <c r="D90" s="1051"/>
      <c r="E90" s="1051"/>
      <c r="F90" s="1051"/>
      <c r="G90" s="1051"/>
      <c r="I90" s="1051" t="str">
        <f>B90</f>
        <v>KOREKSI GREISINGER 34904091</v>
      </c>
      <c r="J90" s="1051"/>
      <c r="K90" s="1051"/>
      <c r="L90" s="1051"/>
      <c r="M90" s="1051"/>
      <c r="N90" s="1051"/>
      <c r="P90" s="1051" t="str">
        <f>I90</f>
        <v>KOREKSI GREISINGER 34904091</v>
      </c>
      <c r="Q90" s="1051"/>
      <c r="R90" s="1051"/>
      <c r="S90" s="1051"/>
      <c r="T90" s="1051"/>
      <c r="U90" s="1051"/>
      <c r="W90" s="1057" t="s">
        <v>90</v>
      </c>
      <c r="X90" s="1058"/>
    </row>
    <row r="91" spans="1:24" ht="13">
      <c r="A91" s="1050"/>
      <c r="B91" s="1059" t="s">
        <v>152</v>
      </c>
      <c r="C91" s="1059"/>
      <c r="D91" s="1059" t="s">
        <v>175</v>
      </c>
      <c r="E91" s="1059"/>
      <c r="F91" s="1059"/>
      <c r="G91" s="1059" t="s">
        <v>154</v>
      </c>
      <c r="I91" s="1059" t="s">
        <v>153</v>
      </c>
      <c r="J91" s="1059"/>
      <c r="K91" s="1059" t="s">
        <v>175</v>
      </c>
      <c r="L91" s="1059"/>
      <c r="M91" s="1059"/>
      <c r="N91" s="1059" t="s">
        <v>154</v>
      </c>
      <c r="P91" s="1059" t="s">
        <v>450</v>
      </c>
      <c r="Q91" s="1059"/>
      <c r="R91" s="1059" t="s">
        <v>175</v>
      </c>
      <c r="S91" s="1059"/>
      <c r="T91" s="1059"/>
      <c r="U91" s="1059" t="s">
        <v>154</v>
      </c>
      <c r="W91" s="621" t="s">
        <v>152</v>
      </c>
      <c r="X91" s="622">
        <v>0.3</v>
      </c>
    </row>
    <row r="92" spans="1:24" ht="14.5">
      <c r="A92" s="1050"/>
      <c r="B92" s="1049" t="s">
        <v>176</v>
      </c>
      <c r="C92" s="1049"/>
      <c r="D92" s="623">
        <v>2019</v>
      </c>
      <c r="E92" s="645" t="s">
        <v>155</v>
      </c>
      <c r="F92" s="623">
        <v>2016</v>
      </c>
      <c r="G92" s="1059"/>
      <c r="I92" s="1048" t="s">
        <v>70</v>
      </c>
      <c r="J92" s="1049"/>
      <c r="K92" s="646">
        <f>D92</f>
        <v>2019</v>
      </c>
      <c r="L92" s="646" t="str">
        <f>E92</f>
        <v>-</v>
      </c>
      <c r="M92" s="623">
        <v>2016</v>
      </c>
      <c r="N92" s="1059"/>
      <c r="P92" s="1048" t="s">
        <v>451</v>
      </c>
      <c r="Q92" s="1049"/>
      <c r="R92" s="646">
        <f>K92</f>
        <v>2019</v>
      </c>
      <c r="S92" s="646" t="str">
        <f>L92</f>
        <v>-</v>
      </c>
      <c r="T92" s="623">
        <v>2016</v>
      </c>
      <c r="U92" s="1059"/>
      <c r="W92" s="621" t="s">
        <v>70</v>
      </c>
      <c r="X92" s="622">
        <v>2.4</v>
      </c>
    </row>
    <row r="93" spans="1:24" ht="13.5" thickBot="1">
      <c r="A93" s="1050"/>
      <c r="B93" s="624">
        <v>1</v>
      </c>
      <c r="C93" s="625">
        <v>15</v>
      </c>
      <c r="D93" s="626">
        <v>9.9999999999999995E-7</v>
      </c>
      <c r="E93" s="626" t="s">
        <v>155</v>
      </c>
      <c r="F93" s="630"/>
      <c r="G93" s="627">
        <f>0.5*(MAX(D93:F93)-MIN(D93:F93))</f>
        <v>0</v>
      </c>
      <c r="I93" s="624">
        <v>1</v>
      </c>
      <c r="J93" s="625">
        <v>30</v>
      </c>
      <c r="K93" s="626">
        <v>-1.2</v>
      </c>
      <c r="L93" s="626" t="s">
        <v>155</v>
      </c>
      <c r="M93" s="630"/>
      <c r="N93" s="627">
        <f>0.5*(MAX(K93:M93)-MIN(K93:M93))</f>
        <v>0</v>
      </c>
      <c r="P93" s="624">
        <v>1</v>
      </c>
      <c r="Q93" s="625">
        <v>750</v>
      </c>
      <c r="R93" s="626">
        <v>9.9999999999999995E-7</v>
      </c>
      <c r="S93" s="629" t="s">
        <v>155</v>
      </c>
      <c r="T93" s="630"/>
      <c r="U93" s="627">
        <f>0.5*(MAX(R93:T93)-MIN(R93:T93))</f>
        <v>0</v>
      </c>
      <c r="W93" s="631" t="s">
        <v>451</v>
      </c>
      <c r="X93" s="632">
        <v>2.2000000000000002</v>
      </c>
    </row>
    <row r="94" spans="1:24" ht="13">
      <c r="A94" s="1050"/>
      <c r="B94" s="624">
        <v>2</v>
      </c>
      <c r="C94" s="625">
        <v>20</v>
      </c>
      <c r="D94" s="626">
        <v>-0.2</v>
      </c>
      <c r="E94" s="626" t="s">
        <v>155</v>
      </c>
      <c r="F94" s="630"/>
      <c r="G94" s="627">
        <f t="shared" ref="G94:G99" si="24">0.5*(MAX(D94:F94)-MIN(D94:F94))</f>
        <v>0</v>
      </c>
      <c r="I94" s="624">
        <v>2</v>
      </c>
      <c r="J94" s="625">
        <v>40</v>
      </c>
      <c r="K94" s="626">
        <v>-1</v>
      </c>
      <c r="L94" s="626" t="s">
        <v>155</v>
      </c>
      <c r="M94" s="630"/>
      <c r="N94" s="627">
        <f t="shared" ref="N94:N99" si="25">0.5*(MAX(K94:M94)-MIN(K94:M94))</f>
        <v>0</v>
      </c>
      <c r="P94" s="624">
        <v>2</v>
      </c>
      <c r="Q94" s="625">
        <v>800</v>
      </c>
      <c r="R94" s="626">
        <v>9.9999999999999995E-7</v>
      </c>
      <c r="S94" s="629" t="s">
        <v>155</v>
      </c>
      <c r="T94" s="630"/>
      <c r="U94" s="627">
        <f t="shared" ref="U94:U99" si="26">0.5*(MAX(R94:T94)-MIN(R94:T94))</f>
        <v>0</v>
      </c>
    </row>
    <row r="95" spans="1:24" ht="13">
      <c r="A95" s="1050"/>
      <c r="B95" s="624">
        <v>3</v>
      </c>
      <c r="C95" s="625">
        <v>25</v>
      </c>
      <c r="D95" s="626">
        <v>-0.4</v>
      </c>
      <c r="E95" s="626" t="s">
        <v>155</v>
      </c>
      <c r="F95" s="630"/>
      <c r="G95" s="627">
        <f t="shared" si="24"/>
        <v>0</v>
      </c>
      <c r="I95" s="624">
        <v>3</v>
      </c>
      <c r="J95" s="625">
        <v>50</v>
      </c>
      <c r="K95" s="626">
        <v>-0.9</v>
      </c>
      <c r="L95" s="626" t="s">
        <v>155</v>
      </c>
      <c r="M95" s="630"/>
      <c r="N95" s="627">
        <f t="shared" si="25"/>
        <v>0</v>
      </c>
      <c r="P95" s="624">
        <v>3</v>
      </c>
      <c r="Q95" s="625">
        <v>850</v>
      </c>
      <c r="R95" s="626">
        <v>9.9999999999999995E-7</v>
      </c>
      <c r="S95" s="629" t="s">
        <v>155</v>
      </c>
      <c r="T95" s="630"/>
      <c r="U95" s="627">
        <f t="shared" si="26"/>
        <v>0</v>
      </c>
    </row>
    <row r="96" spans="1:24" ht="13">
      <c r="A96" s="1050"/>
      <c r="B96" s="624">
        <v>4</v>
      </c>
      <c r="C96" s="633">
        <v>30</v>
      </c>
      <c r="D96" s="626">
        <v>-0.5</v>
      </c>
      <c r="E96" s="634" t="s">
        <v>155</v>
      </c>
      <c r="F96" s="630"/>
      <c r="G96" s="627">
        <f t="shared" si="24"/>
        <v>0</v>
      </c>
      <c r="I96" s="624">
        <v>4</v>
      </c>
      <c r="J96" s="633">
        <v>60</v>
      </c>
      <c r="K96" s="626">
        <v>-0.8</v>
      </c>
      <c r="L96" s="634" t="s">
        <v>155</v>
      </c>
      <c r="M96" s="630"/>
      <c r="N96" s="627">
        <f t="shared" si="25"/>
        <v>0</v>
      </c>
      <c r="P96" s="624">
        <v>4</v>
      </c>
      <c r="Q96" s="633">
        <v>900</v>
      </c>
      <c r="R96" s="626">
        <v>9.9999999999999995E-7</v>
      </c>
      <c r="S96" s="634" t="s">
        <v>155</v>
      </c>
      <c r="T96" s="630"/>
      <c r="U96" s="627">
        <f t="shared" si="26"/>
        <v>0</v>
      </c>
    </row>
    <row r="97" spans="1:28" ht="13">
      <c r="A97" s="1050"/>
      <c r="B97" s="624">
        <v>5</v>
      </c>
      <c r="C97" s="633">
        <v>35</v>
      </c>
      <c r="D97" s="626">
        <v>-0.5</v>
      </c>
      <c r="E97" s="634" t="s">
        <v>155</v>
      </c>
      <c r="F97" s="630"/>
      <c r="G97" s="627">
        <f t="shared" si="24"/>
        <v>0</v>
      </c>
      <c r="I97" s="624">
        <v>5</v>
      </c>
      <c r="J97" s="633">
        <v>70</v>
      </c>
      <c r="K97" s="626">
        <v>-0.6</v>
      </c>
      <c r="L97" s="634" t="s">
        <v>155</v>
      </c>
      <c r="M97" s="630"/>
      <c r="N97" s="627">
        <f t="shared" si="25"/>
        <v>0</v>
      </c>
      <c r="P97" s="624">
        <v>5</v>
      </c>
      <c r="Q97" s="633">
        <v>1000</v>
      </c>
      <c r="R97" s="634">
        <v>0.2</v>
      </c>
      <c r="S97" s="634" t="s">
        <v>155</v>
      </c>
      <c r="T97" s="630"/>
      <c r="U97" s="627">
        <f t="shared" si="26"/>
        <v>0</v>
      </c>
    </row>
    <row r="98" spans="1:28" ht="13">
      <c r="A98" s="1050"/>
      <c r="B98" s="624">
        <v>6</v>
      </c>
      <c r="C98" s="633">
        <v>37</v>
      </c>
      <c r="D98" s="626">
        <v>-0.5</v>
      </c>
      <c r="E98" s="634" t="s">
        <v>155</v>
      </c>
      <c r="F98" s="630"/>
      <c r="G98" s="627">
        <f t="shared" si="24"/>
        <v>0</v>
      </c>
      <c r="I98" s="624">
        <v>6</v>
      </c>
      <c r="J98" s="633">
        <v>80</v>
      </c>
      <c r="K98" s="626">
        <v>-0.5</v>
      </c>
      <c r="L98" s="634" t="s">
        <v>155</v>
      </c>
      <c r="M98" s="630"/>
      <c r="N98" s="627">
        <f t="shared" si="25"/>
        <v>0</v>
      </c>
      <c r="P98" s="624">
        <v>6</v>
      </c>
      <c r="Q98" s="633">
        <v>1005</v>
      </c>
      <c r="R98" s="634">
        <v>0.2</v>
      </c>
      <c r="S98" s="634" t="s">
        <v>155</v>
      </c>
      <c r="T98" s="630"/>
      <c r="U98" s="627">
        <f t="shared" si="26"/>
        <v>0</v>
      </c>
    </row>
    <row r="99" spans="1:28" ht="13">
      <c r="A99" s="1050"/>
      <c r="B99" s="624">
        <v>7</v>
      </c>
      <c r="C99" s="633">
        <v>40</v>
      </c>
      <c r="D99" s="626">
        <v>-0.4</v>
      </c>
      <c r="E99" s="634" t="s">
        <v>155</v>
      </c>
      <c r="F99" s="630"/>
      <c r="G99" s="627">
        <f t="shared" si="24"/>
        <v>0</v>
      </c>
      <c r="I99" s="624">
        <v>7</v>
      </c>
      <c r="J99" s="633">
        <v>90</v>
      </c>
      <c r="K99" s="626">
        <v>-0.2</v>
      </c>
      <c r="L99" s="634" t="s">
        <v>155</v>
      </c>
      <c r="M99" s="630"/>
      <c r="N99" s="627">
        <f t="shared" si="25"/>
        <v>0</v>
      </c>
      <c r="P99" s="624">
        <v>7</v>
      </c>
      <c r="Q99" s="633">
        <v>1020</v>
      </c>
      <c r="R99" s="626">
        <v>9.9999999999999995E-7</v>
      </c>
      <c r="S99" s="634" t="s">
        <v>155</v>
      </c>
      <c r="T99" s="630"/>
      <c r="U99" s="627">
        <f t="shared" si="26"/>
        <v>0</v>
      </c>
    </row>
    <row r="100" spans="1:28" ht="13.5" thickBot="1">
      <c r="A100" s="640"/>
      <c r="B100" s="641"/>
      <c r="C100" s="641"/>
      <c r="D100" s="641"/>
      <c r="E100" s="642"/>
      <c r="G100" s="643"/>
      <c r="I100" s="641"/>
      <c r="J100" s="641"/>
      <c r="K100" s="641"/>
      <c r="L100" s="642"/>
      <c r="N100" s="643"/>
      <c r="R100" s="637"/>
      <c r="AB100" s="644"/>
    </row>
    <row r="101" spans="1:28">
      <c r="A101" s="1050">
        <v>10</v>
      </c>
      <c r="B101" s="1051" t="s">
        <v>185</v>
      </c>
      <c r="C101" s="1051"/>
      <c r="D101" s="1051"/>
      <c r="E101" s="1051"/>
      <c r="F101" s="1051"/>
      <c r="G101" s="1051"/>
      <c r="I101" s="1051" t="str">
        <f>B101</f>
        <v>KOREKSI Sekonic HE-21.000669</v>
      </c>
      <c r="J101" s="1051"/>
      <c r="K101" s="1051"/>
      <c r="L101" s="1051"/>
      <c r="M101" s="1051"/>
      <c r="N101" s="1051"/>
      <c r="P101" s="1051" t="str">
        <f>I101</f>
        <v>KOREKSI Sekonic HE-21.000669</v>
      </c>
      <c r="Q101" s="1051"/>
      <c r="R101" s="1051"/>
      <c r="S101" s="1051"/>
      <c r="T101" s="1051"/>
      <c r="U101" s="1051"/>
      <c r="W101" s="1057" t="s">
        <v>90</v>
      </c>
      <c r="X101" s="1058"/>
    </row>
    <row r="102" spans="1:28" ht="13">
      <c r="A102" s="1050"/>
      <c r="B102" s="1059" t="s">
        <v>152</v>
      </c>
      <c r="C102" s="1059"/>
      <c r="D102" s="1059" t="s">
        <v>175</v>
      </c>
      <c r="E102" s="1059"/>
      <c r="F102" s="1059"/>
      <c r="G102" s="1059" t="s">
        <v>154</v>
      </c>
      <c r="I102" s="1059" t="s">
        <v>153</v>
      </c>
      <c r="J102" s="1059"/>
      <c r="K102" s="1059" t="s">
        <v>175</v>
      </c>
      <c r="L102" s="1059"/>
      <c r="M102" s="1059"/>
      <c r="N102" s="1059" t="s">
        <v>154</v>
      </c>
      <c r="P102" s="1059" t="s">
        <v>450</v>
      </c>
      <c r="Q102" s="1059"/>
      <c r="R102" s="1059" t="s">
        <v>175</v>
      </c>
      <c r="S102" s="1059"/>
      <c r="T102" s="1059"/>
      <c r="U102" s="1059" t="s">
        <v>154</v>
      </c>
      <c r="W102" s="621" t="s">
        <v>152</v>
      </c>
      <c r="X102" s="622">
        <v>0.3</v>
      </c>
    </row>
    <row r="103" spans="1:28" ht="14.5">
      <c r="A103" s="1050"/>
      <c r="B103" s="1049" t="s">
        <v>176</v>
      </c>
      <c r="C103" s="1049"/>
      <c r="D103" s="623">
        <v>2019</v>
      </c>
      <c r="E103" s="623">
        <v>2016</v>
      </c>
      <c r="F103" s="623">
        <v>2016</v>
      </c>
      <c r="G103" s="1059"/>
      <c r="I103" s="1048" t="s">
        <v>70</v>
      </c>
      <c r="J103" s="1049"/>
      <c r="K103" s="646">
        <f>D103</f>
        <v>2019</v>
      </c>
      <c r="L103" s="646">
        <f>E103</f>
        <v>2016</v>
      </c>
      <c r="M103" s="623">
        <v>2016</v>
      </c>
      <c r="N103" s="1059"/>
      <c r="P103" s="1048" t="s">
        <v>451</v>
      </c>
      <c r="Q103" s="1049"/>
      <c r="R103" s="623">
        <f>K103</f>
        <v>2019</v>
      </c>
      <c r="S103" s="623">
        <f>L103</f>
        <v>2016</v>
      </c>
      <c r="T103" s="623">
        <v>2016</v>
      </c>
      <c r="U103" s="1059"/>
      <c r="W103" s="621" t="s">
        <v>70</v>
      </c>
      <c r="X103" s="622">
        <v>1.5</v>
      </c>
    </row>
    <row r="104" spans="1:28" ht="13.5" thickBot="1">
      <c r="A104" s="1050"/>
      <c r="B104" s="624">
        <v>1</v>
      </c>
      <c r="C104" s="625">
        <v>15</v>
      </c>
      <c r="D104" s="625">
        <v>0.2</v>
      </c>
      <c r="E104" s="625">
        <v>0.2</v>
      </c>
      <c r="F104" s="630"/>
      <c r="G104" s="627">
        <f>0.5*(MAX(D104:F104)-MIN(D104:F104))</f>
        <v>0</v>
      </c>
      <c r="I104" s="624">
        <v>1</v>
      </c>
      <c r="J104" s="626">
        <v>30</v>
      </c>
      <c r="K104" s="625">
        <v>-2.9</v>
      </c>
      <c r="L104" s="625">
        <v>-5.8</v>
      </c>
      <c r="M104" s="630"/>
      <c r="N104" s="627">
        <f>0.5*(MAX(K104:M104)-MIN(K104:M104))</f>
        <v>1.45</v>
      </c>
      <c r="P104" s="624">
        <v>1</v>
      </c>
      <c r="Q104" s="625">
        <v>750</v>
      </c>
      <c r="R104" s="629" t="s">
        <v>155</v>
      </c>
      <c r="S104" s="629" t="s">
        <v>155</v>
      </c>
      <c r="T104" s="630"/>
      <c r="U104" s="627">
        <f>0.5*(MAX(R104:T104)-MIN(R104:T104))</f>
        <v>0</v>
      </c>
      <c r="W104" s="631" t="s">
        <v>451</v>
      </c>
      <c r="X104" s="632">
        <v>0</v>
      </c>
    </row>
    <row r="105" spans="1:28" ht="13">
      <c r="A105" s="1050"/>
      <c r="B105" s="624">
        <v>2</v>
      </c>
      <c r="C105" s="625">
        <v>20</v>
      </c>
      <c r="D105" s="625">
        <v>0.2</v>
      </c>
      <c r="E105" s="625">
        <v>-0.7</v>
      </c>
      <c r="F105" s="630"/>
      <c r="G105" s="627">
        <f t="shared" ref="G105:G110" si="27">0.5*(MAX(D105:F105)-MIN(D105:F105))</f>
        <v>0.44999999999999996</v>
      </c>
      <c r="I105" s="624">
        <v>2</v>
      </c>
      <c r="J105" s="626">
        <v>40</v>
      </c>
      <c r="K105" s="625">
        <v>-3.3</v>
      </c>
      <c r="L105" s="625">
        <v>-6.4</v>
      </c>
      <c r="M105" s="630"/>
      <c r="N105" s="627">
        <f t="shared" ref="N105:N110" si="28">0.5*(MAX(K105:M105)-MIN(K105:M105))</f>
        <v>1.5500000000000003</v>
      </c>
      <c r="P105" s="624">
        <v>2</v>
      </c>
      <c r="Q105" s="625">
        <v>800</v>
      </c>
      <c r="R105" s="629" t="s">
        <v>155</v>
      </c>
      <c r="S105" s="629" t="s">
        <v>155</v>
      </c>
      <c r="T105" s="630"/>
      <c r="U105" s="627">
        <f t="shared" ref="U105:U110" si="29">0.5*(MAX(R105:T105)-MIN(R105:T105))</f>
        <v>0</v>
      </c>
    </row>
    <row r="106" spans="1:28" ht="13">
      <c r="A106" s="1050"/>
      <c r="B106" s="624">
        <v>3</v>
      </c>
      <c r="C106" s="625">
        <v>25</v>
      </c>
      <c r="D106" s="625">
        <v>0.1</v>
      </c>
      <c r="E106" s="625">
        <v>-0.5</v>
      </c>
      <c r="F106" s="630"/>
      <c r="G106" s="627">
        <f t="shared" si="27"/>
        <v>0.3</v>
      </c>
      <c r="I106" s="624">
        <v>3</v>
      </c>
      <c r="J106" s="626">
        <v>50</v>
      </c>
      <c r="K106" s="625">
        <v>-3.1</v>
      </c>
      <c r="L106" s="625">
        <v>-6.1</v>
      </c>
      <c r="M106" s="630"/>
      <c r="N106" s="627">
        <f t="shared" si="28"/>
        <v>1.4999999999999998</v>
      </c>
      <c r="P106" s="624">
        <v>3</v>
      </c>
      <c r="Q106" s="625">
        <v>850</v>
      </c>
      <c r="R106" s="629" t="s">
        <v>155</v>
      </c>
      <c r="S106" s="629" t="s">
        <v>155</v>
      </c>
      <c r="T106" s="630"/>
      <c r="U106" s="627">
        <f t="shared" si="29"/>
        <v>0</v>
      </c>
    </row>
    <row r="107" spans="1:28" ht="13">
      <c r="A107" s="1050"/>
      <c r="B107" s="624">
        <v>4</v>
      </c>
      <c r="C107" s="633">
        <v>30</v>
      </c>
      <c r="D107" s="633">
        <v>0.1</v>
      </c>
      <c r="E107" s="633">
        <v>0.2</v>
      </c>
      <c r="F107" s="630"/>
      <c r="G107" s="627">
        <f t="shared" si="27"/>
        <v>0.05</v>
      </c>
      <c r="I107" s="624">
        <v>4</v>
      </c>
      <c r="J107" s="647">
        <v>60</v>
      </c>
      <c r="K107" s="633">
        <v>-2.1</v>
      </c>
      <c r="L107" s="633">
        <v>-5.6</v>
      </c>
      <c r="M107" s="630"/>
      <c r="N107" s="627">
        <f t="shared" si="28"/>
        <v>1.7499999999999998</v>
      </c>
      <c r="P107" s="624">
        <v>4</v>
      </c>
      <c r="Q107" s="633">
        <v>900</v>
      </c>
      <c r="R107" s="634" t="s">
        <v>155</v>
      </c>
      <c r="S107" s="634" t="s">
        <v>155</v>
      </c>
      <c r="T107" s="630"/>
      <c r="U107" s="627">
        <f t="shared" si="29"/>
        <v>0</v>
      </c>
    </row>
    <row r="108" spans="1:28" ht="13">
      <c r="A108" s="1050"/>
      <c r="B108" s="624">
        <v>5</v>
      </c>
      <c r="C108" s="633">
        <v>35</v>
      </c>
      <c r="D108" s="633">
        <v>0.2</v>
      </c>
      <c r="E108" s="633">
        <v>0.8</v>
      </c>
      <c r="F108" s="630"/>
      <c r="G108" s="627">
        <f t="shared" si="27"/>
        <v>0.30000000000000004</v>
      </c>
      <c r="I108" s="624">
        <v>5</v>
      </c>
      <c r="J108" s="647">
        <v>70</v>
      </c>
      <c r="K108" s="633">
        <v>-0.3</v>
      </c>
      <c r="L108" s="633">
        <v>-5.0999999999999996</v>
      </c>
      <c r="M108" s="630"/>
      <c r="N108" s="627">
        <f t="shared" si="28"/>
        <v>2.4</v>
      </c>
      <c r="P108" s="624">
        <v>5</v>
      </c>
      <c r="Q108" s="633">
        <v>1000</v>
      </c>
      <c r="R108" s="634" t="s">
        <v>155</v>
      </c>
      <c r="S108" s="634" t="s">
        <v>155</v>
      </c>
      <c r="T108" s="630"/>
      <c r="U108" s="627">
        <f t="shared" si="29"/>
        <v>0</v>
      </c>
    </row>
    <row r="109" spans="1:28" ht="13">
      <c r="A109" s="1050"/>
      <c r="B109" s="624">
        <v>6</v>
      </c>
      <c r="C109" s="633">
        <v>37</v>
      </c>
      <c r="D109" s="633">
        <v>0.2</v>
      </c>
      <c r="E109" s="633">
        <v>0.4</v>
      </c>
      <c r="F109" s="630"/>
      <c r="G109" s="627">
        <f t="shared" si="27"/>
        <v>0.1</v>
      </c>
      <c r="I109" s="624">
        <v>6</v>
      </c>
      <c r="J109" s="647">
        <v>80</v>
      </c>
      <c r="K109" s="633">
        <v>2.2000000000000002</v>
      </c>
      <c r="L109" s="633">
        <v>-4.7</v>
      </c>
      <c r="M109" s="630"/>
      <c r="N109" s="627">
        <f t="shared" si="28"/>
        <v>3.45</v>
      </c>
      <c r="P109" s="624">
        <v>6</v>
      </c>
      <c r="Q109" s="633">
        <v>1005</v>
      </c>
      <c r="R109" s="634" t="s">
        <v>155</v>
      </c>
      <c r="S109" s="634" t="s">
        <v>155</v>
      </c>
      <c r="T109" s="630"/>
      <c r="U109" s="627">
        <f t="shared" si="29"/>
        <v>0</v>
      </c>
    </row>
    <row r="110" spans="1:28" ht="13.5" thickBot="1">
      <c r="A110" s="1050"/>
      <c r="B110" s="624">
        <v>7</v>
      </c>
      <c r="C110" s="647">
        <v>40</v>
      </c>
      <c r="D110" s="626">
        <v>0.2</v>
      </c>
      <c r="E110" s="626">
        <v>9.9999999999999995E-7</v>
      </c>
      <c r="F110" s="630"/>
      <c r="G110" s="627">
        <f t="shared" si="27"/>
        <v>9.9999500000000005E-2</v>
      </c>
      <c r="I110" s="624">
        <v>7</v>
      </c>
      <c r="J110" s="647">
        <v>90</v>
      </c>
      <c r="K110" s="647">
        <v>5.4</v>
      </c>
      <c r="L110" s="626">
        <v>9.9999999999999995E-7</v>
      </c>
      <c r="M110" s="630"/>
      <c r="N110" s="627">
        <f t="shared" si="28"/>
        <v>2.6999995000000001</v>
      </c>
      <c r="P110" s="624">
        <v>7</v>
      </c>
      <c r="Q110" s="633">
        <v>1020</v>
      </c>
      <c r="R110" s="634" t="s">
        <v>155</v>
      </c>
      <c r="S110" s="634" t="s">
        <v>155</v>
      </c>
      <c r="T110" s="630"/>
      <c r="U110" s="627">
        <f t="shared" si="29"/>
        <v>0</v>
      </c>
    </row>
    <row r="111" spans="1:28" ht="13.5" thickBot="1">
      <c r="A111" s="640"/>
      <c r="B111" s="641"/>
      <c r="C111" s="641"/>
      <c r="D111" s="641"/>
      <c r="E111" s="642"/>
      <c r="F111" s="643"/>
      <c r="G111" s="644"/>
      <c r="H111" s="641"/>
      <c r="I111" s="641"/>
      <c r="J111" s="641"/>
      <c r="K111" s="642"/>
      <c r="L111" s="643"/>
      <c r="M111" s="644"/>
      <c r="O111" s="648"/>
      <c r="P111" s="637"/>
    </row>
    <row r="112" spans="1:28">
      <c r="A112" s="1050">
        <v>11</v>
      </c>
      <c r="B112" s="1051" t="s">
        <v>186</v>
      </c>
      <c r="C112" s="1051"/>
      <c r="D112" s="1051"/>
      <c r="E112" s="1051"/>
      <c r="F112" s="1051"/>
      <c r="G112" s="1051"/>
      <c r="I112" s="1051" t="str">
        <f>B112</f>
        <v>KOREKSI Sekonic HE-21.000670</v>
      </c>
      <c r="J112" s="1051"/>
      <c r="K112" s="1051"/>
      <c r="L112" s="1051"/>
      <c r="M112" s="1051"/>
      <c r="N112" s="1051"/>
      <c r="P112" s="1051" t="str">
        <f>I112</f>
        <v>KOREKSI Sekonic HE-21.000670</v>
      </c>
      <c r="Q112" s="1051"/>
      <c r="R112" s="1051"/>
      <c r="S112" s="1051"/>
      <c r="T112" s="1051"/>
      <c r="U112" s="1051"/>
      <c r="W112" s="1057" t="s">
        <v>90</v>
      </c>
      <c r="X112" s="1058"/>
      <c r="AB112" s="648"/>
    </row>
    <row r="113" spans="1:24" ht="13">
      <c r="A113" s="1050"/>
      <c r="B113" s="1059" t="s">
        <v>152</v>
      </c>
      <c r="C113" s="1059"/>
      <c r="D113" s="1059" t="s">
        <v>175</v>
      </c>
      <c r="E113" s="1059"/>
      <c r="F113" s="1059"/>
      <c r="G113" s="1059" t="s">
        <v>154</v>
      </c>
      <c r="I113" s="1059" t="s">
        <v>153</v>
      </c>
      <c r="J113" s="1059"/>
      <c r="K113" s="1059" t="s">
        <v>175</v>
      </c>
      <c r="L113" s="1059"/>
      <c r="M113" s="1059"/>
      <c r="N113" s="1059" t="s">
        <v>154</v>
      </c>
      <c r="P113" s="1059" t="s">
        <v>450</v>
      </c>
      <c r="Q113" s="1059"/>
      <c r="R113" s="1059" t="s">
        <v>175</v>
      </c>
      <c r="S113" s="1059"/>
      <c r="T113" s="1059"/>
      <c r="U113" s="1059" t="s">
        <v>154</v>
      </c>
      <c r="W113" s="621" t="s">
        <v>152</v>
      </c>
      <c r="X113" s="622">
        <v>0.3</v>
      </c>
    </row>
    <row r="114" spans="1:24" ht="14.5">
      <c r="A114" s="1050"/>
      <c r="B114" s="1049" t="s">
        <v>176</v>
      </c>
      <c r="C114" s="1049"/>
      <c r="D114" s="623">
        <v>2020</v>
      </c>
      <c r="E114" s="645">
        <v>2016</v>
      </c>
      <c r="F114" s="623">
        <v>2016</v>
      </c>
      <c r="G114" s="1059"/>
      <c r="I114" s="1048" t="s">
        <v>70</v>
      </c>
      <c r="J114" s="1049"/>
      <c r="K114" s="646">
        <f>D114</f>
        <v>2020</v>
      </c>
      <c r="L114" s="646">
        <f>E114</f>
        <v>2016</v>
      </c>
      <c r="M114" s="623">
        <v>2016</v>
      </c>
      <c r="N114" s="1059"/>
      <c r="P114" s="1048" t="s">
        <v>451</v>
      </c>
      <c r="Q114" s="1049"/>
      <c r="R114" s="646">
        <f>K114</f>
        <v>2020</v>
      </c>
      <c r="S114" s="646">
        <f>L114</f>
        <v>2016</v>
      </c>
      <c r="T114" s="623">
        <v>2016</v>
      </c>
      <c r="U114" s="1059"/>
      <c r="W114" s="621" t="s">
        <v>70</v>
      </c>
      <c r="X114" s="622">
        <v>1.8</v>
      </c>
    </row>
    <row r="115" spans="1:24" ht="13.5" thickBot="1">
      <c r="A115" s="1050"/>
      <c r="B115" s="624">
        <v>1</v>
      </c>
      <c r="C115" s="625">
        <v>15</v>
      </c>
      <c r="D115" s="625">
        <v>0.3</v>
      </c>
      <c r="E115" s="625">
        <v>0.3</v>
      </c>
      <c r="F115" s="630"/>
      <c r="G115" s="627">
        <f>0.5*(MAX(D115:F115)-MIN(D115:F115))</f>
        <v>0</v>
      </c>
      <c r="I115" s="624">
        <v>1</v>
      </c>
      <c r="J115" s="625">
        <v>30</v>
      </c>
      <c r="K115" s="625">
        <v>-5.2</v>
      </c>
      <c r="L115" s="625">
        <v>-6.4</v>
      </c>
      <c r="M115" s="630"/>
      <c r="N115" s="627">
        <f>0.5*(MAX(K115:M115)-MIN(K115:M115))</f>
        <v>0.60000000000000009</v>
      </c>
      <c r="P115" s="624">
        <v>1</v>
      </c>
      <c r="Q115" s="625">
        <v>750</v>
      </c>
      <c r="R115" s="629" t="s">
        <v>155</v>
      </c>
      <c r="S115" s="626" t="s">
        <v>155</v>
      </c>
      <c r="T115" s="630"/>
      <c r="U115" s="627">
        <f>0.5*(MAX(R115:T115)-MIN(R115:T115))</f>
        <v>0</v>
      </c>
      <c r="W115" s="631" t="s">
        <v>451</v>
      </c>
      <c r="X115" s="632">
        <v>0</v>
      </c>
    </row>
    <row r="116" spans="1:24" ht="13">
      <c r="A116" s="1050"/>
      <c r="B116" s="624">
        <v>2</v>
      </c>
      <c r="C116" s="625">
        <v>20</v>
      </c>
      <c r="D116" s="625">
        <v>0.4</v>
      </c>
      <c r="E116" s="625">
        <v>0.5</v>
      </c>
      <c r="F116" s="630"/>
      <c r="G116" s="627">
        <f t="shared" ref="G116:G121" si="30">0.5*(MAX(D116:F116)-MIN(D116:F116))</f>
        <v>4.9999999999999989E-2</v>
      </c>
      <c r="I116" s="624">
        <v>2</v>
      </c>
      <c r="J116" s="625">
        <v>40</v>
      </c>
      <c r="K116" s="625">
        <v>-5.5</v>
      </c>
      <c r="L116" s="625">
        <v>-5.9</v>
      </c>
      <c r="M116" s="630"/>
      <c r="N116" s="627">
        <f t="shared" ref="N116:N121" si="31">0.5*(MAX(K116:M116)-MIN(K116:M116))</f>
        <v>0.20000000000000018</v>
      </c>
      <c r="P116" s="624">
        <v>2</v>
      </c>
      <c r="Q116" s="625">
        <v>800</v>
      </c>
      <c r="R116" s="629" t="s">
        <v>155</v>
      </c>
      <c r="S116" s="626" t="s">
        <v>155</v>
      </c>
      <c r="T116" s="630"/>
      <c r="U116" s="627">
        <f t="shared" ref="U116:U121" si="32">0.5*(MAX(R116:T116)-MIN(R116:T116))</f>
        <v>0</v>
      </c>
    </row>
    <row r="117" spans="1:24" ht="13">
      <c r="A117" s="1050"/>
      <c r="B117" s="624">
        <v>3</v>
      </c>
      <c r="C117" s="625">
        <v>25</v>
      </c>
      <c r="D117" s="625">
        <v>0.4</v>
      </c>
      <c r="E117" s="625">
        <v>0.5</v>
      </c>
      <c r="F117" s="630"/>
      <c r="G117" s="627">
        <f t="shared" si="30"/>
        <v>4.9999999999999989E-2</v>
      </c>
      <c r="I117" s="624">
        <v>3</v>
      </c>
      <c r="J117" s="625">
        <v>50</v>
      </c>
      <c r="K117" s="625">
        <v>-5.5</v>
      </c>
      <c r="L117" s="625">
        <v>-5.6</v>
      </c>
      <c r="M117" s="630"/>
      <c r="N117" s="627">
        <f t="shared" si="31"/>
        <v>4.9999999999999822E-2</v>
      </c>
      <c r="P117" s="624">
        <v>3</v>
      </c>
      <c r="Q117" s="625">
        <v>850</v>
      </c>
      <c r="R117" s="629" t="s">
        <v>155</v>
      </c>
      <c r="S117" s="626" t="s">
        <v>155</v>
      </c>
      <c r="T117" s="630"/>
      <c r="U117" s="627">
        <f t="shared" si="32"/>
        <v>0</v>
      </c>
    </row>
    <row r="118" spans="1:24" ht="13">
      <c r="A118" s="1050"/>
      <c r="B118" s="624">
        <v>4</v>
      </c>
      <c r="C118" s="633">
        <v>30</v>
      </c>
      <c r="D118" s="633">
        <v>0.5</v>
      </c>
      <c r="E118" s="633">
        <v>0.4</v>
      </c>
      <c r="F118" s="630"/>
      <c r="G118" s="627">
        <f t="shared" si="30"/>
        <v>4.9999999999999989E-2</v>
      </c>
      <c r="I118" s="624">
        <v>4</v>
      </c>
      <c r="J118" s="633">
        <v>60</v>
      </c>
      <c r="K118" s="633">
        <v>-4.8</v>
      </c>
      <c r="L118" s="633">
        <v>-4.5</v>
      </c>
      <c r="M118" s="630"/>
      <c r="N118" s="627">
        <f t="shared" si="31"/>
        <v>0.14999999999999991</v>
      </c>
      <c r="P118" s="624">
        <v>4</v>
      </c>
      <c r="Q118" s="633">
        <v>900</v>
      </c>
      <c r="R118" s="634" t="s">
        <v>155</v>
      </c>
      <c r="S118" s="634" t="s">
        <v>155</v>
      </c>
      <c r="T118" s="630"/>
      <c r="U118" s="627">
        <f t="shared" si="32"/>
        <v>0</v>
      </c>
    </row>
    <row r="119" spans="1:24" ht="13">
      <c r="A119" s="1050"/>
      <c r="B119" s="624">
        <v>5</v>
      </c>
      <c r="C119" s="633">
        <v>35</v>
      </c>
      <c r="D119" s="633">
        <v>0.5</v>
      </c>
      <c r="E119" s="633">
        <v>0.4</v>
      </c>
      <c r="F119" s="630"/>
      <c r="G119" s="627">
        <f t="shared" si="30"/>
        <v>4.9999999999999989E-2</v>
      </c>
      <c r="I119" s="624">
        <v>5</v>
      </c>
      <c r="J119" s="633">
        <v>70</v>
      </c>
      <c r="K119" s="633">
        <v>-3.4</v>
      </c>
      <c r="L119" s="633">
        <v>-1.7</v>
      </c>
      <c r="M119" s="630"/>
      <c r="N119" s="627">
        <f t="shared" si="31"/>
        <v>0.85</v>
      </c>
      <c r="P119" s="624">
        <v>5</v>
      </c>
      <c r="Q119" s="633">
        <v>1000</v>
      </c>
      <c r="R119" s="634" t="s">
        <v>155</v>
      </c>
      <c r="S119" s="634" t="s">
        <v>155</v>
      </c>
      <c r="T119" s="630"/>
      <c r="U119" s="627">
        <f t="shared" si="32"/>
        <v>0</v>
      </c>
    </row>
    <row r="120" spans="1:24" ht="13">
      <c r="A120" s="1050"/>
      <c r="B120" s="624">
        <v>6</v>
      </c>
      <c r="C120" s="633">
        <v>37</v>
      </c>
      <c r="D120" s="633">
        <v>0.5</v>
      </c>
      <c r="E120" s="633">
        <v>0.5</v>
      </c>
      <c r="F120" s="630"/>
      <c r="G120" s="627">
        <f t="shared" si="30"/>
        <v>0</v>
      </c>
      <c r="I120" s="624">
        <v>6</v>
      </c>
      <c r="J120" s="633">
        <v>80</v>
      </c>
      <c r="K120" s="633">
        <v>-1.4</v>
      </c>
      <c r="L120" s="633">
        <v>2.6</v>
      </c>
      <c r="M120" s="630"/>
      <c r="N120" s="627">
        <f t="shared" si="31"/>
        <v>2</v>
      </c>
      <c r="P120" s="624">
        <v>6</v>
      </c>
      <c r="Q120" s="633">
        <v>1005</v>
      </c>
      <c r="R120" s="634" t="s">
        <v>155</v>
      </c>
      <c r="S120" s="634" t="s">
        <v>155</v>
      </c>
      <c r="T120" s="630"/>
      <c r="U120" s="627">
        <f t="shared" si="32"/>
        <v>0</v>
      </c>
    </row>
    <row r="121" spans="1:24" ht="13.5" thickBot="1">
      <c r="A121" s="1050"/>
      <c r="B121" s="624">
        <v>7</v>
      </c>
      <c r="C121" s="647">
        <v>40</v>
      </c>
      <c r="D121" s="647">
        <v>0.5</v>
      </c>
      <c r="E121" s="626">
        <v>9.9999999999999995E-7</v>
      </c>
      <c r="F121" s="630"/>
      <c r="G121" s="627">
        <f t="shared" si="30"/>
        <v>0.24999950000000001</v>
      </c>
      <c r="I121" s="624">
        <v>7</v>
      </c>
      <c r="J121" s="647">
        <v>90</v>
      </c>
      <c r="K121" s="647">
        <v>1.3</v>
      </c>
      <c r="L121" s="626">
        <v>9.9999999999999995E-7</v>
      </c>
      <c r="M121" s="630"/>
      <c r="N121" s="627">
        <f t="shared" si="31"/>
        <v>0.64999950000000006</v>
      </c>
      <c r="P121" s="624">
        <v>7</v>
      </c>
      <c r="Q121" s="633">
        <v>1020</v>
      </c>
      <c r="R121" s="634" t="s">
        <v>155</v>
      </c>
      <c r="S121" s="634" t="s">
        <v>155</v>
      </c>
      <c r="T121" s="630"/>
      <c r="U121" s="627">
        <f t="shared" si="32"/>
        <v>0</v>
      </c>
    </row>
    <row r="122" spans="1:24" ht="13.5" thickBot="1">
      <c r="A122" s="640"/>
      <c r="B122" s="641"/>
      <c r="C122" s="641"/>
      <c r="D122" s="641"/>
      <c r="E122" s="642"/>
      <c r="F122" s="643"/>
      <c r="G122" s="644"/>
      <c r="I122" s="641"/>
      <c r="J122" s="641"/>
      <c r="K122" s="641"/>
      <c r="L122" s="642"/>
      <c r="M122" s="643"/>
      <c r="Q122" s="648"/>
      <c r="R122" s="637"/>
    </row>
    <row r="123" spans="1:24">
      <c r="A123" s="1050">
        <v>12</v>
      </c>
      <c r="B123" s="1051" t="s">
        <v>452</v>
      </c>
      <c r="C123" s="1051"/>
      <c r="D123" s="1051"/>
      <c r="E123" s="1051"/>
      <c r="F123" s="1051"/>
      <c r="G123" s="1051"/>
      <c r="I123" s="1051" t="str">
        <f>B123</f>
        <v>KOREKSI EXTECH A.100586</v>
      </c>
      <c r="J123" s="1051"/>
      <c r="K123" s="1051"/>
      <c r="L123" s="1051"/>
      <c r="M123" s="1051"/>
      <c r="N123" s="1051"/>
      <c r="P123" s="1051" t="str">
        <f>I123</f>
        <v>KOREKSI EXTECH A.100586</v>
      </c>
      <c r="Q123" s="1051"/>
      <c r="R123" s="1051"/>
      <c r="S123" s="1051"/>
      <c r="T123" s="1051"/>
      <c r="U123" s="1051"/>
      <c r="W123" s="1057" t="s">
        <v>90</v>
      </c>
      <c r="X123" s="1058"/>
    </row>
    <row r="124" spans="1:24" ht="13">
      <c r="A124" s="1050"/>
      <c r="B124" s="1059" t="s">
        <v>152</v>
      </c>
      <c r="C124" s="1059"/>
      <c r="D124" s="1059" t="s">
        <v>175</v>
      </c>
      <c r="E124" s="1059"/>
      <c r="F124" s="1059"/>
      <c r="G124" s="1059" t="s">
        <v>154</v>
      </c>
      <c r="I124" s="1059" t="s">
        <v>153</v>
      </c>
      <c r="J124" s="1059"/>
      <c r="K124" s="1059" t="s">
        <v>175</v>
      </c>
      <c r="L124" s="1059"/>
      <c r="M124" s="1059"/>
      <c r="N124" s="1059" t="s">
        <v>154</v>
      </c>
      <c r="P124" s="1059" t="s">
        <v>450</v>
      </c>
      <c r="Q124" s="1059"/>
      <c r="R124" s="1059" t="s">
        <v>175</v>
      </c>
      <c r="S124" s="1059"/>
      <c r="T124" s="1059"/>
      <c r="U124" s="1059" t="s">
        <v>154</v>
      </c>
      <c r="W124" s="621" t="s">
        <v>152</v>
      </c>
      <c r="X124" s="622">
        <v>0.3</v>
      </c>
    </row>
    <row r="125" spans="1:24" ht="14.5">
      <c r="A125" s="1050"/>
      <c r="B125" s="1049" t="s">
        <v>176</v>
      </c>
      <c r="C125" s="1049"/>
      <c r="D125" s="623">
        <v>2020</v>
      </c>
      <c r="E125" s="645" t="s">
        <v>155</v>
      </c>
      <c r="F125" s="623">
        <v>2016</v>
      </c>
      <c r="G125" s="1059"/>
      <c r="I125" s="1048" t="s">
        <v>70</v>
      </c>
      <c r="J125" s="1049"/>
      <c r="K125" s="623">
        <f>D125</f>
        <v>2020</v>
      </c>
      <c r="L125" s="623" t="str">
        <f>E125</f>
        <v>-</v>
      </c>
      <c r="M125" s="623">
        <v>2016</v>
      </c>
      <c r="N125" s="1059"/>
      <c r="P125" s="1048" t="s">
        <v>451</v>
      </c>
      <c r="Q125" s="1049"/>
      <c r="R125" s="623">
        <f>K125</f>
        <v>2020</v>
      </c>
      <c r="S125" s="623" t="str">
        <f>L125</f>
        <v>-</v>
      </c>
      <c r="T125" s="623">
        <v>2016</v>
      </c>
      <c r="U125" s="1059"/>
      <c r="W125" s="621" t="s">
        <v>70</v>
      </c>
      <c r="X125" s="622">
        <v>2</v>
      </c>
    </row>
    <row r="126" spans="1:24" ht="13.5" thickBot="1">
      <c r="A126" s="1050"/>
      <c r="B126" s="624">
        <v>1</v>
      </c>
      <c r="C126" s="625">
        <v>15</v>
      </c>
      <c r="D126" s="626">
        <v>9.9999999999999995E-7</v>
      </c>
      <c r="E126" s="626" t="s">
        <v>155</v>
      </c>
      <c r="F126" s="630"/>
      <c r="G126" s="627">
        <f>0.5*(MAX(D126:F126)-MIN(D126:F126))</f>
        <v>0</v>
      </c>
      <c r="I126" s="624">
        <v>1</v>
      </c>
      <c r="J126" s="625">
        <v>30</v>
      </c>
      <c r="K126" s="625">
        <v>-0.4</v>
      </c>
      <c r="L126" s="626" t="s">
        <v>155</v>
      </c>
      <c r="M126" s="630"/>
      <c r="N126" s="627">
        <f>0.5*(MAX(K126:M126)-MIN(K126:M126))</f>
        <v>0</v>
      </c>
      <c r="P126" s="624">
        <v>1</v>
      </c>
      <c r="Q126" s="625">
        <v>800</v>
      </c>
      <c r="R126" s="629">
        <v>-0.4</v>
      </c>
      <c r="S126" s="626" t="s">
        <v>155</v>
      </c>
      <c r="T126" s="630"/>
      <c r="U126" s="627">
        <f>0.5*(MAX(R126:T126)-MIN(R126:T126))</f>
        <v>0</v>
      </c>
      <c r="W126" s="631" t="s">
        <v>451</v>
      </c>
      <c r="X126" s="632">
        <v>2.4</v>
      </c>
    </row>
    <row r="127" spans="1:24" ht="13">
      <c r="A127" s="1050"/>
      <c r="B127" s="624">
        <v>2</v>
      </c>
      <c r="C127" s="625">
        <v>20</v>
      </c>
      <c r="D127" s="626">
        <v>9.9999999999999995E-7</v>
      </c>
      <c r="E127" s="626" t="s">
        <v>155</v>
      </c>
      <c r="F127" s="630"/>
      <c r="G127" s="627">
        <f t="shared" ref="G127:G132" si="33">0.5*(MAX(D127:F127)-MIN(D127:F127))</f>
        <v>0</v>
      </c>
      <c r="I127" s="624">
        <v>2</v>
      </c>
      <c r="J127" s="625">
        <v>40</v>
      </c>
      <c r="K127" s="625">
        <v>-0.1</v>
      </c>
      <c r="L127" s="626" t="s">
        <v>155</v>
      </c>
      <c r="M127" s="630"/>
      <c r="N127" s="627">
        <f t="shared" ref="N127:N132" si="34">0.5*(MAX(K127:M127)-MIN(K127:M127))</f>
        <v>0</v>
      </c>
      <c r="P127" s="624">
        <v>2</v>
      </c>
      <c r="Q127" s="625">
        <v>850</v>
      </c>
      <c r="R127" s="629">
        <v>-0.5</v>
      </c>
      <c r="S127" s="626" t="s">
        <v>155</v>
      </c>
      <c r="T127" s="630"/>
      <c r="U127" s="627">
        <f t="shared" ref="U127:U132" si="35">0.5*(MAX(R127:T127)-MIN(R127:T127))</f>
        <v>0</v>
      </c>
    </row>
    <row r="128" spans="1:24" ht="13">
      <c r="A128" s="1050"/>
      <c r="B128" s="624">
        <v>3</v>
      </c>
      <c r="C128" s="625">
        <v>25</v>
      </c>
      <c r="D128" s="626">
        <v>9.9999999999999995E-7</v>
      </c>
      <c r="E128" s="626" t="s">
        <v>155</v>
      </c>
      <c r="F128" s="630"/>
      <c r="G128" s="627">
        <f t="shared" si="33"/>
        <v>0</v>
      </c>
      <c r="I128" s="624">
        <v>3</v>
      </c>
      <c r="J128" s="625">
        <v>50</v>
      </c>
      <c r="K128" s="626">
        <v>9.9999999999999995E-7</v>
      </c>
      <c r="L128" s="626" t="s">
        <v>155</v>
      </c>
      <c r="M128" s="630"/>
      <c r="N128" s="627">
        <f t="shared" si="34"/>
        <v>0</v>
      </c>
      <c r="P128" s="624">
        <v>3</v>
      </c>
      <c r="Q128" s="633">
        <v>900</v>
      </c>
      <c r="R128" s="634">
        <v>-0.6</v>
      </c>
      <c r="S128" s="626" t="s">
        <v>155</v>
      </c>
      <c r="T128" s="630"/>
      <c r="U128" s="627">
        <f t="shared" si="35"/>
        <v>0</v>
      </c>
    </row>
    <row r="129" spans="1:24" ht="13">
      <c r="A129" s="1050"/>
      <c r="B129" s="624">
        <v>4</v>
      </c>
      <c r="C129" s="633">
        <v>30</v>
      </c>
      <c r="D129" s="633">
        <v>-0.1</v>
      </c>
      <c r="E129" s="634" t="s">
        <v>155</v>
      </c>
      <c r="F129" s="630"/>
      <c r="G129" s="627">
        <f t="shared" si="33"/>
        <v>0</v>
      </c>
      <c r="I129" s="624">
        <v>4</v>
      </c>
      <c r="J129" s="633">
        <v>60</v>
      </c>
      <c r="K129" s="626">
        <v>9.9999999999999995E-7</v>
      </c>
      <c r="L129" s="634" t="s">
        <v>155</v>
      </c>
      <c r="M129" s="630"/>
      <c r="N129" s="627">
        <f t="shared" si="34"/>
        <v>0</v>
      </c>
      <c r="P129" s="624">
        <v>4</v>
      </c>
      <c r="Q129" s="633">
        <v>950</v>
      </c>
      <c r="R129" s="634">
        <v>-0.7</v>
      </c>
      <c r="S129" s="634" t="s">
        <v>155</v>
      </c>
      <c r="T129" s="630"/>
      <c r="U129" s="627">
        <f t="shared" si="35"/>
        <v>0</v>
      </c>
    </row>
    <row r="130" spans="1:24" ht="13">
      <c r="A130" s="1050"/>
      <c r="B130" s="624">
        <v>5</v>
      </c>
      <c r="C130" s="633">
        <v>35</v>
      </c>
      <c r="D130" s="633">
        <v>-0.2</v>
      </c>
      <c r="E130" s="634" t="s">
        <v>155</v>
      </c>
      <c r="F130" s="630"/>
      <c r="G130" s="627">
        <f t="shared" si="33"/>
        <v>0</v>
      </c>
      <c r="I130" s="624">
        <v>5</v>
      </c>
      <c r="J130" s="633">
        <v>70</v>
      </c>
      <c r="K130" s="633">
        <v>-0.1</v>
      </c>
      <c r="L130" s="634" t="s">
        <v>155</v>
      </c>
      <c r="M130" s="630"/>
      <c r="N130" s="627">
        <f t="shared" si="34"/>
        <v>0</v>
      </c>
      <c r="P130" s="624">
        <v>5</v>
      </c>
      <c r="Q130" s="633">
        <v>1000</v>
      </c>
      <c r="R130" s="634">
        <v>-0.8</v>
      </c>
      <c r="S130" s="634" t="s">
        <v>155</v>
      </c>
      <c r="T130" s="630"/>
      <c r="U130" s="627">
        <f t="shared" si="35"/>
        <v>0</v>
      </c>
    </row>
    <row r="131" spans="1:24" ht="13">
      <c r="A131" s="1050"/>
      <c r="B131" s="624">
        <v>6</v>
      </c>
      <c r="C131" s="633">
        <v>37</v>
      </c>
      <c r="D131" s="633">
        <v>-0.3</v>
      </c>
      <c r="E131" s="634" t="s">
        <v>155</v>
      </c>
      <c r="F131" s="630"/>
      <c r="G131" s="627">
        <f t="shared" si="33"/>
        <v>0</v>
      </c>
      <c r="I131" s="624">
        <v>6</v>
      </c>
      <c r="J131" s="633">
        <v>80</v>
      </c>
      <c r="K131" s="633">
        <v>-0.5</v>
      </c>
      <c r="L131" s="634" t="s">
        <v>155</v>
      </c>
      <c r="M131" s="630"/>
      <c r="N131" s="627">
        <f t="shared" si="34"/>
        <v>0</v>
      </c>
      <c r="P131" s="624">
        <v>6</v>
      </c>
      <c r="Q131" s="633">
        <v>1005</v>
      </c>
      <c r="R131" s="634">
        <v>-0.8</v>
      </c>
      <c r="S131" s="634" t="s">
        <v>155</v>
      </c>
      <c r="T131" s="630"/>
      <c r="U131" s="627">
        <f t="shared" si="35"/>
        <v>0</v>
      </c>
    </row>
    <row r="132" spans="1:24" ht="13">
      <c r="A132" s="1050"/>
      <c r="B132" s="624">
        <v>7</v>
      </c>
      <c r="C132" s="647">
        <v>40</v>
      </c>
      <c r="D132" s="633">
        <v>-0.4</v>
      </c>
      <c r="E132" s="634" t="s">
        <v>155</v>
      </c>
      <c r="F132" s="630"/>
      <c r="G132" s="627">
        <f t="shared" si="33"/>
        <v>0</v>
      </c>
      <c r="I132" s="624">
        <v>7</v>
      </c>
      <c r="J132" s="647">
        <v>90</v>
      </c>
      <c r="K132" s="633">
        <v>-0.9</v>
      </c>
      <c r="L132" s="634" t="s">
        <v>155</v>
      </c>
      <c r="M132" s="630"/>
      <c r="N132" s="627">
        <f t="shared" si="34"/>
        <v>0</v>
      </c>
      <c r="P132" s="624">
        <v>7</v>
      </c>
      <c r="Q132" s="633">
        <v>1020</v>
      </c>
      <c r="R132" s="634">
        <v>9.9999999999999995E-7</v>
      </c>
      <c r="S132" s="634" t="s">
        <v>155</v>
      </c>
      <c r="T132" s="630"/>
      <c r="U132" s="627">
        <f t="shared" si="35"/>
        <v>0</v>
      </c>
    </row>
    <row r="133" spans="1:24" ht="13" thickBot="1">
      <c r="A133" s="649"/>
      <c r="C133" s="650"/>
      <c r="D133" s="639"/>
      <c r="E133" s="651"/>
      <c r="F133" s="650"/>
      <c r="I133" s="650"/>
      <c r="J133" s="639"/>
      <c r="K133" s="651"/>
      <c r="L133" s="650"/>
      <c r="O133" s="639"/>
      <c r="P133" s="651"/>
      <c r="Q133" s="651"/>
      <c r="R133" s="650"/>
    </row>
    <row r="134" spans="1:24">
      <c r="A134" s="1050">
        <v>13</v>
      </c>
      <c r="B134" s="1051" t="s">
        <v>453</v>
      </c>
      <c r="C134" s="1051"/>
      <c r="D134" s="1051"/>
      <c r="E134" s="1051"/>
      <c r="F134" s="1051"/>
      <c r="G134" s="1051"/>
      <c r="I134" s="1051" t="str">
        <f>B134</f>
        <v>KOREKSI EXTECH A.100605</v>
      </c>
      <c r="J134" s="1051"/>
      <c r="K134" s="1051"/>
      <c r="L134" s="1051"/>
      <c r="M134" s="1051"/>
      <c r="N134" s="1051"/>
      <c r="P134" s="1051" t="str">
        <f>I134</f>
        <v>KOREKSI EXTECH A.100605</v>
      </c>
      <c r="Q134" s="1051"/>
      <c r="R134" s="1051"/>
      <c r="S134" s="1051"/>
      <c r="T134" s="1051"/>
      <c r="U134" s="1051"/>
      <c r="W134" s="1057" t="s">
        <v>90</v>
      </c>
      <c r="X134" s="1058"/>
    </row>
    <row r="135" spans="1:24" ht="13">
      <c r="A135" s="1050"/>
      <c r="B135" s="1059" t="s">
        <v>152</v>
      </c>
      <c r="C135" s="1059"/>
      <c r="D135" s="1059" t="s">
        <v>175</v>
      </c>
      <c r="E135" s="1059"/>
      <c r="F135" s="1059"/>
      <c r="G135" s="1059" t="s">
        <v>154</v>
      </c>
      <c r="I135" s="1059" t="s">
        <v>153</v>
      </c>
      <c r="J135" s="1059"/>
      <c r="K135" s="1059" t="s">
        <v>175</v>
      </c>
      <c r="L135" s="1059"/>
      <c r="M135" s="1059"/>
      <c r="N135" s="1059" t="s">
        <v>154</v>
      </c>
      <c r="P135" s="1059" t="s">
        <v>450</v>
      </c>
      <c r="Q135" s="1059"/>
      <c r="R135" s="1059" t="s">
        <v>175</v>
      </c>
      <c r="S135" s="1059"/>
      <c r="T135" s="1059"/>
      <c r="U135" s="1059" t="s">
        <v>154</v>
      </c>
      <c r="W135" s="621" t="s">
        <v>152</v>
      </c>
      <c r="X135" s="622">
        <v>0.5</v>
      </c>
    </row>
    <row r="136" spans="1:24" ht="14.5">
      <c r="A136" s="1050"/>
      <c r="B136" s="1049" t="s">
        <v>176</v>
      </c>
      <c r="C136" s="1049"/>
      <c r="D136" s="652">
        <v>2022</v>
      </c>
      <c r="E136" s="623">
        <v>2020</v>
      </c>
      <c r="F136" s="645" t="s">
        <v>155</v>
      </c>
      <c r="G136" s="1059"/>
      <c r="I136" s="1048" t="s">
        <v>70</v>
      </c>
      <c r="J136" s="1049"/>
      <c r="K136" s="652">
        <v>2022</v>
      </c>
      <c r="L136" s="646">
        <f>E136</f>
        <v>2020</v>
      </c>
      <c r="M136" s="646" t="str">
        <f>F136</f>
        <v>-</v>
      </c>
      <c r="N136" s="1059"/>
      <c r="P136" s="1048" t="s">
        <v>451</v>
      </c>
      <c r="Q136" s="1049"/>
      <c r="R136" s="653">
        <v>2022</v>
      </c>
      <c r="S136" s="646">
        <f>L136</f>
        <v>2020</v>
      </c>
      <c r="T136" s="646" t="str">
        <f>M136</f>
        <v>-</v>
      </c>
      <c r="U136" s="1059"/>
      <c r="W136" s="621" t="s">
        <v>70</v>
      </c>
      <c r="X136" s="622">
        <v>2.2999999999999998</v>
      </c>
    </row>
    <row r="137" spans="1:24" ht="13.5" thickBot="1">
      <c r="A137" s="1050"/>
      <c r="B137" s="624">
        <v>1</v>
      </c>
      <c r="C137" s="625">
        <v>15</v>
      </c>
      <c r="D137" s="625">
        <v>0.5</v>
      </c>
      <c r="E137" s="625">
        <v>-0.7</v>
      </c>
      <c r="F137" s="626" t="s">
        <v>155</v>
      </c>
      <c r="G137" s="627">
        <f t="shared" ref="G137:G143" si="36">0.5*(MAX(E137:F137)-MIN(E137:F137))</f>
        <v>0</v>
      </c>
      <c r="I137" s="624">
        <v>1</v>
      </c>
      <c r="J137" s="625">
        <v>30</v>
      </c>
      <c r="K137" s="625">
        <v>-2.2000000000000002</v>
      </c>
      <c r="L137" s="625">
        <v>-1.4</v>
      </c>
      <c r="M137" s="626" t="s">
        <v>155</v>
      </c>
      <c r="N137" s="627">
        <f t="shared" ref="N137:N143" si="37">0.5*(MAX(L137:M137)-MIN(L137:M137))</f>
        <v>0</v>
      </c>
      <c r="P137" s="624">
        <v>1</v>
      </c>
      <c r="Q137" s="625">
        <v>960</v>
      </c>
      <c r="R137" s="625">
        <f>MAX(R138:R143)</f>
        <v>4</v>
      </c>
      <c r="S137" s="629">
        <v>0.9</v>
      </c>
      <c r="T137" s="626" t="s">
        <v>155</v>
      </c>
      <c r="U137" s="627">
        <f t="shared" ref="U137:U143" si="38">0.5*(MAX(S137:T137)-MIN(S137:T137))</f>
        <v>0</v>
      </c>
      <c r="W137" s="631" t="s">
        <v>451</v>
      </c>
      <c r="X137" s="632">
        <v>2.4</v>
      </c>
    </row>
    <row r="138" spans="1:24" ht="13">
      <c r="A138" s="1050"/>
      <c r="B138" s="624">
        <v>2</v>
      </c>
      <c r="C138" s="625">
        <v>20</v>
      </c>
      <c r="D138" s="625">
        <v>0.2</v>
      </c>
      <c r="E138" s="625">
        <v>-0.4</v>
      </c>
      <c r="F138" s="626" t="s">
        <v>155</v>
      </c>
      <c r="G138" s="627">
        <f t="shared" si="36"/>
        <v>0</v>
      </c>
      <c r="I138" s="624">
        <v>2</v>
      </c>
      <c r="J138" s="625">
        <v>40</v>
      </c>
      <c r="K138" s="625">
        <v>-2</v>
      </c>
      <c r="L138" s="625">
        <v>-1.3</v>
      </c>
      <c r="M138" s="626" t="s">
        <v>155</v>
      </c>
      <c r="N138" s="627">
        <f t="shared" si="37"/>
        <v>0</v>
      </c>
      <c r="P138" s="624">
        <v>2</v>
      </c>
      <c r="Q138" s="625">
        <v>970</v>
      </c>
      <c r="R138" s="625">
        <v>4</v>
      </c>
      <c r="S138" s="629">
        <v>1</v>
      </c>
      <c r="T138" s="626" t="s">
        <v>155</v>
      </c>
      <c r="U138" s="627">
        <f t="shared" si="38"/>
        <v>0</v>
      </c>
    </row>
    <row r="139" spans="1:24" ht="13">
      <c r="A139" s="1050"/>
      <c r="B139" s="624">
        <v>3</v>
      </c>
      <c r="C139" s="625">
        <v>25</v>
      </c>
      <c r="D139" s="625">
        <v>0.1</v>
      </c>
      <c r="E139" s="625">
        <v>-0.2</v>
      </c>
      <c r="F139" s="626" t="s">
        <v>155</v>
      </c>
      <c r="G139" s="627">
        <f t="shared" si="36"/>
        <v>0</v>
      </c>
      <c r="I139" s="624">
        <v>3</v>
      </c>
      <c r="J139" s="625">
        <v>50</v>
      </c>
      <c r="K139" s="625">
        <v>-1.8</v>
      </c>
      <c r="L139" s="625">
        <v>-1.3</v>
      </c>
      <c r="M139" s="626" t="s">
        <v>155</v>
      </c>
      <c r="N139" s="627">
        <f t="shared" si="37"/>
        <v>0</v>
      </c>
      <c r="P139" s="624">
        <v>3</v>
      </c>
      <c r="Q139" s="633">
        <v>980</v>
      </c>
      <c r="R139" s="625">
        <v>3.9</v>
      </c>
      <c r="S139" s="634">
        <v>1</v>
      </c>
      <c r="T139" s="626" t="s">
        <v>155</v>
      </c>
      <c r="U139" s="627">
        <f t="shared" si="38"/>
        <v>0</v>
      </c>
    </row>
    <row r="140" spans="1:24" ht="13">
      <c r="A140" s="1050"/>
      <c r="B140" s="624">
        <v>4</v>
      </c>
      <c r="C140" s="633">
        <v>30</v>
      </c>
      <c r="D140" s="625">
        <v>-0.1</v>
      </c>
      <c r="E140" s="633">
        <v>0.1</v>
      </c>
      <c r="F140" s="634" t="s">
        <v>155</v>
      </c>
      <c r="G140" s="627">
        <f t="shared" si="36"/>
        <v>0</v>
      </c>
      <c r="I140" s="624">
        <v>4</v>
      </c>
      <c r="J140" s="633">
        <v>60</v>
      </c>
      <c r="K140" s="625">
        <v>-1.6</v>
      </c>
      <c r="L140" s="633">
        <v>-1.5</v>
      </c>
      <c r="M140" s="634" t="s">
        <v>155</v>
      </c>
      <c r="N140" s="627">
        <f t="shared" si="37"/>
        <v>0</v>
      </c>
      <c r="P140" s="624">
        <v>4</v>
      </c>
      <c r="Q140" s="633">
        <v>990</v>
      </c>
      <c r="R140" s="625">
        <v>3.8</v>
      </c>
      <c r="S140" s="634">
        <v>1.1000000000000001</v>
      </c>
      <c r="T140" s="634" t="s">
        <v>155</v>
      </c>
      <c r="U140" s="627">
        <f t="shared" si="38"/>
        <v>0</v>
      </c>
    </row>
    <row r="141" spans="1:24" ht="13">
      <c r="A141" s="1050"/>
      <c r="B141" s="624">
        <v>5</v>
      </c>
      <c r="C141" s="633">
        <v>35</v>
      </c>
      <c r="D141" s="625">
        <v>-0.2</v>
      </c>
      <c r="E141" s="633">
        <v>0.3</v>
      </c>
      <c r="F141" s="634" t="s">
        <v>155</v>
      </c>
      <c r="G141" s="627">
        <f t="shared" si="36"/>
        <v>0</v>
      </c>
      <c r="I141" s="624">
        <v>5</v>
      </c>
      <c r="J141" s="633">
        <v>70</v>
      </c>
      <c r="K141" s="625">
        <v>-1.4</v>
      </c>
      <c r="L141" s="633">
        <v>-1.9</v>
      </c>
      <c r="M141" s="634" t="s">
        <v>155</v>
      </c>
      <c r="N141" s="627">
        <f t="shared" si="37"/>
        <v>0</v>
      </c>
      <c r="P141" s="624">
        <v>5</v>
      </c>
      <c r="Q141" s="633">
        <v>1000</v>
      </c>
      <c r="R141" s="625">
        <v>3.7</v>
      </c>
      <c r="S141" s="634">
        <v>1.1000000000000001</v>
      </c>
      <c r="T141" s="634" t="s">
        <v>155</v>
      </c>
      <c r="U141" s="627">
        <f t="shared" si="38"/>
        <v>0</v>
      </c>
    </row>
    <row r="142" spans="1:24" ht="13">
      <c r="A142" s="1050"/>
      <c r="B142" s="624">
        <v>6</v>
      </c>
      <c r="C142" s="633">
        <v>37</v>
      </c>
      <c r="D142" s="625">
        <v>-0.2</v>
      </c>
      <c r="E142" s="633">
        <v>0.4</v>
      </c>
      <c r="F142" s="634" t="s">
        <v>155</v>
      </c>
      <c r="G142" s="627">
        <f t="shared" si="36"/>
        <v>0</v>
      </c>
      <c r="I142" s="624">
        <v>6</v>
      </c>
      <c r="J142" s="633">
        <v>80</v>
      </c>
      <c r="K142" s="625">
        <v>-1.2</v>
      </c>
      <c r="L142" s="633">
        <v>-2.5</v>
      </c>
      <c r="M142" s="634" t="s">
        <v>155</v>
      </c>
      <c r="N142" s="627">
        <f t="shared" si="37"/>
        <v>0</v>
      </c>
      <c r="P142" s="624">
        <v>6</v>
      </c>
      <c r="Q142" s="633">
        <v>1005</v>
      </c>
      <c r="R142" s="625">
        <v>3.6</v>
      </c>
      <c r="S142" s="634">
        <v>1.1000000000000001</v>
      </c>
      <c r="T142" s="634" t="s">
        <v>155</v>
      </c>
      <c r="U142" s="627">
        <f t="shared" si="38"/>
        <v>0</v>
      </c>
    </row>
    <row r="143" spans="1:24" ht="13">
      <c r="A143" s="1050"/>
      <c r="B143" s="624">
        <v>7</v>
      </c>
      <c r="C143" s="647">
        <v>40</v>
      </c>
      <c r="D143" s="625">
        <v>-0.2</v>
      </c>
      <c r="E143" s="633">
        <v>0.5</v>
      </c>
      <c r="F143" s="634" t="s">
        <v>155</v>
      </c>
      <c r="G143" s="627">
        <f t="shared" si="36"/>
        <v>0</v>
      </c>
      <c r="I143" s="624">
        <v>7</v>
      </c>
      <c r="J143" s="647">
        <v>90</v>
      </c>
      <c r="K143" s="625">
        <v>-1</v>
      </c>
      <c r="L143" s="633">
        <v>-3.2</v>
      </c>
      <c r="M143" s="634" t="s">
        <v>155</v>
      </c>
      <c r="N143" s="627">
        <f t="shared" si="37"/>
        <v>0</v>
      </c>
      <c r="P143" s="624">
        <v>7</v>
      </c>
      <c r="Q143" s="633">
        <v>1010</v>
      </c>
      <c r="R143" s="625">
        <v>3.5</v>
      </c>
      <c r="S143" s="634">
        <v>1.1000000000000001</v>
      </c>
      <c r="T143" s="634" t="s">
        <v>155</v>
      </c>
      <c r="U143" s="627">
        <f t="shared" si="38"/>
        <v>0</v>
      </c>
    </row>
    <row r="144" spans="1:24" ht="13" thickBot="1">
      <c r="A144" s="649"/>
      <c r="C144" s="650"/>
      <c r="D144" s="639"/>
      <c r="E144" s="651"/>
      <c r="F144" s="650"/>
      <c r="J144" s="650"/>
      <c r="K144" s="639"/>
      <c r="L144" s="651"/>
      <c r="M144" s="650"/>
      <c r="Q144" s="639"/>
      <c r="R144" s="651"/>
      <c r="S144" s="651"/>
      <c r="T144" s="650"/>
    </row>
    <row r="145" spans="1:24">
      <c r="A145" s="1050">
        <v>14</v>
      </c>
      <c r="B145" s="1051" t="s">
        <v>454</v>
      </c>
      <c r="C145" s="1051"/>
      <c r="D145" s="1051"/>
      <c r="E145" s="1051"/>
      <c r="F145" s="1051"/>
      <c r="G145" s="1051"/>
      <c r="I145" s="1051" t="str">
        <f>B145</f>
        <v>KOREKSI EXTECH A.100609</v>
      </c>
      <c r="J145" s="1051"/>
      <c r="K145" s="1051"/>
      <c r="L145" s="1051"/>
      <c r="M145" s="1051"/>
      <c r="N145" s="1051"/>
      <c r="P145" s="1051" t="str">
        <f>I145</f>
        <v>KOREKSI EXTECH A.100609</v>
      </c>
      <c r="Q145" s="1051"/>
      <c r="R145" s="1051"/>
      <c r="S145" s="1051"/>
      <c r="T145" s="1051"/>
      <c r="U145" s="1051"/>
      <c r="W145" s="1057" t="s">
        <v>90</v>
      </c>
      <c r="X145" s="1058"/>
    </row>
    <row r="146" spans="1:24" ht="13">
      <c r="A146" s="1050"/>
      <c r="B146" s="1059" t="s">
        <v>152</v>
      </c>
      <c r="C146" s="1059"/>
      <c r="D146" s="1059" t="s">
        <v>175</v>
      </c>
      <c r="E146" s="1059"/>
      <c r="F146" s="1059"/>
      <c r="G146" s="1059" t="s">
        <v>154</v>
      </c>
      <c r="I146" s="1059" t="s">
        <v>153</v>
      </c>
      <c r="J146" s="1059"/>
      <c r="K146" s="1059" t="s">
        <v>175</v>
      </c>
      <c r="L146" s="1059"/>
      <c r="M146" s="1059"/>
      <c r="N146" s="1059" t="s">
        <v>154</v>
      </c>
      <c r="P146" s="1059" t="s">
        <v>450</v>
      </c>
      <c r="Q146" s="1059"/>
      <c r="R146" s="1059" t="s">
        <v>175</v>
      </c>
      <c r="S146" s="1059"/>
      <c r="T146" s="1059"/>
      <c r="U146" s="1059" t="s">
        <v>154</v>
      </c>
      <c r="W146" s="621" t="s">
        <v>152</v>
      </c>
      <c r="X146" s="622">
        <v>0.5</v>
      </c>
    </row>
    <row r="147" spans="1:24" ht="14.5">
      <c r="A147" s="1050"/>
      <c r="B147" s="1049" t="s">
        <v>176</v>
      </c>
      <c r="C147" s="1049"/>
      <c r="D147" s="652">
        <v>2022</v>
      </c>
      <c r="E147" s="623">
        <v>2020</v>
      </c>
      <c r="F147" s="645" t="s">
        <v>155</v>
      </c>
      <c r="G147" s="1059"/>
      <c r="I147" s="1048" t="s">
        <v>70</v>
      </c>
      <c r="J147" s="1049"/>
      <c r="K147" s="652">
        <v>2022</v>
      </c>
      <c r="L147" s="646">
        <f>E147</f>
        <v>2020</v>
      </c>
      <c r="M147" s="646" t="str">
        <f>F147</f>
        <v>-</v>
      </c>
      <c r="N147" s="1059"/>
      <c r="P147" s="1048" t="s">
        <v>451</v>
      </c>
      <c r="Q147" s="1049"/>
      <c r="R147" s="652">
        <v>2022</v>
      </c>
      <c r="S147" s="646">
        <f>L147</f>
        <v>2020</v>
      </c>
      <c r="T147" s="646" t="str">
        <f>M147</f>
        <v>-</v>
      </c>
      <c r="U147" s="1059"/>
      <c r="W147" s="621" t="s">
        <v>70</v>
      </c>
      <c r="X147" s="622">
        <v>2.7</v>
      </c>
    </row>
    <row r="148" spans="1:24" ht="13.5" thickBot="1">
      <c r="A148" s="1050"/>
      <c r="B148" s="624">
        <v>1</v>
      </c>
      <c r="C148" s="625">
        <v>15</v>
      </c>
      <c r="D148" s="625">
        <v>0.5</v>
      </c>
      <c r="E148" s="625">
        <v>-0.2</v>
      </c>
      <c r="F148" s="626" t="s">
        <v>155</v>
      </c>
      <c r="G148" s="627">
        <f t="shared" ref="G148:G154" si="39">0.5*(MAX(E148:F148)-MIN(E148:F148))</f>
        <v>0</v>
      </c>
      <c r="I148" s="624">
        <v>1</v>
      </c>
      <c r="J148" s="625">
        <v>30</v>
      </c>
      <c r="K148" s="625">
        <v>-0.8</v>
      </c>
      <c r="L148" s="625">
        <v>0.6</v>
      </c>
      <c r="M148" s="626" t="s">
        <v>155</v>
      </c>
      <c r="N148" s="627">
        <f t="shared" ref="N148:N154" si="40">0.5*(MAX(L148:M148)-MIN(L148:M148))</f>
        <v>0</v>
      </c>
      <c r="P148" s="624">
        <v>1</v>
      </c>
      <c r="Q148" s="625">
        <v>960</v>
      </c>
      <c r="R148" s="625">
        <f>MAX(R149:R154)</f>
        <v>4</v>
      </c>
      <c r="S148" s="629">
        <v>0.9</v>
      </c>
      <c r="T148" s="626" t="s">
        <v>155</v>
      </c>
      <c r="U148" s="627">
        <f t="shared" ref="U148:U154" si="41">0.5*(MAX(S148:T148)-MIN(S148:T148))</f>
        <v>0</v>
      </c>
      <c r="W148" s="631" t="s">
        <v>451</v>
      </c>
      <c r="X148" s="632">
        <v>2.4</v>
      </c>
    </row>
    <row r="149" spans="1:24" ht="13">
      <c r="A149" s="1050"/>
      <c r="B149" s="624">
        <v>2</v>
      </c>
      <c r="C149" s="625">
        <v>20</v>
      </c>
      <c r="D149" s="625">
        <v>0.2</v>
      </c>
      <c r="E149" s="625">
        <v>-0.1</v>
      </c>
      <c r="F149" s="626" t="s">
        <v>155</v>
      </c>
      <c r="G149" s="627">
        <f t="shared" si="39"/>
        <v>0</v>
      </c>
      <c r="I149" s="624">
        <v>2</v>
      </c>
      <c r="J149" s="625">
        <v>40</v>
      </c>
      <c r="K149" s="625">
        <v>-0.4</v>
      </c>
      <c r="L149" s="625">
        <v>0.3</v>
      </c>
      <c r="M149" s="626" t="s">
        <v>155</v>
      </c>
      <c r="N149" s="627">
        <f t="shared" si="40"/>
        <v>0</v>
      </c>
      <c r="P149" s="624">
        <v>2</v>
      </c>
      <c r="Q149" s="625">
        <v>970</v>
      </c>
      <c r="R149" s="625">
        <v>4</v>
      </c>
      <c r="S149" s="629">
        <v>1</v>
      </c>
      <c r="T149" s="626" t="s">
        <v>155</v>
      </c>
      <c r="U149" s="627">
        <f t="shared" si="41"/>
        <v>0</v>
      </c>
    </row>
    <row r="150" spans="1:24" ht="13">
      <c r="A150" s="1050"/>
      <c r="B150" s="624">
        <v>3</v>
      </c>
      <c r="C150" s="625">
        <v>25</v>
      </c>
      <c r="D150" s="625">
        <v>-0.1</v>
      </c>
      <c r="E150" s="625">
        <v>-0.1</v>
      </c>
      <c r="F150" s="626" t="s">
        <v>155</v>
      </c>
      <c r="G150" s="627">
        <f t="shared" si="39"/>
        <v>0</v>
      </c>
      <c r="I150" s="624">
        <v>3</v>
      </c>
      <c r="J150" s="625">
        <v>50</v>
      </c>
      <c r="K150" s="625">
        <v>0</v>
      </c>
      <c r="L150" s="625">
        <v>-0.2</v>
      </c>
      <c r="M150" s="626" t="s">
        <v>155</v>
      </c>
      <c r="N150" s="627">
        <f t="shared" si="40"/>
        <v>0</v>
      </c>
      <c r="P150" s="624">
        <v>3</v>
      </c>
      <c r="Q150" s="633">
        <v>980</v>
      </c>
      <c r="R150" s="625">
        <v>3.9</v>
      </c>
      <c r="S150" s="634">
        <v>1</v>
      </c>
      <c r="T150" s="626" t="s">
        <v>155</v>
      </c>
      <c r="U150" s="627">
        <f t="shared" si="41"/>
        <v>0</v>
      </c>
    </row>
    <row r="151" spans="1:24" ht="13">
      <c r="A151" s="1050"/>
      <c r="B151" s="624">
        <v>4</v>
      </c>
      <c r="C151" s="633">
        <v>30</v>
      </c>
      <c r="D151" s="625">
        <v>-0.4</v>
      </c>
      <c r="E151" s="633">
        <v>-0.3</v>
      </c>
      <c r="F151" s="634" t="s">
        <v>155</v>
      </c>
      <c r="G151" s="627">
        <f t="shared" si="39"/>
        <v>0</v>
      </c>
      <c r="I151" s="624">
        <v>4</v>
      </c>
      <c r="J151" s="633">
        <v>60</v>
      </c>
      <c r="K151" s="625">
        <v>0.3</v>
      </c>
      <c r="L151" s="633">
        <v>-0.6</v>
      </c>
      <c r="M151" s="634" t="s">
        <v>155</v>
      </c>
      <c r="N151" s="627">
        <f t="shared" si="40"/>
        <v>0</v>
      </c>
      <c r="P151" s="624">
        <v>4</v>
      </c>
      <c r="Q151" s="633">
        <v>990</v>
      </c>
      <c r="R151" s="625">
        <v>3.9</v>
      </c>
      <c r="S151" s="634">
        <v>1.1000000000000001</v>
      </c>
      <c r="T151" s="634" t="s">
        <v>155</v>
      </c>
      <c r="U151" s="627">
        <f t="shared" si="41"/>
        <v>0</v>
      </c>
    </row>
    <row r="152" spans="1:24" ht="13">
      <c r="A152" s="1050"/>
      <c r="B152" s="624">
        <v>5</v>
      </c>
      <c r="C152" s="633">
        <v>35</v>
      </c>
      <c r="D152" s="625">
        <v>-0.6</v>
      </c>
      <c r="E152" s="633">
        <v>-0.6</v>
      </c>
      <c r="F152" s="634" t="s">
        <v>155</v>
      </c>
      <c r="G152" s="627">
        <f t="shared" si="39"/>
        <v>0</v>
      </c>
      <c r="I152" s="624">
        <v>5</v>
      </c>
      <c r="J152" s="633">
        <v>70</v>
      </c>
      <c r="K152" s="625">
        <v>0.7</v>
      </c>
      <c r="L152" s="633">
        <v>-0.8</v>
      </c>
      <c r="M152" s="634" t="s">
        <v>155</v>
      </c>
      <c r="N152" s="627">
        <f t="shared" si="40"/>
        <v>0</v>
      </c>
      <c r="P152" s="624">
        <v>5</v>
      </c>
      <c r="Q152" s="633">
        <v>1000</v>
      </c>
      <c r="R152" s="625">
        <v>3.8</v>
      </c>
      <c r="S152" s="634">
        <v>1.1000000000000001</v>
      </c>
      <c r="T152" s="634" t="s">
        <v>155</v>
      </c>
      <c r="U152" s="627">
        <f t="shared" si="41"/>
        <v>0</v>
      </c>
    </row>
    <row r="153" spans="1:24" ht="13">
      <c r="A153" s="1050"/>
      <c r="B153" s="624">
        <v>6</v>
      </c>
      <c r="C153" s="633">
        <v>37</v>
      </c>
      <c r="D153" s="625">
        <v>-0.7</v>
      </c>
      <c r="E153" s="633">
        <v>-0.8</v>
      </c>
      <c r="F153" s="634" t="s">
        <v>155</v>
      </c>
      <c r="G153" s="627">
        <f t="shared" si="39"/>
        <v>0</v>
      </c>
      <c r="I153" s="624">
        <v>6</v>
      </c>
      <c r="J153" s="633">
        <v>80</v>
      </c>
      <c r="K153" s="625">
        <v>1.1000000000000001</v>
      </c>
      <c r="L153" s="633">
        <v>-0.9</v>
      </c>
      <c r="M153" s="634" t="s">
        <v>155</v>
      </c>
      <c r="N153" s="627">
        <f t="shared" si="40"/>
        <v>0</v>
      </c>
      <c r="P153" s="624">
        <v>6</v>
      </c>
      <c r="Q153" s="633">
        <v>1005</v>
      </c>
      <c r="R153" s="625">
        <v>3.8</v>
      </c>
      <c r="S153" s="634">
        <v>1.1000000000000001</v>
      </c>
      <c r="T153" s="634" t="s">
        <v>155</v>
      </c>
      <c r="U153" s="627">
        <f t="shared" si="41"/>
        <v>0</v>
      </c>
    </row>
    <row r="154" spans="1:24" ht="13">
      <c r="A154" s="1050"/>
      <c r="B154" s="624">
        <v>7</v>
      </c>
      <c r="C154" s="647">
        <v>40</v>
      </c>
      <c r="D154" s="625">
        <v>-0.8</v>
      </c>
      <c r="E154" s="633">
        <v>-1.1000000000000001</v>
      </c>
      <c r="F154" s="634" t="s">
        <v>155</v>
      </c>
      <c r="G154" s="627">
        <f t="shared" si="39"/>
        <v>0</v>
      </c>
      <c r="I154" s="624">
        <v>7</v>
      </c>
      <c r="J154" s="647">
        <v>90</v>
      </c>
      <c r="K154" s="625">
        <v>1.5</v>
      </c>
      <c r="L154" s="633">
        <v>-0.8</v>
      </c>
      <c r="M154" s="634" t="s">
        <v>155</v>
      </c>
      <c r="N154" s="627">
        <f t="shared" si="40"/>
        <v>0</v>
      </c>
      <c r="P154" s="624">
        <v>7</v>
      </c>
      <c r="Q154" s="633">
        <v>1010</v>
      </c>
      <c r="R154" s="625">
        <v>3.7</v>
      </c>
      <c r="S154" s="634">
        <v>9.9999999999999995E-7</v>
      </c>
      <c r="T154" s="634" t="s">
        <v>155</v>
      </c>
      <c r="U154" s="627">
        <f t="shared" si="41"/>
        <v>0</v>
      </c>
    </row>
    <row r="155" spans="1:24" ht="13" thickBot="1">
      <c r="A155" s="649"/>
      <c r="C155" s="650"/>
      <c r="D155" s="639"/>
      <c r="E155" s="651"/>
      <c r="F155" s="650"/>
      <c r="J155" s="650"/>
      <c r="K155" s="639"/>
      <c r="L155" s="651"/>
      <c r="M155" s="650"/>
      <c r="Q155" s="639"/>
      <c r="R155" s="651"/>
      <c r="S155" s="651"/>
      <c r="T155" s="650"/>
    </row>
    <row r="156" spans="1:24">
      <c r="A156" s="1050">
        <v>15</v>
      </c>
      <c r="B156" s="1051" t="s">
        <v>455</v>
      </c>
      <c r="C156" s="1051"/>
      <c r="D156" s="1051"/>
      <c r="E156" s="1051"/>
      <c r="F156" s="1051"/>
      <c r="G156" s="1051"/>
      <c r="I156" s="1051" t="str">
        <f>B156</f>
        <v>KOREKSI EXTECH A.100611</v>
      </c>
      <c r="J156" s="1051"/>
      <c r="K156" s="1051"/>
      <c r="L156" s="1051"/>
      <c r="M156" s="1051"/>
      <c r="N156" s="1051"/>
      <c r="P156" s="1051" t="str">
        <f>I156</f>
        <v>KOREKSI EXTECH A.100611</v>
      </c>
      <c r="Q156" s="1051"/>
      <c r="R156" s="1051"/>
      <c r="S156" s="1051"/>
      <c r="T156" s="1051"/>
      <c r="U156" s="1051"/>
      <c r="W156" s="1057" t="s">
        <v>90</v>
      </c>
      <c r="X156" s="1058"/>
    </row>
    <row r="157" spans="1:24" ht="13">
      <c r="A157" s="1050"/>
      <c r="B157" s="1059" t="s">
        <v>152</v>
      </c>
      <c r="C157" s="1059"/>
      <c r="D157" s="1059" t="s">
        <v>175</v>
      </c>
      <c r="E157" s="1059"/>
      <c r="F157" s="1059"/>
      <c r="G157" s="1059" t="s">
        <v>154</v>
      </c>
      <c r="I157" s="1059" t="s">
        <v>153</v>
      </c>
      <c r="J157" s="1059"/>
      <c r="K157" s="1059" t="s">
        <v>175</v>
      </c>
      <c r="L157" s="1059"/>
      <c r="M157" s="1059"/>
      <c r="N157" s="1059" t="s">
        <v>154</v>
      </c>
      <c r="P157" s="1059" t="s">
        <v>450</v>
      </c>
      <c r="Q157" s="1059"/>
      <c r="R157" s="1059" t="s">
        <v>175</v>
      </c>
      <c r="S157" s="1059"/>
      <c r="T157" s="1059"/>
      <c r="U157" s="1059" t="s">
        <v>154</v>
      </c>
      <c r="W157" s="621" t="s">
        <v>152</v>
      </c>
      <c r="X157" s="622">
        <v>0.5</v>
      </c>
    </row>
    <row r="158" spans="1:24" ht="14.5">
      <c r="A158" s="1050"/>
      <c r="B158" s="1049" t="s">
        <v>176</v>
      </c>
      <c r="C158" s="1049"/>
      <c r="D158" s="652">
        <v>2022</v>
      </c>
      <c r="E158" s="623">
        <v>2020</v>
      </c>
      <c r="F158" s="645" t="s">
        <v>155</v>
      </c>
      <c r="G158" s="1059"/>
      <c r="I158" s="1048" t="s">
        <v>70</v>
      </c>
      <c r="J158" s="1049"/>
      <c r="K158" s="652">
        <v>2022</v>
      </c>
      <c r="L158" s="646">
        <f>E158</f>
        <v>2020</v>
      </c>
      <c r="M158" s="646" t="str">
        <f>F158</f>
        <v>-</v>
      </c>
      <c r="N158" s="1059"/>
      <c r="P158" s="1048" t="s">
        <v>451</v>
      </c>
      <c r="Q158" s="1049"/>
      <c r="R158" s="652">
        <v>2022</v>
      </c>
      <c r="S158" s="646">
        <f>L158</f>
        <v>2020</v>
      </c>
      <c r="T158" s="646" t="str">
        <f>M158</f>
        <v>-</v>
      </c>
      <c r="U158" s="1059"/>
      <c r="W158" s="621" t="s">
        <v>70</v>
      </c>
      <c r="X158" s="622">
        <v>2.6</v>
      </c>
    </row>
    <row r="159" spans="1:24" ht="13.5" thickBot="1">
      <c r="A159" s="1050"/>
      <c r="B159" s="624">
        <v>1</v>
      </c>
      <c r="C159" s="625">
        <v>15</v>
      </c>
      <c r="D159" s="625">
        <v>0.6</v>
      </c>
      <c r="E159" s="625">
        <v>-0.6</v>
      </c>
      <c r="F159" s="626" t="s">
        <v>155</v>
      </c>
      <c r="G159" s="627">
        <f t="shared" ref="G159:G165" si="42">0.5*(MAX(E159:F159)-MIN(E159:F159))</f>
        <v>0</v>
      </c>
      <c r="I159" s="624">
        <v>1</v>
      </c>
      <c r="J159" s="625">
        <v>30</v>
      </c>
      <c r="K159" s="625">
        <v>-2</v>
      </c>
      <c r="L159" s="625">
        <v>-0.4</v>
      </c>
      <c r="M159" s="626" t="s">
        <v>155</v>
      </c>
      <c r="N159" s="627">
        <f t="shared" ref="N159:N165" si="43">0.5*(MAX(L159:M159)-MIN(L159:M159))</f>
        <v>0</v>
      </c>
      <c r="P159" s="624">
        <v>1</v>
      </c>
      <c r="Q159" s="625">
        <v>960</v>
      </c>
      <c r="R159" s="625">
        <f>MAX(R160:R165)</f>
        <v>4.5</v>
      </c>
      <c r="S159" s="629">
        <v>0.9</v>
      </c>
      <c r="T159" s="626" t="s">
        <v>155</v>
      </c>
      <c r="U159" s="627">
        <f t="shared" ref="U159:U165" si="44">0.5*(MAX(S159:T159)-MIN(S159:T159))</f>
        <v>0</v>
      </c>
      <c r="W159" s="631" t="s">
        <v>451</v>
      </c>
      <c r="X159" s="632">
        <v>2.6</v>
      </c>
    </row>
    <row r="160" spans="1:24" ht="13">
      <c r="A160" s="1050"/>
      <c r="B160" s="624">
        <v>2</v>
      </c>
      <c r="C160" s="625">
        <v>20</v>
      </c>
      <c r="D160" s="625">
        <v>0.3</v>
      </c>
      <c r="E160" s="625">
        <v>-0.5</v>
      </c>
      <c r="F160" s="626" t="s">
        <v>155</v>
      </c>
      <c r="G160" s="627">
        <f t="shared" si="42"/>
        <v>0</v>
      </c>
      <c r="I160" s="624">
        <v>2</v>
      </c>
      <c r="J160" s="625">
        <v>40</v>
      </c>
      <c r="K160" s="625">
        <v>-1.7</v>
      </c>
      <c r="L160" s="625">
        <v>-0.3</v>
      </c>
      <c r="M160" s="626" t="s">
        <v>155</v>
      </c>
      <c r="N160" s="627">
        <f t="shared" si="43"/>
        <v>0</v>
      </c>
      <c r="P160" s="624">
        <v>2</v>
      </c>
      <c r="Q160" s="625">
        <v>970</v>
      </c>
      <c r="R160" s="625">
        <v>4.5</v>
      </c>
      <c r="S160" s="629">
        <v>1</v>
      </c>
      <c r="T160" s="626" t="s">
        <v>155</v>
      </c>
      <c r="U160" s="627">
        <f t="shared" si="44"/>
        <v>0</v>
      </c>
    </row>
    <row r="161" spans="1:24" ht="13">
      <c r="A161" s="1050"/>
      <c r="B161" s="624">
        <v>3</v>
      </c>
      <c r="C161" s="625">
        <v>25</v>
      </c>
      <c r="D161" s="625">
        <v>0.2</v>
      </c>
      <c r="E161" s="625">
        <v>-0.4</v>
      </c>
      <c r="F161" s="626" t="s">
        <v>155</v>
      </c>
      <c r="G161" s="627">
        <f t="shared" si="42"/>
        <v>0</v>
      </c>
      <c r="I161" s="624">
        <v>3</v>
      </c>
      <c r="J161" s="625">
        <v>50</v>
      </c>
      <c r="K161" s="625">
        <v>-1.4</v>
      </c>
      <c r="L161" s="625">
        <v>-0.3</v>
      </c>
      <c r="M161" s="626" t="s">
        <v>155</v>
      </c>
      <c r="N161" s="627">
        <f t="shared" si="43"/>
        <v>0</v>
      </c>
      <c r="P161" s="624">
        <v>3</v>
      </c>
      <c r="Q161" s="633">
        <v>980</v>
      </c>
      <c r="R161" s="625">
        <v>4.3</v>
      </c>
      <c r="S161" s="634">
        <v>1</v>
      </c>
      <c r="T161" s="626" t="s">
        <v>155</v>
      </c>
      <c r="U161" s="627">
        <f t="shared" si="44"/>
        <v>0</v>
      </c>
    </row>
    <row r="162" spans="1:24" ht="13">
      <c r="A162" s="1050"/>
      <c r="B162" s="624">
        <v>4</v>
      </c>
      <c r="C162" s="633">
        <v>30</v>
      </c>
      <c r="D162" s="625">
        <v>0.4</v>
      </c>
      <c r="E162" s="633">
        <v>-0.2</v>
      </c>
      <c r="F162" s="634" t="s">
        <v>155</v>
      </c>
      <c r="G162" s="627">
        <f t="shared" si="42"/>
        <v>0</v>
      </c>
      <c r="I162" s="624">
        <v>4</v>
      </c>
      <c r="J162" s="633">
        <v>60</v>
      </c>
      <c r="K162" s="625">
        <v>-1.1000000000000001</v>
      </c>
      <c r="L162" s="633">
        <v>-0.5</v>
      </c>
      <c r="M162" s="634" t="s">
        <v>155</v>
      </c>
      <c r="N162" s="627">
        <f t="shared" si="43"/>
        <v>0</v>
      </c>
      <c r="P162" s="624">
        <v>4</v>
      </c>
      <c r="Q162" s="633">
        <v>990</v>
      </c>
      <c r="R162" s="625">
        <v>4.2</v>
      </c>
      <c r="S162" s="634">
        <v>1.1000000000000001</v>
      </c>
      <c r="T162" s="634" t="s">
        <v>155</v>
      </c>
      <c r="U162" s="627">
        <f t="shared" si="44"/>
        <v>0</v>
      </c>
    </row>
    <row r="163" spans="1:24" ht="13">
      <c r="A163" s="1050"/>
      <c r="B163" s="624">
        <v>5</v>
      </c>
      <c r="C163" s="633">
        <v>35</v>
      </c>
      <c r="D163" s="625">
        <v>0.8</v>
      </c>
      <c r="E163" s="633">
        <v>-0.1</v>
      </c>
      <c r="F163" s="634" t="s">
        <v>155</v>
      </c>
      <c r="G163" s="627">
        <f t="shared" si="42"/>
        <v>0</v>
      </c>
      <c r="I163" s="624">
        <v>5</v>
      </c>
      <c r="J163" s="633">
        <v>70</v>
      </c>
      <c r="K163" s="625">
        <v>-0.7</v>
      </c>
      <c r="L163" s="633">
        <v>-0.8</v>
      </c>
      <c r="M163" s="634" t="s">
        <v>155</v>
      </c>
      <c r="N163" s="627">
        <f t="shared" si="43"/>
        <v>0</v>
      </c>
      <c r="P163" s="624">
        <v>5</v>
      </c>
      <c r="Q163" s="633">
        <v>1000</v>
      </c>
      <c r="R163" s="625">
        <v>4.0999999999999996</v>
      </c>
      <c r="S163" s="634">
        <v>1.1000000000000001</v>
      </c>
      <c r="T163" s="634" t="s">
        <v>155</v>
      </c>
      <c r="U163" s="627">
        <f t="shared" si="44"/>
        <v>0</v>
      </c>
    </row>
    <row r="164" spans="1:24" ht="13">
      <c r="A164" s="1050"/>
      <c r="B164" s="624">
        <v>6</v>
      </c>
      <c r="C164" s="633">
        <v>37</v>
      </c>
      <c r="D164" s="625">
        <v>1</v>
      </c>
      <c r="E164" s="633">
        <v>-0.1</v>
      </c>
      <c r="F164" s="634" t="s">
        <v>155</v>
      </c>
      <c r="G164" s="627">
        <f t="shared" si="42"/>
        <v>0</v>
      </c>
      <c r="I164" s="624">
        <v>6</v>
      </c>
      <c r="J164" s="633">
        <v>80</v>
      </c>
      <c r="K164" s="625">
        <v>-0.4</v>
      </c>
      <c r="L164" s="633">
        <v>-1.3</v>
      </c>
      <c r="M164" s="634" t="s">
        <v>155</v>
      </c>
      <c r="N164" s="627">
        <f t="shared" si="43"/>
        <v>0</v>
      </c>
      <c r="P164" s="624">
        <v>6</v>
      </c>
      <c r="Q164" s="633">
        <v>1005</v>
      </c>
      <c r="R164" s="625">
        <v>4</v>
      </c>
      <c r="S164" s="634">
        <v>1.1000000000000001</v>
      </c>
      <c r="T164" s="634" t="s">
        <v>155</v>
      </c>
      <c r="U164" s="627">
        <f t="shared" si="44"/>
        <v>0</v>
      </c>
    </row>
    <row r="165" spans="1:24" ht="13">
      <c r="A165" s="1050"/>
      <c r="B165" s="624">
        <v>7</v>
      </c>
      <c r="C165" s="647">
        <v>40</v>
      </c>
      <c r="D165" s="625">
        <v>1.4</v>
      </c>
      <c r="E165" s="626">
        <v>9.9999999999999995E-7</v>
      </c>
      <c r="F165" s="634" t="s">
        <v>155</v>
      </c>
      <c r="G165" s="627">
        <f t="shared" si="42"/>
        <v>0</v>
      </c>
      <c r="I165" s="624">
        <v>7</v>
      </c>
      <c r="J165" s="647">
        <v>90</v>
      </c>
      <c r="K165" s="625">
        <v>-0.1</v>
      </c>
      <c r="L165" s="633">
        <v>-2</v>
      </c>
      <c r="M165" s="634" t="s">
        <v>155</v>
      </c>
      <c r="N165" s="627">
        <f t="shared" si="43"/>
        <v>0</v>
      </c>
      <c r="P165" s="624">
        <v>7</v>
      </c>
      <c r="Q165" s="633">
        <v>1010</v>
      </c>
      <c r="R165" s="625">
        <v>3.9</v>
      </c>
      <c r="S165" s="634">
        <v>9.9999999999999995E-7</v>
      </c>
      <c r="T165" s="634" t="s">
        <v>155</v>
      </c>
      <c r="U165" s="627">
        <f t="shared" si="44"/>
        <v>0</v>
      </c>
    </row>
    <row r="166" spans="1:24" ht="13" thickBot="1">
      <c r="A166" s="649"/>
      <c r="C166" s="650"/>
      <c r="D166" s="639"/>
      <c r="E166" s="651"/>
      <c r="F166" s="650"/>
      <c r="I166" s="650"/>
      <c r="J166" s="639"/>
      <c r="K166" s="651"/>
      <c r="L166" s="650"/>
      <c r="O166" s="639"/>
      <c r="P166" s="651"/>
      <c r="Q166" s="651"/>
      <c r="R166" s="650"/>
    </row>
    <row r="167" spans="1:24">
      <c r="A167" s="1050">
        <v>16</v>
      </c>
      <c r="B167" s="1051" t="s">
        <v>456</v>
      </c>
      <c r="C167" s="1051"/>
      <c r="D167" s="1051"/>
      <c r="E167" s="1051"/>
      <c r="F167" s="1051"/>
      <c r="G167" s="1051"/>
      <c r="I167" s="1051" t="str">
        <f>B167</f>
        <v>KOREKSI EXTECH A.100616</v>
      </c>
      <c r="J167" s="1051"/>
      <c r="K167" s="1051"/>
      <c r="L167" s="1051"/>
      <c r="M167" s="1051"/>
      <c r="N167" s="1051"/>
      <c r="P167" s="1051" t="str">
        <f>I167</f>
        <v>KOREKSI EXTECH A.100616</v>
      </c>
      <c r="Q167" s="1051"/>
      <c r="R167" s="1051"/>
      <c r="S167" s="1051"/>
      <c r="T167" s="1051"/>
      <c r="U167" s="1051"/>
      <c r="W167" s="1057" t="s">
        <v>90</v>
      </c>
      <c r="X167" s="1058"/>
    </row>
    <row r="168" spans="1:24" ht="13">
      <c r="A168" s="1050"/>
      <c r="B168" s="1059" t="s">
        <v>152</v>
      </c>
      <c r="C168" s="1059"/>
      <c r="D168" s="1059" t="s">
        <v>175</v>
      </c>
      <c r="E168" s="1059"/>
      <c r="F168" s="1059"/>
      <c r="G168" s="1059" t="s">
        <v>154</v>
      </c>
      <c r="I168" s="1059" t="s">
        <v>153</v>
      </c>
      <c r="J168" s="1059"/>
      <c r="K168" s="1059" t="s">
        <v>175</v>
      </c>
      <c r="L168" s="1059"/>
      <c r="M168" s="1059"/>
      <c r="N168" s="1059" t="s">
        <v>154</v>
      </c>
      <c r="P168" s="1059" t="s">
        <v>450</v>
      </c>
      <c r="Q168" s="1059"/>
      <c r="R168" s="1059" t="s">
        <v>175</v>
      </c>
      <c r="S168" s="1059"/>
      <c r="T168" s="1059"/>
      <c r="U168" s="1059" t="s">
        <v>154</v>
      </c>
      <c r="W168" s="621" t="s">
        <v>152</v>
      </c>
      <c r="X168" s="622">
        <v>0.4</v>
      </c>
    </row>
    <row r="169" spans="1:24" ht="14.5">
      <c r="A169" s="1050"/>
      <c r="B169" s="1049" t="s">
        <v>176</v>
      </c>
      <c r="C169" s="1049"/>
      <c r="D169" s="623">
        <v>2020</v>
      </c>
      <c r="E169" s="645" t="s">
        <v>155</v>
      </c>
      <c r="F169" s="623">
        <v>2016</v>
      </c>
      <c r="G169" s="1059"/>
      <c r="I169" s="1048" t="s">
        <v>70</v>
      </c>
      <c r="J169" s="1049"/>
      <c r="K169" s="646">
        <f>D169</f>
        <v>2020</v>
      </c>
      <c r="L169" s="646" t="str">
        <f>E169</f>
        <v>-</v>
      </c>
      <c r="M169" s="623">
        <v>2016</v>
      </c>
      <c r="N169" s="1059"/>
      <c r="P169" s="1048" t="s">
        <v>451</v>
      </c>
      <c r="Q169" s="1049"/>
      <c r="R169" s="646">
        <f>K169</f>
        <v>2020</v>
      </c>
      <c r="S169" s="646" t="str">
        <f>L169</f>
        <v>-</v>
      </c>
      <c r="T169" s="623">
        <v>2016</v>
      </c>
      <c r="U169" s="1059"/>
      <c r="W169" s="621" t="s">
        <v>70</v>
      </c>
      <c r="X169" s="622">
        <v>2.2000000000000002</v>
      </c>
    </row>
    <row r="170" spans="1:24" ht="13.5" thickBot="1">
      <c r="A170" s="1050"/>
      <c r="B170" s="624">
        <v>1</v>
      </c>
      <c r="C170" s="625">
        <v>15</v>
      </c>
      <c r="D170" s="625">
        <v>0.1</v>
      </c>
      <c r="E170" s="626" t="s">
        <v>155</v>
      </c>
      <c r="F170" s="630"/>
      <c r="G170" s="627">
        <f>0.5*(MAX(D170:F170)-MIN(D170:F170))</f>
        <v>0</v>
      </c>
      <c r="I170" s="624">
        <v>1</v>
      </c>
      <c r="J170" s="625">
        <v>30</v>
      </c>
      <c r="K170" s="625">
        <v>-1.6</v>
      </c>
      <c r="L170" s="626" t="s">
        <v>155</v>
      </c>
      <c r="M170" s="630"/>
      <c r="N170" s="627">
        <f>0.5*(MAX(K170:M170)-MIN(K170:M170))</f>
        <v>0</v>
      </c>
      <c r="P170" s="624">
        <v>1</v>
      </c>
      <c r="Q170" s="625">
        <v>800</v>
      </c>
      <c r="R170" s="629">
        <v>-2.9</v>
      </c>
      <c r="S170" s="626" t="s">
        <v>155</v>
      </c>
      <c r="T170" s="630"/>
      <c r="U170" s="627">
        <f>0.5*(MAX(R170:T170)-MIN(R170:T170))</f>
        <v>0</v>
      </c>
      <c r="W170" s="631" t="s">
        <v>451</v>
      </c>
      <c r="X170" s="632">
        <v>2.2999999999999998</v>
      </c>
    </row>
    <row r="171" spans="1:24" ht="13">
      <c r="A171" s="1050"/>
      <c r="B171" s="624">
        <v>2</v>
      </c>
      <c r="C171" s="625">
        <v>20</v>
      </c>
      <c r="D171" s="625">
        <v>0.2</v>
      </c>
      <c r="E171" s="626" t="s">
        <v>155</v>
      </c>
      <c r="F171" s="630"/>
      <c r="G171" s="627">
        <f t="shared" ref="G171:G176" si="45">0.5*(MAX(D171:F171)-MIN(D171:F171))</f>
        <v>0</v>
      </c>
      <c r="I171" s="624">
        <v>2</v>
      </c>
      <c r="J171" s="625">
        <v>40</v>
      </c>
      <c r="K171" s="625">
        <v>-1.4</v>
      </c>
      <c r="L171" s="626" t="s">
        <v>155</v>
      </c>
      <c r="M171" s="630"/>
      <c r="N171" s="627">
        <f t="shared" ref="N171:N176" si="46">0.5*(MAX(K171:M171)-MIN(K171:M171))</f>
        <v>0</v>
      </c>
      <c r="P171" s="624">
        <v>2</v>
      </c>
      <c r="Q171" s="625">
        <v>850</v>
      </c>
      <c r="R171" s="629">
        <v>-2.2999999999999998</v>
      </c>
      <c r="S171" s="626" t="s">
        <v>155</v>
      </c>
      <c r="T171" s="630"/>
      <c r="U171" s="627">
        <f t="shared" ref="U171:U176" si="47">0.5*(MAX(R171:T171)-MIN(R171:T171))</f>
        <v>0</v>
      </c>
    </row>
    <row r="172" spans="1:24" ht="13">
      <c r="A172" s="1050"/>
      <c r="B172" s="624">
        <v>3</v>
      </c>
      <c r="C172" s="625">
        <v>25</v>
      </c>
      <c r="D172" s="625">
        <v>0.2</v>
      </c>
      <c r="E172" s="626" t="s">
        <v>155</v>
      </c>
      <c r="F172" s="630"/>
      <c r="G172" s="627">
        <f t="shared" si="45"/>
        <v>0</v>
      </c>
      <c r="I172" s="624">
        <v>3</v>
      </c>
      <c r="J172" s="625">
        <v>50</v>
      </c>
      <c r="K172" s="625">
        <v>-1.4</v>
      </c>
      <c r="L172" s="626" t="s">
        <v>155</v>
      </c>
      <c r="M172" s="630"/>
      <c r="N172" s="627">
        <f t="shared" si="46"/>
        <v>0</v>
      </c>
      <c r="P172" s="624">
        <v>3</v>
      </c>
      <c r="Q172" s="633">
        <v>900</v>
      </c>
      <c r="R172" s="634">
        <v>-1.7</v>
      </c>
      <c r="S172" s="626" t="s">
        <v>155</v>
      </c>
      <c r="T172" s="630"/>
      <c r="U172" s="627">
        <f t="shared" si="47"/>
        <v>0</v>
      </c>
    </row>
    <row r="173" spans="1:24" ht="13">
      <c r="A173" s="1050"/>
      <c r="B173" s="624">
        <v>4</v>
      </c>
      <c r="C173" s="633">
        <v>30</v>
      </c>
      <c r="D173" s="633">
        <v>0.2</v>
      </c>
      <c r="E173" s="634" t="s">
        <v>155</v>
      </c>
      <c r="F173" s="630"/>
      <c r="G173" s="627">
        <f t="shared" si="45"/>
        <v>0</v>
      </c>
      <c r="I173" s="624">
        <v>4</v>
      </c>
      <c r="J173" s="633">
        <v>60</v>
      </c>
      <c r="K173" s="633">
        <v>-1.5</v>
      </c>
      <c r="L173" s="634" t="s">
        <v>155</v>
      </c>
      <c r="M173" s="630"/>
      <c r="N173" s="627">
        <f t="shared" si="46"/>
        <v>0</v>
      </c>
      <c r="P173" s="624">
        <v>4</v>
      </c>
      <c r="Q173" s="633">
        <v>950</v>
      </c>
      <c r="R173" s="634">
        <v>-1.1000000000000001</v>
      </c>
      <c r="S173" s="634" t="s">
        <v>155</v>
      </c>
      <c r="T173" s="630"/>
      <c r="U173" s="627">
        <f t="shared" si="47"/>
        <v>0</v>
      </c>
    </row>
    <row r="174" spans="1:24" ht="13">
      <c r="A174" s="1050"/>
      <c r="B174" s="624">
        <v>5</v>
      </c>
      <c r="C174" s="633">
        <v>35</v>
      </c>
      <c r="D174" s="633">
        <v>0.1</v>
      </c>
      <c r="E174" s="634" t="s">
        <v>155</v>
      </c>
      <c r="F174" s="630"/>
      <c r="G174" s="627">
        <f t="shared" si="45"/>
        <v>0</v>
      </c>
      <c r="I174" s="624">
        <v>5</v>
      </c>
      <c r="J174" s="633">
        <v>70</v>
      </c>
      <c r="K174" s="633">
        <v>-1.8</v>
      </c>
      <c r="L174" s="634" t="s">
        <v>155</v>
      </c>
      <c r="M174" s="630"/>
      <c r="N174" s="627">
        <f t="shared" si="46"/>
        <v>0</v>
      </c>
      <c r="P174" s="624">
        <v>5</v>
      </c>
      <c r="Q174" s="633">
        <v>1000</v>
      </c>
      <c r="R174" s="634">
        <v>-0.4</v>
      </c>
      <c r="S174" s="634" t="s">
        <v>155</v>
      </c>
      <c r="T174" s="630"/>
      <c r="U174" s="627">
        <f t="shared" si="47"/>
        <v>0</v>
      </c>
    </row>
    <row r="175" spans="1:24" ht="13">
      <c r="A175" s="1050"/>
      <c r="B175" s="624">
        <v>6</v>
      </c>
      <c r="C175" s="633">
        <v>37</v>
      </c>
      <c r="D175" s="626">
        <v>9.9999999999999995E-7</v>
      </c>
      <c r="E175" s="634" t="s">
        <v>155</v>
      </c>
      <c r="F175" s="630"/>
      <c r="G175" s="627">
        <f t="shared" si="45"/>
        <v>0</v>
      </c>
      <c r="I175" s="624">
        <v>6</v>
      </c>
      <c r="J175" s="633">
        <v>80</v>
      </c>
      <c r="K175" s="633">
        <v>-2.2999999999999998</v>
      </c>
      <c r="L175" s="634" t="s">
        <v>155</v>
      </c>
      <c r="M175" s="630"/>
      <c r="N175" s="627">
        <f t="shared" si="46"/>
        <v>0</v>
      </c>
      <c r="P175" s="624">
        <v>6</v>
      </c>
      <c r="Q175" s="633">
        <v>1005</v>
      </c>
      <c r="R175" s="634">
        <v>-0.4</v>
      </c>
      <c r="S175" s="634" t="s">
        <v>155</v>
      </c>
      <c r="T175" s="630"/>
      <c r="U175" s="627">
        <f t="shared" si="47"/>
        <v>0</v>
      </c>
    </row>
    <row r="176" spans="1:24" ht="13">
      <c r="A176" s="1050"/>
      <c r="B176" s="624">
        <v>7</v>
      </c>
      <c r="C176" s="647">
        <v>40</v>
      </c>
      <c r="D176" s="626">
        <v>9.9999999999999995E-7</v>
      </c>
      <c r="E176" s="634" t="s">
        <v>155</v>
      </c>
      <c r="F176" s="630"/>
      <c r="G176" s="627">
        <f t="shared" si="45"/>
        <v>0</v>
      </c>
      <c r="I176" s="624">
        <v>7</v>
      </c>
      <c r="J176" s="647">
        <v>90</v>
      </c>
      <c r="K176" s="633">
        <v>-3</v>
      </c>
      <c r="L176" s="634" t="s">
        <v>155</v>
      </c>
      <c r="M176" s="630"/>
      <c r="N176" s="627">
        <f t="shared" si="46"/>
        <v>0</v>
      </c>
      <c r="P176" s="624">
        <v>7</v>
      </c>
      <c r="Q176" s="633">
        <v>1020</v>
      </c>
      <c r="R176" s="634">
        <v>9.9999999999999995E-7</v>
      </c>
      <c r="S176" s="634" t="s">
        <v>155</v>
      </c>
      <c r="T176" s="630"/>
      <c r="U176" s="627">
        <f t="shared" si="47"/>
        <v>0</v>
      </c>
    </row>
    <row r="177" spans="1:24" ht="13" thickBot="1">
      <c r="A177" s="649"/>
      <c r="C177" s="650"/>
      <c r="D177" s="639"/>
      <c r="E177" s="651"/>
      <c r="F177" s="650"/>
      <c r="J177" s="650"/>
      <c r="K177" s="639"/>
      <c r="L177" s="651"/>
      <c r="M177" s="650"/>
      <c r="Q177" s="639"/>
      <c r="R177" s="651"/>
      <c r="S177" s="651"/>
      <c r="T177" s="650"/>
    </row>
    <row r="178" spans="1:24">
      <c r="A178" s="1050">
        <v>17</v>
      </c>
      <c r="B178" s="1051" t="s">
        <v>457</v>
      </c>
      <c r="C178" s="1051"/>
      <c r="D178" s="1051"/>
      <c r="E178" s="1051"/>
      <c r="F178" s="1051"/>
      <c r="G178" s="1051"/>
      <c r="I178" s="1051" t="str">
        <f>B178</f>
        <v>KOREKSI EXTECH A.100617</v>
      </c>
      <c r="J178" s="1051"/>
      <c r="K178" s="1051"/>
      <c r="L178" s="1051"/>
      <c r="M178" s="1051"/>
      <c r="N178" s="1051"/>
      <c r="P178" s="1051" t="str">
        <f>I178</f>
        <v>KOREKSI EXTECH A.100617</v>
      </c>
      <c r="Q178" s="1051"/>
      <c r="R178" s="1051"/>
      <c r="S178" s="1051"/>
      <c r="T178" s="1051"/>
      <c r="U178" s="1051"/>
      <c r="W178" s="1057" t="s">
        <v>90</v>
      </c>
      <c r="X178" s="1058"/>
    </row>
    <row r="179" spans="1:24" ht="13">
      <c r="A179" s="1050"/>
      <c r="B179" s="1059" t="s">
        <v>152</v>
      </c>
      <c r="C179" s="1059"/>
      <c r="D179" s="1059" t="s">
        <v>175</v>
      </c>
      <c r="E179" s="1059"/>
      <c r="F179" s="1059"/>
      <c r="G179" s="1059" t="s">
        <v>154</v>
      </c>
      <c r="I179" s="1059" t="s">
        <v>153</v>
      </c>
      <c r="J179" s="1059"/>
      <c r="K179" s="1059" t="s">
        <v>175</v>
      </c>
      <c r="L179" s="1059"/>
      <c r="M179" s="1059"/>
      <c r="N179" s="1059" t="s">
        <v>154</v>
      </c>
      <c r="P179" s="1059" t="s">
        <v>450</v>
      </c>
      <c r="Q179" s="1059"/>
      <c r="R179" s="1059" t="s">
        <v>175</v>
      </c>
      <c r="S179" s="1059"/>
      <c r="T179" s="1059"/>
      <c r="U179" s="1059" t="s">
        <v>154</v>
      </c>
      <c r="W179" s="621" t="s">
        <v>152</v>
      </c>
      <c r="X179" s="622">
        <v>0.3</v>
      </c>
    </row>
    <row r="180" spans="1:24" ht="14.5">
      <c r="A180" s="1050"/>
      <c r="B180" s="1049" t="s">
        <v>176</v>
      </c>
      <c r="C180" s="1049"/>
      <c r="D180" s="623">
        <v>2020</v>
      </c>
      <c r="E180" s="645" t="s">
        <v>155</v>
      </c>
      <c r="F180" s="623">
        <v>2016</v>
      </c>
      <c r="G180" s="1059"/>
      <c r="I180" s="1048" t="s">
        <v>70</v>
      </c>
      <c r="J180" s="1049"/>
      <c r="K180" s="646">
        <f>D180</f>
        <v>2020</v>
      </c>
      <c r="L180" s="646" t="str">
        <f>E180</f>
        <v>-</v>
      </c>
      <c r="M180" s="623">
        <v>2016</v>
      </c>
      <c r="N180" s="1059"/>
      <c r="P180" s="1048" t="s">
        <v>451</v>
      </c>
      <c r="Q180" s="1049"/>
      <c r="R180" s="646">
        <f>K180</f>
        <v>2020</v>
      </c>
      <c r="S180" s="646" t="str">
        <f>L180</f>
        <v>-</v>
      </c>
      <c r="T180" s="623">
        <v>2016</v>
      </c>
      <c r="U180" s="1059"/>
      <c r="W180" s="621" t="s">
        <v>70</v>
      </c>
      <c r="X180" s="622">
        <v>2.8</v>
      </c>
    </row>
    <row r="181" spans="1:24" ht="13.5" thickBot="1">
      <c r="A181" s="1050"/>
      <c r="B181" s="624">
        <v>1</v>
      </c>
      <c r="C181" s="625">
        <v>15</v>
      </c>
      <c r="D181" s="625">
        <v>0.1</v>
      </c>
      <c r="E181" s="626" t="s">
        <v>155</v>
      </c>
      <c r="F181" s="630"/>
      <c r="G181" s="627">
        <f>0.5*(MAX(D181:F181)-MIN(D181:F181))</f>
        <v>0</v>
      </c>
      <c r="I181" s="624">
        <v>1</v>
      </c>
      <c r="J181" s="625">
        <v>30</v>
      </c>
      <c r="K181" s="625">
        <v>0.1</v>
      </c>
      <c r="L181" s="626" t="s">
        <v>155</v>
      </c>
      <c r="M181" s="630"/>
      <c r="N181" s="627">
        <f>0.5*(MAX(K181:M181)-MIN(K181:M181))</f>
        <v>0</v>
      </c>
      <c r="P181" s="624">
        <v>1</v>
      </c>
      <c r="Q181" s="625">
        <v>960</v>
      </c>
      <c r="R181" s="629">
        <v>-0.6</v>
      </c>
      <c r="S181" s="626" t="s">
        <v>155</v>
      </c>
      <c r="T181" s="630"/>
      <c r="U181" s="627">
        <f>0.5*(MAX(R181:T181)-MIN(R181:T181))</f>
        <v>0</v>
      </c>
      <c r="W181" s="631" t="s">
        <v>451</v>
      </c>
      <c r="X181" s="632">
        <v>2.1</v>
      </c>
    </row>
    <row r="182" spans="1:24" ht="13">
      <c r="A182" s="1050"/>
      <c r="B182" s="624">
        <v>2</v>
      </c>
      <c r="C182" s="625">
        <v>20</v>
      </c>
      <c r="D182" s="625">
        <v>0.1</v>
      </c>
      <c r="E182" s="626" t="s">
        <v>155</v>
      </c>
      <c r="F182" s="630"/>
      <c r="G182" s="627">
        <f t="shared" ref="G182:G187" si="48">0.5*(MAX(D182:F182)-MIN(D182:F182))</f>
        <v>0</v>
      </c>
      <c r="I182" s="624">
        <v>2</v>
      </c>
      <c r="J182" s="625">
        <v>40</v>
      </c>
      <c r="K182" s="625">
        <v>0.2</v>
      </c>
      <c r="L182" s="626" t="s">
        <v>155</v>
      </c>
      <c r="M182" s="630"/>
      <c r="N182" s="627">
        <f t="shared" ref="N182:N187" si="49">0.5*(MAX(K182:M182)-MIN(K182:M182))</f>
        <v>0</v>
      </c>
      <c r="P182" s="624">
        <v>2</v>
      </c>
      <c r="Q182" s="625">
        <v>970</v>
      </c>
      <c r="R182" s="629">
        <v>-0.6</v>
      </c>
      <c r="S182" s="626" t="s">
        <v>155</v>
      </c>
      <c r="T182" s="630"/>
      <c r="U182" s="627">
        <f t="shared" ref="U182:U187" si="50">0.5*(MAX(R182:T182)-MIN(R182:T182))</f>
        <v>0</v>
      </c>
    </row>
    <row r="183" spans="1:24" ht="13">
      <c r="A183" s="1050"/>
      <c r="B183" s="624">
        <v>3</v>
      </c>
      <c r="C183" s="625">
        <v>25</v>
      </c>
      <c r="D183" s="625">
        <v>0</v>
      </c>
      <c r="E183" s="626" t="s">
        <v>155</v>
      </c>
      <c r="F183" s="630"/>
      <c r="G183" s="627">
        <f t="shared" si="48"/>
        <v>0</v>
      </c>
      <c r="I183" s="624">
        <v>3</v>
      </c>
      <c r="J183" s="625">
        <v>50</v>
      </c>
      <c r="K183" s="625">
        <v>0.2</v>
      </c>
      <c r="L183" s="626" t="s">
        <v>155</v>
      </c>
      <c r="M183" s="630"/>
      <c r="N183" s="627">
        <f t="shared" si="49"/>
        <v>0</v>
      </c>
      <c r="P183" s="624">
        <v>3</v>
      </c>
      <c r="Q183" s="633">
        <v>980</v>
      </c>
      <c r="R183" s="634">
        <v>-0.6</v>
      </c>
      <c r="S183" s="626" t="s">
        <v>155</v>
      </c>
      <c r="T183" s="630"/>
      <c r="U183" s="627">
        <f t="shared" si="50"/>
        <v>0</v>
      </c>
    </row>
    <row r="184" spans="1:24" ht="13">
      <c r="A184" s="1050"/>
      <c r="B184" s="624">
        <v>4</v>
      </c>
      <c r="C184" s="633">
        <v>30</v>
      </c>
      <c r="D184" s="633">
        <v>-0.2</v>
      </c>
      <c r="E184" s="634" t="s">
        <v>155</v>
      </c>
      <c r="F184" s="630"/>
      <c r="G184" s="627">
        <f t="shared" si="48"/>
        <v>0</v>
      </c>
      <c r="I184" s="624">
        <v>4</v>
      </c>
      <c r="J184" s="633">
        <v>60</v>
      </c>
      <c r="K184" s="633">
        <v>0</v>
      </c>
      <c r="L184" s="634" t="s">
        <v>155</v>
      </c>
      <c r="M184" s="630"/>
      <c r="N184" s="627">
        <f t="shared" si="49"/>
        <v>0</v>
      </c>
      <c r="P184" s="624">
        <v>4</v>
      </c>
      <c r="Q184" s="633">
        <v>990</v>
      </c>
      <c r="R184" s="634">
        <v>-0.6</v>
      </c>
      <c r="S184" s="634" t="s">
        <v>155</v>
      </c>
      <c r="T184" s="630"/>
      <c r="U184" s="627">
        <f t="shared" si="50"/>
        <v>0</v>
      </c>
    </row>
    <row r="185" spans="1:24" ht="13">
      <c r="A185" s="1050"/>
      <c r="B185" s="624">
        <v>5</v>
      </c>
      <c r="C185" s="633">
        <v>35</v>
      </c>
      <c r="D185" s="633">
        <v>-0.5</v>
      </c>
      <c r="E185" s="634" t="s">
        <v>155</v>
      </c>
      <c r="F185" s="630"/>
      <c r="G185" s="627">
        <f t="shared" si="48"/>
        <v>0</v>
      </c>
      <c r="I185" s="624">
        <v>5</v>
      </c>
      <c r="J185" s="633">
        <v>70</v>
      </c>
      <c r="K185" s="633">
        <v>-0.3</v>
      </c>
      <c r="L185" s="634" t="s">
        <v>155</v>
      </c>
      <c r="M185" s="630"/>
      <c r="N185" s="627">
        <f t="shared" si="49"/>
        <v>0</v>
      </c>
      <c r="P185" s="624">
        <v>5</v>
      </c>
      <c r="Q185" s="633">
        <v>1000</v>
      </c>
      <c r="R185" s="634">
        <v>-0.6</v>
      </c>
      <c r="S185" s="634" t="s">
        <v>155</v>
      </c>
      <c r="T185" s="630"/>
      <c r="U185" s="627">
        <f t="shared" si="50"/>
        <v>0</v>
      </c>
    </row>
    <row r="186" spans="1:24" ht="13">
      <c r="A186" s="1050"/>
      <c r="B186" s="624">
        <v>6</v>
      </c>
      <c r="C186" s="633">
        <v>37</v>
      </c>
      <c r="D186" s="633">
        <v>-0.6</v>
      </c>
      <c r="E186" s="634" t="s">
        <v>155</v>
      </c>
      <c r="F186" s="630"/>
      <c r="G186" s="627">
        <f t="shared" si="48"/>
        <v>0</v>
      </c>
      <c r="I186" s="624">
        <v>6</v>
      </c>
      <c r="J186" s="633">
        <v>80</v>
      </c>
      <c r="K186" s="633">
        <v>-0.8</v>
      </c>
      <c r="L186" s="634" t="s">
        <v>155</v>
      </c>
      <c r="M186" s="630"/>
      <c r="N186" s="627">
        <f t="shared" si="49"/>
        <v>0</v>
      </c>
      <c r="P186" s="624">
        <v>6</v>
      </c>
      <c r="Q186" s="633">
        <v>1005</v>
      </c>
      <c r="R186" s="634">
        <v>-0.6</v>
      </c>
      <c r="S186" s="634" t="s">
        <v>155</v>
      </c>
      <c r="T186" s="630"/>
      <c r="U186" s="627">
        <f t="shared" si="50"/>
        <v>0</v>
      </c>
    </row>
    <row r="187" spans="1:24" ht="13">
      <c r="A187" s="1050"/>
      <c r="B187" s="624">
        <v>7</v>
      </c>
      <c r="C187" s="647">
        <v>40</v>
      </c>
      <c r="D187" s="633">
        <v>-0.8</v>
      </c>
      <c r="E187" s="634" t="s">
        <v>155</v>
      </c>
      <c r="F187" s="630"/>
      <c r="G187" s="627">
        <f t="shared" si="48"/>
        <v>0</v>
      </c>
      <c r="I187" s="624">
        <v>7</v>
      </c>
      <c r="J187" s="647">
        <v>90</v>
      </c>
      <c r="K187" s="633">
        <v>-1.4</v>
      </c>
      <c r="L187" s="634" t="s">
        <v>155</v>
      </c>
      <c r="M187" s="630"/>
      <c r="N187" s="627">
        <f t="shared" si="49"/>
        <v>0</v>
      </c>
      <c r="P187" s="624">
        <v>7</v>
      </c>
      <c r="Q187" s="633">
        <v>1020</v>
      </c>
      <c r="R187" s="634">
        <v>9.9999999999999995E-7</v>
      </c>
      <c r="S187" s="634" t="s">
        <v>155</v>
      </c>
      <c r="T187" s="630"/>
      <c r="U187" s="627">
        <f t="shared" si="50"/>
        <v>0</v>
      </c>
    </row>
    <row r="188" spans="1:24" ht="13" thickBot="1">
      <c r="A188" s="649"/>
      <c r="C188" s="650"/>
      <c r="D188" s="639"/>
      <c r="E188" s="651"/>
      <c r="F188" s="650"/>
      <c r="J188" s="650"/>
      <c r="K188" s="639"/>
      <c r="L188" s="651"/>
      <c r="M188" s="650"/>
      <c r="Q188" s="639"/>
      <c r="R188" s="651"/>
      <c r="S188" s="651"/>
      <c r="T188" s="650"/>
    </row>
    <row r="189" spans="1:24">
      <c r="A189" s="1050">
        <v>18</v>
      </c>
      <c r="B189" s="1051" t="s">
        <v>458</v>
      </c>
      <c r="C189" s="1051"/>
      <c r="D189" s="1051"/>
      <c r="E189" s="1051"/>
      <c r="F189" s="1051"/>
      <c r="G189" s="1051"/>
      <c r="I189" s="1051" t="str">
        <f>B189</f>
        <v>KOREKSI EXTECH A.100618</v>
      </c>
      <c r="J189" s="1051"/>
      <c r="K189" s="1051"/>
      <c r="L189" s="1051"/>
      <c r="M189" s="1051"/>
      <c r="N189" s="1051"/>
      <c r="P189" s="1051" t="str">
        <f>I189</f>
        <v>KOREKSI EXTECH A.100618</v>
      </c>
      <c r="Q189" s="1051"/>
      <c r="R189" s="1051"/>
      <c r="S189" s="1051"/>
      <c r="T189" s="1051"/>
      <c r="U189" s="1051"/>
      <c r="W189" s="1057" t="s">
        <v>90</v>
      </c>
      <c r="X189" s="1058"/>
    </row>
    <row r="190" spans="1:24" ht="13">
      <c r="A190" s="1050"/>
      <c r="B190" s="1059" t="s">
        <v>152</v>
      </c>
      <c r="C190" s="1059"/>
      <c r="D190" s="1059" t="s">
        <v>175</v>
      </c>
      <c r="E190" s="1059"/>
      <c r="F190" s="1059"/>
      <c r="G190" s="1059" t="s">
        <v>154</v>
      </c>
      <c r="I190" s="1059" t="s">
        <v>153</v>
      </c>
      <c r="J190" s="1059"/>
      <c r="K190" s="1059" t="s">
        <v>175</v>
      </c>
      <c r="L190" s="1059"/>
      <c r="M190" s="1059"/>
      <c r="N190" s="1059" t="s">
        <v>154</v>
      </c>
      <c r="P190" s="1059" t="s">
        <v>450</v>
      </c>
      <c r="Q190" s="1059"/>
      <c r="R190" s="1059" t="s">
        <v>175</v>
      </c>
      <c r="S190" s="1059"/>
      <c r="T190" s="1059"/>
      <c r="U190" s="1059" t="s">
        <v>154</v>
      </c>
      <c r="W190" s="621" t="s">
        <v>152</v>
      </c>
      <c r="X190" s="622">
        <v>0.3</v>
      </c>
    </row>
    <row r="191" spans="1:24" ht="14.5">
      <c r="A191" s="1050"/>
      <c r="B191" s="1049" t="s">
        <v>176</v>
      </c>
      <c r="C191" s="1049"/>
      <c r="D191" s="623">
        <v>2020</v>
      </c>
      <c r="E191" s="645" t="s">
        <v>155</v>
      </c>
      <c r="F191" s="623">
        <v>2016</v>
      </c>
      <c r="G191" s="1059"/>
      <c r="I191" s="1048" t="s">
        <v>70</v>
      </c>
      <c r="J191" s="1049"/>
      <c r="K191" s="646">
        <f>D191</f>
        <v>2020</v>
      </c>
      <c r="L191" s="646" t="str">
        <f>E191</f>
        <v>-</v>
      </c>
      <c r="M191" s="623">
        <v>2016</v>
      </c>
      <c r="N191" s="1059"/>
      <c r="P191" s="1048" t="s">
        <v>451</v>
      </c>
      <c r="Q191" s="1049"/>
      <c r="R191" s="646">
        <f>K191</f>
        <v>2020</v>
      </c>
      <c r="S191" s="646" t="str">
        <f>L191</f>
        <v>-</v>
      </c>
      <c r="T191" s="623">
        <v>2016</v>
      </c>
      <c r="U191" s="1059"/>
      <c r="W191" s="621" t="s">
        <v>70</v>
      </c>
      <c r="X191" s="622">
        <v>1.6</v>
      </c>
    </row>
    <row r="192" spans="1:24" ht="13.5" thickBot="1">
      <c r="A192" s="1050"/>
      <c r="B192" s="624">
        <v>1</v>
      </c>
      <c r="C192" s="625">
        <v>15</v>
      </c>
      <c r="D192" s="626">
        <v>9.9999999999999995E-7</v>
      </c>
      <c r="E192" s="626" t="s">
        <v>155</v>
      </c>
      <c r="F192" s="630"/>
      <c r="G192" s="627">
        <f>0.5*(MAX(D192:F192)-MIN(D192:F192))</f>
        <v>0</v>
      </c>
      <c r="I192" s="624">
        <v>1</v>
      </c>
      <c r="J192" s="625">
        <v>30</v>
      </c>
      <c r="K192" s="625">
        <v>-0.4</v>
      </c>
      <c r="L192" s="626" t="s">
        <v>155</v>
      </c>
      <c r="M192" s="630"/>
      <c r="N192" s="627">
        <f>0.5*(MAX(K192:M192)-MIN(K192:M192))</f>
        <v>0</v>
      </c>
      <c r="P192" s="624">
        <v>1</v>
      </c>
      <c r="Q192" s="625">
        <v>800</v>
      </c>
      <c r="R192" s="629">
        <v>-1.5</v>
      </c>
      <c r="S192" s="626" t="s">
        <v>155</v>
      </c>
      <c r="T192" s="630"/>
      <c r="U192" s="627">
        <f>0.5*(MAX(R192:T192)-MIN(R192:T192))</f>
        <v>0</v>
      </c>
      <c r="W192" s="631" t="s">
        <v>451</v>
      </c>
      <c r="X192" s="632">
        <v>2.4</v>
      </c>
    </row>
    <row r="193" spans="1:24" ht="13">
      <c r="A193" s="1050"/>
      <c r="B193" s="624">
        <v>2</v>
      </c>
      <c r="C193" s="625">
        <v>20</v>
      </c>
      <c r="D193" s="625">
        <v>-0.1</v>
      </c>
      <c r="E193" s="626" t="s">
        <v>155</v>
      </c>
      <c r="F193" s="630"/>
      <c r="G193" s="627">
        <f t="shared" ref="G193:G198" si="51">0.5*(MAX(D193:F193)-MIN(D193:F193))</f>
        <v>0</v>
      </c>
      <c r="I193" s="624">
        <v>2</v>
      </c>
      <c r="J193" s="625">
        <v>40</v>
      </c>
      <c r="K193" s="625">
        <v>-0.2</v>
      </c>
      <c r="L193" s="626" t="s">
        <v>155</v>
      </c>
      <c r="M193" s="630"/>
      <c r="N193" s="627">
        <f t="shared" ref="N193:N198" si="52">0.5*(MAX(K193:M193)-MIN(K193:M193))</f>
        <v>0</v>
      </c>
      <c r="P193" s="624">
        <v>2</v>
      </c>
      <c r="Q193" s="625">
        <v>850</v>
      </c>
      <c r="R193" s="629">
        <v>-1.3</v>
      </c>
      <c r="S193" s="626" t="s">
        <v>155</v>
      </c>
      <c r="T193" s="630"/>
      <c r="U193" s="627">
        <f t="shared" ref="U193:U198" si="53">0.5*(MAX(R193:T193)-MIN(R193:T193))</f>
        <v>0</v>
      </c>
    </row>
    <row r="194" spans="1:24" ht="13">
      <c r="A194" s="1050"/>
      <c r="B194" s="624">
        <v>3</v>
      </c>
      <c r="C194" s="625">
        <v>25</v>
      </c>
      <c r="D194" s="625">
        <v>-0.2</v>
      </c>
      <c r="E194" s="626" t="s">
        <v>155</v>
      </c>
      <c r="F194" s="630"/>
      <c r="G194" s="627">
        <f t="shared" si="51"/>
        <v>0</v>
      </c>
      <c r="I194" s="624">
        <v>3</v>
      </c>
      <c r="J194" s="625">
        <v>50</v>
      </c>
      <c r="K194" s="625">
        <v>-0.2</v>
      </c>
      <c r="L194" s="626" t="s">
        <v>155</v>
      </c>
      <c r="M194" s="630"/>
      <c r="N194" s="627">
        <f t="shared" si="52"/>
        <v>0</v>
      </c>
      <c r="P194" s="624">
        <v>3</v>
      </c>
      <c r="Q194" s="633">
        <v>900</v>
      </c>
      <c r="R194" s="634">
        <v>-1.1000000000000001</v>
      </c>
      <c r="S194" s="626" t="s">
        <v>155</v>
      </c>
      <c r="T194" s="630"/>
      <c r="U194" s="627">
        <f t="shared" si="53"/>
        <v>0</v>
      </c>
    </row>
    <row r="195" spans="1:24" ht="13">
      <c r="A195" s="1050"/>
      <c r="B195" s="624">
        <v>4</v>
      </c>
      <c r="C195" s="633">
        <v>30</v>
      </c>
      <c r="D195" s="633">
        <v>-0.2</v>
      </c>
      <c r="E195" s="634" t="s">
        <v>155</v>
      </c>
      <c r="F195" s="630"/>
      <c r="G195" s="627">
        <f t="shared" si="51"/>
        <v>0</v>
      </c>
      <c r="I195" s="624">
        <v>4</v>
      </c>
      <c r="J195" s="633">
        <v>60</v>
      </c>
      <c r="K195" s="633">
        <v>-0.2</v>
      </c>
      <c r="L195" s="634" t="s">
        <v>155</v>
      </c>
      <c r="M195" s="630"/>
      <c r="N195" s="627">
        <f t="shared" si="52"/>
        <v>0</v>
      </c>
      <c r="P195" s="624">
        <v>4</v>
      </c>
      <c r="Q195" s="633">
        <v>950</v>
      </c>
      <c r="R195" s="634">
        <v>-0.9</v>
      </c>
      <c r="S195" s="634" t="s">
        <v>155</v>
      </c>
      <c r="T195" s="630"/>
      <c r="U195" s="627">
        <f t="shared" si="53"/>
        <v>0</v>
      </c>
    </row>
    <row r="196" spans="1:24" ht="13">
      <c r="A196" s="1050"/>
      <c r="B196" s="624">
        <v>5</v>
      </c>
      <c r="C196" s="633">
        <v>35</v>
      </c>
      <c r="D196" s="633">
        <v>-0.3</v>
      </c>
      <c r="E196" s="634" t="s">
        <v>155</v>
      </c>
      <c r="F196" s="630"/>
      <c r="G196" s="627">
        <f t="shared" si="51"/>
        <v>0</v>
      </c>
      <c r="I196" s="624">
        <v>5</v>
      </c>
      <c r="J196" s="633">
        <v>70</v>
      </c>
      <c r="K196" s="633">
        <v>-0.3</v>
      </c>
      <c r="L196" s="634" t="s">
        <v>155</v>
      </c>
      <c r="M196" s="630"/>
      <c r="N196" s="627">
        <f t="shared" si="52"/>
        <v>0</v>
      </c>
      <c r="P196" s="624">
        <v>5</v>
      </c>
      <c r="Q196" s="633">
        <v>1000</v>
      </c>
      <c r="R196" s="634">
        <v>-0.8</v>
      </c>
      <c r="S196" s="634" t="s">
        <v>155</v>
      </c>
      <c r="T196" s="630"/>
      <c r="U196" s="627">
        <f t="shared" si="53"/>
        <v>0</v>
      </c>
    </row>
    <row r="197" spans="1:24" ht="13">
      <c r="A197" s="1050"/>
      <c r="B197" s="624">
        <v>6</v>
      </c>
      <c r="C197" s="633">
        <v>37</v>
      </c>
      <c r="D197" s="633">
        <v>-0.3</v>
      </c>
      <c r="E197" s="634" t="s">
        <v>155</v>
      </c>
      <c r="F197" s="630"/>
      <c r="G197" s="627">
        <f t="shared" si="51"/>
        <v>0</v>
      </c>
      <c r="I197" s="624">
        <v>6</v>
      </c>
      <c r="J197" s="633">
        <v>80</v>
      </c>
      <c r="K197" s="633">
        <v>-0.5</v>
      </c>
      <c r="L197" s="634" t="s">
        <v>155</v>
      </c>
      <c r="M197" s="630"/>
      <c r="N197" s="627">
        <f t="shared" si="52"/>
        <v>0</v>
      </c>
      <c r="P197" s="624">
        <v>6</v>
      </c>
      <c r="Q197" s="633">
        <v>1005</v>
      </c>
      <c r="R197" s="634">
        <v>-0.7</v>
      </c>
      <c r="S197" s="634" t="s">
        <v>155</v>
      </c>
      <c r="T197" s="630"/>
      <c r="U197" s="627">
        <f t="shared" si="53"/>
        <v>0</v>
      </c>
    </row>
    <row r="198" spans="1:24" ht="13">
      <c r="A198" s="1050"/>
      <c r="B198" s="624">
        <v>7</v>
      </c>
      <c r="C198" s="647">
        <v>40</v>
      </c>
      <c r="D198" s="633">
        <v>-0.4</v>
      </c>
      <c r="E198" s="634" t="s">
        <v>155</v>
      </c>
      <c r="F198" s="630"/>
      <c r="G198" s="627">
        <f t="shared" si="51"/>
        <v>0</v>
      </c>
      <c r="I198" s="624">
        <v>7</v>
      </c>
      <c r="J198" s="647">
        <v>90</v>
      </c>
      <c r="K198" s="633">
        <v>-0.8</v>
      </c>
      <c r="L198" s="634" t="s">
        <v>155</v>
      </c>
      <c r="M198" s="630"/>
      <c r="N198" s="627">
        <f t="shared" si="52"/>
        <v>0</v>
      </c>
      <c r="P198" s="624">
        <v>7</v>
      </c>
      <c r="Q198" s="633">
        <v>1020</v>
      </c>
      <c r="R198" s="634">
        <v>9.9999999999999995E-7</v>
      </c>
      <c r="S198" s="634" t="s">
        <v>155</v>
      </c>
      <c r="T198" s="630"/>
      <c r="U198" s="627">
        <f t="shared" si="53"/>
        <v>0</v>
      </c>
    </row>
    <row r="199" spans="1:24" ht="13" thickBot="1">
      <c r="A199" s="649"/>
      <c r="C199" s="650"/>
      <c r="D199" s="639"/>
      <c r="E199" s="651"/>
      <c r="F199" s="650"/>
      <c r="I199" s="650"/>
      <c r="J199" s="639"/>
      <c r="K199" s="651"/>
      <c r="L199" s="650"/>
      <c r="O199" s="639"/>
      <c r="P199" s="651"/>
      <c r="Q199" s="651"/>
      <c r="R199" s="650"/>
    </row>
    <row r="200" spans="1:24">
      <c r="A200" s="1050">
        <v>19</v>
      </c>
      <c r="B200" s="1051" t="s">
        <v>459</v>
      </c>
      <c r="C200" s="1051"/>
      <c r="D200" s="1051"/>
      <c r="E200" s="1051"/>
      <c r="F200" s="1051"/>
      <c r="G200" s="1051"/>
      <c r="I200" s="1051" t="str">
        <f>B200</f>
        <v>KOREKSI EXTECH A.100615</v>
      </c>
      <c r="J200" s="1051"/>
      <c r="K200" s="1051"/>
      <c r="L200" s="1051"/>
      <c r="M200" s="1051"/>
      <c r="N200" s="1051"/>
      <c r="P200" s="1051" t="str">
        <f>I200</f>
        <v>KOREKSI EXTECH A.100615</v>
      </c>
      <c r="Q200" s="1051"/>
      <c r="R200" s="1051"/>
      <c r="S200" s="1051"/>
      <c r="T200" s="1051"/>
      <c r="U200" s="1051"/>
      <c r="W200" s="1057" t="s">
        <v>90</v>
      </c>
      <c r="X200" s="1058"/>
    </row>
    <row r="201" spans="1:24" ht="13">
      <c r="A201" s="1050"/>
      <c r="B201" s="1059" t="s">
        <v>152</v>
      </c>
      <c r="C201" s="1059"/>
      <c r="D201" s="1059" t="s">
        <v>175</v>
      </c>
      <c r="E201" s="1059"/>
      <c r="F201" s="1059"/>
      <c r="G201" s="1059" t="s">
        <v>154</v>
      </c>
      <c r="I201" s="1059" t="s">
        <v>153</v>
      </c>
      <c r="J201" s="1059"/>
      <c r="K201" s="1059" t="s">
        <v>175</v>
      </c>
      <c r="L201" s="1059"/>
      <c r="M201" s="1059"/>
      <c r="N201" s="1059" t="s">
        <v>154</v>
      </c>
      <c r="P201" s="1059" t="s">
        <v>450</v>
      </c>
      <c r="Q201" s="1059"/>
      <c r="R201" s="1059" t="s">
        <v>175</v>
      </c>
      <c r="S201" s="1059"/>
      <c r="T201" s="1059"/>
      <c r="U201" s="1059" t="s">
        <v>154</v>
      </c>
      <c r="W201" s="621" t="s">
        <v>152</v>
      </c>
      <c r="X201" s="622">
        <v>0.1</v>
      </c>
    </row>
    <row r="202" spans="1:24" ht="14.5">
      <c r="A202" s="1050"/>
      <c r="B202" s="1049" t="s">
        <v>176</v>
      </c>
      <c r="C202" s="1049"/>
      <c r="D202" s="623">
        <v>2021</v>
      </c>
      <c r="E202" s="645" t="s">
        <v>155</v>
      </c>
      <c r="F202" s="623">
        <v>2016</v>
      </c>
      <c r="G202" s="1059"/>
      <c r="I202" s="1048" t="s">
        <v>70</v>
      </c>
      <c r="J202" s="1049"/>
      <c r="K202" s="646">
        <f>D202</f>
        <v>2021</v>
      </c>
      <c r="L202" s="646" t="str">
        <f>E202</f>
        <v>-</v>
      </c>
      <c r="M202" s="623">
        <v>2016</v>
      </c>
      <c r="N202" s="1059"/>
      <c r="P202" s="1048" t="s">
        <v>451</v>
      </c>
      <c r="Q202" s="1049"/>
      <c r="R202" s="646">
        <f>K202</f>
        <v>2021</v>
      </c>
      <c r="S202" s="646" t="str">
        <f>L202</f>
        <v>-</v>
      </c>
      <c r="T202" s="623">
        <v>2016</v>
      </c>
      <c r="U202" s="1059"/>
      <c r="W202" s="621" t="s">
        <v>70</v>
      </c>
      <c r="X202" s="622">
        <v>1.5</v>
      </c>
    </row>
    <row r="203" spans="1:24" ht="13.5" thickBot="1">
      <c r="A203" s="1050"/>
      <c r="B203" s="624">
        <v>1</v>
      </c>
      <c r="C203" s="625">
        <v>15</v>
      </c>
      <c r="D203" s="626">
        <v>9.9999999999999995E-7</v>
      </c>
      <c r="E203" s="626" t="s">
        <v>155</v>
      </c>
      <c r="F203" s="630"/>
      <c r="G203" s="627">
        <f>0.5*(MAX(D203:F203)-MIN(D203:F203))</f>
        <v>0</v>
      </c>
      <c r="I203" s="624">
        <v>1</v>
      </c>
      <c r="J203" s="625">
        <v>30</v>
      </c>
      <c r="K203" s="625">
        <v>-1.5</v>
      </c>
      <c r="L203" s="626" t="s">
        <v>155</v>
      </c>
      <c r="M203" s="630"/>
      <c r="N203" s="627">
        <f>0.5*(MAX(K203:M203)-MIN(K203:M203))</f>
        <v>0</v>
      </c>
      <c r="P203" s="624">
        <v>1</v>
      </c>
      <c r="Q203" s="625">
        <v>750</v>
      </c>
      <c r="R203" s="629">
        <v>2.5</v>
      </c>
      <c r="S203" s="626" t="s">
        <v>155</v>
      </c>
      <c r="T203" s="630"/>
      <c r="U203" s="627">
        <f>0.5*(MAX(R203:T203)-MIN(R203:T203))</f>
        <v>0</v>
      </c>
      <c r="W203" s="631" t="s">
        <v>451</v>
      </c>
      <c r="X203" s="632">
        <v>0.4</v>
      </c>
    </row>
    <row r="204" spans="1:24" ht="13">
      <c r="A204" s="1050"/>
      <c r="B204" s="624">
        <v>2</v>
      </c>
      <c r="C204" s="625">
        <v>20</v>
      </c>
      <c r="D204" s="625">
        <v>0.1</v>
      </c>
      <c r="E204" s="626" t="s">
        <v>155</v>
      </c>
      <c r="F204" s="630"/>
      <c r="G204" s="627">
        <f t="shared" ref="G204:G209" si="54">0.5*(MAX(D204:F204)-MIN(D204:F204))</f>
        <v>0</v>
      </c>
      <c r="I204" s="624">
        <v>2</v>
      </c>
      <c r="J204" s="625">
        <v>40</v>
      </c>
      <c r="K204" s="625">
        <v>-0.8</v>
      </c>
      <c r="L204" s="626" t="s">
        <v>155</v>
      </c>
      <c r="M204" s="630"/>
      <c r="N204" s="627">
        <f t="shared" ref="N204:N209" si="55">0.5*(MAX(K204:M204)-MIN(K204:M204))</f>
        <v>0</v>
      </c>
      <c r="P204" s="624">
        <v>2</v>
      </c>
      <c r="Q204" s="625">
        <v>800</v>
      </c>
      <c r="R204" s="629">
        <v>2.5</v>
      </c>
      <c r="S204" s="626" t="s">
        <v>155</v>
      </c>
      <c r="T204" s="630"/>
      <c r="U204" s="627">
        <f t="shared" ref="U204:U209" si="56">0.5*(MAX(R204:T204)-MIN(R204:T204))</f>
        <v>0</v>
      </c>
    </row>
    <row r="205" spans="1:24" ht="13">
      <c r="A205" s="1050"/>
      <c r="B205" s="624">
        <v>3</v>
      </c>
      <c r="C205" s="625">
        <v>25</v>
      </c>
      <c r="D205" s="626">
        <v>9.9999999999999995E-7</v>
      </c>
      <c r="E205" s="626" t="s">
        <v>155</v>
      </c>
      <c r="F205" s="630"/>
      <c r="G205" s="627">
        <f t="shared" si="54"/>
        <v>0</v>
      </c>
      <c r="I205" s="624">
        <v>3</v>
      </c>
      <c r="J205" s="625">
        <v>50</v>
      </c>
      <c r="K205" s="625">
        <v>-0.2</v>
      </c>
      <c r="L205" s="626" t="s">
        <v>155</v>
      </c>
      <c r="M205" s="630"/>
      <c r="N205" s="627">
        <f t="shared" si="55"/>
        <v>0</v>
      </c>
      <c r="P205" s="624">
        <v>3</v>
      </c>
      <c r="Q205" s="625">
        <v>850</v>
      </c>
      <c r="R205" s="629">
        <v>2.4</v>
      </c>
      <c r="S205" s="626" t="s">
        <v>155</v>
      </c>
      <c r="T205" s="630"/>
      <c r="U205" s="627">
        <f t="shared" si="56"/>
        <v>0</v>
      </c>
    </row>
    <row r="206" spans="1:24" ht="13">
      <c r="A206" s="1050"/>
      <c r="B206" s="624">
        <v>4</v>
      </c>
      <c r="C206" s="633">
        <v>30</v>
      </c>
      <c r="D206" s="633">
        <v>-0.1</v>
      </c>
      <c r="E206" s="634" t="s">
        <v>155</v>
      </c>
      <c r="F206" s="630"/>
      <c r="G206" s="627">
        <f t="shared" si="54"/>
        <v>0</v>
      </c>
      <c r="I206" s="624">
        <v>4</v>
      </c>
      <c r="J206" s="633">
        <v>60</v>
      </c>
      <c r="K206" s="633">
        <v>0.4</v>
      </c>
      <c r="L206" s="634" t="s">
        <v>155</v>
      </c>
      <c r="M206" s="630"/>
      <c r="N206" s="627">
        <f t="shared" si="55"/>
        <v>0</v>
      </c>
      <c r="P206" s="624">
        <v>4</v>
      </c>
      <c r="Q206" s="633">
        <v>900</v>
      </c>
      <c r="R206" s="634">
        <v>2.2999999999999998</v>
      </c>
      <c r="S206" s="634" t="s">
        <v>155</v>
      </c>
      <c r="T206" s="630"/>
      <c r="U206" s="627">
        <f t="shared" si="56"/>
        <v>0</v>
      </c>
    </row>
    <row r="207" spans="1:24" ht="13">
      <c r="A207" s="1050"/>
      <c r="B207" s="624">
        <v>5</v>
      </c>
      <c r="C207" s="633">
        <v>35</v>
      </c>
      <c r="D207" s="633">
        <v>-0.1</v>
      </c>
      <c r="E207" s="634" t="s">
        <v>155</v>
      </c>
      <c r="F207" s="630"/>
      <c r="G207" s="627">
        <f t="shared" si="54"/>
        <v>0</v>
      </c>
      <c r="I207" s="624">
        <v>5</v>
      </c>
      <c r="J207" s="633">
        <v>70</v>
      </c>
      <c r="K207" s="633">
        <v>-0.7</v>
      </c>
      <c r="L207" s="634" t="s">
        <v>155</v>
      </c>
      <c r="M207" s="630"/>
      <c r="N207" s="627">
        <f t="shared" si="55"/>
        <v>0</v>
      </c>
      <c r="P207" s="624">
        <v>5</v>
      </c>
      <c r="Q207" s="633">
        <v>1000</v>
      </c>
      <c r="R207" s="634">
        <v>2.2000000000000002</v>
      </c>
      <c r="S207" s="634" t="s">
        <v>155</v>
      </c>
      <c r="T207" s="630"/>
      <c r="U207" s="627">
        <f t="shared" si="56"/>
        <v>0</v>
      </c>
    </row>
    <row r="208" spans="1:24" ht="13">
      <c r="A208" s="1050"/>
      <c r="B208" s="624">
        <v>6</v>
      </c>
      <c r="C208" s="633">
        <v>37</v>
      </c>
      <c r="D208" s="626">
        <v>9.9999999999999995E-7</v>
      </c>
      <c r="E208" s="634" t="s">
        <v>155</v>
      </c>
      <c r="F208" s="630"/>
      <c r="G208" s="627">
        <f t="shared" si="54"/>
        <v>0</v>
      </c>
      <c r="I208" s="624">
        <v>6</v>
      </c>
      <c r="J208" s="633">
        <v>80</v>
      </c>
      <c r="K208" s="633">
        <v>-0.9</v>
      </c>
      <c r="L208" s="634" t="s">
        <v>155</v>
      </c>
      <c r="M208" s="630"/>
      <c r="N208" s="627">
        <f t="shared" si="55"/>
        <v>0</v>
      </c>
      <c r="P208" s="624">
        <v>6</v>
      </c>
      <c r="Q208" s="633">
        <v>1005</v>
      </c>
      <c r="R208" s="634">
        <v>2.2000000000000002</v>
      </c>
      <c r="S208" s="634" t="s">
        <v>155</v>
      </c>
      <c r="T208" s="630"/>
      <c r="U208" s="627">
        <f t="shared" si="56"/>
        <v>0</v>
      </c>
    </row>
    <row r="209" spans="1:31" ht="13">
      <c r="A209" s="1050"/>
      <c r="B209" s="624">
        <v>7</v>
      </c>
      <c r="C209" s="647">
        <v>40</v>
      </c>
      <c r="D209" s="633">
        <v>0.2</v>
      </c>
      <c r="E209" s="634" t="s">
        <v>155</v>
      </c>
      <c r="F209" s="630"/>
      <c r="G209" s="627">
        <f t="shared" si="54"/>
        <v>0</v>
      </c>
      <c r="I209" s="624">
        <v>7</v>
      </c>
      <c r="J209" s="647">
        <v>90</v>
      </c>
      <c r="K209" s="633">
        <v>-0.6</v>
      </c>
      <c r="L209" s="634" t="s">
        <v>155</v>
      </c>
      <c r="M209" s="630"/>
      <c r="N209" s="627">
        <f t="shared" si="55"/>
        <v>0</v>
      </c>
      <c r="P209" s="624">
        <v>7</v>
      </c>
      <c r="Q209" s="633">
        <v>1020</v>
      </c>
      <c r="R209" s="634">
        <v>2.2999999999999998</v>
      </c>
      <c r="S209" s="634" t="s">
        <v>155</v>
      </c>
      <c r="T209" s="630"/>
      <c r="U209" s="627">
        <f t="shared" si="56"/>
        <v>0</v>
      </c>
    </row>
    <row r="210" spans="1:31" ht="13" thickBot="1">
      <c r="A210" s="649"/>
      <c r="C210" s="650"/>
      <c r="D210" s="639"/>
      <c r="E210" s="651"/>
      <c r="F210" s="650"/>
      <c r="J210" s="650"/>
      <c r="K210" s="639"/>
      <c r="L210" s="651"/>
      <c r="M210" s="650"/>
      <c r="Q210" s="639"/>
      <c r="R210" s="651"/>
      <c r="S210" s="651"/>
      <c r="T210" s="650"/>
    </row>
    <row r="211" spans="1:31">
      <c r="A211" s="1050">
        <v>20</v>
      </c>
      <c r="B211" s="1051">
        <v>20</v>
      </c>
      <c r="C211" s="1051"/>
      <c r="D211" s="1051"/>
      <c r="E211" s="1051"/>
      <c r="F211" s="1051"/>
      <c r="G211" s="1051"/>
      <c r="I211" s="1051">
        <f>B211</f>
        <v>20</v>
      </c>
      <c r="J211" s="1051"/>
      <c r="K211" s="1051"/>
      <c r="L211" s="1051"/>
      <c r="M211" s="1051"/>
      <c r="N211" s="1051"/>
      <c r="P211" s="1051">
        <f>I211</f>
        <v>20</v>
      </c>
      <c r="Q211" s="1051"/>
      <c r="R211" s="1051"/>
      <c r="S211" s="1051"/>
      <c r="T211" s="1051"/>
      <c r="U211" s="1051"/>
      <c r="W211" s="1057" t="s">
        <v>90</v>
      </c>
      <c r="X211" s="1058"/>
    </row>
    <row r="212" spans="1:31" ht="13">
      <c r="A212" s="1050"/>
      <c r="B212" s="1059" t="s">
        <v>152</v>
      </c>
      <c r="C212" s="1059"/>
      <c r="D212" s="1059" t="s">
        <v>175</v>
      </c>
      <c r="E212" s="1059"/>
      <c r="F212" s="1059"/>
      <c r="G212" s="1059" t="s">
        <v>154</v>
      </c>
      <c r="I212" s="1059" t="s">
        <v>153</v>
      </c>
      <c r="J212" s="1059"/>
      <c r="K212" s="1059" t="s">
        <v>175</v>
      </c>
      <c r="L212" s="1059"/>
      <c r="M212" s="1059"/>
      <c r="N212" s="1059" t="s">
        <v>154</v>
      </c>
      <c r="P212" s="1059" t="s">
        <v>450</v>
      </c>
      <c r="Q212" s="1059"/>
      <c r="R212" s="1059" t="s">
        <v>175</v>
      </c>
      <c r="S212" s="1059"/>
      <c r="T212" s="1059"/>
      <c r="U212" s="1059" t="s">
        <v>154</v>
      </c>
      <c r="W212" s="621" t="s">
        <v>152</v>
      </c>
      <c r="X212" s="622">
        <v>0</v>
      </c>
    </row>
    <row r="213" spans="1:31" ht="14.5">
      <c r="A213" s="1050"/>
      <c r="B213" s="1049" t="s">
        <v>176</v>
      </c>
      <c r="C213" s="1049"/>
      <c r="D213" s="623">
        <v>2017</v>
      </c>
      <c r="E213" s="645" t="s">
        <v>155</v>
      </c>
      <c r="F213" s="623">
        <v>2016</v>
      </c>
      <c r="G213" s="1059"/>
      <c r="I213" s="1048" t="s">
        <v>70</v>
      </c>
      <c r="J213" s="1049"/>
      <c r="K213" s="646">
        <f>D213</f>
        <v>2017</v>
      </c>
      <c r="L213" s="646" t="str">
        <f>E213</f>
        <v>-</v>
      </c>
      <c r="M213" s="623">
        <v>2016</v>
      </c>
      <c r="N213" s="1059"/>
      <c r="P213" s="1048" t="s">
        <v>451</v>
      </c>
      <c r="Q213" s="1049"/>
      <c r="R213" s="646">
        <f>K213</f>
        <v>2017</v>
      </c>
      <c r="S213" s="646" t="str">
        <f>L213</f>
        <v>-</v>
      </c>
      <c r="T213" s="623">
        <v>2016</v>
      </c>
      <c r="U213" s="1059"/>
      <c r="W213" s="621" t="s">
        <v>70</v>
      </c>
      <c r="X213" s="622">
        <v>0</v>
      </c>
    </row>
    <row r="214" spans="1:31" ht="13.5" thickBot="1">
      <c r="A214" s="1050"/>
      <c r="B214" s="624">
        <v>1</v>
      </c>
      <c r="C214" s="625">
        <v>14.8</v>
      </c>
      <c r="D214" s="626">
        <v>9.9999999999999995E-7</v>
      </c>
      <c r="E214" s="626" t="s">
        <v>155</v>
      </c>
      <c r="F214" s="626">
        <v>9.9999999999999995E-7</v>
      </c>
      <c r="G214" s="627">
        <f>0.5*(MAX(D214:F214)-MIN(D214:F214))</f>
        <v>0</v>
      </c>
      <c r="I214" s="624">
        <v>1</v>
      </c>
      <c r="J214" s="625">
        <v>45.7</v>
      </c>
      <c r="K214" s="626">
        <v>9.9999999999999995E-7</v>
      </c>
      <c r="L214" s="626" t="s">
        <v>155</v>
      </c>
      <c r="M214" s="630"/>
      <c r="N214" s="627">
        <f>0.5*(MAX(K214:M214)-MIN(K214:M214))</f>
        <v>0</v>
      </c>
      <c r="P214" s="624">
        <v>1</v>
      </c>
      <c r="Q214" s="625">
        <v>750</v>
      </c>
      <c r="R214" s="629" t="s">
        <v>155</v>
      </c>
      <c r="S214" s="626" t="s">
        <v>155</v>
      </c>
      <c r="T214" s="630"/>
      <c r="U214" s="627">
        <f>0.5*(MAX(R214:T214)-MIN(R214:T214))</f>
        <v>0</v>
      </c>
      <c r="W214" s="631" t="s">
        <v>451</v>
      </c>
      <c r="X214" s="632">
        <v>0</v>
      </c>
    </row>
    <row r="215" spans="1:31" ht="13">
      <c r="A215" s="1050"/>
      <c r="B215" s="624">
        <v>2</v>
      </c>
      <c r="C215" s="625">
        <v>19.7</v>
      </c>
      <c r="D215" s="626">
        <v>9.9999999999999995E-7</v>
      </c>
      <c r="E215" s="626" t="s">
        <v>155</v>
      </c>
      <c r="F215" s="626">
        <v>9.9999999999999995E-7</v>
      </c>
      <c r="G215" s="627">
        <f t="shared" ref="G215:G220" si="57">0.5*(MAX(D215:F215)-MIN(D215:F215))</f>
        <v>0</v>
      </c>
      <c r="I215" s="624">
        <v>2</v>
      </c>
      <c r="J215" s="625">
        <v>54.3</v>
      </c>
      <c r="K215" s="626">
        <v>9.9999999999999995E-7</v>
      </c>
      <c r="L215" s="626" t="s">
        <v>155</v>
      </c>
      <c r="M215" s="630"/>
      <c r="N215" s="627">
        <f t="shared" ref="N215:N220" si="58">0.5*(MAX(K215:M215)-MIN(K215:M215))</f>
        <v>0</v>
      </c>
      <c r="P215" s="624">
        <v>2</v>
      </c>
      <c r="Q215" s="625">
        <v>800</v>
      </c>
      <c r="R215" s="629" t="s">
        <v>155</v>
      </c>
      <c r="S215" s="626" t="s">
        <v>155</v>
      </c>
      <c r="T215" s="630"/>
      <c r="U215" s="627">
        <f t="shared" ref="U215:U220" si="59">0.5*(MAX(R215:T215)-MIN(R215:T215))</f>
        <v>0</v>
      </c>
    </row>
    <row r="216" spans="1:31" ht="13">
      <c r="A216" s="1050"/>
      <c r="B216" s="624">
        <v>3</v>
      </c>
      <c r="C216" s="625">
        <v>24.6</v>
      </c>
      <c r="D216" s="626">
        <v>9.9999999999999995E-7</v>
      </c>
      <c r="E216" s="626" t="s">
        <v>155</v>
      </c>
      <c r="F216" s="626">
        <v>9.9999999999999995E-7</v>
      </c>
      <c r="G216" s="627">
        <f t="shared" si="57"/>
        <v>0</v>
      </c>
      <c r="I216" s="624">
        <v>3</v>
      </c>
      <c r="J216" s="625">
        <v>62.5</v>
      </c>
      <c r="K216" s="626">
        <v>9.9999999999999995E-7</v>
      </c>
      <c r="L216" s="626" t="s">
        <v>155</v>
      </c>
      <c r="M216" s="630"/>
      <c r="N216" s="627">
        <f t="shared" si="58"/>
        <v>0</v>
      </c>
      <c r="P216" s="624">
        <v>3</v>
      </c>
      <c r="Q216" s="625">
        <v>850</v>
      </c>
      <c r="R216" s="629" t="s">
        <v>155</v>
      </c>
      <c r="S216" s="626" t="s">
        <v>155</v>
      </c>
      <c r="T216" s="630"/>
      <c r="U216" s="627">
        <f t="shared" si="59"/>
        <v>0</v>
      </c>
    </row>
    <row r="217" spans="1:31" ht="13">
      <c r="A217" s="1050"/>
      <c r="B217" s="624">
        <v>4</v>
      </c>
      <c r="C217" s="633">
        <v>29.5</v>
      </c>
      <c r="D217" s="626">
        <v>9.9999999999999995E-7</v>
      </c>
      <c r="E217" s="634" t="s">
        <v>155</v>
      </c>
      <c r="F217" s="626">
        <v>9.9999999999999995E-7</v>
      </c>
      <c r="G217" s="627">
        <f t="shared" si="57"/>
        <v>0</v>
      </c>
      <c r="I217" s="624">
        <v>4</v>
      </c>
      <c r="J217" s="633">
        <v>71.5</v>
      </c>
      <c r="K217" s="626">
        <v>9.9999999999999995E-7</v>
      </c>
      <c r="L217" s="634" t="s">
        <v>155</v>
      </c>
      <c r="M217" s="630"/>
      <c r="N217" s="627">
        <f t="shared" si="58"/>
        <v>0</v>
      </c>
      <c r="P217" s="624">
        <v>4</v>
      </c>
      <c r="Q217" s="633">
        <v>900</v>
      </c>
      <c r="R217" s="634" t="s">
        <v>155</v>
      </c>
      <c r="S217" s="634" t="s">
        <v>155</v>
      </c>
      <c r="T217" s="630"/>
      <c r="U217" s="627">
        <f t="shared" si="59"/>
        <v>0</v>
      </c>
    </row>
    <row r="218" spans="1:31" ht="13">
      <c r="A218" s="1050"/>
      <c r="B218" s="624">
        <v>5</v>
      </c>
      <c r="C218" s="633">
        <v>34.5</v>
      </c>
      <c r="D218" s="626">
        <v>9.9999999999999995E-7</v>
      </c>
      <c r="E218" s="634" t="s">
        <v>155</v>
      </c>
      <c r="F218" s="626">
        <v>9.9999999999999995E-7</v>
      </c>
      <c r="G218" s="627">
        <f t="shared" si="57"/>
        <v>0</v>
      </c>
      <c r="I218" s="624">
        <v>5</v>
      </c>
      <c r="J218" s="633">
        <v>80.8</v>
      </c>
      <c r="K218" s="626">
        <v>9.9999999999999995E-7</v>
      </c>
      <c r="L218" s="634" t="s">
        <v>155</v>
      </c>
      <c r="M218" s="630"/>
      <c r="N218" s="627">
        <f t="shared" si="58"/>
        <v>0</v>
      </c>
      <c r="P218" s="624">
        <v>5</v>
      </c>
      <c r="Q218" s="633">
        <v>1000</v>
      </c>
      <c r="R218" s="634" t="s">
        <v>155</v>
      </c>
      <c r="S218" s="634" t="s">
        <v>155</v>
      </c>
      <c r="T218" s="630"/>
      <c r="U218" s="627">
        <f t="shared" si="59"/>
        <v>0</v>
      </c>
    </row>
    <row r="219" spans="1:31" ht="13">
      <c r="A219" s="1050"/>
      <c r="B219" s="624">
        <v>6</v>
      </c>
      <c r="C219" s="633">
        <v>39.5</v>
      </c>
      <c r="D219" s="626">
        <v>9.9999999999999995E-7</v>
      </c>
      <c r="E219" s="634" t="s">
        <v>155</v>
      </c>
      <c r="F219" s="626">
        <v>9.9999999999999995E-7</v>
      </c>
      <c r="G219" s="627">
        <f t="shared" si="57"/>
        <v>0</v>
      </c>
      <c r="I219" s="624">
        <v>6</v>
      </c>
      <c r="J219" s="633">
        <v>88.7</v>
      </c>
      <c r="K219" s="626">
        <v>9.9999999999999995E-7</v>
      </c>
      <c r="L219" s="634" t="s">
        <v>155</v>
      </c>
      <c r="M219" s="630"/>
      <c r="N219" s="627">
        <f t="shared" si="58"/>
        <v>0</v>
      </c>
      <c r="P219" s="624">
        <v>6</v>
      </c>
      <c r="Q219" s="633">
        <v>1005</v>
      </c>
      <c r="R219" s="634" t="s">
        <v>155</v>
      </c>
      <c r="S219" s="634" t="s">
        <v>155</v>
      </c>
      <c r="T219" s="630"/>
      <c r="U219" s="627">
        <f t="shared" si="59"/>
        <v>0</v>
      </c>
    </row>
    <row r="220" spans="1:31" ht="13">
      <c r="A220" s="1050"/>
      <c r="B220" s="624">
        <v>7</v>
      </c>
      <c r="C220" s="647">
        <v>40</v>
      </c>
      <c r="D220" s="626">
        <v>9.9999999999999995E-7</v>
      </c>
      <c r="E220" s="634" t="s">
        <v>155</v>
      </c>
      <c r="F220" s="626">
        <v>9.9999999999999995E-7</v>
      </c>
      <c r="G220" s="627">
        <f t="shared" si="57"/>
        <v>0</v>
      </c>
      <c r="I220" s="624">
        <v>7</v>
      </c>
      <c r="J220" s="647">
        <v>90</v>
      </c>
      <c r="K220" s="626">
        <v>9.9999999999999995E-7</v>
      </c>
      <c r="L220" s="634" t="s">
        <v>155</v>
      </c>
      <c r="M220" s="630"/>
      <c r="N220" s="627">
        <f t="shared" si="58"/>
        <v>0</v>
      </c>
      <c r="P220" s="624">
        <v>7</v>
      </c>
      <c r="Q220" s="633">
        <v>1020</v>
      </c>
      <c r="R220" s="634" t="s">
        <v>155</v>
      </c>
      <c r="S220" s="634" t="s">
        <v>155</v>
      </c>
      <c r="T220" s="630"/>
      <c r="U220" s="627">
        <f t="shared" si="59"/>
        <v>0</v>
      </c>
    </row>
    <row r="221" spans="1:31" ht="13.5" thickBot="1">
      <c r="A221" s="654"/>
      <c r="B221" s="1047"/>
      <c r="C221" s="1047"/>
      <c r="D221" s="1047"/>
      <c r="E221" s="1047"/>
      <c r="F221" s="1047"/>
      <c r="G221" s="1047"/>
      <c r="H221" s="1047"/>
      <c r="I221" s="1047"/>
      <c r="J221" s="1047"/>
      <c r="K221" s="1047"/>
      <c r="L221" s="1047"/>
      <c r="M221" s="1047"/>
      <c r="N221" s="1047"/>
      <c r="O221" s="1047"/>
      <c r="P221" s="1047"/>
      <c r="Q221" s="1047"/>
      <c r="R221" s="1047"/>
      <c r="S221" s="1047"/>
      <c r="T221" s="1047"/>
      <c r="U221" s="1047"/>
    </row>
    <row r="222" spans="1:31" ht="13.5" thickBot="1">
      <c r="A222" s="637"/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</row>
    <row r="223" spans="1:31" ht="12.75" customHeight="1">
      <c r="A223" s="1022" t="s">
        <v>23</v>
      </c>
      <c r="B223" s="1052" t="s">
        <v>187</v>
      </c>
      <c r="C223" s="1051" t="s">
        <v>188</v>
      </c>
      <c r="D223" s="1051"/>
      <c r="E223" s="1051"/>
      <c r="F223" s="1051"/>
      <c r="G223" s="655"/>
      <c r="I223" s="1022" t="s">
        <v>23</v>
      </c>
      <c r="J223" s="1052" t="s">
        <v>187</v>
      </c>
      <c r="K223" s="1051" t="s">
        <v>188</v>
      </c>
      <c r="L223" s="1051"/>
      <c r="M223" s="1051"/>
      <c r="N223" s="1051"/>
      <c r="O223" s="656"/>
      <c r="Q223" s="1053" t="s">
        <v>23</v>
      </c>
      <c r="R223" s="1054" t="s">
        <v>187</v>
      </c>
      <c r="S223" s="1055" t="s">
        <v>188</v>
      </c>
      <c r="T223" s="1055"/>
      <c r="U223" s="1055"/>
      <c r="V223" s="1056"/>
      <c r="Y223" s="1037" t="s">
        <v>90</v>
      </c>
      <c r="Z223" s="1038"/>
      <c r="AE223" s="657"/>
    </row>
    <row r="224" spans="1:31" ht="13.5">
      <c r="A224" s="1022"/>
      <c r="B224" s="1052"/>
      <c r="C224" s="658" t="s">
        <v>152</v>
      </c>
      <c r="D224" s="1042" t="s">
        <v>175</v>
      </c>
      <c r="E224" s="1042"/>
      <c r="F224" s="1042"/>
      <c r="G224" s="1042" t="s">
        <v>154</v>
      </c>
      <c r="I224" s="1022"/>
      <c r="J224" s="1052"/>
      <c r="K224" s="658" t="s">
        <v>153</v>
      </c>
      <c r="L224" s="1042" t="s">
        <v>175</v>
      </c>
      <c r="M224" s="1042"/>
      <c r="N224" s="1042"/>
      <c r="O224" s="1042" t="s">
        <v>154</v>
      </c>
      <c r="Q224" s="1022"/>
      <c r="R224" s="1052"/>
      <c r="S224" s="658" t="s">
        <v>450</v>
      </c>
      <c r="T224" s="1043" t="s">
        <v>175</v>
      </c>
      <c r="U224" s="1044"/>
      <c r="V224" s="1045"/>
      <c r="W224" s="1046" t="s">
        <v>154</v>
      </c>
      <c r="Y224" s="1039" t="s">
        <v>152</v>
      </c>
      <c r="Z224" s="1040"/>
      <c r="AE224" s="637"/>
    </row>
    <row r="225" spans="1:38" ht="14">
      <c r="A225" s="1022"/>
      <c r="B225" s="1052"/>
      <c r="C225" s="659" t="s">
        <v>189</v>
      </c>
      <c r="D225" s="658"/>
      <c r="E225" s="658"/>
      <c r="F225" s="656"/>
      <c r="G225" s="1042"/>
      <c r="I225" s="1022"/>
      <c r="J225" s="1052"/>
      <c r="K225" s="659" t="s">
        <v>70</v>
      </c>
      <c r="L225" s="658"/>
      <c r="M225" s="658"/>
      <c r="N225" s="656"/>
      <c r="O225" s="1042"/>
      <c r="Q225" s="1022"/>
      <c r="R225" s="1052"/>
      <c r="S225" s="659" t="s">
        <v>451</v>
      </c>
      <c r="T225" s="658"/>
      <c r="U225" s="658"/>
      <c r="W225" s="1046"/>
      <c r="Y225" s="660">
        <v>1</v>
      </c>
      <c r="Z225" s="661">
        <f>X3</f>
        <v>0.6</v>
      </c>
      <c r="AE225" s="637"/>
    </row>
    <row r="226" spans="1:38" ht="13">
      <c r="A226" s="1031">
        <v>1</v>
      </c>
      <c r="B226" s="662">
        <v>1</v>
      </c>
      <c r="C226" s="662">
        <f>C5</f>
        <v>15</v>
      </c>
      <c r="D226" s="662">
        <f t="shared" ref="D226:F226" si="60">D5</f>
        <v>-0.5</v>
      </c>
      <c r="E226" s="662">
        <f t="shared" si="60"/>
        <v>0.3</v>
      </c>
      <c r="F226" s="662">
        <f t="shared" si="60"/>
        <v>0</v>
      </c>
      <c r="G226" s="662">
        <f>G5</f>
        <v>0.4</v>
      </c>
      <c r="I226" s="1031">
        <v>1</v>
      </c>
      <c r="J226" s="662">
        <v>1</v>
      </c>
      <c r="K226" s="662">
        <f>J5</f>
        <v>35</v>
      </c>
      <c r="L226" s="662">
        <f>K5</f>
        <v>-6</v>
      </c>
      <c r="M226" s="662">
        <f>L5</f>
        <v>-9.4</v>
      </c>
      <c r="N226" s="662">
        <f>M5</f>
        <v>0</v>
      </c>
      <c r="O226" s="662">
        <f>N5</f>
        <v>1.7000000000000002</v>
      </c>
      <c r="Q226" s="1041">
        <v>1</v>
      </c>
      <c r="R226" s="662">
        <v>1</v>
      </c>
      <c r="S226" s="662">
        <f>Q5</f>
        <v>750</v>
      </c>
      <c r="T226" s="662" t="str">
        <f>R5</f>
        <v>-</v>
      </c>
      <c r="U226" s="662" t="str">
        <f>S5</f>
        <v>-</v>
      </c>
      <c r="V226" s="662">
        <f>T5</f>
        <v>0</v>
      </c>
      <c r="W226" s="663">
        <f>U5</f>
        <v>0</v>
      </c>
      <c r="Y226" s="664">
        <v>2</v>
      </c>
      <c r="Z226" s="661">
        <f>X14</f>
        <v>0.8</v>
      </c>
      <c r="AE226" s="637"/>
    </row>
    <row r="227" spans="1:38" ht="13">
      <c r="A227" s="1031"/>
      <c r="B227" s="662">
        <v>2</v>
      </c>
      <c r="C227" s="662">
        <f>C16</f>
        <v>15</v>
      </c>
      <c r="D227" s="662">
        <f t="shared" ref="D227:F227" si="61">D16</f>
        <v>0.4</v>
      </c>
      <c r="E227" s="662">
        <f t="shared" si="61"/>
        <v>9.9999999999999995E-7</v>
      </c>
      <c r="F227" s="662">
        <f t="shared" si="61"/>
        <v>0</v>
      </c>
      <c r="G227" s="662">
        <f>G16</f>
        <v>0.19999950000000002</v>
      </c>
      <c r="I227" s="1031"/>
      <c r="J227" s="662">
        <v>2</v>
      </c>
      <c r="K227" s="662">
        <f>J16</f>
        <v>35</v>
      </c>
      <c r="L227" s="662">
        <f>K16</f>
        <v>-6.9</v>
      </c>
      <c r="M227" s="662">
        <f>L16</f>
        <v>-1.6</v>
      </c>
      <c r="N227" s="662">
        <f>M16</f>
        <v>0</v>
      </c>
      <c r="O227" s="662">
        <f>N16</f>
        <v>2.6500000000000004</v>
      </c>
      <c r="Q227" s="1035"/>
      <c r="R227" s="662">
        <v>2</v>
      </c>
      <c r="S227" s="662">
        <f>Q16</f>
        <v>750</v>
      </c>
      <c r="T227" s="662" t="str">
        <f>R16</f>
        <v>-</v>
      </c>
      <c r="U227" s="662" t="str">
        <f>S16</f>
        <v>-</v>
      </c>
      <c r="V227" s="662">
        <f>T16</f>
        <v>0</v>
      </c>
      <c r="W227" s="663">
        <f>U16</f>
        <v>0</v>
      </c>
      <c r="Y227" s="664">
        <v>3</v>
      </c>
      <c r="Z227" s="665">
        <f>X25</f>
        <v>0.5</v>
      </c>
      <c r="AE227" s="637"/>
    </row>
    <row r="228" spans="1:38" ht="13">
      <c r="A228" s="1031"/>
      <c r="B228" s="662">
        <v>3</v>
      </c>
      <c r="C228" s="662">
        <f>C27</f>
        <v>15</v>
      </c>
      <c r="D228" s="662">
        <f t="shared" ref="D228:F228" si="62">D27</f>
        <v>0.4</v>
      </c>
      <c r="E228" s="662">
        <f t="shared" si="62"/>
        <v>9.9999999999999995E-7</v>
      </c>
      <c r="F228" s="662">
        <f t="shared" si="62"/>
        <v>0</v>
      </c>
      <c r="G228" s="662">
        <f>G27</f>
        <v>0.19999950000000002</v>
      </c>
      <c r="I228" s="1031"/>
      <c r="J228" s="662">
        <v>3</v>
      </c>
      <c r="K228" s="662">
        <f>J27</f>
        <v>30</v>
      </c>
      <c r="L228" s="662">
        <f>K27</f>
        <v>-7.3</v>
      </c>
      <c r="M228" s="662">
        <f>L27</f>
        <v>-5.7</v>
      </c>
      <c r="N228" s="662">
        <f>M27</f>
        <v>0</v>
      </c>
      <c r="O228" s="662">
        <f>N27</f>
        <v>0.79999999999999982</v>
      </c>
      <c r="Q228" s="1035"/>
      <c r="R228" s="662">
        <v>3</v>
      </c>
      <c r="S228" s="662">
        <f>Q27</f>
        <v>750</v>
      </c>
      <c r="T228" s="662" t="str">
        <f>R27</f>
        <v>-</v>
      </c>
      <c r="U228" s="662" t="str">
        <f>S27</f>
        <v>-</v>
      </c>
      <c r="V228" s="662">
        <f>T27</f>
        <v>0</v>
      </c>
      <c r="W228" s="663">
        <f>U27</f>
        <v>0</v>
      </c>
      <c r="Y228" s="664">
        <v>4</v>
      </c>
      <c r="Z228" s="665">
        <f>X36</f>
        <v>0.3</v>
      </c>
      <c r="AE228" s="637"/>
    </row>
    <row r="229" spans="1:38" ht="13">
      <c r="A229" s="1031"/>
      <c r="B229" s="662">
        <v>4</v>
      </c>
      <c r="C229" s="666">
        <f>C38</f>
        <v>15</v>
      </c>
      <c r="D229" s="666">
        <f t="shared" ref="D229:F229" si="63">D38</f>
        <v>-0.2</v>
      </c>
      <c r="E229" s="666">
        <f t="shared" si="63"/>
        <v>-0.1</v>
      </c>
      <c r="F229" s="666">
        <f t="shared" si="63"/>
        <v>0</v>
      </c>
      <c r="G229" s="666">
        <f>G38</f>
        <v>0.05</v>
      </c>
      <c r="I229" s="1031"/>
      <c r="J229" s="662">
        <v>4</v>
      </c>
      <c r="K229" s="666">
        <f>J38</f>
        <v>35</v>
      </c>
      <c r="L229" s="666">
        <f>K38</f>
        <v>-4.5</v>
      </c>
      <c r="M229" s="666">
        <f>L38</f>
        <v>-1.7</v>
      </c>
      <c r="N229" s="666">
        <f>M38</f>
        <v>0</v>
      </c>
      <c r="O229" s="666">
        <f>N38</f>
        <v>1.4</v>
      </c>
      <c r="Q229" s="1035"/>
      <c r="R229" s="662">
        <v>4</v>
      </c>
      <c r="S229" s="666">
        <f>Q38</f>
        <v>750</v>
      </c>
      <c r="T229" s="666" t="str">
        <f>R38</f>
        <v>-</v>
      </c>
      <c r="U229" s="666" t="str">
        <f>S38</f>
        <v>-</v>
      </c>
      <c r="V229" s="666">
        <f>T38</f>
        <v>0</v>
      </c>
      <c r="W229" s="667">
        <f>U38</f>
        <v>0</v>
      </c>
      <c r="Y229" s="664">
        <v>5</v>
      </c>
      <c r="Z229" s="665">
        <f>X47</f>
        <v>0.4</v>
      </c>
      <c r="AE229" s="637"/>
    </row>
    <row r="230" spans="1:38" ht="13">
      <c r="A230" s="1031"/>
      <c r="B230" s="662">
        <v>5</v>
      </c>
      <c r="C230" s="666">
        <f>C49</f>
        <v>15</v>
      </c>
      <c r="D230" s="666">
        <f t="shared" ref="D230:F230" si="64">D49</f>
        <v>-0.3</v>
      </c>
      <c r="E230" s="666">
        <f t="shared" si="64"/>
        <v>0.3</v>
      </c>
      <c r="F230" s="666">
        <f t="shared" si="64"/>
        <v>0</v>
      </c>
      <c r="G230" s="666">
        <f>G49</f>
        <v>0.3</v>
      </c>
      <c r="I230" s="1031"/>
      <c r="J230" s="662">
        <v>5</v>
      </c>
      <c r="K230" s="666">
        <f>J49</f>
        <v>35</v>
      </c>
      <c r="L230" s="666">
        <f>K49</f>
        <v>-7.7</v>
      </c>
      <c r="M230" s="666">
        <f>L49</f>
        <v>-9.6</v>
      </c>
      <c r="N230" s="666">
        <f>M49</f>
        <v>0</v>
      </c>
      <c r="O230" s="666">
        <f>N49</f>
        <v>0.94999999999999973</v>
      </c>
      <c r="Q230" s="1035"/>
      <c r="R230" s="662">
        <v>5</v>
      </c>
      <c r="S230" s="666">
        <f>Q49</f>
        <v>750</v>
      </c>
      <c r="T230" s="666" t="str">
        <f>R49</f>
        <v>-</v>
      </c>
      <c r="U230" s="666" t="str">
        <f>S49</f>
        <v>-</v>
      </c>
      <c r="V230" s="666">
        <f>T49</f>
        <v>0</v>
      </c>
      <c r="W230" s="667">
        <f>U49</f>
        <v>0</v>
      </c>
      <c r="Y230" s="660">
        <v>6</v>
      </c>
      <c r="Z230" s="661">
        <f>X58</f>
        <v>0.8</v>
      </c>
      <c r="AE230" s="637"/>
    </row>
    <row r="231" spans="1:38" ht="13">
      <c r="A231" s="1031"/>
      <c r="B231" s="662">
        <v>6</v>
      </c>
      <c r="C231" s="666">
        <f>C60</f>
        <v>15</v>
      </c>
      <c r="D231" s="666">
        <f t="shared" ref="D231:F231" si="65">D60</f>
        <v>0.4</v>
      </c>
      <c r="E231" s="666">
        <f t="shared" si="65"/>
        <v>0.4</v>
      </c>
      <c r="F231" s="666">
        <f t="shared" si="65"/>
        <v>0</v>
      </c>
      <c r="G231" s="666">
        <f>G60</f>
        <v>0</v>
      </c>
      <c r="I231" s="1031"/>
      <c r="J231" s="662">
        <v>6</v>
      </c>
      <c r="K231" s="666">
        <f>J60</f>
        <v>30</v>
      </c>
      <c r="L231" s="666">
        <f>K60</f>
        <v>-1.5</v>
      </c>
      <c r="M231" s="666">
        <f>L60</f>
        <v>1.7</v>
      </c>
      <c r="N231" s="666">
        <f>M60</f>
        <v>0</v>
      </c>
      <c r="O231" s="666">
        <f>N60</f>
        <v>1.6</v>
      </c>
      <c r="Q231" s="1035"/>
      <c r="R231" s="662">
        <v>6</v>
      </c>
      <c r="S231" s="666">
        <f>Q60</f>
        <v>750</v>
      </c>
      <c r="T231" s="666">
        <f>R60</f>
        <v>0.9</v>
      </c>
      <c r="U231" s="666">
        <f>S60</f>
        <v>2.1</v>
      </c>
      <c r="V231" s="666">
        <f>T60</f>
        <v>0</v>
      </c>
      <c r="W231" s="667">
        <f>U60</f>
        <v>0.60000000000000009</v>
      </c>
      <c r="Y231" s="660">
        <v>7</v>
      </c>
      <c r="Z231" s="661">
        <f>X69</f>
        <v>0.2</v>
      </c>
      <c r="AE231" s="637"/>
    </row>
    <row r="232" spans="1:38" ht="13">
      <c r="A232" s="1031"/>
      <c r="B232" s="662">
        <v>7</v>
      </c>
      <c r="C232" s="666">
        <f>C71</f>
        <v>15</v>
      </c>
      <c r="D232" s="666">
        <f t="shared" ref="D232:F232" si="66">D71</f>
        <v>0.1</v>
      </c>
      <c r="E232" s="666">
        <f t="shared" si="66"/>
        <v>0.3</v>
      </c>
      <c r="F232" s="666">
        <f t="shared" si="66"/>
        <v>0</v>
      </c>
      <c r="G232" s="666">
        <f>G71</f>
        <v>9.9999999999999992E-2</v>
      </c>
      <c r="I232" s="1031"/>
      <c r="J232" s="662">
        <v>7</v>
      </c>
      <c r="K232" s="666">
        <f>J71</f>
        <v>30</v>
      </c>
      <c r="L232" s="666">
        <f>K71</f>
        <v>-1.9</v>
      </c>
      <c r="M232" s="666">
        <f>L71</f>
        <v>1.8</v>
      </c>
      <c r="N232" s="666">
        <f>M71</f>
        <v>0</v>
      </c>
      <c r="O232" s="666">
        <f>N71</f>
        <v>1.85</v>
      </c>
      <c r="Q232" s="1035"/>
      <c r="R232" s="662">
        <v>7</v>
      </c>
      <c r="S232" s="666">
        <f>Q71</f>
        <v>750</v>
      </c>
      <c r="T232" s="666">
        <f>R71</f>
        <v>9.9999999999999995E-7</v>
      </c>
      <c r="U232" s="666">
        <f>S71</f>
        <v>3.2</v>
      </c>
      <c r="V232" s="666">
        <f>T71</f>
        <v>0</v>
      </c>
      <c r="W232" s="667">
        <f>U71</f>
        <v>1.5999995</v>
      </c>
      <c r="Y232" s="660">
        <v>8</v>
      </c>
      <c r="Z232" s="661">
        <f>X80</f>
        <v>0.3</v>
      </c>
      <c r="AE232" s="637"/>
    </row>
    <row r="233" spans="1:38" ht="13">
      <c r="A233" s="1031"/>
      <c r="B233" s="662">
        <v>8</v>
      </c>
      <c r="C233" s="666">
        <f>C82</f>
        <v>15</v>
      </c>
      <c r="D233" s="666">
        <f t="shared" ref="D233:F233" si="67">D82</f>
        <v>0.1</v>
      </c>
      <c r="E233" s="666">
        <f t="shared" si="67"/>
        <v>9.9999999999999995E-7</v>
      </c>
      <c r="F233" s="666">
        <f t="shared" si="67"/>
        <v>0</v>
      </c>
      <c r="G233" s="666">
        <f>G82</f>
        <v>4.9999500000000002E-2</v>
      </c>
      <c r="I233" s="1031"/>
      <c r="J233" s="662">
        <v>8</v>
      </c>
      <c r="K233" s="666">
        <f>J82</f>
        <v>30</v>
      </c>
      <c r="L233" s="666">
        <f>K82</f>
        <v>-4</v>
      </c>
      <c r="M233" s="666">
        <f>L82</f>
        <v>-1.4</v>
      </c>
      <c r="N233" s="666">
        <f>M82</f>
        <v>0</v>
      </c>
      <c r="O233" s="666">
        <f>N82</f>
        <v>1.3</v>
      </c>
      <c r="Q233" s="1035"/>
      <c r="R233" s="662">
        <v>8</v>
      </c>
      <c r="S233" s="666">
        <f>Q82</f>
        <v>750</v>
      </c>
      <c r="T233" s="666">
        <f>R82</f>
        <v>9.9999999999999995E-7</v>
      </c>
      <c r="U233" s="666">
        <f>S82</f>
        <v>9.9999999999999995E-7</v>
      </c>
      <c r="V233" s="666">
        <f>T82</f>
        <v>0</v>
      </c>
      <c r="W233" s="667">
        <f>U82</f>
        <v>0</v>
      </c>
      <c r="Y233" s="660">
        <v>9</v>
      </c>
      <c r="Z233" s="661">
        <f>X91</f>
        <v>0.3</v>
      </c>
      <c r="AE233" s="637"/>
    </row>
    <row r="234" spans="1:38" ht="13">
      <c r="A234" s="1031"/>
      <c r="B234" s="662">
        <v>9</v>
      </c>
      <c r="C234" s="666">
        <f>C93</f>
        <v>15</v>
      </c>
      <c r="D234" s="666">
        <f t="shared" ref="D234:F234" si="68">D93</f>
        <v>9.9999999999999995E-7</v>
      </c>
      <c r="E234" s="666" t="str">
        <f t="shared" si="68"/>
        <v>-</v>
      </c>
      <c r="F234" s="666">
        <f t="shared" si="68"/>
        <v>0</v>
      </c>
      <c r="G234" s="666">
        <f>G93</f>
        <v>0</v>
      </c>
      <c r="I234" s="1031"/>
      <c r="J234" s="662">
        <v>9</v>
      </c>
      <c r="K234" s="666">
        <f>J93</f>
        <v>30</v>
      </c>
      <c r="L234" s="666">
        <f>K93</f>
        <v>-1.2</v>
      </c>
      <c r="M234" s="666" t="str">
        <f>L93</f>
        <v>-</v>
      </c>
      <c r="N234" s="666">
        <f>M93</f>
        <v>0</v>
      </c>
      <c r="O234" s="666">
        <f>N93</f>
        <v>0</v>
      </c>
      <c r="Q234" s="1035"/>
      <c r="R234" s="662">
        <v>9</v>
      </c>
      <c r="S234" s="666">
        <f>Q93</f>
        <v>750</v>
      </c>
      <c r="T234" s="666">
        <f>R93</f>
        <v>9.9999999999999995E-7</v>
      </c>
      <c r="U234" s="666" t="str">
        <f>S93</f>
        <v>-</v>
      </c>
      <c r="V234" s="666">
        <f>T93</f>
        <v>0</v>
      </c>
      <c r="W234" s="667">
        <f>U93</f>
        <v>0</v>
      </c>
      <c r="Y234" s="660">
        <v>10</v>
      </c>
      <c r="Z234" s="661">
        <f>X102</f>
        <v>0.3</v>
      </c>
      <c r="AE234" s="637"/>
    </row>
    <row r="235" spans="1:38" ht="13">
      <c r="A235" s="1031"/>
      <c r="B235" s="662">
        <v>10</v>
      </c>
      <c r="C235" s="666">
        <f>C104</f>
        <v>15</v>
      </c>
      <c r="D235" s="666">
        <f t="shared" ref="D235:F235" si="69">D104</f>
        <v>0.2</v>
      </c>
      <c r="E235" s="666">
        <f t="shared" si="69"/>
        <v>0.2</v>
      </c>
      <c r="F235" s="666">
        <f t="shared" si="69"/>
        <v>0</v>
      </c>
      <c r="G235" s="666">
        <f>G104</f>
        <v>0</v>
      </c>
      <c r="I235" s="1031"/>
      <c r="J235" s="662">
        <v>10</v>
      </c>
      <c r="K235" s="666">
        <f>J104</f>
        <v>30</v>
      </c>
      <c r="L235" s="666">
        <f>K104</f>
        <v>-2.9</v>
      </c>
      <c r="M235" s="666">
        <f>L104</f>
        <v>-5.8</v>
      </c>
      <c r="N235" s="666">
        <f>M104</f>
        <v>0</v>
      </c>
      <c r="O235" s="666">
        <f>N104</f>
        <v>1.45</v>
      </c>
      <c r="Q235" s="1035"/>
      <c r="R235" s="662">
        <v>10</v>
      </c>
      <c r="S235" s="666">
        <f>Q104</f>
        <v>750</v>
      </c>
      <c r="T235" s="666" t="str">
        <f>R104</f>
        <v>-</v>
      </c>
      <c r="U235" s="666" t="str">
        <f>S104</f>
        <v>-</v>
      </c>
      <c r="V235" s="666">
        <f>T104</f>
        <v>0</v>
      </c>
      <c r="W235" s="667">
        <f>U104</f>
        <v>0</v>
      </c>
      <c r="Y235" s="660">
        <v>11</v>
      </c>
      <c r="Z235" s="661">
        <f>X113</f>
        <v>0.3</v>
      </c>
      <c r="AE235" s="637"/>
    </row>
    <row r="236" spans="1:38" ht="13">
      <c r="A236" s="1031"/>
      <c r="B236" s="662">
        <v>11</v>
      </c>
      <c r="C236" s="666">
        <f>C115</f>
        <v>15</v>
      </c>
      <c r="D236" s="666">
        <f t="shared" ref="D236:F236" si="70">D115</f>
        <v>0.3</v>
      </c>
      <c r="E236" s="666">
        <f t="shared" si="70"/>
        <v>0.3</v>
      </c>
      <c r="F236" s="666">
        <f t="shared" si="70"/>
        <v>0</v>
      </c>
      <c r="G236" s="666">
        <f>G115</f>
        <v>0</v>
      </c>
      <c r="I236" s="1031"/>
      <c r="J236" s="662">
        <v>11</v>
      </c>
      <c r="K236" s="666">
        <f>J115</f>
        <v>30</v>
      </c>
      <c r="L236" s="666">
        <f>K115</f>
        <v>-5.2</v>
      </c>
      <c r="M236" s="666">
        <f>L115</f>
        <v>-6.4</v>
      </c>
      <c r="N236" s="666">
        <f>M115</f>
        <v>0</v>
      </c>
      <c r="O236" s="666">
        <f>N115</f>
        <v>0.60000000000000009</v>
      </c>
      <c r="Q236" s="1035"/>
      <c r="R236" s="662">
        <v>11</v>
      </c>
      <c r="S236" s="666">
        <f>Q115</f>
        <v>750</v>
      </c>
      <c r="T236" s="666" t="str">
        <f>R115</f>
        <v>-</v>
      </c>
      <c r="U236" s="666" t="str">
        <f>S115</f>
        <v>-</v>
      </c>
      <c r="V236" s="666">
        <f>T115</f>
        <v>0</v>
      </c>
      <c r="W236" s="667">
        <f>U115</f>
        <v>0</v>
      </c>
      <c r="Y236" s="660">
        <v>12</v>
      </c>
      <c r="Z236" s="661">
        <f>X124</f>
        <v>0.3</v>
      </c>
      <c r="AE236" s="637"/>
    </row>
    <row r="237" spans="1:38" ht="13">
      <c r="A237" s="1031"/>
      <c r="B237" s="662">
        <v>12</v>
      </c>
      <c r="C237" s="666">
        <f>C126</f>
        <v>15</v>
      </c>
      <c r="D237" s="666">
        <f t="shared" ref="D237:F237" si="71">D126</f>
        <v>9.9999999999999995E-7</v>
      </c>
      <c r="E237" s="666" t="str">
        <f t="shared" si="71"/>
        <v>-</v>
      </c>
      <c r="F237" s="666">
        <f t="shared" si="71"/>
        <v>0</v>
      </c>
      <c r="G237" s="666">
        <f>G126</f>
        <v>0</v>
      </c>
      <c r="I237" s="1031"/>
      <c r="J237" s="662">
        <v>12</v>
      </c>
      <c r="K237" s="666">
        <f>J126</f>
        <v>30</v>
      </c>
      <c r="L237" s="666">
        <f>K126</f>
        <v>-0.4</v>
      </c>
      <c r="M237" s="666" t="str">
        <f>L126</f>
        <v>-</v>
      </c>
      <c r="N237" s="666">
        <f>M126</f>
        <v>0</v>
      </c>
      <c r="O237" s="666">
        <f>N126</f>
        <v>0</v>
      </c>
      <c r="Q237" s="1035"/>
      <c r="R237" s="662">
        <v>12</v>
      </c>
      <c r="S237" s="666">
        <f>Q126</f>
        <v>800</v>
      </c>
      <c r="T237" s="666">
        <f>R126</f>
        <v>-0.4</v>
      </c>
      <c r="U237" s="666" t="str">
        <f>S126</f>
        <v>-</v>
      </c>
      <c r="V237" s="666">
        <f>T126</f>
        <v>0</v>
      </c>
      <c r="W237" s="667">
        <f>U126</f>
        <v>0</v>
      </c>
      <c r="Y237" s="660">
        <v>13</v>
      </c>
      <c r="Z237" s="668">
        <f>X135</f>
        <v>0.5</v>
      </c>
      <c r="AE237" s="637"/>
      <c r="AL237" s="637"/>
    </row>
    <row r="238" spans="1:38" ht="13">
      <c r="A238" s="1031"/>
      <c r="B238" s="662">
        <v>13</v>
      </c>
      <c r="C238" s="666">
        <f>C137</f>
        <v>15</v>
      </c>
      <c r="D238" s="666">
        <f>E137</f>
        <v>-0.7</v>
      </c>
      <c r="E238" s="666" t="str">
        <f>F137</f>
        <v>-</v>
      </c>
      <c r="F238" s="666" t="str">
        <f>F137</f>
        <v>-</v>
      </c>
      <c r="G238" s="666">
        <f>G137</f>
        <v>0</v>
      </c>
      <c r="I238" s="1031"/>
      <c r="J238" s="662">
        <v>13</v>
      </c>
      <c r="K238" s="666">
        <f>J137</f>
        <v>30</v>
      </c>
      <c r="L238" s="666">
        <f>L137</f>
        <v>-1.4</v>
      </c>
      <c r="M238" s="666" t="str">
        <f>M137</f>
        <v>-</v>
      </c>
      <c r="N238" s="666">
        <v>9.9999999999999995E-7</v>
      </c>
      <c r="O238" s="666">
        <f>N137</f>
        <v>0</v>
      </c>
      <c r="Q238" s="1035"/>
      <c r="R238" s="662">
        <v>13</v>
      </c>
      <c r="S238" s="666">
        <f>Q137</f>
        <v>960</v>
      </c>
      <c r="T238" s="666">
        <f>S137</f>
        <v>0.9</v>
      </c>
      <c r="U238" s="666" t="str">
        <f>T137</f>
        <v>-</v>
      </c>
      <c r="V238" s="666" t="s">
        <v>155</v>
      </c>
      <c r="W238" s="667">
        <f>U137</f>
        <v>0</v>
      </c>
      <c r="Y238" s="660">
        <v>14</v>
      </c>
      <c r="Z238" s="668">
        <f>X146</f>
        <v>0.5</v>
      </c>
      <c r="AE238" s="637"/>
      <c r="AL238" s="637"/>
    </row>
    <row r="239" spans="1:38" ht="13">
      <c r="A239" s="1031"/>
      <c r="B239" s="662">
        <v>14</v>
      </c>
      <c r="C239" s="666">
        <f>C148</f>
        <v>15</v>
      </c>
      <c r="D239" s="666">
        <f>E148</f>
        <v>-0.2</v>
      </c>
      <c r="E239" s="666" t="str">
        <f>F148</f>
        <v>-</v>
      </c>
      <c r="F239" s="666" t="str">
        <f>F148</f>
        <v>-</v>
      </c>
      <c r="G239" s="666">
        <f>G148</f>
        <v>0</v>
      </c>
      <c r="I239" s="1031"/>
      <c r="J239" s="662">
        <v>14</v>
      </c>
      <c r="K239" s="666">
        <f>J148</f>
        <v>30</v>
      </c>
      <c r="L239" s="666">
        <f>L148</f>
        <v>0.6</v>
      </c>
      <c r="M239" s="666" t="str">
        <f>M148</f>
        <v>-</v>
      </c>
      <c r="N239" s="666" t="s">
        <v>155</v>
      </c>
      <c r="O239" s="666">
        <f>N148</f>
        <v>0</v>
      </c>
      <c r="Q239" s="1035"/>
      <c r="R239" s="662">
        <v>14</v>
      </c>
      <c r="S239" s="666">
        <f>Q148</f>
        <v>960</v>
      </c>
      <c r="T239" s="666">
        <f>S148</f>
        <v>0.9</v>
      </c>
      <c r="U239" s="666" t="str">
        <f>T148</f>
        <v>-</v>
      </c>
      <c r="V239" s="666" t="s">
        <v>155</v>
      </c>
      <c r="W239" s="667">
        <f>U148</f>
        <v>0</v>
      </c>
      <c r="Y239" s="660">
        <v>15</v>
      </c>
      <c r="Z239" s="668">
        <f>X157</f>
        <v>0.5</v>
      </c>
      <c r="AE239" s="637"/>
      <c r="AL239" s="637"/>
    </row>
    <row r="240" spans="1:38" ht="13">
      <c r="A240" s="1031"/>
      <c r="B240" s="662">
        <v>15</v>
      </c>
      <c r="C240" s="666">
        <f>C159</f>
        <v>15</v>
      </c>
      <c r="D240" s="666">
        <f>E159</f>
        <v>-0.6</v>
      </c>
      <c r="E240" s="666" t="str">
        <f>F159</f>
        <v>-</v>
      </c>
      <c r="F240" s="666" t="str">
        <f>F159</f>
        <v>-</v>
      </c>
      <c r="G240" s="666">
        <f>G159</f>
        <v>0</v>
      </c>
      <c r="I240" s="1031"/>
      <c r="J240" s="662">
        <v>15</v>
      </c>
      <c r="K240" s="666">
        <f>J159</f>
        <v>30</v>
      </c>
      <c r="L240" s="666">
        <f>L159</f>
        <v>-0.4</v>
      </c>
      <c r="M240" s="666" t="str">
        <f>M159</f>
        <v>-</v>
      </c>
      <c r="N240" s="666" t="s">
        <v>155</v>
      </c>
      <c r="O240" s="666">
        <f>N159</f>
        <v>0</v>
      </c>
      <c r="Q240" s="1035"/>
      <c r="R240" s="662">
        <v>15</v>
      </c>
      <c r="S240" s="666">
        <f>Q159</f>
        <v>960</v>
      </c>
      <c r="T240" s="666">
        <f>S159</f>
        <v>0.9</v>
      </c>
      <c r="U240" s="666" t="str">
        <f>T159</f>
        <v>-</v>
      </c>
      <c r="V240" s="666" t="s">
        <v>155</v>
      </c>
      <c r="W240" s="667">
        <f>U159</f>
        <v>0</v>
      </c>
      <c r="Y240" s="660">
        <v>16</v>
      </c>
      <c r="Z240" s="668">
        <f>X168</f>
        <v>0.4</v>
      </c>
      <c r="AE240" s="637"/>
      <c r="AL240" s="637"/>
    </row>
    <row r="241" spans="1:38" ht="13">
      <c r="A241" s="1031"/>
      <c r="B241" s="662">
        <v>16</v>
      </c>
      <c r="C241" s="666">
        <f>C170</f>
        <v>15</v>
      </c>
      <c r="D241" s="666">
        <f t="shared" ref="D241:F241" si="72">D170</f>
        <v>0.1</v>
      </c>
      <c r="E241" s="666" t="str">
        <f t="shared" si="72"/>
        <v>-</v>
      </c>
      <c r="F241" s="666">
        <f t="shared" si="72"/>
        <v>0</v>
      </c>
      <c r="G241" s="666">
        <f>G170</f>
        <v>0</v>
      </c>
      <c r="I241" s="1031"/>
      <c r="J241" s="662">
        <v>16</v>
      </c>
      <c r="K241" s="666">
        <f>J170</f>
        <v>30</v>
      </c>
      <c r="L241" s="666">
        <f>K170</f>
        <v>-1.6</v>
      </c>
      <c r="M241" s="666" t="str">
        <f>L170</f>
        <v>-</v>
      </c>
      <c r="N241" s="666">
        <f>M170</f>
        <v>0</v>
      </c>
      <c r="O241" s="666">
        <f>N170</f>
        <v>0</v>
      </c>
      <c r="Q241" s="1035"/>
      <c r="R241" s="662">
        <v>16</v>
      </c>
      <c r="S241" s="666">
        <f>Q170</f>
        <v>800</v>
      </c>
      <c r="T241" s="666">
        <f>R170</f>
        <v>-2.9</v>
      </c>
      <c r="U241" s="666" t="str">
        <f>S170</f>
        <v>-</v>
      </c>
      <c r="V241" s="666">
        <f>T170</f>
        <v>0</v>
      </c>
      <c r="W241" s="667">
        <f>U170</f>
        <v>0</v>
      </c>
      <c r="Y241" s="660">
        <v>17</v>
      </c>
      <c r="Z241" s="668">
        <f>X179</f>
        <v>0.3</v>
      </c>
      <c r="AE241" s="637"/>
      <c r="AL241" s="637"/>
    </row>
    <row r="242" spans="1:38" ht="13">
      <c r="A242" s="1031"/>
      <c r="B242" s="662">
        <v>17</v>
      </c>
      <c r="C242" s="666">
        <f>C181</f>
        <v>15</v>
      </c>
      <c r="D242" s="666">
        <f t="shared" ref="D242:F242" si="73">D181</f>
        <v>0.1</v>
      </c>
      <c r="E242" s="666" t="str">
        <f t="shared" si="73"/>
        <v>-</v>
      </c>
      <c r="F242" s="666">
        <f t="shared" si="73"/>
        <v>0</v>
      </c>
      <c r="G242" s="666">
        <f>G181</f>
        <v>0</v>
      </c>
      <c r="I242" s="1031"/>
      <c r="J242" s="662">
        <v>17</v>
      </c>
      <c r="K242" s="666">
        <f>J181</f>
        <v>30</v>
      </c>
      <c r="L242" s="666">
        <f>K181</f>
        <v>0.1</v>
      </c>
      <c r="M242" s="666" t="str">
        <f>L181</f>
        <v>-</v>
      </c>
      <c r="N242" s="666">
        <f>M181</f>
        <v>0</v>
      </c>
      <c r="O242" s="666">
        <f>N181</f>
        <v>0</v>
      </c>
      <c r="Q242" s="1035"/>
      <c r="R242" s="662">
        <v>17</v>
      </c>
      <c r="S242" s="666">
        <f>Q181</f>
        <v>960</v>
      </c>
      <c r="T242" s="666">
        <f>R181</f>
        <v>-0.6</v>
      </c>
      <c r="U242" s="666" t="str">
        <f>S181</f>
        <v>-</v>
      </c>
      <c r="V242" s="666">
        <f>T181</f>
        <v>0</v>
      </c>
      <c r="W242" s="667">
        <f>U181</f>
        <v>0</v>
      </c>
      <c r="Y242" s="660">
        <v>18</v>
      </c>
      <c r="Z242" s="668">
        <f>X190</f>
        <v>0.3</v>
      </c>
      <c r="AE242" s="637"/>
      <c r="AL242" s="637"/>
    </row>
    <row r="243" spans="1:38" ht="13">
      <c r="A243" s="1031"/>
      <c r="B243" s="662">
        <v>18</v>
      </c>
      <c r="C243" s="666">
        <f>C192</f>
        <v>15</v>
      </c>
      <c r="D243" s="666">
        <f t="shared" ref="D243:F243" si="74">D192</f>
        <v>9.9999999999999995E-7</v>
      </c>
      <c r="E243" s="666" t="str">
        <f t="shared" si="74"/>
        <v>-</v>
      </c>
      <c r="F243" s="666">
        <f t="shared" si="74"/>
        <v>0</v>
      </c>
      <c r="G243" s="666">
        <f>G192</f>
        <v>0</v>
      </c>
      <c r="I243" s="1031"/>
      <c r="J243" s="662">
        <v>18</v>
      </c>
      <c r="K243" s="666">
        <f>J192</f>
        <v>30</v>
      </c>
      <c r="L243" s="666">
        <f>K192</f>
        <v>-0.4</v>
      </c>
      <c r="M243" s="666" t="str">
        <f>L192</f>
        <v>-</v>
      </c>
      <c r="N243" s="666">
        <f>M192</f>
        <v>0</v>
      </c>
      <c r="O243" s="666">
        <f>N192</f>
        <v>0</v>
      </c>
      <c r="Q243" s="1035"/>
      <c r="R243" s="662">
        <v>18</v>
      </c>
      <c r="S243" s="666">
        <f>Q192</f>
        <v>800</v>
      </c>
      <c r="T243" s="666">
        <f>R192</f>
        <v>-1.5</v>
      </c>
      <c r="U243" s="666" t="str">
        <f>S192</f>
        <v>-</v>
      </c>
      <c r="V243" s="666">
        <f>T192</f>
        <v>0</v>
      </c>
      <c r="W243" s="667">
        <f>U192</f>
        <v>0</v>
      </c>
      <c r="Y243" s="660">
        <v>19</v>
      </c>
      <c r="Z243" s="668">
        <f>X201</f>
        <v>0.1</v>
      </c>
      <c r="AE243" s="637"/>
      <c r="AL243" s="637"/>
    </row>
    <row r="244" spans="1:38" ht="13.5" thickBot="1">
      <c r="A244" s="1031"/>
      <c r="B244" s="662">
        <v>19</v>
      </c>
      <c r="C244" s="666">
        <f>C203</f>
        <v>15</v>
      </c>
      <c r="D244" s="666">
        <f t="shared" ref="D244:F244" si="75">D203</f>
        <v>9.9999999999999995E-7</v>
      </c>
      <c r="E244" s="666" t="str">
        <f t="shared" si="75"/>
        <v>-</v>
      </c>
      <c r="F244" s="666">
        <f t="shared" si="75"/>
        <v>0</v>
      </c>
      <c r="G244" s="666">
        <f>G203</f>
        <v>0</v>
      </c>
      <c r="I244" s="1031"/>
      <c r="J244" s="662">
        <v>19</v>
      </c>
      <c r="K244" s="666">
        <f>J203</f>
        <v>30</v>
      </c>
      <c r="L244" s="666">
        <f>K203</f>
        <v>-1.5</v>
      </c>
      <c r="M244" s="666" t="str">
        <f>L203</f>
        <v>-</v>
      </c>
      <c r="N244" s="666">
        <f>M203</f>
        <v>0</v>
      </c>
      <c r="O244" s="666">
        <f>N203</f>
        <v>0</v>
      </c>
      <c r="Q244" s="1035"/>
      <c r="R244" s="662">
        <v>19</v>
      </c>
      <c r="S244" s="666">
        <f>Q203</f>
        <v>750</v>
      </c>
      <c r="T244" s="666">
        <f>R203</f>
        <v>2.5</v>
      </c>
      <c r="U244" s="666" t="str">
        <f>S203</f>
        <v>-</v>
      </c>
      <c r="V244" s="666">
        <f>T203</f>
        <v>0</v>
      </c>
      <c r="W244" s="667">
        <f>U203</f>
        <v>0</v>
      </c>
      <c r="Y244" s="669">
        <v>20</v>
      </c>
      <c r="Z244" s="670">
        <f>X212</f>
        <v>0</v>
      </c>
      <c r="AE244" s="637"/>
      <c r="AL244" s="637"/>
    </row>
    <row r="245" spans="1:38" ht="13.5" thickBot="1">
      <c r="A245" s="1031"/>
      <c r="B245" s="662">
        <v>20</v>
      </c>
      <c r="C245" s="666">
        <f>C214</f>
        <v>14.8</v>
      </c>
      <c r="D245" s="666">
        <f t="shared" ref="D245:F245" si="76">D214</f>
        <v>9.9999999999999995E-7</v>
      </c>
      <c r="E245" s="666" t="str">
        <f t="shared" si="76"/>
        <v>-</v>
      </c>
      <c r="F245" s="666">
        <f t="shared" si="76"/>
        <v>9.9999999999999995E-7</v>
      </c>
      <c r="G245" s="666">
        <f>G214</f>
        <v>0</v>
      </c>
      <c r="I245" s="1031"/>
      <c r="J245" s="662">
        <v>20</v>
      </c>
      <c r="K245" s="666">
        <f>J214</f>
        <v>45.7</v>
      </c>
      <c r="L245" s="666">
        <f>K214</f>
        <v>9.9999999999999995E-7</v>
      </c>
      <c r="M245" s="666" t="str">
        <f>L214</f>
        <v>-</v>
      </c>
      <c r="N245" s="666">
        <f>M214</f>
        <v>0</v>
      </c>
      <c r="O245" s="666">
        <f>N214</f>
        <v>0</v>
      </c>
      <c r="Q245" s="1036"/>
      <c r="R245" s="671">
        <v>20</v>
      </c>
      <c r="S245" s="672">
        <f>Q214</f>
        <v>750</v>
      </c>
      <c r="T245" s="672" t="str">
        <f>R214</f>
        <v>-</v>
      </c>
      <c r="U245" s="672" t="str">
        <f>S214</f>
        <v>-</v>
      </c>
      <c r="V245" s="672">
        <f>T214</f>
        <v>0</v>
      </c>
      <c r="W245" s="673">
        <f>U214</f>
        <v>0</v>
      </c>
      <c r="Y245" s="674"/>
      <c r="AE245" s="675"/>
      <c r="AL245" s="637"/>
    </row>
    <row r="246" spans="1:38" ht="13.5" thickBot="1">
      <c r="A246" s="676"/>
      <c r="B246" s="676"/>
      <c r="C246" s="677"/>
      <c r="D246" s="677"/>
      <c r="E246" s="677"/>
      <c r="F246" s="656"/>
      <c r="G246" s="677"/>
      <c r="I246" s="676"/>
      <c r="J246" s="676"/>
      <c r="K246" s="677"/>
      <c r="L246" s="677"/>
      <c r="M246" s="677"/>
      <c r="N246" s="656"/>
      <c r="O246" s="677"/>
      <c r="Q246" s="678"/>
      <c r="R246" s="678"/>
      <c r="S246" s="679"/>
      <c r="T246" s="679"/>
      <c r="U246" s="679"/>
      <c r="W246" s="680"/>
      <c r="Y246" s="681"/>
      <c r="AE246" s="681"/>
      <c r="AL246" s="681"/>
    </row>
    <row r="247" spans="1:38" ht="13">
      <c r="A247" s="1031">
        <v>2</v>
      </c>
      <c r="B247" s="662">
        <v>1</v>
      </c>
      <c r="C247" s="666">
        <f>C6</f>
        <v>20</v>
      </c>
      <c r="D247" s="666">
        <f t="shared" ref="D247:F247" si="77">D6</f>
        <v>-0.2</v>
      </c>
      <c r="E247" s="666">
        <f t="shared" si="77"/>
        <v>0.2</v>
      </c>
      <c r="F247" s="666">
        <f t="shared" si="77"/>
        <v>0</v>
      </c>
      <c r="G247" s="666">
        <f>G6</f>
        <v>0.2</v>
      </c>
      <c r="I247" s="1031">
        <v>2</v>
      </c>
      <c r="J247" s="662">
        <v>1</v>
      </c>
      <c r="K247" s="666">
        <f>J6</f>
        <v>40</v>
      </c>
      <c r="L247" s="666">
        <f>K6</f>
        <v>-6</v>
      </c>
      <c r="M247" s="666">
        <f>L6</f>
        <v>-8.6</v>
      </c>
      <c r="N247" s="666">
        <f>M6</f>
        <v>0</v>
      </c>
      <c r="O247" s="666">
        <f>N6</f>
        <v>1.2999999999999998</v>
      </c>
      <c r="Q247" s="1032">
        <v>2</v>
      </c>
      <c r="R247" s="682">
        <v>1</v>
      </c>
      <c r="S247" s="683">
        <f>Q6</f>
        <v>800</v>
      </c>
      <c r="T247" s="683" t="str">
        <f>R6</f>
        <v>-</v>
      </c>
      <c r="U247" s="683" t="str">
        <f>S6</f>
        <v>-</v>
      </c>
      <c r="V247" s="683">
        <f>T6</f>
        <v>0</v>
      </c>
      <c r="W247" s="684">
        <f>U6</f>
        <v>0</v>
      </c>
      <c r="Y247" s="1037" t="s">
        <v>90</v>
      </c>
      <c r="Z247" s="1038"/>
      <c r="AE247" s="685"/>
    </row>
    <row r="248" spans="1:38" ht="13">
      <c r="A248" s="1031"/>
      <c r="B248" s="662">
        <v>2</v>
      </c>
      <c r="C248" s="666">
        <f>C17</f>
        <v>20</v>
      </c>
      <c r="D248" s="666">
        <f t="shared" ref="D248:F248" si="78">D17</f>
        <v>0.7</v>
      </c>
      <c r="E248" s="666">
        <f t="shared" si="78"/>
        <v>-0.1</v>
      </c>
      <c r="F248" s="666">
        <f t="shared" si="78"/>
        <v>0</v>
      </c>
      <c r="G248" s="666">
        <f>G17</f>
        <v>0.39999999999999997</v>
      </c>
      <c r="I248" s="1031"/>
      <c r="J248" s="662">
        <v>2</v>
      </c>
      <c r="K248" s="666">
        <f>J17</f>
        <v>40</v>
      </c>
      <c r="L248" s="666">
        <f>K17</f>
        <v>-6.2</v>
      </c>
      <c r="M248" s="666">
        <f>L17</f>
        <v>-1.6</v>
      </c>
      <c r="N248" s="666">
        <f>M17</f>
        <v>0</v>
      </c>
      <c r="O248" s="666">
        <f>N17</f>
        <v>2.2999999999999998</v>
      </c>
      <c r="Q248" s="1031"/>
      <c r="R248" s="662">
        <v>2</v>
      </c>
      <c r="S248" s="666">
        <f>Q17</f>
        <v>800</v>
      </c>
      <c r="T248" s="666" t="str">
        <f>R17</f>
        <v>-</v>
      </c>
      <c r="U248" s="666" t="str">
        <f>S17</f>
        <v>-</v>
      </c>
      <c r="V248" s="666">
        <f>T17</f>
        <v>0</v>
      </c>
      <c r="W248" s="667">
        <f>U17</f>
        <v>0</v>
      </c>
      <c r="Y248" s="1039" t="s">
        <v>153</v>
      </c>
      <c r="Z248" s="1040"/>
      <c r="AE248" s="637"/>
    </row>
    <row r="249" spans="1:38" ht="13">
      <c r="A249" s="1031"/>
      <c r="B249" s="662">
        <v>3</v>
      </c>
      <c r="C249" s="662">
        <f>C28</f>
        <v>20</v>
      </c>
      <c r="D249" s="662">
        <f t="shared" ref="D249:F249" si="79">D28</f>
        <v>1</v>
      </c>
      <c r="E249" s="662">
        <f t="shared" si="79"/>
        <v>9.9999999999999995E-7</v>
      </c>
      <c r="F249" s="662">
        <f t="shared" si="79"/>
        <v>0</v>
      </c>
      <c r="G249" s="662">
        <f>G28</f>
        <v>0.49999949999999999</v>
      </c>
      <c r="I249" s="1031"/>
      <c r="J249" s="662">
        <v>3</v>
      </c>
      <c r="K249" s="662">
        <f>J28</f>
        <v>40</v>
      </c>
      <c r="L249" s="662">
        <f>K28</f>
        <v>-5.9</v>
      </c>
      <c r="M249" s="662">
        <f>L28</f>
        <v>-5.3</v>
      </c>
      <c r="N249" s="662">
        <f>M28</f>
        <v>0</v>
      </c>
      <c r="O249" s="662">
        <f>N28</f>
        <v>0.30000000000000027</v>
      </c>
      <c r="Q249" s="1031"/>
      <c r="R249" s="662">
        <v>3</v>
      </c>
      <c r="S249" s="662">
        <f>Q28</f>
        <v>800</v>
      </c>
      <c r="T249" s="662" t="str">
        <f>R28</f>
        <v>-</v>
      </c>
      <c r="U249" s="662" t="str">
        <f>S28</f>
        <v>-</v>
      </c>
      <c r="V249" s="662">
        <f>T28</f>
        <v>0</v>
      </c>
      <c r="W249" s="663">
        <f>U28</f>
        <v>0</v>
      </c>
      <c r="Y249" s="660">
        <v>1</v>
      </c>
      <c r="Z249" s="661">
        <f>X4</f>
        <v>3.1</v>
      </c>
      <c r="AE249" s="637"/>
    </row>
    <row r="250" spans="1:38" ht="13">
      <c r="A250" s="1031"/>
      <c r="B250" s="662">
        <v>4</v>
      </c>
      <c r="C250" s="662">
        <f>C39</f>
        <v>20</v>
      </c>
      <c r="D250" s="662">
        <f t="shared" ref="D250:F250" si="80">D39</f>
        <v>-0.1</v>
      </c>
      <c r="E250" s="662">
        <f t="shared" si="80"/>
        <v>-0.3</v>
      </c>
      <c r="F250" s="662">
        <f t="shared" si="80"/>
        <v>0</v>
      </c>
      <c r="G250" s="662">
        <f>G39</f>
        <v>9.9999999999999992E-2</v>
      </c>
      <c r="I250" s="1031"/>
      <c r="J250" s="662">
        <v>4</v>
      </c>
      <c r="K250" s="662">
        <f>J39</f>
        <v>40</v>
      </c>
      <c r="L250" s="662">
        <f>K39</f>
        <v>-4.4000000000000004</v>
      </c>
      <c r="M250" s="662">
        <f>L39</f>
        <v>-1.5</v>
      </c>
      <c r="N250" s="662">
        <f>M39</f>
        <v>0</v>
      </c>
      <c r="O250" s="662">
        <f>N39</f>
        <v>1.4500000000000002</v>
      </c>
      <c r="Q250" s="1031"/>
      <c r="R250" s="662">
        <v>4</v>
      </c>
      <c r="S250" s="662">
        <f>Q39</f>
        <v>800</v>
      </c>
      <c r="T250" s="662" t="str">
        <f>R39</f>
        <v>-</v>
      </c>
      <c r="U250" s="662" t="str">
        <f>S39</f>
        <v>-</v>
      </c>
      <c r="V250" s="662">
        <f>T39</f>
        <v>0</v>
      </c>
      <c r="W250" s="663">
        <f>U39</f>
        <v>0</v>
      </c>
      <c r="Y250" s="664">
        <v>2</v>
      </c>
      <c r="Z250" s="661">
        <f>X15</f>
        <v>2.2000000000000002</v>
      </c>
      <c r="AE250" s="637"/>
    </row>
    <row r="251" spans="1:38" ht="13">
      <c r="A251" s="1031"/>
      <c r="B251" s="662">
        <v>5</v>
      </c>
      <c r="C251" s="662">
        <f>C50</f>
        <v>20</v>
      </c>
      <c r="D251" s="662">
        <f t="shared" ref="D251:F251" si="81">D50</f>
        <v>0.1</v>
      </c>
      <c r="E251" s="662">
        <f t="shared" si="81"/>
        <v>0.3</v>
      </c>
      <c r="F251" s="662">
        <f t="shared" si="81"/>
        <v>0</v>
      </c>
      <c r="G251" s="662">
        <f>G50</f>
        <v>9.9999999999999992E-2</v>
      </c>
      <c r="I251" s="1031"/>
      <c r="J251" s="662">
        <v>5</v>
      </c>
      <c r="K251" s="662">
        <f>J50</f>
        <v>40</v>
      </c>
      <c r="L251" s="662">
        <f>K50</f>
        <v>-7.2</v>
      </c>
      <c r="M251" s="662">
        <f>L50</f>
        <v>-8</v>
      </c>
      <c r="N251" s="662">
        <f>M50</f>
        <v>0</v>
      </c>
      <c r="O251" s="662">
        <f>N50</f>
        <v>0.39999999999999991</v>
      </c>
      <c r="Q251" s="1031"/>
      <c r="R251" s="662">
        <v>5</v>
      </c>
      <c r="S251" s="662">
        <f>Q50</f>
        <v>800</v>
      </c>
      <c r="T251" s="662" t="str">
        <f>R50</f>
        <v>-</v>
      </c>
      <c r="U251" s="662" t="str">
        <f>S50</f>
        <v>-</v>
      </c>
      <c r="V251" s="662">
        <f>T50</f>
        <v>0</v>
      </c>
      <c r="W251" s="663">
        <f>U50</f>
        <v>0</v>
      </c>
      <c r="Y251" s="664">
        <v>3</v>
      </c>
      <c r="Z251" s="665">
        <f>X26</f>
        <v>3.1</v>
      </c>
      <c r="AE251" s="637"/>
    </row>
    <row r="252" spans="1:38" ht="13">
      <c r="A252" s="1031"/>
      <c r="B252" s="662">
        <v>6</v>
      </c>
      <c r="C252" s="662">
        <f>C61</f>
        <v>20</v>
      </c>
      <c r="D252" s="662">
        <f t="shared" ref="D252:F252" si="82">D61</f>
        <v>0.3</v>
      </c>
      <c r="E252" s="662">
        <f t="shared" si="82"/>
        <v>0.2</v>
      </c>
      <c r="F252" s="662">
        <f t="shared" si="82"/>
        <v>0</v>
      </c>
      <c r="G252" s="662">
        <f>G61</f>
        <v>4.9999999999999989E-2</v>
      </c>
      <c r="I252" s="1031"/>
      <c r="J252" s="662">
        <v>6</v>
      </c>
      <c r="K252" s="662">
        <f>J61</f>
        <v>40</v>
      </c>
      <c r="L252" s="662">
        <f>K61</f>
        <v>-3.8</v>
      </c>
      <c r="M252" s="662">
        <f>L61</f>
        <v>1.5</v>
      </c>
      <c r="N252" s="662">
        <f>M61</f>
        <v>0</v>
      </c>
      <c r="O252" s="662">
        <f>N61</f>
        <v>2.65</v>
      </c>
      <c r="Q252" s="1031"/>
      <c r="R252" s="662">
        <v>6</v>
      </c>
      <c r="S252" s="662">
        <f>Q61</f>
        <v>800</v>
      </c>
      <c r="T252" s="662">
        <f>R61</f>
        <v>0.9</v>
      </c>
      <c r="U252" s="662">
        <f>S61</f>
        <v>1.6</v>
      </c>
      <c r="V252" s="662">
        <f>T61</f>
        <v>0</v>
      </c>
      <c r="W252" s="663">
        <f>U61</f>
        <v>0.35000000000000003</v>
      </c>
      <c r="Y252" s="664">
        <v>4</v>
      </c>
      <c r="Z252" s="665">
        <f>X37</f>
        <v>1.3</v>
      </c>
      <c r="AE252" s="637"/>
    </row>
    <row r="253" spans="1:38" ht="13">
      <c r="A253" s="1031"/>
      <c r="B253" s="662">
        <v>7</v>
      </c>
      <c r="C253" s="662">
        <f>C72</f>
        <v>20</v>
      </c>
      <c r="D253" s="662">
        <f t="shared" ref="D253:F253" si="83">D72</f>
        <v>9.9999999999999995E-7</v>
      </c>
      <c r="E253" s="662">
        <f t="shared" si="83"/>
        <v>0.1</v>
      </c>
      <c r="F253" s="662">
        <f t="shared" si="83"/>
        <v>0</v>
      </c>
      <c r="G253" s="662">
        <f>G72</f>
        <v>4.9999500000000002E-2</v>
      </c>
      <c r="I253" s="1031"/>
      <c r="J253" s="662">
        <v>7</v>
      </c>
      <c r="K253" s="662">
        <f>J72</f>
        <v>40</v>
      </c>
      <c r="L253" s="662">
        <f>K72</f>
        <v>-1.9</v>
      </c>
      <c r="M253" s="662">
        <f>L72</f>
        <v>1.2</v>
      </c>
      <c r="N253" s="662">
        <f>M72</f>
        <v>0</v>
      </c>
      <c r="O253" s="662">
        <f>N72</f>
        <v>1.5499999999999998</v>
      </c>
      <c r="Q253" s="1031"/>
      <c r="R253" s="662">
        <v>7</v>
      </c>
      <c r="S253" s="662">
        <f>Q72</f>
        <v>800</v>
      </c>
      <c r="T253" s="662">
        <f>R72</f>
        <v>9.9999999999999995E-7</v>
      </c>
      <c r="U253" s="662">
        <f>S72</f>
        <v>2.5</v>
      </c>
      <c r="V253" s="662">
        <f>T72</f>
        <v>0</v>
      </c>
      <c r="W253" s="663">
        <f>U72</f>
        <v>1.2499994999999999</v>
      </c>
      <c r="Y253" s="664">
        <v>5</v>
      </c>
      <c r="Z253" s="665">
        <f>X48</f>
        <v>2.8</v>
      </c>
      <c r="AE253" s="637"/>
    </row>
    <row r="254" spans="1:38" ht="13">
      <c r="A254" s="1031"/>
      <c r="B254" s="662">
        <v>8</v>
      </c>
      <c r="C254" s="662">
        <f>C83</f>
        <v>20</v>
      </c>
      <c r="D254" s="662">
        <f t="shared" ref="D254:F254" si="84">D83</f>
        <v>9.9999999999999995E-7</v>
      </c>
      <c r="E254" s="662">
        <f t="shared" si="84"/>
        <v>-0.2</v>
      </c>
      <c r="F254" s="662">
        <f t="shared" si="84"/>
        <v>0</v>
      </c>
      <c r="G254" s="662">
        <f>G83</f>
        <v>0.10000050000000001</v>
      </c>
      <c r="I254" s="1031"/>
      <c r="J254" s="662">
        <v>8</v>
      </c>
      <c r="K254" s="662">
        <f>J83</f>
        <v>40</v>
      </c>
      <c r="L254" s="662">
        <f>K83</f>
        <v>-3.8</v>
      </c>
      <c r="M254" s="662">
        <f>L83</f>
        <v>-1.2</v>
      </c>
      <c r="N254" s="662">
        <f>M83</f>
        <v>0</v>
      </c>
      <c r="O254" s="662">
        <f>N83</f>
        <v>1.2999999999999998</v>
      </c>
      <c r="Q254" s="1031"/>
      <c r="R254" s="662">
        <v>8</v>
      </c>
      <c r="S254" s="662">
        <f>Q83</f>
        <v>800</v>
      </c>
      <c r="T254" s="662">
        <f>R83</f>
        <v>9.9999999999999995E-7</v>
      </c>
      <c r="U254" s="662">
        <f>S83</f>
        <v>9.9999999999999995E-7</v>
      </c>
      <c r="V254" s="662">
        <f>T83</f>
        <v>0</v>
      </c>
      <c r="W254" s="663">
        <f>U83</f>
        <v>0</v>
      </c>
      <c r="Y254" s="660">
        <v>6</v>
      </c>
      <c r="Z254" s="661">
        <f>X59</f>
        <v>2.6</v>
      </c>
      <c r="AE254" s="637"/>
    </row>
    <row r="255" spans="1:38" ht="13">
      <c r="A255" s="1031"/>
      <c r="B255" s="662">
        <v>9</v>
      </c>
      <c r="C255" s="662">
        <f>C94</f>
        <v>20</v>
      </c>
      <c r="D255" s="662">
        <f t="shared" ref="D255:F255" si="85">D94</f>
        <v>-0.2</v>
      </c>
      <c r="E255" s="662" t="str">
        <f t="shared" si="85"/>
        <v>-</v>
      </c>
      <c r="F255" s="662">
        <f t="shared" si="85"/>
        <v>0</v>
      </c>
      <c r="G255" s="662">
        <f>G94</f>
        <v>0</v>
      </c>
      <c r="I255" s="1031"/>
      <c r="J255" s="662">
        <v>9</v>
      </c>
      <c r="K255" s="662">
        <f>J94</f>
        <v>40</v>
      </c>
      <c r="L255" s="662">
        <f>K94</f>
        <v>-1</v>
      </c>
      <c r="M255" s="662" t="str">
        <f>L94</f>
        <v>-</v>
      </c>
      <c r="N255" s="662">
        <f>M94</f>
        <v>0</v>
      </c>
      <c r="O255" s="662">
        <f>N94</f>
        <v>0</v>
      </c>
      <c r="Q255" s="1031"/>
      <c r="R255" s="662">
        <v>9</v>
      </c>
      <c r="S255" s="662">
        <f>Q94</f>
        <v>800</v>
      </c>
      <c r="T255" s="662">
        <f>R94</f>
        <v>9.9999999999999995E-7</v>
      </c>
      <c r="U255" s="662" t="str">
        <f>S94</f>
        <v>-</v>
      </c>
      <c r="V255" s="662">
        <f>T94</f>
        <v>0</v>
      </c>
      <c r="W255" s="663">
        <f>U94</f>
        <v>0</v>
      </c>
      <c r="Y255" s="660">
        <v>7</v>
      </c>
      <c r="Z255" s="661">
        <f>X70</f>
        <v>2.4</v>
      </c>
      <c r="AE255" s="637"/>
    </row>
    <row r="256" spans="1:38" ht="13">
      <c r="A256" s="1031"/>
      <c r="B256" s="662">
        <v>10</v>
      </c>
      <c r="C256" s="662">
        <f>C105</f>
        <v>20</v>
      </c>
      <c r="D256" s="662">
        <f t="shared" ref="D256:F256" si="86">D105</f>
        <v>0.2</v>
      </c>
      <c r="E256" s="662">
        <f t="shared" si="86"/>
        <v>-0.7</v>
      </c>
      <c r="F256" s="662">
        <f t="shared" si="86"/>
        <v>0</v>
      </c>
      <c r="G256" s="662">
        <f>G105</f>
        <v>0.44999999999999996</v>
      </c>
      <c r="I256" s="1031"/>
      <c r="J256" s="662">
        <v>10</v>
      </c>
      <c r="K256" s="662">
        <f>J105</f>
        <v>40</v>
      </c>
      <c r="L256" s="662">
        <f>K105</f>
        <v>-3.3</v>
      </c>
      <c r="M256" s="662">
        <f>L105</f>
        <v>-6.4</v>
      </c>
      <c r="N256" s="662">
        <f>M105</f>
        <v>0</v>
      </c>
      <c r="O256" s="662">
        <f>N105</f>
        <v>1.5500000000000003</v>
      </c>
      <c r="Q256" s="1031"/>
      <c r="R256" s="662">
        <v>10</v>
      </c>
      <c r="S256" s="662">
        <f>Q105</f>
        <v>800</v>
      </c>
      <c r="T256" s="662" t="str">
        <f>R105</f>
        <v>-</v>
      </c>
      <c r="U256" s="662" t="str">
        <f>S105</f>
        <v>-</v>
      </c>
      <c r="V256" s="662">
        <f>T105</f>
        <v>0</v>
      </c>
      <c r="W256" s="663">
        <f>U105</f>
        <v>0</v>
      </c>
      <c r="Y256" s="660">
        <v>8</v>
      </c>
      <c r="Z256" s="661">
        <f>X81</f>
        <v>2.5</v>
      </c>
      <c r="AE256" s="637"/>
    </row>
    <row r="257" spans="1:31" ht="13">
      <c r="A257" s="1031"/>
      <c r="B257" s="662">
        <v>11</v>
      </c>
      <c r="C257" s="662">
        <f>C116</f>
        <v>20</v>
      </c>
      <c r="D257" s="662">
        <f t="shared" ref="D257:F257" si="87">D116</f>
        <v>0.4</v>
      </c>
      <c r="E257" s="662">
        <f t="shared" si="87"/>
        <v>0.5</v>
      </c>
      <c r="F257" s="662">
        <f t="shared" si="87"/>
        <v>0</v>
      </c>
      <c r="G257" s="662">
        <f>G116</f>
        <v>4.9999999999999989E-2</v>
      </c>
      <c r="I257" s="1031"/>
      <c r="J257" s="662">
        <v>11</v>
      </c>
      <c r="K257" s="662">
        <f>J116</f>
        <v>40</v>
      </c>
      <c r="L257" s="662">
        <f>K116</f>
        <v>-5.5</v>
      </c>
      <c r="M257" s="662">
        <f>L116</f>
        <v>-5.9</v>
      </c>
      <c r="N257" s="662">
        <f>M116</f>
        <v>0</v>
      </c>
      <c r="O257" s="662">
        <f>N116</f>
        <v>0.20000000000000018</v>
      </c>
      <c r="Q257" s="1031"/>
      <c r="R257" s="662">
        <v>11</v>
      </c>
      <c r="S257" s="662">
        <f>Q116</f>
        <v>800</v>
      </c>
      <c r="T257" s="662" t="str">
        <f>R116</f>
        <v>-</v>
      </c>
      <c r="U257" s="662" t="str">
        <f>S116</f>
        <v>-</v>
      </c>
      <c r="V257" s="662">
        <f>T116</f>
        <v>0</v>
      </c>
      <c r="W257" s="663">
        <f>U116</f>
        <v>0</v>
      </c>
      <c r="Y257" s="660">
        <v>9</v>
      </c>
      <c r="Z257" s="661">
        <f>X92</f>
        <v>2.4</v>
      </c>
      <c r="AE257" s="637"/>
    </row>
    <row r="258" spans="1:31" ht="13">
      <c r="A258" s="1031"/>
      <c r="B258" s="662">
        <v>12</v>
      </c>
      <c r="C258" s="662">
        <f>C127</f>
        <v>20</v>
      </c>
      <c r="D258" s="662">
        <f t="shared" ref="D258:F258" si="88">D127</f>
        <v>9.9999999999999995E-7</v>
      </c>
      <c r="E258" s="662" t="str">
        <f t="shared" si="88"/>
        <v>-</v>
      </c>
      <c r="F258" s="662">
        <f t="shared" si="88"/>
        <v>0</v>
      </c>
      <c r="G258" s="662">
        <f>G127</f>
        <v>0</v>
      </c>
      <c r="I258" s="1031"/>
      <c r="J258" s="662">
        <v>12</v>
      </c>
      <c r="K258" s="662">
        <f>J127</f>
        <v>40</v>
      </c>
      <c r="L258" s="662">
        <f>K127</f>
        <v>-0.1</v>
      </c>
      <c r="M258" s="662" t="str">
        <f>L127</f>
        <v>-</v>
      </c>
      <c r="N258" s="662">
        <f>M127</f>
        <v>0</v>
      </c>
      <c r="O258" s="662">
        <f>N127</f>
        <v>0</v>
      </c>
      <c r="Q258" s="1031"/>
      <c r="R258" s="662">
        <v>12</v>
      </c>
      <c r="S258" s="662">
        <f>Q127</f>
        <v>850</v>
      </c>
      <c r="T258" s="662">
        <f>R127</f>
        <v>-0.5</v>
      </c>
      <c r="U258" s="662" t="str">
        <f>S127</f>
        <v>-</v>
      </c>
      <c r="V258" s="662">
        <f>T127</f>
        <v>0</v>
      </c>
      <c r="W258" s="663">
        <f>U127</f>
        <v>0</v>
      </c>
      <c r="Y258" s="660">
        <v>10</v>
      </c>
      <c r="Z258" s="661">
        <f>X103</f>
        <v>1.5</v>
      </c>
      <c r="AE258" s="637"/>
    </row>
    <row r="259" spans="1:31" ht="13">
      <c r="A259" s="1031"/>
      <c r="B259" s="662">
        <v>13</v>
      </c>
      <c r="C259" s="662">
        <f>C138</f>
        <v>20</v>
      </c>
      <c r="D259" s="662">
        <f>E138</f>
        <v>-0.4</v>
      </c>
      <c r="E259" s="662" t="str">
        <f>F138</f>
        <v>-</v>
      </c>
      <c r="F259" s="662" t="str">
        <f>F138</f>
        <v>-</v>
      </c>
      <c r="G259" s="662">
        <f>G138</f>
        <v>0</v>
      </c>
      <c r="I259" s="1031"/>
      <c r="J259" s="662">
        <v>13</v>
      </c>
      <c r="K259" s="662">
        <f>J138</f>
        <v>40</v>
      </c>
      <c r="L259" s="662">
        <f>L138</f>
        <v>-1.3</v>
      </c>
      <c r="M259" s="662" t="str">
        <f>M138</f>
        <v>-</v>
      </c>
      <c r="N259" s="662" t="s">
        <v>155</v>
      </c>
      <c r="O259" s="662">
        <f>N138</f>
        <v>0</v>
      </c>
      <c r="Q259" s="1031"/>
      <c r="R259" s="662">
        <v>13</v>
      </c>
      <c r="S259" s="662">
        <f>Q138</f>
        <v>970</v>
      </c>
      <c r="T259" s="662">
        <f>S138</f>
        <v>1</v>
      </c>
      <c r="U259" s="662" t="str">
        <f>T138</f>
        <v>-</v>
      </c>
      <c r="V259" s="662" t="s">
        <v>155</v>
      </c>
      <c r="W259" s="663">
        <f>U138</f>
        <v>0</v>
      </c>
      <c r="Y259" s="660">
        <v>11</v>
      </c>
      <c r="Z259" s="661">
        <f>X114</f>
        <v>1.8</v>
      </c>
      <c r="AE259" s="637"/>
    </row>
    <row r="260" spans="1:31" ht="13">
      <c r="A260" s="1031"/>
      <c r="B260" s="662">
        <v>14</v>
      </c>
      <c r="C260" s="662">
        <f>C149</f>
        <v>20</v>
      </c>
      <c r="D260" s="662">
        <f>E149</f>
        <v>-0.1</v>
      </c>
      <c r="E260" s="662" t="str">
        <f>F149</f>
        <v>-</v>
      </c>
      <c r="F260" s="662" t="str">
        <f>F149</f>
        <v>-</v>
      </c>
      <c r="G260" s="662">
        <f>G149</f>
        <v>0</v>
      </c>
      <c r="I260" s="1031"/>
      <c r="J260" s="662">
        <v>14</v>
      </c>
      <c r="K260" s="662">
        <f>J149</f>
        <v>40</v>
      </c>
      <c r="L260" s="662">
        <f>L149</f>
        <v>0.3</v>
      </c>
      <c r="M260" s="662" t="str">
        <f>M149</f>
        <v>-</v>
      </c>
      <c r="N260" s="662" t="s">
        <v>155</v>
      </c>
      <c r="O260" s="662">
        <f>N149</f>
        <v>0</v>
      </c>
      <c r="Q260" s="1031"/>
      <c r="R260" s="662">
        <v>14</v>
      </c>
      <c r="S260" s="662">
        <f>Q149</f>
        <v>970</v>
      </c>
      <c r="T260" s="662">
        <f>S149</f>
        <v>1</v>
      </c>
      <c r="U260" s="662" t="str">
        <f>T149</f>
        <v>-</v>
      </c>
      <c r="V260" s="662" t="s">
        <v>155</v>
      </c>
      <c r="W260" s="663">
        <f>U149</f>
        <v>0</v>
      </c>
      <c r="Y260" s="660">
        <v>12</v>
      </c>
      <c r="Z260" s="686">
        <f>X125</f>
        <v>2</v>
      </c>
      <c r="AE260" s="637"/>
    </row>
    <row r="261" spans="1:31" ht="13">
      <c r="A261" s="1031"/>
      <c r="B261" s="662">
        <v>15</v>
      </c>
      <c r="C261" s="662">
        <f>C160</f>
        <v>20</v>
      </c>
      <c r="D261" s="662">
        <f>E160</f>
        <v>-0.5</v>
      </c>
      <c r="E261" s="662" t="str">
        <f>F160</f>
        <v>-</v>
      </c>
      <c r="F261" s="662" t="str">
        <f>F160</f>
        <v>-</v>
      </c>
      <c r="G261" s="662">
        <f>G160</f>
        <v>0</v>
      </c>
      <c r="I261" s="1031"/>
      <c r="J261" s="662">
        <v>15</v>
      </c>
      <c r="K261" s="662">
        <f>J160</f>
        <v>40</v>
      </c>
      <c r="L261" s="662">
        <f>L160</f>
        <v>-0.3</v>
      </c>
      <c r="M261" s="662" t="str">
        <f>M160</f>
        <v>-</v>
      </c>
      <c r="N261" s="662" t="s">
        <v>155</v>
      </c>
      <c r="O261" s="662">
        <f>N160</f>
        <v>0</v>
      </c>
      <c r="Q261" s="1031"/>
      <c r="R261" s="662">
        <v>15</v>
      </c>
      <c r="S261" s="662">
        <f>Q160</f>
        <v>970</v>
      </c>
      <c r="T261" s="662">
        <f>S160</f>
        <v>1</v>
      </c>
      <c r="U261" s="662" t="str">
        <f>T160</f>
        <v>-</v>
      </c>
      <c r="V261" s="662" t="s">
        <v>155</v>
      </c>
      <c r="W261" s="663">
        <f>U160</f>
        <v>0</v>
      </c>
      <c r="Y261" s="660">
        <v>13</v>
      </c>
      <c r="Z261" s="661">
        <f>X136</f>
        <v>2.2999999999999998</v>
      </c>
      <c r="AE261" s="637"/>
    </row>
    <row r="262" spans="1:31" ht="13">
      <c r="A262" s="1031"/>
      <c r="B262" s="662">
        <v>16</v>
      </c>
      <c r="C262" s="662">
        <f>C171</f>
        <v>20</v>
      </c>
      <c r="D262" s="662">
        <f t="shared" ref="D262:F262" si="89">D171</f>
        <v>0.2</v>
      </c>
      <c r="E262" s="662" t="str">
        <f t="shared" si="89"/>
        <v>-</v>
      </c>
      <c r="F262" s="662">
        <f t="shared" si="89"/>
        <v>0</v>
      </c>
      <c r="G262" s="662">
        <f>G171</f>
        <v>0</v>
      </c>
      <c r="I262" s="1031"/>
      <c r="J262" s="662">
        <v>16</v>
      </c>
      <c r="K262" s="662">
        <f>J171</f>
        <v>40</v>
      </c>
      <c r="L262" s="662">
        <f>K171</f>
        <v>-1.4</v>
      </c>
      <c r="M262" s="662" t="str">
        <f>L171</f>
        <v>-</v>
      </c>
      <c r="N262" s="662">
        <f>M171</f>
        <v>0</v>
      </c>
      <c r="O262" s="662">
        <f>N171</f>
        <v>0</v>
      </c>
      <c r="Q262" s="1031"/>
      <c r="R262" s="662">
        <v>16</v>
      </c>
      <c r="S262" s="662">
        <f>Q171</f>
        <v>850</v>
      </c>
      <c r="T262" s="662">
        <f>R171</f>
        <v>-2.2999999999999998</v>
      </c>
      <c r="U262" s="662" t="str">
        <f>S171</f>
        <v>-</v>
      </c>
      <c r="V262" s="662">
        <f>T171</f>
        <v>0</v>
      </c>
      <c r="W262" s="663">
        <f>U171</f>
        <v>0</v>
      </c>
      <c r="Y262" s="660">
        <v>14</v>
      </c>
      <c r="Z262" s="661">
        <f>X147</f>
        <v>2.7</v>
      </c>
      <c r="AE262" s="637"/>
    </row>
    <row r="263" spans="1:31" ht="13">
      <c r="A263" s="1031"/>
      <c r="B263" s="662">
        <v>17</v>
      </c>
      <c r="C263" s="662">
        <f>C182</f>
        <v>20</v>
      </c>
      <c r="D263" s="662">
        <f t="shared" ref="D263:F263" si="90">D182</f>
        <v>0.1</v>
      </c>
      <c r="E263" s="662" t="str">
        <f t="shared" si="90"/>
        <v>-</v>
      </c>
      <c r="F263" s="662">
        <f t="shared" si="90"/>
        <v>0</v>
      </c>
      <c r="G263" s="662">
        <f>G182</f>
        <v>0</v>
      </c>
      <c r="I263" s="1031"/>
      <c r="J263" s="662">
        <v>17</v>
      </c>
      <c r="K263" s="662">
        <f>J182</f>
        <v>40</v>
      </c>
      <c r="L263" s="662">
        <f>K182</f>
        <v>0.2</v>
      </c>
      <c r="M263" s="662" t="str">
        <f>L182</f>
        <v>-</v>
      </c>
      <c r="N263" s="662">
        <f>M182</f>
        <v>0</v>
      </c>
      <c r="O263" s="662">
        <f>N182</f>
        <v>0</v>
      </c>
      <c r="Q263" s="1031"/>
      <c r="R263" s="662">
        <v>17</v>
      </c>
      <c r="S263" s="662">
        <f>Q182</f>
        <v>970</v>
      </c>
      <c r="T263" s="662">
        <f>R182</f>
        <v>-0.6</v>
      </c>
      <c r="U263" s="662" t="str">
        <f>S182</f>
        <v>-</v>
      </c>
      <c r="V263" s="662">
        <f>T182</f>
        <v>0</v>
      </c>
      <c r="W263" s="663">
        <f>U182</f>
        <v>0</v>
      </c>
      <c r="Y263" s="660">
        <v>15</v>
      </c>
      <c r="Z263" s="661">
        <f>X158</f>
        <v>2.6</v>
      </c>
      <c r="AE263" s="637"/>
    </row>
    <row r="264" spans="1:31" ht="13">
      <c r="A264" s="1031"/>
      <c r="B264" s="662">
        <v>18</v>
      </c>
      <c r="C264" s="662">
        <f>C193</f>
        <v>20</v>
      </c>
      <c r="D264" s="662">
        <f t="shared" ref="D264:F264" si="91">D193</f>
        <v>-0.1</v>
      </c>
      <c r="E264" s="662" t="str">
        <f t="shared" si="91"/>
        <v>-</v>
      </c>
      <c r="F264" s="662">
        <f t="shared" si="91"/>
        <v>0</v>
      </c>
      <c r="G264" s="662">
        <f>G193</f>
        <v>0</v>
      </c>
      <c r="I264" s="1031"/>
      <c r="J264" s="662">
        <v>18</v>
      </c>
      <c r="K264" s="662">
        <f>J193</f>
        <v>40</v>
      </c>
      <c r="L264" s="662">
        <f>K193</f>
        <v>-0.2</v>
      </c>
      <c r="M264" s="662" t="str">
        <f>L193</f>
        <v>-</v>
      </c>
      <c r="N264" s="662">
        <f>M193</f>
        <v>0</v>
      </c>
      <c r="O264" s="662">
        <f>N193</f>
        <v>0</v>
      </c>
      <c r="Q264" s="1031"/>
      <c r="R264" s="662">
        <v>18</v>
      </c>
      <c r="S264" s="662">
        <f>Q193</f>
        <v>850</v>
      </c>
      <c r="T264" s="662">
        <f>R193</f>
        <v>-1.3</v>
      </c>
      <c r="U264" s="662" t="str">
        <f>S193</f>
        <v>-</v>
      </c>
      <c r="V264" s="662">
        <f>T193</f>
        <v>0</v>
      </c>
      <c r="W264" s="663">
        <f>U193</f>
        <v>0</v>
      </c>
      <c r="Y264" s="660">
        <v>16</v>
      </c>
      <c r="Z264" s="661">
        <f>X169</f>
        <v>2.2000000000000002</v>
      </c>
      <c r="AE264" s="637"/>
    </row>
    <row r="265" spans="1:31" ht="13">
      <c r="A265" s="1031"/>
      <c r="B265" s="662">
        <v>19</v>
      </c>
      <c r="C265" s="662">
        <f>C204</f>
        <v>20</v>
      </c>
      <c r="D265" s="662">
        <f t="shared" ref="D265:F265" si="92">D204</f>
        <v>0.1</v>
      </c>
      <c r="E265" s="662" t="str">
        <f t="shared" si="92"/>
        <v>-</v>
      </c>
      <c r="F265" s="662">
        <f t="shared" si="92"/>
        <v>0</v>
      </c>
      <c r="G265" s="662">
        <f>G204</f>
        <v>0</v>
      </c>
      <c r="I265" s="1031"/>
      <c r="J265" s="662">
        <v>19</v>
      </c>
      <c r="K265" s="662">
        <f>J204</f>
        <v>40</v>
      </c>
      <c r="L265" s="662">
        <f>K204</f>
        <v>-0.8</v>
      </c>
      <c r="M265" s="662" t="str">
        <f>L204</f>
        <v>-</v>
      </c>
      <c r="N265" s="662">
        <f>M204</f>
        <v>0</v>
      </c>
      <c r="O265" s="662">
        <f>N204</f>
        <v>0</v>
      </c>
      <c r="Q265" s="1031"/>
      <c r="R265" s="662">
        <v>19</v>
      </c>
      <c r="S265" s="662">
        <f>Q204</f>
        <v>800</v>
      </c>
      <c r="T265" s="662">
        <f>R204</f>
        <v>2.5</v>
      </c>
      <c r="U265" s="662" t="str">
        <f>S204</f>
        <v>-</v>
      </c>
      <c r="V265" s="662">
        <f>T204</f>
        <v>0</v>
      </c>
      <c r="W265" s="663">
        <f>U204</f>
        <v>0</v>
      </c>
      <c r="Y265" s="660">
        <v>17</v>
      </c>
      <c r="Z265" s="661">
        <f>X180</f>
        <v>2.8</v>
      </c>
      <c r="AE265" s="637"/>
    </row>
    <row r="266" spans="1:31" ht="13.5" thickBot="1">
      <c r="A266" s="1031"/>
      <c r="B266" s="662">
        <v>20</v>
      </c>
      <c r="C266" s="662">
        <f>C215</f>
        <v>19.7</v>
      </c>
      <c r="D266" s="662">
        <f t="shared" ref="D266:F266" si="93">D215</f>
        <v>9.9999999999999995E-7</v>
      </c>
      <c r="E266" s="662" t="str">
        <f t="shared" si="93"/>
        <v>-</v>
      </c>
      <c r="F266" s="662">
        <f t="shared" si="93"/>
        <v>9.9999999999999995E-7</v>
      </c>
      <c r="G266" s="662">
        <f>G215</f>
        <v>0</v>
      </c>
      <c r="I266" s="1031"/>
      <c r="J266" s="662">
        <v>20</v>
      </c>
      <c r="K266" s="662">
        <f>J215</f>
        <v>54.3</v>
      </c>
      <c r="L266" s="662">
        <f>K215</f>
        <v>9.9999999999999995E-7</v>
      </c>
      <c r="M266" s="662" t="str">
        <f>L215</f>
        <v>-</v>
      </c>
      <c r="N266" s="662">
        <f>M215</f>
        <v>0</v>
      </c>
      <c r="O266" s="662">
        <f>N215</f>
        <v>0</v>
      </c>
      <c r="Q266" s="1033"/>
      <c r="R266" s="671">
        <v>20</v>
      </c>
      <c r="S266" s="671">
        <f>Q215</f>
        <v>800</v>
      </c>
      <c r="T266" s="671" t="str">
        <f>R215</f>
        <v>-</v>
      </c>
      <c r="U266" s="671" t="str">
        <f>S215</f>
        <v>-</v>
      </c>
      <c r="V266" s="671">
        <f>T215</f>
        <v>0</v>
      </c>
      <c r="W266" s="687">
        <f>U215</f>
        <v>0</v>
      </c>
      <c r="Y266" s="660">
        <v>18</v>
      </c>
      <c r="Z266" s="661">
        <f>X191</f>
        <v>1.6</v>
      </c>
      <c r="AE266" s="675"/>
    </row>
    <row r="267" spans="1:31" ht="13.5" thickBot="1">
      <c r="A267" s="676"/>
      <c r="B267" s="676"/>
      <c r="C267" s="676"/>
      <c r="D267" s="676"/>
      <c r="E267" s="676"/>
      <c r="F267" s="656"/>
      <c r="G267" s="676"/>
      <c r="I267" s="676"/>
      <c r="J267" s="676"/>
      <c r="K267" s="676"/>
      <c r="L267" s="676"/>
      <c r="M267" s="676"/>
      <c r="N267" s="656"/>
      <c r="O267" s="676"/>
      <c r="Q267" s="688"/>
      <c r="R267" s="678"/>
      <c r="S267" s="689"/>
      <c r="T267" s="689"/>
      <c r="U267" s="689"/>
      <c r="W267" s="690"/>
      <c r="Y267" s="660">
        <v>19</v>
      </c>
      <c r="Z267" s="668">
        <f>X202</f>
        <v>1.5</v>
      </c>
      <c r="AE267" s="637"/>
    </row>
    <row r="268" spans="1:31" ht="13.5" thickBot="1">
      <c r="A268" s="1031">
        <v>3</v>
      </c>
      <c r="B268" s="662">
        <v>1</v>
      </c>
      <c r="C268" s="662">
        <f>C7</f>
        <v>25</v>
      </c>
      <c r="D268" s="662">
        <f t="shared" ref="D268:F268" si="94">D7</f>
        <v>9.9999999999999995E-7</v>
      </c>
      <c r="E268" s="662">
        <f t="shared" si="94"/>
        <v>0.1</v>
      </c>
      <c r="F268" s="662">
        <f t="shared" si="94"/>
        <v>0</v>
      </c>
      <c r="G268" s="662">
        <f>G7</f>
        <v>0.05</v>
      </c>
      <c r="I268" s="1031">
        <v>3</v>
      </c>
      <c r="J268" s="662">
        <v>1</v>
      </c>
      <c r="K268" s="662">
        <f>J7</f>
        <v>50</v>
      </c>
      <c r="L268" s="662">
        <f>K7</f>
        <v>-5.8</v>
      </c>
      <c r="M268" s="662">
        <f>L7</f>
        <v>-7.2</v>
      </c>
      <c r="N268" s="662">
        <f>M7</f>
        <v>0</v>
      </c>
      <c r="O268" s="662">
        <f>N7</f>
        <v>0.70000000000000018</v>
      </c>
      <c r="Q268" s="1032">
        <v>3</v>
      </c>
      <c r="R268" s="682">
        <v>1</v>
      </c>
      <c r="S268" s="682">
        <f>Q7</f>
        <v>850</v>
      </c>
      <c r="T268" s="682" t="str">
        <f>R7</f>
        <v>-</v>
      </c>
      <c r="U268" s="682" t="str">
        <f>S7</f>
        <v>-</v>
      </c>
      <c r="V268" s="682">
        <f>T7</f>
        <v>0</v>
      </c>
      <c r="W268" s="691">
        <f>U7</f>
        <v>0</v>
      </c>
      <c r="Y268" s="669">
        <v>20</v>
      </c>
      <c r="Z268" s="670">
        <f>X213</f>
        <v>0</v>
      </c>
      <c r="AE268" s="685"/>
    </row>
    <row r="269" spans="1:31" ht="13">
      <c r="A269" s="1031"/>
      <c r="B269" s="662">
        <v>2</v>
      </c>
      <c r="C269" s="662">
        <f>C18</f>
        <v>25</v>
      </c>
      <c r="D269" s="662">
        <f t="shared" ref="D269:F269" si="95">D18</f>
        <v>0.5</v>
      </c>
      <c r="E269" s="662">
        <f t="shared" si="95"/>
        <v>-0.2</v>
      </c>
      <c r="F269" s="662">
        <f t="shared" si="95"/>
        <v>0</v>
      </c>
      <c r="G269" s="662">
        <f>G18</f>
        <v>0.35</v>
      </c>
      <c r="I269" s="1031"/>
      <c r="J269" s="662">
        <v>2</v>
      </c>
      <c r="K269" s="662">
        <f>J18</f>
        <v>50</v>
      </c>
      <c r="L269" s="662">
        <f>K18</f>
        <v>-5.3</v>
      </c>
      <c r="M269" s="662">
        <f>L18</f>
        <v>-1.5</v>
      </c>
      <c r="N269" s="662">
        <f>M18</f>
        <v>0</v>
      </c>
      <c r="O269" s="662">
        <f>N18</f>
        <v>1.9</v>
      </c>
      <c r="Q269" s="1031"/>
      <c r="R269" s="662">
        <v>2</v>
      </c>
      <c r="S269" s="662">
        <f>Q18</f>
        <v>850</v>
      </c>
      <c r="T269" s="662" t="str">
        <f>R18</f>
        <v>-</v>
      </c>
      <c r="U269" s="662" t="str">
        <f>S18</f>
        <v>-</v>
      </c>
      <c r="V269" s="662">
        <f>T18</f>
        <v>0</v>
      </c>
      <c r="W269" s="663">
        <f>U18</f>
        <v>0</v>
      </c>
      <c r="AE269" s="637"/>
    </row>
    <row r="270" spans="1:31" ht="13.5" thickBot="1">
      <c r="A270" s="1031"/>
      <c r="B270" s="662">
        <v>3</v>
      </c>
      <c r="C270" s="662">
        <f>C29</f>
        <v>25</v>
      </c>
      <c r="D270" s="662">
        <f t="shared" ref="D270:F270" si="96">D29</f>
        <v>0.7</v>
      </c>
      <c r="E270" s="662">
        <f t="shared" si="96"/>
        <v>-0.1</v>
      </c>
      <c r="F270" s="662">
        <f t="shared" si="96"/>
        <v>0</v>
      </c>
      <c r="G270" s="662">
        <f>G29</f>
        <v>0.39999999999999997</v>
      </c>
      <c r="I270" s="1031"/>
      <c r="J270" s="662">
        <v>3</v>
      </c>
      <c r="K270" s="662">
        <f>J29</f>
        <v>50</v>
      </c>
      <c r="L270" s="662">
        <f>K29</f>
        <v>-4.5</v>
      </c>
      <c r="M270" s="662">
        <f>L29</f>
        <v>-4.9000000000000004</v>
      </c>
      <c r="N270" s="662">
        <f>M29</f>
        <v>0</v>
      </c>
      <c r="O270" s="662">
        <f>N29</f>
        <v>0.20000000000000018</v>
      </c>
      <c r="Q270" s="1031"/>
      <c r="R270" s="662">
        <v>3</v>
      </c>
      <c r="S270" s="662">
        <f>Q29</f>
        <v>850</v>
      </c>
      <c r="T270" s="662" t="str">
        <f>R29</f>
        <v>-</v>
      </c>
      <c r="U270" s="662" t="str">
        <f>S29</f>
        <v>-</v>
      </c>
      <c r="V270" s="662">
        <f>T29</f>
        <v>0</v>
      </c>
      <c r="W270" s="663">
        <f>U29</f>
        <v>0</v>
      </c>
      <c r="AE270" s="637"/>
    </row>
    <row r="271" spans="1:31" ht="13">
      <c r="A271" s="1031"/>
      <c r="B271" s="662">
        <v>4</v>
      </c>
      <c r="C271" s="662">
        <f>C40</f>
        <v>25</v>
      </c>
      <c r="D271" s="662">
        <f t="shared" ref="D271:F271" si="97">D40</f>
        <v>-0.1</v>
      </c>
      <c r="E271" s="662">
        <f t="shared" si="97"/>
        <v>-0.5</v>
      </c>
      <c r="F271" s="662">
        <f t="shared" si="97"/>
        <v>0</v>
      </c>
      <c r="G271" s="662">
        <f>G40</f>
        <v>0.2</v>
      </c>
      <c r="I271" s="1031"/>
      <c r="J271" s="662">
        <v>4</v>
      </c>
      <c r="K271" s="662">
        <f>J40</f>
        <v>50</v>
      </c>
      <c r="L271" s="662">
        <f>K40</f>
        <v>-4.3</v>
      </c>
      <c r="M271" s="662">
        <f>L40</f>
        <v>-1</v>
      </c>
      <c r="N271" s="662">
        <f>M40</f>
        <v>0</v>
      </c>
      <c r="O271" s="662">
        <f>N40</f>
        <v>1.65</v>
      </c>
      <c r="Q271" s="1031"/>
      <c r="R271" s="662">
        <v>4</v>
      </c>
      <c r="S271" s="662">
        <f>Q40</f>
        <v>850</v>
      </c>
      <c r="T271" s="662" t="str">
        <f>R40</f>
        <v>-</v>
      </c>
      <c r="U271" s="662" t="str">
        <f>S40</f>
        <v>-</v>
      </c>
      <c r="V271" s="662">
        <f>T40</f>
        <v>0</v>
      </c>
      <c r="W271" s="663">
        <f>U40</f>
        <v>0</v>
      </c>
      <c r="Y271" s="1037" t="s">
        <v>90</v>
      </c>
      <c r="Z271" s="1038"/>
      <c r="AE271" s="637"/>
    </row>
    <row r="272" spans="1:31" ht="13">
      <c r="A272" s="1031"/>
      <c r="B272" s="662">
        <v>5</v>
      </c>
      <c r="C272" s="662">
        <f>C51</f>
        <v>25</v>
      </c>
      <c r="D272" s="662">
        <f t="shared" ref="D272:F272" si="98">D51</f>
        <v>0.4</v>
      </c>
      <c r="E272" s="662">
        <f t="shared" si="98"/>
        <v>0.2</v>
      </c>
      <c r="F272" s="662">
        <f t="shared" si="98"/>
        <v>0</v>
      </c>
      <c r="G272" s="662">
        <f>G51</f>
        <v>0.1</v>
      </c>
      <c r="I272" s="1031"/>
      <c r="J272" s="662">
        <v>5</v>
      </c>
      <c r="K272" s="662">
        <f>J51</f>
        <v>50</v>
      </c>
      <c r="L272" s="662">
        <f>K51</f>
        <v>-6.2</v>
      </c>
      <c r="M272" s="662">
        <f>L51</f>
        <v>-6.2</v>
      </c>
      <c r="N272" s="662">
        <f>M51</f>
        <v>0</v>
      </c>
      <c r="O272" s="662">
        <f>N51</f>
        <v>0</v>
      </c>
      <c r="Q272" s="1031"/>
      <c r="R272" s="662">
        <v>5</v>
      </c>
      <c r="S272" s="662">
        <f>Q51</f>
        <v>850</v>
      </c>
      <c r="T272" s="662" t="str">
        <f>R51</f>
        <v>-</v>
      </c>
      <c r="U272" s="662" t="str">
        <f>S51</f>
        <v>-</v>
      </c>
      <c r="V272" s="662">
        <f>T51</f>
        <v>0</v>
      </c>
      <c r="W272" s="663">
        <f>U51</f>
        <v>0</v>
      </c>
      <c r="Y272" s="1039" t="s">
        <v>450</v>
      </c>
      <c r="Z272" s="1040"/>
      <c r="AE272" s="637"/>
    </row>
    <row r="273" spans="1:31" ht="13">
      <c r="A273" s="1031"/>
      <c r="B273" s="662">
        <v>6</v>
      </c>
      <c r="C273" s="662">
        <f>C62</f>
        <v>25</v>
      </c>
      <c r="D273" s="662">
        <f t="shared" ref="D273:F273" si="99">D62</f>
        <v>0.2</v>
      </c>
      <c r="E273" s="662">
        <f t="shared" si="99"/>
        <v>-0.1</v>
      </c>
      <c r="F273" s="662">
        <f t="shared" si="99"/>
        <v>0</v>
      </c>
      <c r="G273" s="662">
        <f>G62</f>
        <v>0.15000000000000002</v>
      </c>
      <c r="I273" s="1031"/>
      <c r="J273" s="662">
        <v>6</v>
      </c>
      <c r="K273" s="662">
        <f>J62</f>
        <v>50</v>
      </c>
      <c r="L273" s="662">
        <f>K62</f>
        <v>-5.4</v>
      </c>
      <c r="M273" s="662">
        <f>L62</f>
        <v>1.2</v>
      </c>
      <c r="N273" s="662">
        <f>M62</f>
        <v>0</v>
      </c>
      <c r="O273" s="662">
        <f>N62</f>
        <v>3.3000000000000003</v>
      </c>
      <c r="Q273" s="1031"/>
      <c r="R273" s="662">
        <v>6</v>
      </c>
      <c r="S273" s="662">
        <f>Q62</f>
        <v>850</v>
      </c>
      <c r="T273" s="662">
        <f>R62</f>
        <v>0.9</v>
      </c>
      <c r="U273" s="662">
        <f>S62</f>
        <v>1.1000000000000001</v>
      </c>
      <c r="V273" s="662">
        <f>T62</f>
        <v>0</v>
      </c>
      <c r="W273" s="663">
        <f>U62</f>
        <v>0.10000000000000003</v>
      </c>
      <c r="Y273" s="660">
        <v>1</v>
      </c>
      <c r="Z273" s="661">
        <f>X5</f>
        <v>0</v>
      </c>
      <c r="AE273" s="637"/>
    </row>
    <row r="274" spans="1:31" ht="13">
      <c r="A274" s="1031"/>
      <c r="B274" s="662">
        <v>7</v>
      </c>
      <c r="C274" s="662">
        <f>C73</f>
        <v>25</v>
      </c>
      <c r="D274" s="662">
        <f t="shared" ref="D274:F274" si="100">D73</f>
        <v>9.9999999999999995E-7</v>
      </c>
      <c r="E274" s="662">
        <f t="shared" si="100"/>
        <v>-0.2</v>
      </c>
      <c r="F274" s="662">
        <f t="shared" si="100"/>
        <v>0</v>
      </c>
      <c r="G274" s="662">
        <f>G73</f>
        <v>0.10000050000000001</v>
      </c>
      <c r="I274" s="1031"/>
      <c r="J274" s="662">
        <v>7</v>
      </c>
      <c r="K274" s="662">
        <f>J73</f>
        <v>50</v>
      </c>
      <c r="L274" s="662">
        <f>K73</f>
        <v>-1.9</v>
      </c>
      <c r="M274" s="662">
        <f>L73</f>
        <v>0.8</v>
      </c>
      <c r="N274" s="662">
        <f>M73</f>
        <v>0</v>
      </c>
      <c r="O274" s="662">
        <f>N73</f>
        <v>1.35</v>
      </c>
      <c r="Q274" s="1031"/>
      <c r="R274" s="662">
        <v>7</v>
      </c>
      <c r="S274" s="662">
        <f>Q73</f>
        <v>850</v>
      </c>
      <c r="T274" s="662">
        <f>R73</f>
        <v>9.9999999999999995E-7</v>
      </c>
      <c r="U274" s="662">
        <f>S73</f>
        <v>1.7</v>
      </c>
      <c r="V274" s="662">
        <f>T73</f>
        <v>0</v>
      </c>
      <c r="W274" s="663">
        <f>U73</f>
        <v>0.84999950000000002</v>
      </c>
      <c r="Y274" s="664">
        <v>2</v>
      </c>
      <c r="Z274" s="661">
        <f>X16</f>
        <v>0</v>
      </c>
      <c r="AE274" s="637"/>
    </row>
    <row r="275" spans="1:31" ht="13">
      <c r="A275" s="1031"/>
      <c r="B275" s="662">
        <v>8</v>
      </c>
      <c r="C275" s="662">
        <f>C84</f>
        <v>25</v>
      </c>
      <c r="D275" s="662">
        <f t="shared" ref="D275:F275" si="101">D84</f>
        <v>-0.1</v>
      </c>
      <c r="E275" s="662">
        <f t="shared" si="101"/>
        <v>-0.4</v>
      </c>
      <c r="F275" s="662">
        <f t="shared" si="101"/>
        <v>0</v>
      </c>
      <c r="G275" s="662">
        <f>G84</f>
        <v>0.15000000000000002</v>
      </c>
      <c r="I275" s="1031"/>
      <c r="J275" s="662">
        <v>8</v>
      </c>
      <c r="K275" s="662">
        <f>J84</f>
        <v>50</v>
      </c>
      <c r="L275" s="662">
        <f>K84</f>
        <v>-3.8</v>
      </c>
      <c r="M275" s="662">
        <f>L84</f>
        <v>-1.2</v>
      </c>
      <c r="N275" s="662">
        <f>M84</f>
        <v>0</v>
      </c>
      <c r="O275" s="662">
        <f>N84</f>
        <v>1.2999999999999998</v>
      </c>
      <c r="Q275" s="1031"/>
      <c r="R275" s="662">
        <v>8</v>
      </c>
      <c r="S275" s="662">
        <f>Q84</f>
        <v>850</v>
      </c>
      <c r="T275" s="662">
        <f>R84</f>
        <v>9.9999999999999995E-7</v>
      </c>
      <c r="U275" s="662">
        <f>S84</f>
        <v>9.9999999999999995E-7</v>
      </c>
      <c r="V275" s="662">
        <f>T84</f>
        <v>0</v>
      </c>
      <c r="W275" s="663">
        <f>U84</f>
        <v>0</v>
      </c>
      <c r="Y275" s="664">
        <v>3</v>
      </c>
      <c r="Z275" s="665">
        <f>X27</f>
        <v>0</v>
      </c>
      <c r="AE275" s="637"/>
    </row>
    <row r="276" spans="1:31" ht="13">
      <c r="A276" s="1031"/>
      <c r="B276" s="662">
        <v>9</v>
      </c>
      <c r="C276" s="662">
        <f>C95</f>
        <v>25</v>
      </c>
      <c r="D276" s="662">
        <f t="shared" ref="D276:F276" si="102">D95</f>
        <v>-0.4</v>
      </c>
      <c r="E276" s="662" t="str">
        <f t="shared" si="102"/>
        <v>-</v>
      </c>
      <c r="F276" s="662">
        <f t="shared" si="102"/>
        <v>0</v>
      </c>
      <c r="G276" s="662">
        <f>G95</f>
        <v>0</v>
      </c>
      <c r="I276" s="1031"/>
      <c r="J276" s="662">
        <v>9</v>
      </c>
      <c r="K276" s="662">
        <f>J95</f>
        <v>50</v>
      </c>
      <c r="L276" s="662">
        <f>K95</f>
        <v>-0.9</v>
      </c>
      <c r="M276" s="662" t="str">
        <f>L95</f>
        <v>-</v>
      </c>
      <c r="N276" s="662">
        <f>M95</f>
        <v>0</v>
      </c>
      <c r="O276" s="662">
        <f>N95</f>
        <v>0</v>
      </c>
      <c r="Q276" s="1031"/>
      <c r="R276" s="662">
        <v>9</v>
      </c>
      <c r="S276" s="662">
        <f>Q95</f>
        <v>850</v>
      </c>
      <c r="T276" s="662">
        <f>R95</f>
        <v>9.9999999999999995E-7</v>
      </c>
      <c r="U276" s="662" t="str">
        <f>S95</f>
        <v>-</v>
      </c>
      <c r="V276" s="662">
        <f>T95</f>
        <v>0</v>
      </c>
      <c r="W276" s="663">
        <f>U95</f>
        <v>0</v>
      </c>
      <c r="Y276" s="664">
        <v>4</v>
      </c>
      <c r="Z276" s="665">
        <f>X38</f>
        <v>0</v>
      </c>
      <c r="AE276" s="637"/>
    </row>
    <row r="277" spans="1:31" ht="13">
      <c r="A277" s="1031"/>
      <c r="B277" s="662">
        <v>10</v>
      </c>
      <c r="C277" s="662">
        <f>C106</f>
        <v>25</v>
      </c>
      <c r="D277" s="662">
        <f t="shared" ref="D277:F277" si="103">D106</f>
        <v>0.1</v>
      </c>
      <c r="E277" s="662">
        <f t="shared" si="103"/>
        <v>-0.5</v>
      </c>
      <c r="F277" s="662">
        <f t="shared" si="103"/>
        <v>0</v>
      </c>
      <c r="G277" s="662">
        <f>G106</f>
        <v>0.3</v>
      </c>
      <c r="I277" s="1031"/>
      <c r="J277" s="662">
        <v>10</v>
      </c>
      <c r="K277" s="662">
        <f>J106</f>
        <v>50</v>
      </c>
      <c r="L277" s="662">
        <f>K106</f>
        <v>-3.1</v>
      </c>
      <c r="M277" s="662">
        <f>L106</f>
        <v>-6.1</v>
      </c>
      <c r="N277" s="662">
        <f>M106</f>
        <v>0</v>
      </c>
      <c r="O277" s="662">
        <f>N106</f>
        <v>1.4999999999999998</v>
      </c>
      <c r="Q277" s="1031"/>
      <c r="R277" s="662">
        <v>10</v>
      </c>
      <c r="S277" s="662">
        <f>Q106</f>
        <v>850</v>
      </c>
      <c r="T277" s="662" t="str">
        <f>R106</f>
        <v>-</v>
      </c>
      <c r="U277" s="662" t="str">
        <f>S106</f>
        <v>-</v>
      </c>
      <c r="V277" s="662">
        <f>T106</f>
        <v>0</v>
      </c>
      <c r="W277" s="663">
        <f>U106</f>
        <v>0</v>
      </c>
      <c r="Y277" s="664">
        <v>5</v>
      </c>
      <c r="Z277" s="665">
        <f>X49</f>
        <v>0</v>
      </c>
      <c r="AE277" s="637"/>
    </row>
    <row r="278" spans="1:31" ht="13">
      <c r="A278" s="1031"/>
      <c r="B278" s="662">
        <v>11</v>
      </c>
      <c r="C278" s="662">
        <f>C117</f>
        <v>25</v>
      </c>
      <c r="D278" s="662">
        <f t="shared" ref="D278:F278" si="104">D117</f>
        <v>0.4</v>
      </c>
      <c r="E278" s="662">
        <f t="shared" si="104"/>
        <v>0.5</v>
      </c>
      <c r="F278" s="662">
        <f t="shared" si="104"/>
        <v>0</v>
      </c>
      <c r="G278" s="662">
        <f>G117</f>
        <v>4.9999999999999989E-2</v>
      </c>
      <c r="I278" s="1031"/>
      <c r="J278" s="662">
        <v>11</v>
      </c>
      <c r="K278" s="662">
        <f>J117</f>
        <v>50</v>
      </c>
      <c r="L278" s="662">
        <f>K117</f>
        <v>-5.5</v>
      </c>
      <c r="M278" s="662">
        <f>L117</f>
        <v>-5.6</v>
      </c>
      <c r="N278" s="662">
        <f>M117</f>
        <v>0</v>
      </c>
      <c r="O278" s="662">
        <f>N117</f>
        <v>4.9999999999999822E-2</v>
      </c>
      <c r="Q278" s="1031"/>
      <c r="R278" s="662">
        <v>11</v>
      </c>
      <c r="S278" s="662">
        <f>Q117</f>
        <v>850</v>
      </c>
      <c r="T278" s="662" t="str">
        <f>R117</f>
        <v>-</v>
      </c>
      <c r="U278" s="662" t="str">
        <f>S117</f>
        <v>-</v>
      </c>
      <c r="V278" s="662">
        <f>T117</f>
        <v>0</v>
      </c>
      <c r="W278" s="663">
        <f>U117</f>
        <v>0</v>
      </c>
      <c r="Y278" s="660">
        <v>6</v>
      </c>
      <c r="Z278" s="661">
        <f>X60</f>
        <v>1.6</v>
      </c>
      <c r="AE278" s="637"/>
    </row>
    <row r="279" spans="1:31" ht="13">
      <c r="A279" s="1031"/>
      <c r="B279" s="662">
        <v>12</v>
      </c>
      <c r="C279" s="662">
        <f>C128</f>
        <v>25</v>
      </c>
      <c r="D279" s="662">
        <f t="shared" ref="D279:F279" si="105">D128</f>
        <v>9.9999999999999995E-7</v>
      </c>
      <c r="E279" s="662" t="str">
        <f t="shared" si="105"/>
        <v>-</v>
      </c>
      <c r="F279" s="662">
        <f t="shared" si="105"/>
        <v>0</v>
      </c>
      <c r="G279" s="662">
        <f>G128</f>
        <v>0</v>
      </c>
      <c r="I279" s="1031"/>
      <c r="J279" s="662">
        <v>12</v>
      </c>
      <c r="K279" s="662">
        <f>J128</f>
        <v>50</v>
      </c>
      <c r="L279" s="662">
        <f>K128</f>
        <v>9.9999999999999995E-7</v>
      </c>
      <c r="M279" s="662" t="str">
        <f>L128</f>
        <v>-</v>
      </c>
      <c r="N279" s="662">
        <f>M128</f>
        <v>0</v>
      </c>
      <c r="O279" s="662">
        <f>N128</f>
        <v>0</v>
      </c>
      <c r="Q279" s="1031"/>
      <c r="R279" s="662">
        <v>12</v>
      </c>
      <c r="S279" s="662">
        <f>Q128</f>
        <v>900</v>
      </c>
      <c r="T279" s="662">
        <f>R128</f>
        <v>-0.6</v>
      </c>
      <c r="U279" s="662" t="str">
        <f>S128</f>
        <v>-</v>
      </c>
      <c r="V279" s="662">
        <f>T128</f>
        <v>0</v>
      </c>
      <c r="W279" s="663">
        <f>U128</f>
        <v>0</v>
      </c>
      <c r="Y279" s="660">
        <v>7</v>
      </c>
      <c r="Z279" s="661">
        <f>X71</f>
        <v>2.4</v>
      </c>
      <c r="AE279" s="637"/>
    </row>
    <row r="280" spans="1:31" ht="13">
      <c r="A280" s="1031"/>
      <c r="B280" s="662">
        <v>13</v>
      </c>
      <c r="C280" s="662">
        <f>C139</f>
        <v>25</v>
      </c>
      <c r="D280" s="662">
        <f>E139</f>
        <v>-0.2</v>
      </c>
      <c r="E280" s="662" t="str">
        <f>F139</f>
        <v>-</v>
      </c>
      <c r="F280" s="662" t="str">
        <f>F139</f>
        <v>-</v>
      </c>
      <c r="G280" s="662">
        <f>G139</f>
        <v>0</v>
      </c>
      <c r="I280" s="1031"/>
      <c r="J280" s="662">
        <v>13</v>
      </c>
      <c r="K280" s="662">
        <f>J139</f>
        <v>50</v>
      </c>
      <c r="L280" s="662">
        <f>L139</f>
        <v>-1.3</v>
      </c>
      <c r="M280" s="662" t="str">
        <f>M139</f>
        <v>-</v>
      </c>
      <c r="N280" s="662" t="s">
        <v>155</v>
      </c>
      <c r="O280" s="662">
        <f>N139</f>
        <v>0</v>
      </c>
      <c r="Q280" s="1031"/>
      <c r="R280" s="662">
        <v>13</v>
      </c>
      <c r="S280" s="662">
        <f>Q139</f>
        <v>980</v>
      </c>
      <c r="T280" s="662">
        <f>S139</f>
        <v>1</v>
      </c>
      <c r="U280" s="662" t="str">
        <f>T139</f>
        <v>-</v>
      </c>
      <c r="V280" s="662" t="s">
        <v>155</v>
      </c>
      <c r="W280" s="663">
        <f>U139</f>
        <v>0</v>
      </c>
      <c r="Y280" s="660">
        <v>8</v>
      </c>
      <c r="Z280" s="661">
        <f>X82</f>
        <v>2.1</v>
      </c>
      <c r="AE280" s="637"/>
    </row>
    <row r="281" spans="1:31" ht="13">
      <c r="A281" s="1031"/>
      <c r="B281" s="662">
        <v>14</v>
      </c>
      <c r="C281" s="662">
        <f>C150</f>
        <v>25</v>
      </c>
      <c r="D281" s="662">
        <f>E150</f>
        <v>-0.1</v>
      </c>
      <c r="E281" s="662" t="str">
        <f>F150</f>
        <v>-</v>
      </c>
      <c r="F281" s="662" t="str">
        <f>F150</f>
        <v>-</v>
      </c>
      <c r="G281" s="662">
        <f>G150</f>
        <v>0</v>
      </c>
      <c r="I281" s="1031"/>
      <c r="J281" s="662">
        <v>14</v>
      </c>
      <c r="K281" s="662">
        <f>J151</f>
        <v>60</v>
      </c>
      <c r="L281" s="662">
        <f>L151</f>
        <v>-0.6</v>
      </c>
      <c r="M281" s="662" t="str">
        <f>M151</f>
        <v>-</v>
      </c>
      <c r="N281" s="662" t="s">
        <v>155</v>
      </c>
      <c r="O281" s="662">
        <f>N151</f>
        <v>0</v>
      </c>
      <c r="Q281" s="1031"/>
      <c r="R281" s="662">
        <v>14</v>
      </c>
      <c r="S281" s="662">
        <f>Q150</f>
        <v>980</v>
      </c>
      <c r="T281" s="662">
        <f>S150</f>
        <v>1</v>
      </c>
      <c r="U281" s="662" t="str">
        <f>T150</f>
        <v>-</v>
      </c>
      <c r="V281" s="662" t="s">
        <v>155</v>
      </c>
      <c r="W281" s="663">
        <f>U150</f>
        <v>0</v>
      </c>
      <c r="Y281" s="660">
        <v>9</v>
      </c>
      <c r="Z281" s="661">
        <f>X93</f>
        <v>2.2000000000000002</v>
      </c>
      <c r="AE281" s="637"/>
    </row>
    <row r="282" spans="1:31" ht="13">
      <c r="A282" s="1031"/>
      <c r="B282" s="662">
        <v>15</v>
      </c>
      <c r="C282" s="662">
        <f>C161</f>
        <v>25</v>
      </c>
      <c r="D282" s="662">
        <f>E161</f>
        <v>-0.4</v>
      </c>
      <c r="E282" s="662" t="str">
        <f>F161</f>
        <v>-</v>
      </c>
      <c r="F282" s="662" t="str">
        <f>F161</f>
        <v>-</v>
      </c>
      <c r="G282" s="662">
        <f>G161</f>
        <v>0</v>
      </c>
      <c r="I282" s="1031"/>
      <c r="J282" s="662">
        <v>15</v>
      </c>
      <c r="K282" s="662">
        <f>J161</f>
        <v>50</v>
      </c>
      <c r="L282" s="662">
        <f>L161</f>
        <v>-0.3</v>
      </c>
      <c r="M282" s="662" t="str">
        <f>M161</f>
        <v>-</v>
      </c>
      <c r="N282" s="662" t="s">
        <v>155</v>
      </c>
      <c r="O282" s="662">
        <f>N161</f>
        <v>0</v>
      </c>
      <c r="Q282" s="1031"/>
      <c r="R282" s="662">
        <v>15</v>
      </c>
      <c r="S282" s="662">
        <f>Q161</f>
        <v>980</v>
      </c>
      <c r="T282" s="662">
        <f>S161</f>
        <v>1</v>
      </c>
      <c r="U282" s="662" t="str">
        <f>T161</f>
        <v>-</v>
      </c>
      <c r="V282" s="662" t="s">
        <v>155</v>
      </c>
      <c r="W282" s="663">
        <f>U161</f>
        <v>0</v>
      </c>
      <c r="Y282" s="660">
        <v>10</v>
      </c>
      <c r="Z282" s="661">
        <f>X104</f>
        <v>0</v>
      </c>
      <c r="AE282" s="637"/>
    </row>
    <row r="283" spans="1:31" ht="13">
      <c r="A283" s="1031"/>
      <c r="B283" s="662">
        <v>16</v>
      </c>
      <c r="C283" s="662">
        <f>C172</f>
        <v>25</v>
      </c>
      <c r="D283" s="662">
        <f t="shared" ref="D283:F283" si="106">D172</f>
        <v>0.2</v>
      </c>
      <c r="E283" s="662" t="str">
        <f t="shared" si="106"/>
        <v>-</v>
      </c>
      <c r="F283" s="662">
        <f t="shared" si="106"/>
        <v>0</v>
      </c>
      <c r="G283" s="662">
        <f>G172</f>
        <v>0</v>
      </c>
      <c r="I283" s="1031"/>
      <c r="J283" s="662">
        <v>16</v>
      </c>
      <c r="K283" s="662">
        <f>J172</f>
        <v>50</v>
      </c>
      <c r="L283" s="662">
        <f>K172</f>
        <v>-1.4</v>
      </c>
      <c r="M283" s="662" t="str">
        <f>L172</f>
        <v>-</v>
      </c>
      <c r="N283" s="662">
        <f>M172</f>
        <v>0</v>
      </c>
      <c r="O283" s="662">
        <f>N172</f>
        <v>0</v>
      </c>
      <c r="Q283" s="1031"/>
      <c r="R283" s="662">
        <v>16</v>
      </c>
      <c r="S283" s="662">
        <f>Q172</f>
        <v>900</v>
      </c>
      <c r="T283" s="662">
        <f>R172</f>
        <v>-1.7</v>
      </c>
      <c r="U283" s="662" t="str">
        <f>S172</f>
        <v>-</v>
      </c>
      <c r="V283" s="662">
        <f>T172</f>
        <v>0</v>
      </c>
      <c r="W283" s="663">
        <f>U172</f>
        <v>0</v>
      </c>
      <c r="Y283" s="660">
        <v>11</v>
      </c>
      <c r="Z283" s="661">
        <f>X115</f>
        <v>0</v>
      </c>
      <c r="AE283" s="637"/>
    </row>
    <row r="284" spans="1:31" ht="13">
      <c r="A284" s="1031"/>
      <c r="B284" s="662">
        <v>17</v>
      </c>
      <c r="C284" s="662">
        <f>C183</f>
        <v>25</v>
      </c>
      <c r="D284" s="662">
        <f t="shared" ref="D284:F284" si="107">D183</f>
        <v>0</v>
      </c>
      <c r="E284" s="662" t="str">
        <f t="shared" si="107"/>
        <v>-</v>
      </c>
      <c r="F284" s="662">
        <f t="shared" si="107"/>
        <v>0</v>
      </c>
      <c r="G284" s="662">
        <f>G183</f>
        <v>0</v>
      </c>
      <c r="I284" s="1031"/>
      <c r="J284" s="662">
        <v>17</v>
      </c>
      <c r="K284" s="662">
        <f>J183</f>
        <v>50</v>
      </c>
      <c r="L284" s="662">
        <f>K183</f>
        <v>0.2</v>
      </c>
      <c r="M284" s="662" t="str">
        <f>L183</f>
        <v>-</v>
      </c>
      <c r="N284" s="662">
        <f>M183</f>
        <v>0</v>
      </c>
      <c r="O284" s="662">
        <f>N183</f>
        <v>0</v>
      </c>
      <c r="Q284" s="1031"/>
      <c r="R284" s="662">
        <v>17</v>
      </c>
      <c r="S284" s="662">
        <f>Q183</f>
        <v>980</v>
      </c>
      <c r="T284" s="662">
        <f>R183</f>
        <v>-0.6</v>
      </c>
      <c r="U284" s="662" t="str">
        <f>S183</f>
        <v>-</v>
      </c>
      <c r="V284" s="662">
        <f>T183</f>
        <v>0</v>
      </c>
      <c r="W284" s="663">
        <f>U183</f>
        <v>0</v>
      </c>
      <c r="Y284" s="660">
        <v>12</v>
      </c>
      <c r="Z284" s="686">
        <f>X126</f>
        <v>2.4</v>
      </c>
      <c r="AE284" s="637"/>
    </row>
    <row r="285" spans="1:31" ht="13">
      <c r="A285" s="1031"/>
      <c r="B285" s="662">
        <v>18</v>
      </c>
      <c r="C285" s="662">
        <f>C194</f>
        <v>25</v>
      </c>
      <c r="D285" s="662">
        <f t="shared" ref="D285:F285" si="108">D194</f>
        <v>-0.2</v>
      </c>
      <c r="E285" s="662" t="str">
        <f t="shared" si="108"/>
        <v>-</v>
      </c>
      <c r="F285" s="662">
        <f t="shared" si="108"/>
        <v>0</v>
      </c>
      <c r="G285" s="662">
        <f>G194</f>
        <v>0</v>
      </c>
      <c r="I285" s="1031"/>
      <c r="J285" s="662">
        <v>18</v>
      </c>
      <c r="K285" s="662">
        <f>J194</f>
        <v>50</v>
      </c>
      <c r="L285" s="662">
        <f>K194</f>
        <v>-0.2</v>
      </c>
      <c r="M285" s="662" t="str">
        <f>L194</f>
        <v>-</v>
      </c>
      <c r="N285" s="662">
        <f>M194</f>
        <v>0</v>
      </c>
      <c r="O285" s="662">
        <f>N194</f>
        <v>0</v>
      </c>
      <c r="Q285" s="1031"/>
      <c r="R285" s="662">
        <v>18</v>
      </c>
      <c r="S285" s="662">
        <f>Q194</f>
        <v>900</v>
      </c>
      <c r="T285" s="662">
        <f>R194</f>
        <v>-1.1000000000000001</v>
      </c>
      <c r="U285" s="662" t="str">
        <f>S194</f>
        <v>-</v>
      </c>
      <c r="V285" s="662">
        <f>T194</f>
        <v>0</v>
      </c>
      <c r="W285" s="663">
        <f>U194</f>
        <v>0</v>
      </c>
      <c r="Y285" s="660">
        <v>13</v>
      </c>
      <c r="Z285" s="661">
        <f>X137</f>
        <v>2.4</v>
      </c>
      <c r="AE285" s="637"/>
    </row>
    <row r="286" spans="1:31" ht="13">
      <c r="A286" s="1031"/>
      <c r="B286" s="662">
        <v>19</v>
      </c>
      <c r="C286" s="662">
        <f>C194</f>
        <v>25</v>
      </c>
      <c r="D286" s="662">
        <f t="shared" ref="D286:F286" si="109">D194</f>
        <v>-0.2</v>
      </c>
      <c r="E286" s="662" t="str">
        <f t="shared" si="109"/>
        <v>-</v>
      </c>
      <c r="F286" s="662">
        <f t="shared" si="109"/>
        <v>0</v>
      </c>
      <c r="G286" s="662">
        <f>G194</f>
        <v>0</v>
      </c>
      <c r="I286" s="1031"/>
      <c r="J286" s="662">
        <v>19</v>
      </c>
      <c r="K286" s="662">
        <f>J205</f>
        <v>50</v>
      </c>
      <c r="L286" s="662">
        <f>K205</f>
        <v>-0.2</v>
      </c>
      <c r="M286" s="662" t="str">
        <f>L205</f>
        <v>-</v>
      </c>
      <c r="N286" s="662">
        <f>M205</f>
        <v>0</v>
      </c>
      <c r="O286" s="662">
        <f>N205</f>
        <v>0</v>
      </c>
      <c r="Q286" s="1031"/>
      <c r="R286" s="662">
        <v>19</v>
      </c>
      <c r="S286" s="662">
        <f>Q205</f>
        <v>850</v>
      </c>
      <c r="T286" s="662">
        <f>R205</f>
        <v>2.4</v>
      </c>
      <c r="U286" s="662" t="str">
        <f>S205</f>
        <v>-</v>
      </c>
      <c r="V286" s="662">
        <f>T205</f>
        <v>0</v>
      </c>
      <c r="W286" s="663">
        <f>U205</f>
        <v>0</v>
      </c>
      <c r="Y286" s="660">
        <v>14</v>
      </c>
      <c r="Z286" s="661">
        <f>X148</f>
        <v>2.4</v>
      </c>
      <c r="AE286" s="637"/>
    </row>
    <row r="287" spans="1:31" ht="13.5" thickBot="1">
      <c r="A287" s="1031"/>
      <c r="B287" s="662">
        <v>20</v>
      </c>
      <c r="C287" s="662">
        <f>C216</f>
        <v>24.6</v>
      </c>
      <c r="D287" s="662">
        <f t="shared" ref="D287:F287" si="110">D216</f>
        <v>9.9999999999999995E-7</v>
      </c>
      <c r="E287" s="662" t="str">
        <f t="shared" si="110"/>
        <v>-</v>
      </c>
      <c r="F287" s="662">
        <f t="shared" si="110"/>
        <v>9.9999999999999995E-7</v>
      </c>
      <c r="G287" s="662">
        <f>G216</f>
        <v>0</v>
      </c>
      <c r="I287" s="1031"/>
      <c r="J287" s="662">
        <v>20</v>
      </c>
      <c r="K287" s="662">
        <f>J216</f>
        <v>62.5</v>
      </c>
      <c r="L287" s="662">
        <f>K216</f>
        <v>9.9999999999999995E-7</v>
      </c>
      <c r="M287" s="662" t="str">
        <f>L216</f>
        <v>-</v>
      </c>
      <c r="N287" s="662">
        <f>M216</f>
        <v>0</v>
      </c>
      <c r="O287" s="662">
        <f>N216</f>
        <v>0</v>
      </c>
      <c r="Q287" s="1033"/>
      <c r="R287" s="671">
        <v>20</v>
      </c>
      <c r="S287" s="671">
        <f>Q216</f>
        <v>850</v>
      </c>
      <c r="T287" s="671" t="str">
        <f>R216</f>
        <v>-</v>
      </c>
      <c r="U287" s="671" t="str">
        <f>S216</f>
        <v>-</v>
      </c>
      <c r="V287" s="671">
        <f>T216</f>
        <v>0</v>
      </c>
      <c r="W287" s="687">
        <f>U216</f>
        <v>0</v>
      </c>
      <c r="Y287" s="660">
        <v>15</v>
      </c>
      <c r="Z287" s="661">
        <f>X159</f>
        <v>2.6</v>
      </c>
      <c r="AE287" s="675"/>
    </row>
    <row r="288" spans="1:31" ht="13.5" thickBot="1">
      <c r="A288" s="676"/>
      <c r="B288" s="676"/>
      <c r="C288" s="676"/>
      <c r="D288" s="676"/>
      <c r="E288" s="676"/>
      <c r="F288" s="656"/>
      <c r="G288" s="676"/>
      <c r="I288" s="676"/>
      <c r="J288" s="676"/>
      <c r="K288" s="676"/>
      <c r="L288" s="676"/>
      <c r="M288" s="676"/>
      <c r="N288" s="656"/>
      <c r="O288" s="676"/>
      <c r="Q288" s="688"/>
      <c r="R288" s="692"/>
      <c r="S288" s="689"/>
      <c r="T288" s="689"/>
      <c r="U288" s="689"/>
      <c r="W288" s="690"/>
      <c r="Y288" s="660">
        <v>16</v>
      </c>
      <c r="Z288" s="668">
        <f>X170</f>
        <v>2.2999999999999998</v>
      </c>
      <c r="AE288" s="637"/>
    </row>
    <row r="289" spans="1:31" ht="13">
      <c r="A289" s="1031">
        <v>4</v>
      </c>
      <c r="B289" s="662">
        <v>1</v>
      </c>
      <c r="C289" s="662">
        <f>C8</f>
        <v>30</v>
      </c>
      <c r="D289" s="662">
        <f t="shared" ref="D289:F289" si="111">D8</f>
        <v>9.9999999999999995E-7</v>
      </c>
      <c r="E289" s="662">
        <f t="shared" si="111"/>
        <v>-0.2</v>
      </c>
      <c r="F289" s="662">
        <f t="shared" si="111"/>
        <v>0</v>
      </c>
      <c r="G289" s="662">
        <f>G8</f>
        <v>0.10000050000000001</v>
      </c>
      <c r="I289" s="1031">
        <v>4</v>
      </c>
      <c r="J289" s="662">
        <v>1</v>
      </c>
      <c r="K289" s="662">
        <f>J8</f>
        <v>60</v>
      </c>
      <c r="L289" s="662">
        <f>K8</f>
        <v>-5.3</v>
      </c>
      <c r="M289" s="662">
        <f>L8</f>
        <v>-5.2</v>
      </c>
      <c r="N289" s="662">
        <f>M8</f>
        <v>0</v>
      </c>
      <c r="O289" s="662">
        <f>N8</f>
        <v>4.9999999999999822E-2</v>
      </c>
      <c r="Q289" s="1032">
        <v>4</v>
      </c>
      <c r="R289" s="682">
        <v>1</v>
      </c>
      <c r="S289" s="682">
        <f>Q8</f>
        <v>900</v>
      </c>
      <c r="T289" s="682" t="str">
        <f>R8</f>
        <v>-</v>
      </c>
      <c r="U289" s="682" t="str">
        <f>S8</f>
        <v>-</v>
      </c>
      <c r="V289" s="682">
        <f>T8</f>
        <v>0</v>
      </c>
      <c r="W289" s="691">
        <f>U8</f>
        <v>0</v>
      </c>
      <c r="Y289" s="660">
        <v>17</v>
      </c>
      <c r="Z289" s="668">
        <f>X181</f>
        <v>2.1</v>
      </c>
      <c r="AE289" s="685"/>
    </row>
    <row r="290" spans="1:31" ht="13">
      <c r="A290" s="1031"/>
      <c r="B290" s="662">
        <v>2</v>
      </c>
      <c r="C290" s="662">
        <f>C19</f>
        <v>30</v>
      </c>
      <c r="D290" s="662">
        <f t="shared" ref="D290:F290" si="112">D19</f>
        <v>0.2</v>
      </c>
      <c r="E290" s="662">
        <f t="shared" si="112"/>
        <v>-0.3</v>
      </c>
      <c r="F290" s="662">
        <f t="shared" si="112"/>
        <v>0</v>
      </c>
      <c r="G290" s="662">
        <f>G19</f>
        <v>0.25</v>
      </c>
      <c r="I290" s="1031"/>
      <c r="J290" s="662">
        <v>2</v>
      </c>
      <c r="K290" s="662">
        <f>J19</f>
        <v>60</v>
      </c>
      <c r="L290" s="662">
        <f>K19</f>
        <v>-4</v>
      </c>
      <c r="M290" s="662">
        <f>L19</f>
        <v>-1.3</v>
      </c>
      <c r="N290" s="662">
        <f>M19</f>
        <v>0</v>
      </c>
      <c r="O290" s="662">
        <f>N19</f>
        <v>1.35</v>
      </c>
      <c r="Q290" s="1031"/>
      <c r="R290" s="662">
        <v>2</v>
      </c>
      <c r="S290" s="662">
        <f>Q19</f>
        <v>900</v>
      </c>
      <c r="T290" s="662" t="str">
        <f>R19</f>
        <v>-</v>
      </c>
      <c r="U290" s="662" t="str">
        <f>S19</f>
        <v>-</v>
      </c>
      <c r="V290" s="662">
        <f>T19</f>
        <v>0</v>
      </c>
      <c r="W290" s="663">
        <f>U19</f>
        <v>0</v>
      </c>
      <c r="Y290" s="660">
        <v>18</v>
      </c>
      <c r="Z290" s="668">
        <f>X192</f>
        <v>2.4</v>
      </c>
      <c r="AE290" s="637"/>
    </row>
    <row r="291" spans="1:31" ht="13">
      <c r="A291" s="1031"/>
      <c r="B291" s="662">
        <v>3</v>
      </c>
      <c r="C291" s="662">
        <f>C30</f>
        <v>30</v>
      </c>
      <c r="D291" s="662">
        <f t="shared" ref="D291:F291" si="113">D30</f>
        <v>9.9999999999999995E-7</v>
      </c>
      <c r="E291" s="662">
        <f t="shared" si="113"/>
        <v>-0.3</v>
      </c>
      <c r="F291" s="662">
        <f t="shared" si="113"/>
        <v>0</v>
      </c>
      <c r="G291" s="662">
        <f>G30</f>
        <v>0.15000049999999998</v>
      </c>
      <c r="I291" s="1031"/>
      <c r="J291" s="662">
        <v>3</v>
      </c>
      <c r="K291" s="662">
        <f>J30</f>
        <v>60</v>
      </c>
      <c r="L291" s="662">
        <f>K30</f>
        <v>-3.2</v>
      </c>
      <c r="M291" s="662">
        <f>L30</f>
        <v>-4.3</v>
      </c>
      <c r="N291" s="662">
        <f>M30</f>
        <v>0</v>
      </c>
      <c r="O291" s="662">
        <f>N30</f>
        <v>0.54999999999999982</v>
      </c>
      <c r="Q291" s="1031"/>
      <c r="R291" s="662">
        <v>3</v>
      </c>
      <c r="S291" s="662">
        <f>Q30</f>
        <v>900</v>
      </c>
      <c r="T291" s="662" t="str">
        <f>R30</f>
        <v>-</v>
      </c>
      <c r="U291" s="662" t="str">
        <f>S30</f>
        <v>-</v>
      </c>
      <c r="V291" s="662">
        <f>T30</f>
        <v>0</v>
      </c>
      <c r="W291" s="663">
        <f>U30</f>
        <v>0</v>
      </c>
      <c r="Y291" s="660">
        <v>19</v>
      </c>
      <c r="Z291" s="668">
        <f>X203</f>
        <v>0.4</v>
      </c>
      <c r="AE291" s="637"/>
    </row>
    <row r="292" spans="1:31" ht="13.5" thickBot="1">
      <c r="A292" s="1031"/>
      <c r="B292" s="662">
        <v>4</v>
      </c>
      <c r="C292" s="662">
        <f>C41</f>
        <v>30</v>
      </c>
      <c r="D292" s="662">
        <f t="shared" ref="D292:F292" si="114">D41</f>
        <v>-0.1</v>
      </c>
      <c r="E292" s="662">
        <f t="shared" si="114"/>
        <v>-0.6</v>
      </c>
      <c r="F292" s="662">
        <f t="shared" si="114"/>
        <v>0</v>
      </c>
      <c r="G292" s="662">
        <f>G41</f>
        <v>0.25</v>
      </c>
      <c r="I292" s="1031"/>
      <c r="J292" s="662">
        <v>4</v>
      </c>
      <c r="K292" s="662">
        <f>J41</f>
        <v>60</v>
      </c>
      <c r="L292" s="662">
        <f>K41</f>
        <v>-4.2</v>
      </c>
      <c r="M292" s="662">
        <f>L41</f>
        <v>-0.3</v>
      </c>
      <c r="N292" s="662">
        <f>M41</f>
        <v>0</v>
      </c>
      <c r="O292" s="662">
        <f>N41</f>
        <v>1.9500000000000002</v>
      </c>
      <c r="Q292" s="1031"/>
      <c r="R292" s="662">
        <v>4</v>
      </c>
      <c r="S292" s="662">
        <f>Q41</f>
        <v>900</v>
      </c>
      <c r="T292" s="662" t="str">
        <f>R41</f>
        <v>-</v>
      </c>
      <c r="U292" s="662" t="str">
        <f>S41</f>
        <v>-</v>
      </c>
      <c r="V292" s="662">
        <f>T41</f>
        <v>0</v>
      </c>
      <c r="W292" s="663">
        <f>U41</f>
        <v>0</v>
      </c>
      <c r="Y292" s="669">
        <v>20</v>
      </c>
      <c r="Z292" s="670">
        <f>X214</f>
        <v>0</v>
      </c>
      <c r="AE292" s="637"/>
    </row>
    <row r="293" spans="1:31" ht="13">
      <c r="A293" s="1031"/>
      <c r="B293" s="662">
        <v>5</v>
      </c>
      <c r="C293" s="662">
        <f>C52</f>
        <v>30</v>
      </c>
      <c r="D293" s="662">
        <f t="shared" ref="D293:F293" si="115">D52</f>
        <v>0.6</v>
      </c>
      <c r="E293" s="662">
        <f t="shared" si="115"/>
        <v>0.1</v>
      </c>
      <c r="F293" s="662">
        <f t="shared" si="115"/>
        <v>0</v>
      </c>
      <c r="G293" s="662">
        <f>G52</f>
        <v>0.25</v>
      </c>
      <c r="I293" s="1031"/>
      <c r="J293" s="662">
        <v>5</v>
      </c>
      <c r="K293" s="662">
        <f>J52</f>
        <v>60</v>
      </c>
      <c r="L293" s="662">
        <f>K52</f>
        <v>-5.2</v>
      </c>
      <c r="M293" s="662">
        <f>L52</f>
        <v>-4.2</v>
      </c>
      <c r="N293" s="662">
        <f>M52</f>
        <v>0</v>
      </c>
      <c r="O293" s="662">
        <f>N52</f>
        <v>0.5</v>
      </c>
      <c r="Q293" s="1031"/>
      <c r="R293" s="662">
        <v>5</v>
      </c>
      <c r="S293" s="662">
        <f>Q52</f>
        <v>900</v>
      </c>
      <c r="T293" s="662" t="str">
        <f>R52</f>
        <v>-</v>
      </c>
      <c r="U293" s="662" t="str">
        <f>S52</f>
        <v>-</v>
      </c>
      <c r="V293" s="662">
        <f>T52</f>
        <v>0</v>
      </c>
      <c r="W293" s="663">
        <f>U52</f>
        <v>0</v>
      </c>
      <c r="AE293" s="637"/>
    </row>
    <row r="294" spans="1:31" ht="13">
      <c r="A294" s="1031"/>
      <c r="B294" s="662">
        <v>6</v>
      </c>
      <c r="C294" s="662">
        <f>C63</f>
        <v>30</v>
      </c>
      <c r="D294" s="662">
        <f t="shared" ref="D294:F294" si="116">D63</f>
        <v>0.1</v>
      </c>
      <c r="E294" s="662">
        <f t="shared" si="116"/>
        <v>-0.5</v>
      </c>
      <c r="F294" s="662">
        <f t="shared" si="116"/>
        <v>0</v>
      </c>
      <c r="G294" s="662">
        <f>G63</f>
        <v>0.3</v>
      </c>
      <c r="I294" s="1031"/>
      <c r="J294" s="662">
        <v>6</v>
      </c>
      <c r="K294" s="662">
        <f>J63</f>
        <v>60</v>
      </c>
      <c r="L294" s="662">
        <f>K63</f>
        <v>-6.4</v>
      </c>
      <c r="M294" s="662">
        <f>L63</f>
        <v>1.1000000000000001</v>
      </c>
      <c r="N294" s="662">
        <f>M63</f>
        <v>0</v>
      </c>
      <c r="O294" s="662">
        <f>N63</f>
        <v>3.75</v>
      </c>
      <c r="Q294" s="1031"/>
      <c r="R294" s="662">
        <v>6</v>
      </c>
      <c r="S294" s="662">
        <f>Q63</f>
        <v>900</v>
      </c>
      <c r="T294" s="662">
        <f>R63</f>
        <v>0.9</v>
      </c>
      <c r="U294" s="662">
        <f>S63</f>
        <v>0.7</v>
      </c>
      <c r="V294" s="662">
        <f>T63</f>
        <v>0</v>
      </c>
      <c r="W294" s="663">
        <f>U63</f>
        <v>0.10000000000000003</v>
      </c>
      <c r="AE294" s="637"/>
    </row>
    <row r="295" spans="1:31" ht="13">
      <c r="A295" s="1031"/>
      <c r="B295" s="662">
        <v>7</v>
      </c>
      <c r="C295" s="662">
        <f>C74</f>
        <v>30</v>
      </c>
      <c r="D295" s="662">
        <f t="shared" ref="D295:F295" si="117">D74</f>
        <v>9.9999999999999995E-7</v>
      </c>
      <c r="E295" s="662">
        <f t="shared" si="117"/>
        <v>-0.6</v>
      </c>
      <c r="F295" s="662">
        <f t="shared" si="117"/>
        <v>0</v>
      </c>
      <c r="G295" s="662">
        <f>G74</f>
        <v>0.3000005</v>
      </c>
      <c r="I295" s="1031"/>
      <c r="J295" s="662">
        <v>7</v>
      </c>
      <c r="K295" s="662">
        <f>J74</f>
        <v>60</v>
      </c>
      <c r="L295" s="662">
        <f>K74</f>
        <v>-2.1</v>
      </c>
      <c r="M295" s="662">
        <f>L74</f>
        <v>0.7</v>
      </c>
      <c r="N295" s="662">
        <f>M74</f>
        <v>0</v>
      </c>
      <c r="O295" s="662">
        <f>N74</f>
        <v>1.4</v>
      </c>
      <c r="Q295" s="1031"/>
      <c r="R295" s="662">
        <v>7</v>
      </c>
      <c r="S295" s="662">
        <f>Q74</f>
        <v>900</v>
      </c>
      <c r="T295" s="662">
        <f>R74</f>
        <v>9.9999999999999995E-7</v>
      </c>
      <c r="U295" s="662">
        <f>S74</f>
        <v>1</v>
      </c>
      <c r="V295" s="662">
        <f>T74</f>
        <v>0</v>
      </c>
      <c r="W295" s="663">
        <f>U74</f>
        <v>0.49999949999999999</v>
      </c>
      <c r="AE295" s="637"/>
    </row>
    <row r="296" spans="1:31" ht="13">
      <c r="A296" s="1031"/>
      <c r="B296" s="662">
        <v>8</v>
      </c>
      <c r="C296" s="662">
        <f>C85</f>
        <v>30</v>
      </c>
      <c r="D296" s="662">
        <f t="shared" ref="D296:F296" si="118">D85</f>
        <v>-0.2</v>
      </c>
      <c r="E296" s="662">
        <f t="shared" si="118"/>
        <v>-0.4</v>
      </c>
      <c r="F296" s="662">
        <f t="shared" si="118"/>
        <v>0</v>
      </c>
      <c r="G296" s="662">
        <f>G85</f>
        <v>0.1</v>
      </c>
      <c r="I296" s="1031"/>
      <c r="J296" s="662">
        <v>8</v>
      </c>
      <c r="K296" s="662">
        <f>J85</f>
        <v>60</v>
      </c>
      <c r="L296" s="662">
        <f>K85</f>
        <v>-3.9</v>
      </c>
      <c r="M296" s="662">
        <f>L85</f>
        <v>-1.1000000000000001</v>
      </c>
      <c r="N296" s="662">
        <f>M85</f>
        <v>0</v>
      </c>
      <c r="O296" s="662">
        <f>N85</f>
        <v>1.4</v>
      </c>
      <c r="Q296" s="1031"/>
      <c r="R296" s="662">
        <v>8</v>
      </c>
      <c r="S296" s="662">
        <f>Q85</f>
        <v>900</v>
      </c>
      <c r="T296" s="662">
        <f>R85</f>
        <v>-4.4000000000000004</v>
      </c>
      <c r="U296" s="662">
        <f>S85</f>
        <v>9.9999999999999995E-7</v>
      </c>
      <c r="V296" s="662">
        <f>T85</f>
        <v>0</v>
      </c>
      <c r="W296" s="663">
        <f>U85</f>
        <v>2.2000005000000002</v>
      </c>
      <c r="AE296" s="637"/>
    </row>
    <row r="297" spans="1:31" ht="13">
      <c r="A297" s="1031"/>
      <c r="B297" s="662">
        <v>9</v>
      </c>
      <c r="C297" s="662">
        <f>C96</f>
        <v>30</v>
      </c>
      <c r="D297" s="662">
        <f t="shared" ref="D297:F297" si="119">D96</f>
        <v>-0.5</v>
      </c>
      <c r="E297" s="662" t="str">
        <f t="shared" si="119"/>
        <v>-</v>
      </c>
      <c r="F297" s="662">
        <f t="shared" si="119"/>
        <v>0</v>
      </c>
      <c r="G297" s="662">
        <f>G96</f>
        <v>0</v>
      </c>
      <c r="I297" s="1031"/>
      <c r="J297" s="662">
        <v>9</v>
      </c>
      <c r="K297" s="662">
        <f>J96</f>
        <v>60</v>
      </c>
      <c r="L297" s="662">
        <f>K96</f>
        <v>-0.8</v>
      </c>
      <c r="M297" s="662" t="str">
        <f>L96</f>
        <v>-</v>
      </c>
      <c r="N297" s="662">
        <f>M96</f>
        <v>0</v>
      </c>
      <c r="O297" s="662">
        <f>N96</f>
        <v>0</v>
      </c>
      <c r="Q297" s="1031"/>
      <c r="R297" s="662">
        <v>9</v>
      </c>
      <c r="S297" s="662">
        <f>Q96</f>
        <v>900</v>
      </c>
      <c r="T297" s="662">
        <f>R96</f>
        <v>9.9999999999999995E-7</v>
      </c>
      <c r="U297" s="662" t="str">
        <f>S96</f>
        <v>-</v>
      </c>
      <c r="V297" s="662">
        <f>T96</f>
        <v>0</v>
      </c>
      <c r="W297" s="663">
        <f>U96</f>
        <v>0</v>
      </c>
      <c r="AE297" s="637"/>
    </row>
    <row r="298" spans="1:31" ht="13">
      <c r="A298" s="1031"/>
      <c r="B298" s="662">
        <v>10</v>
      </c>
      <c r="C298" s="662">
        <f>C107</f>
        <v>30</v>
      </c>
      <c r="D298" s="662">
        <f t="shared" ref="D298:F298" si="120">D107</f>
        <v>0.1</v>
      </c>
      <c r="E298" s="662">
        <f t="shared" si="120"/>
        <v>0.2</v>
      </c>
      <c r="F298" s="662">
        <f t="shared" si="120"/>
        <v>0</v>
      </c>
      <c r="G298" s="662">
        <f>G107</f>
        <v>0.05</v>
      </c>
      <c r="I298" s="1031"/>
      <c r="J298" s="662">
        <v>10</v>
      </c>
      <c r="K298" s="662">
        <f>J107</f>
        <v>60</v>
      </c>
      <c r="L298" s="662">
        <f>K107</f>
        <v>-2.1</v>
      </c>
      <c r="M298" s="662">
        <f>L107</f>
        <v>-5.6</v>
      </c>
      <c r="N298" s="662">
        <f>M107</f>
        <v>0</v>
      </c>
      <c r="O298" s="662">
        <f>N107</f>
        <v>1.7499999999999998</v>
      </c>
      <c r="Q298" s="1031"/>
      <c r="R298" s="662">
        <v>10</v>
      </c>
      <c r="S298" s="662">
        <f>Q107</f>
        <v>900</v>
      </c>
      <c r="T298" s="662" t="str">
        <f>R107</f>
        <v>-</v>
      </c>
      <c r="U298" s="662" t="str">
        <f>S107</f>
        <v>-</v>
      </c>
      <c r="V298" s="662">
        <f>T107</f>
        <v>0</v>
      </c>
      <c r="W298" s="663">
        <f>U107</f>
        <v>0</v>
      </c>
      <c r="AE298" s="637"/>
    </row>
    <row r="299" spans="1:31" ht="13">
      <c r="A299" s="1031"/>
      <c r="B299" s="662">
        <v>11</v>
      </c>
      <c r="C299" s="662">
        <f>C118</f>
        <v>30</v>
      </c>
      <c r="D299" s="662">
        <f t="shared" ref="D299:F299" si="121">D118</f>
        <v>0.5</v>
      </c>
      <c r="E299" s="662">
        <f t="shared" si="121"/>
        <v>0.4</v>
      </c>
      <c r="F299" s="662">
        <f t="shared" si="121"/>
        <v>0</v>
      </c>
      <c r="G299" s="662">
        <f>G118</f>
        <v>4.9999999999999989E-2</v>
      </c>
      <c r="I299" s="1031"/>
      <c r="J299" s="662">
        <v>11</v>
      </c>
      <c r="K299" s="662">
        <f>J118</f>
        <v>60</v>
      </c>
      <c r="L299" s="662">
        <f>K118</f>
        <v>-4.8</v>
      </c>
      <c r="M299" s="662">
        <f>L118</f>
        <v>-4.5</v>
      </c>
      <c r="N299" s="662">
        <f>M118</f>
        <v>0</v>
      </c>
      <c r="O299" s="662">
        <f>N118</f>
        <v>0.14999999999999991</v>
      </c>
      <c r="Q299" s="1031"/>
      <c r="R299" s="662">
        <v>11</v>
      </c>
      <c r="S299" s="662">
        <f>Q118</f>
        <v>900</v>
      </c>
      <c r="T299" s="662" t="str">
        <f>R118</f>
        <v>-</v>
      </c>
      <c r="U299" s="662" t="str">
        <f>S118</f>
        <v>-</v>
      </c>
      <c r="V299" s="662">
        <f>T118</f>
        <v>0</v>
      </c>
      <c r="W299" s="663">
        <f>U118</f>
        <v>0</v>
      </c>
      <c r="AE299" s="637"/>
    </row>
    <row r="300" spans="1:31" ht="13">
      <c r="A300" s="1031"/>
      <c r="B300" s="662">
        <v>12</v>
      </c>
      <c r="C300" s="662">
        <f>C129</f>
        <v>30</v>
      </c>
      <c r="D300" s="662">
        <f t="shared" ref="D300:F300" si="122">D129</f>
        <v>-0.1</v>
      </c>
      <c r="E300" s="662" t="str">
        <f t="shared" si="122"/>
        <v>-</v>
      </c>
      <c r="F300" s="662">
        <f t="shared" si="122"/>
        <v>0</v>
      </c>
      <c r="G300" s="662">
        <f>G129</f>
        <v>0</v>
      </c>
      <c r="I300" s="1031"/>
      <c r="J300" s="662">
        <v>12</v>
      </c>
      <c r="K300" s="662">
        <f>J129</f>
        <v>60</v>
      </c>
      <c r="L300" s="662">
        <f>K129</f>
        <v>9.9999999999999995E-7</v>
      </c>
      <c r="M300" s="662" t="str">
        <f>L129</f>
        <v>-</v>
      </c>
      <c r="N300" s="662">
        <f>M129</f>
        <v>0</v>
      </c>
      <c r="O300" s="662">
        <f>N129</f>
        <v>0</v>
      </c>
      <c r="Q300" s="1031"/>
      <c r="R300" s="662">
        <v>12</v>
      </c>
      <c r="S300" s="662">
        <f>Q129</f>
        <v>950</v>
      </c>
      <c r="T300" s="662">
        <f>R129</f>
        <v>-0.7</v>
      </c>
      <c r="U300" s="662" t="str">
        <f>S129</f>
        <v>-</v>
      </c>
      <c r="V300" s="662">
        <f>T129</f>
        <v>0</v>
      </c>
      <c r="W300" s="663">
        <f>U129</f>
        <v>0</v>
      </c>
      <c r="AE300" s="637"/>
    </row>
    <row r="301" spans="1:31" ht="13">
      <c r="A301" s="1031"/>
      <c r="B301" s="662">
        <v>13</v>
      </c>
      <c r="C301" s="662">
        <f>C151</f>
        <v>30</v>
      </c>
      <c r="D301" s="662">
        <f>E151</f>
        <v>-0.3</v>
      </c>
      <c r="E301" s="662" t="str">
        <f>F151</f>
        <v>-</v>
      </c>
      <c r="F301" s="662" t="str">
        <f>F140</f>
        <v>-</v>
      </c>
      <c r="G301" s="662">
        <f>G151</f>
        <v>0</v>
      </c>
      <c r="I301" s="1031"/>
      <c r="J301" s="662">
        <v>13</v>
      </c>
      <c r="K301" s="662">
        <f>J140</f>
        <v>60</v>
      </c>
      <c r="L301" s="662">
        <f>L140</f>
        <v>-1.5</v>
      </c>
      <c r="M301" s="662" t="str">
        <f>M140</f>
        <v>-</v>
      </c>
      <c r="N301" s="662" t="s">
        <v>155</v>
      </c>
      <c r="O301" s="662">
        <f>N140</f>
        <v>0</v>
      </c>
      <c r="Q301" s="1031"/>
      <c r="R301" s="662">
        <v>13</v>
      </c>
      <c r="S301" s="662">
        <f>Q140</f>
        <v>990</v>
      </c>
      <c r="T301" s="662">
        <f>S140</f>
        <v>1.1000000000000001</v>
      </c>
      <c r="U301" s="662" t="str">
        <f>T140</f>
        <v>-</v>
      </c>
      <c r="V301" s="662" t="s">
        <v>155</v>
      </c>
      <c r="W301" s="663">
        <f>U140</f>
        <v>0</v>
      </c>
      <c r="AE301" s="637"/>
    </row>
    <row r="302" spans="1:31" ht="13">
      <c r="A302" s="1031"/>
      <c r="B302" s="662">
        <v>14</v>
      </c>
      <c r="C302" s="662">
        <f>C151</f>
        <v>30</v>
      </c>
      <c r="D302" s="662">
        <f>E151</f>
        <v>-0.3</v>
      </c>
      <c r="E302" s="662" t="str">
        <f>F151</f>
        <v>-</v>
      </c>
      <c r="F302" s="662" t="str">
        <f>F151</f>
        <v>-</v>
      </c>
      <c r="G302" s="662">
        <f>G151</f>
        <v>0</v>
      </c>
      <c r="I302" s="1031"/>
      <c r="J302" s="662">
        <v>14</v>
      </c>
      <c r="K302" s="662">
        <f>J151</f>
        <v>60</v>
      </c>
      <c r="L302" s="662">
        <f>L151</f>
        <v>-0.6</v>
      </c>
      <c r="M302" s="662" t="str">
        <f>M151</f>
        <v>-</v>
      </c>
      <c r="N302" s="662" t="s">
        <v>155</v>
      </c>
      <c r="O302" s="662">
        <f>N151</f>
        <v>0</v>
      </c>
      <c r="Q302" s="1031"/>
      <c r="R302" s="662">
        <v>14</v>
      </c>
      <c r="S302" s="662">
        <f>Q151</f>
        <v>990</v>
      </c>
      <c r="T302" s="662">
        <f>S151</f>
        <v>1.1000000000000001</v>
      </c>
      <c r="U302" s="662" t="str">
        <f>T151</f>
        <v>-</v>
      </c>
      <c r="V302" s="662" t="s">
        <v>155</v>
      </c>
      <c r="W302" s="663">
        <f>U151</f>
        <v>0</v>
      </c>
      <c r="AE302" s="637"/>
    </row>
    <row r="303" spans="1:31" ht="13">
      <c r="A303" s="1031"/>
      <c r="B303" s="662">
        <v>15</v>
      </c>
      <c r="C303" s="662">
        <f>C162</f>
        <v>30</v>
      </c>
      <c r="D303" s="662">
        <f>E162</f>
        <v>-0.2</v>
      </c>
      <c r="E303" s="662" t="str">
        <f>F162</f>
        <v>-</v>
      </c>
      <c r="F303" s="662" t="str">
        <f>F162</f>
        <v>-</v>
      </c>
      <c r="G303" s="662">
        <f>G162</f>
        <v>0</v>
      </c>
      <c r="I303" s="1031"/>
      <c r="J303" s="662">
        <v>15</v>
      </c>
      <c r="K303" s="662">
        <f>J162</f>
        <v>60</v>
      </c>
      <c r="L303" s="662">
        <f>L162</f>
        <v>-0.5</v>
      </c>
      <c r="M303" s="662" t="str">
        <f>M162</f>
        <v>-</v>
      </c>
      <c r="N303" s="662" t="s">
        <v>155</v>
      </c>
      <c r="O303" s="662">
        <f>N162</f>
        <v>0</v>
      </c>
      <c r="Q303" s="1031"/>
      <c r="R303" s="662">
        <v>15</v>
      </c>
      <c r="S303" s="662">
        <f>Q162</f>
        <v>990</v>
      </c>
      <c r="T303" s="662">
        <f>S162</f>
        <v>1.1000000000000001</v>
      </c>
      <c r="U303" s="662" t="str">
        <f>T162</f>
        <v>-</v>
      </c>
      <c r="V303" s="662" t="s">
        <v>155</v>
      </c>
      <c r="W303" s="663">
        <f>U162</f>
        <v>0</v>
      </c>
      <c r="AE303" s="637"/>
    </row>
    <row r="304" spans="1:31" ht="13">
      <c r="A304" s="1031"/>
      <c r="B304" s="662">
        <v>16</v>
      </c>
      <c r="C304" s="662">
        <f>C173</f>
        <v>30</v>
      </c>
      <c r="D304" s="662">
        <f t="shared" ref="D304:F304" si="123">D173</f>
        <v>0.2</v>
      </c>
      <c r="E304" s="662" t="str">
        <f t="shared" si="123"/>
        <v>-</v>
      </c>
      <c r="F304" s="662">
        <f t="shared" si="123"/>
        <v>0</v>
      </c>
      <c r="G304" s="662">
        <f>G173</f>
        <v>0</v>
      </c>
      <c r="I304" s="1031"/>
      <c r="J304" s="662">
        <v>16</v>
      </c>
      <c r="K304" s="662">
        <f>J173</f>
        <v>60</v>
      </c>
      <c r="L304" s="662">
        <f>K173</f>
        <v>-1.5</v>
      </c>
      <c r="M304" s="662" t="str">
        <f>L173</f>
        <v>-</v>
      </c>
      <c r="N304" s="662">
        <f>M173</f>
        <v>0</v>
      </c>
      <c r="O304" s="662">
        <f>N173</f>
        <v>0</v>
      </c>
      <c r="Q304" s="1031"/>
      <c r="R304" s="662">
        <v>16</v>
      </c>
      <c r="S304" s="662">
        <f>Q173</f>
        <v>950</v>
      </c>
      <c r="T304" s="662">
        <f>R173</f>
        <v>-1.1000000000000001</v>
      </c>
      <c r="U304" s="662" t="str">
        <f>S173</f>
        <v>-</v>
      </c>
      <c r="V304" s="662">
        <f>T173</f>
        <v>0</v>
      </c>
      <c r="W304" s="663">
        <f>U173</f>
        <v>0</v>
      </c>
      <c r="AE304" s="637"/>
    </row>
    <row r="305" spans="1:31" ht="13">
      <c r="A305" s="1031"/>
      <c r="B305" s="662">
        <v>17</v>
      </c>
      <c r="C305" s="662">
        <f>C184</f>
        <v>30</v>
      </c>
      <c r="D305" s="662">
        <f t="shared" ref="D305:F305" si="124">D184</f>
        <v>-0.2</v>
      </c>
      <c r="E305" s="662" t="str">
        <f t="shared" si="124"/>
        <v>-</v>
      </c>
      <c r="F305" s="662">
        <f t="shared" si="124"/>
        <v>0</v>
      </c>
      <c r="G305" s="662">
        <f>G184</f>
        <v>0</v>
      </c>
      <c r="I305" s="1031"/>
      <c r="J305" s="662">
        <v>17</v>
      </c>
      <c r="K305" s="662">
        <f>J184</f>
        <v>60</v>
      </c>
      <c r="L305" s="662">
        <f>K184</f>
        <v>0</v>
      </c>
      <c r="M305" s="662" t="str">
        <f>L184</f>
        <v>-</v>
      </c>
      <c r="N305" s="662">
        <f>M184</f>
        <v>0</v>
      </c>
      <c r="O305" s="662">
        <f>N184</f>
        <v>0</v>
      </c>
      <c r="Q305" s="1031"/>
      <c r="R305" s="662">
        <v>17</v>
      </c>
      <c r="S305" s="662">
        <f>Q184</f>
        <v>990</v>
      </c>
      <c r="T305" s="662">
        <f>R184</f>
        <v>-0.6</v>
      </c>
      <c r="U305" s="662" t="str">
        <f>S184</f>
        <v>-</v>
      </c>
      <c r="V305" s="662">
        <f>T184</f>
        <v>0</v>
      </c>
      <c r="W305" s="663">
        <f>U184</f>
        <v>0</v>
      </c>
      <c r="AE305" s="637"/>
    </row>
    <row r="306" spans="1:31" ht="13">
      <c r="A306" s="1031"/>
      <c r="B306" s="662">
        <v>18</v>
      </c>
      <c r="C306" s="662">
        <f>C195</f>
        <v>30</v>
      </c>
      <c r="D306" s="662">
        <f t="shared" ref="D306:F306" si="125">D195</f>
        <v>-0.2</v>
      </c>
      <c r="E306" s="662" t="str">
        <f t="shared" si="125"/>
        <v>-</v>
      </c>
      <c r="F306" s="662">
        <f t="shared" si="125"/>
        <v>0</v>
      </c>
      <c r="G306" s="662">
        <f>G195</f>
        <v>0</v>
      </c>
      <c r="I306" s="1031"/>
      <c r="J306" s="662">
        <v>18</v>
      </c>
      <c r="K306" s="662">
        <f>J195</f>
        <v>60</v>
      </c>
      <c r="L306" s="662">
        <f>K195</f>
        <v>-0.2</v>
      </c>
      <c r="M306" s="662" t="str">
        <f>L195</f>
        <v>-</v>
      </c>
      <c r="N306" s="662">
        <f>M195</f>
        <v>0</v>
      </c>
      <c r="O306" s="662">
        <f>N195</f>
        <v>0</v>
      </c>
      <c r="Q306" s="1031"/>
      <c r="R306" s="662">
        <v>18</v>
      </c>
      <c r="S306" s="662">
        <f>Q195</f>
        <v>950</v>
      </c>
      <c r="T306" s="662">
        <f>R195</f>
        <v>-0.9</v>
      </c>
      <c r="U306" s="662" t="str">
        <f>S195</f>
        <v>-</v>
      </c>
      <c r="V306" s="662">
        <f>T195</f>
        <v>0</v>
      </c>
      <c r="W306" s="663">
        <f>U195</f>
        <v>0</v>
      </c>
      <c r="AE306" s="637"/>
    </row>
    <row r="307" spans="1:31" ht="13">
      <c r="A307" s="1031"/>
      <c r="B307" s="662">
        <v>19</v>
      </c>
      <c r="C307" s="662">
        <f>C206</f>
        <v>30</v>
      </c>
      <c r="D307" s="662">
        <f t="shared" ref="D307:F307" si="126">D206</f>
        <v>-0.1</v>
      </c>
      <c r="E307" s="662" t="str">
        <f t="shared" si="126"/>
        <v>-</v>
      </c>
      <c r="F307" s="662">
        <f t="shared" si="126"/>
        <v>0</v>
      </c>
      <c r="G307" s="662">
        <f>G206</f>
        <v>0</v>
      </c>
      <c r="I307" s="1031"/>
      <c r="J307" s="662">
        <v>19</v>
      </c>
      <c r="K307" s="662">
        <f>J206</f>
        <v>60</v>
      </c>
      <c r="L307" s="662">
        <f>K206</f>
        <v>0.4</v>
      </c>
      <c r="M307" s="662" t="str">
        <f>L206</f>
        <v>-</v>
      </c>
      <c r="N307" s="662">
        <f>M206</f>
        <v>0</v>
      </c>
      <c r="O307" s="662">
        <f>N206</f>
        <v>0</v>
      </c>
      <c r="Q307" s="1031"/>
      <c r="R307" s="662">
        <v>19</v>
      </c>
      <c r="S307" s="662">
        <f>Q206</f>
        <v>900</v>
      </c>
      <c r="T307" s="662">
        <f>R206</f>
        <v>2.2999999999999998</v>
      </c>
      <c r="U307" s="662" t="str">
        <f>S206</f>
        <v>-</v>
      </c>
      <c r="V307" s="662">
        <f>T206</f>
        <v>0</v>
      </c>
      <c r="W307" s="663">
        <f>U206</f>
        <v>0</v>
      </c>
      <c r="AE307" s="637"/>
    </row>
    <row r="308" spans="1:31" ht="13.5" thickBot="1">
      <c r="A308" s="1031"/>
      <c r="B308" s="662">
        <v>20</v>
      </c>
      <c r="C308" s="662">
        <f>C217</f>
        <v>29.5</v>
      </c>
      <c r="D308" s="662">
        <f t="shared" ref="D308:F308" si="127">D217</f>
        <v>9.9999999999999995E-7</v>
      </c>
      <c r="E308" s="662" t="str">
        <f t="shared" si="127"/>
        <v>-</v>
      </c>
      <c r="F308" s="662">
        <f t="shared" si="127"/>
        <v>9.9999999999999995E-7</v>
      </c>
      <c r="G308" s="662">
        <f>G217</f>
        <v>0</v>
      </c>
      <c r="I308" s="1031"/>
      <c r="J308" s="662">
        <v>20</v>
      </c>
      <c r="K308" s="662">
        <f>J217</f>
        <v>71.5</v>
      </c>
      <c r="L308" s="662">
        <f>K217</f>
        <v>9.9999999999999995E-7</v>
      </c>
      <c r="M308" s="662" t="str">
        <f>L217</f>
        <v>-</v>
      </c>
      <c r="N308" s="662">
        <f>M217</f>
        <v>0</v>
      </c>
      <c r="O308" s="662">
        <f>N217</f>
        <v>0</v>
      </c>
      <c r="Q308" s="1033"/>
      <c r="R308" s="671">
        <v>20</v>
      </c>
      <c r="S308" s="671">
        <f>Q217</f>
        <v>900</v>
      </c>
      <c r="T308" s="671" t="str">
        <f>R217</f>
        <v>-</v>
      </c>
      <c r="U308" s="671" t="str">
        <f>S217</f>
        <v>-</v>
      </c>
      <c r="V308" s="671">
        <f>T217</f>
        <v>0</v>
      </c>
      <c r="W308" s="687">
        <f>U217</f>
        <v>0</v>
      </c>
      <c r="AE308" s="675"/>
    </row>
    <row r="309" spans="1:31" ht="13.5" thickBot="1">
      <c r="A309" s="676"/>
      <c r="B309" s="676"/>
      <c r="C309" s="676"/>
      <c r="D309" s="676"/>
      <c r="E309" s="676"/>
      <c r="F309" s="656"/>
      <c r="G309" s="676"/>
      <c r="I309" s="676"/>
      <c r="J309" s="676"/>
      <c r="K309" s="676"/>
      <c r="L309" s="676"/>
      <c r="M309" s="676"/>
      <c r="N309" s="656"/>
      <c r="O309" s="676"/>
      <c r="Q309" s="688"/>
      <c r="R309" s="692"/>
      <c r="S309" s="689"/>
      <c r="T309" s="689"/>
      <c r="U309" s="689"/>
      <c r="W309" s="690"/>
      <c r="AE309" s="637"/>
    </row>
    <row r="310" spans="1:31" ht="13">
      <c r="A310" s="1031">
        <v>5</v>
      </c>
      <c r="B310" s="662">
        <v>1</v>
      </c>
      <c r="C310" s="662">
        <f>C9</f>
        <v>35</v>
      </c>
      <c r="D310" s="662">
        <f t="shared" ref="D310:F310" si="128">D9</f>
        <v>-0.1</v>
      </c>
      <c r="E310" s="662">
        <f t="shared" si="128"/>
        <v>-0.5</v>
      </c>
      <c r="F310" s="662">
        <f t="shared" si="128"/>
        <v>0</v>
      </c>
      <c r="G310" s="662">
        <f>G9</f>
        <v>0.25</v>
      </c>
      <c r="I310" s="1031">
        <v>5</v>
      </c>
      <c r="J310" s="662">
        <v>1</v>
      </c>
      <c r="K310" s="662">
        <f>J20</f>
        <v>70</v>
      </c>
      <c r="L310" s="662">
        <f>K20</f>
        <v>-2.4</v>
      </c>
      <c r="M310" s="662">
        <f>L20</f>
        <v>-1.1000000000000001</v>
      </c>
      <c r="N310" s="662">
        <f>M20</f>
        <v>0</v>
      </c>
      <c r="O310" s="662">
        <f>N20</f>
        <v>0.64999999999999991</v>
      </c>
      <c r="Q310" s="1032">
        <v>5</v>
      </c>
      <c r="R310" s="682">
        <v>1</v>
      </c>
      <c r="S310" s="682">
        <f>Q9</f>
        <v>1000</v>
      </c>
      <c r="T310" s="682" t="str">
        <f>R9</f>
        <v>-</v>
      </c>
      <c r="U310" s="682" t="str">
        <f>S9</f>
        <v>-</v>
      </c>
      <c r="V310" s="682">
        <f>T9</f>
        <v>0</v>
      </c>
      <c r="W310" s="691">
        <f>U9</f>
        <v>0</v>
      </c>
      <c r="AE310" s="685"/>
    </row>
    <row r="311" spans="1:31" ht="13">
      <c r="A311" s="1031"/>
      <c r="B311" s="662">
        <v>2</v>
      </c>
      <c r="C311" s="662">
        <f>C20</f>
        <v>35</v>
      </c>
      <c r="D311" s="662">
        <f t="shared" ref="D311:F311" si="129">D20</f>
        <v>-0.1</v>
      </c>
      <c r="E311" s="662">
        <f t="shared" si="129"/>
        <v>-0.3</v>
      </c>
      <c r="F311" s="662">
        <f t="shared" si="129"/>
        <v>0</v>
      </c>
      <c r="G311" s="662">
        <f>G20</f>
        <v>9.9999999999999992E-2</v>
      </c>
      <c r="I311" s="1031"/>
      <c r="J311" s="662">
        <v>2</v>
      </c>
      <c r="K311" s="662">
        <f>J20</f>
        <v>70</v>
      </c>
      <c r="L311" s="662">
        <f>K20</f>
        <v>-2.4</v>
      </c>
      <c r="M311" s="662">
        <f>L20</f>
        <v>-1.1000000000000001</v>
      </c>
      <c r="N311" s="662">
        <f>M20</f>
        <v>0</v>
      </c>
      <c r="O311" s="662">
        <f>N20</f>
        <v>0.64999999999999991</v>
      </c>
      <c r="Q311" s="1031"/>
      <c r="R311" s="662">
        <v>2</v>
      </c>
      <c r="S311" s="662">
        <f>Q20</f>
        <v>1000</v>
      </c>
      <c r="T311" s="662" t="str">
        <f>R20</f>
        <v>-</v>
      </c>
      <c r="U311" s="662" t="str">
        <f>S20</f>
        <v>-</v>
      </c>
      <c r="V311" s="662">
        <f>T20</f>
        <v>0</v>
      </c>
      <c r="W311" s="663">
        <f>U20</f>
        <v>0</v>
      </c>
      <c r="AE311" s="637"/>
    </row>
    <row r="312" spans="1:31" ht="13">
      <c r="A312" s="1031"/>
      <c r="B312" s="662">
        <v>3</v>
      </c>
      <c r="C312" s="662">
        <f>C31</f>
        <v>35</v>
      </c>
      <c r="D312" s="662">
        <f t="shared" ref="D312:F312" si="130">D31</f>
        <v>-0.3</v>
      </c>
      <c r="E312" s="662">
        <f t="shared" si="130"/>
        <v>-0.5</v>
      </c>
      <c r="F312" s="662">
        <f t="shared" si="130"/>
        <v>0</v>
      </c>
      <c r="G312" s="662">
        <f>G31</f>
        <v>0.1</v>
      </c>
      <c r="I312" s="1031"/>
      <c r="J312" s="662">
        <v>3</v>
      </c>
      <c r="K312" s="662">
        <f>J31</f>
        <v>70</v>
      </c>
      <c r="L312" s="662">
        <f>K31</f>
        <v>-2</v>
      </c>
      <c r="M312" s="662">
        <f>L31</f>
        <v>-3.6</v>
      </c>
      <c r="N312" s="662">
        <f>M31</f>
        <v>0</v>
      </c>
      <c r="O312" s="662">
        <f>N31</f>
        <v>0.8</v>
      </c>
      <c r="Q312" s="1031"/>
      <c r="R312" s="662">
        <v>3</v>
      </c>
      <c r="S312" s="662">
        <f>Q31</f>
        <v>1000</v>
      </c>
      <c r="T312" s="662" t="str">
        <f>R31</f>
        <v>-</v>
      </c>
      <c r="U312" s="662" t="str">
        <f>S31</f>
        <v>-</v>
      </c>
      <c r="V312" s="662">
        <f>T31</f>
        <v>0</v>
      </c>
      <c r="W312" s="663">
        <f>U31</f>
        <v>0</v>
      </c>
      <c r="AE312" s="637"/>
    </row>
    <row r="313" spans="1:31" ht="13">
      <c r="A313" s="1031"/>
      <c r="B313" s="662">
        <v>4</v>
      </c>
      <c r="C313" s="662">
        <f>C42</f>
        <v>35</v>
      </c>
      <c r="D313" s="662">
        <f t="shared" ref="D313:F313" si="131">D42</f>
        <v>-0.3</v>
      </c>
      <c r="E313" s="662">
        <f t="shared" si="131"/>
        <v>-0.6</v>
      </c>
      <c r="F313" s="662">
        <f t="shared" si="131"/>
        <v>0</v>
      </c>
      <c r="G313" s="662">
        <f>G42</f>
        <v>0.15</v>
      </c>
      <c r="I313" s="1031"/>
      <c r="J313" s="662">
        <v>4</v>
      </c>
      <c r="K313" s="662">
        <f>J42</f>
        <v>70</v>
      </c>
      <c r="L313" s="662">
        <f>K42</f>
        <v>-4</v>
      </c>
      <c r="M313" s="662">
        <f>L42</f>
        <v>0.7</v>
      </c>
      <c r="N313" s="662">
        <f>M42</f>
        <v>0</v>
      </c>
      <c r="O313" s="662">
        <f>N42</f>
        <v>2.35</v>
      </c>
      <c r="Q313" s="1031"/>
      <c r="R313" s="662">
        <v>4</v>
      </c>
      <c r="S313" s="662">
        <f>Q42</f>
        <v>1000</v>
      </c>
      <c r="T313" s="662" t="str">
        <f>R42</f>
        <v>-</v>
      </c>
      <c r="U313" s="662" t="str">
        <f>S42</f>
        <v>-</v>
      </c>
      <c r="V313" s="662">
        <f>T42</f>
        <v>0</v>
      </c>
      <c r="W313" s="663">
        <f>U42</f>
        <v>0</v>
      </c>
      <c r="AE313" s="637"/>
    </row>
    <row r="314" spans="1:31" ht="13">
      <c r="A314" s="1031"/>
      <c r="B314" s="662">
        <v>5</v>
      </c>
      <c r="C314" s="662">
        <f>C53</f>
        <v>35</v>
      </c>
      <c r="D314" s="662">
        <f t="shared" ref="D314:F314" si="132">D53</f>
        <v>0.7</v>
      </c>
      <c r="E314" s="662">
        <f t="shared" si="132"/>
        <v>9.9999999999999995E-7</v>
      </c>
      <c r="F314" s="662">
        <f t="shared" si="132"/>
        <v>0</v>
      </c>
      <c r="G314" s="662">
        <f>G53</f>
        <v>0.34999949999999996</v>
      </c>
      <c r="I314" s="1031"/>
      <c r="J314" s="662">
        <v>5</v>
      </c>
      <c r="K314" s="662">
        <f>J53</f>
        <v>70</v>
      </c>
      <c r="L314" s="662">
        <f>K53</f>
        <v>-4.0999999999999996</v>
      </c>
      <c r="M314" s="662">
        <f>L53</f>
        <v>-2.1</v>
      </c>
      <c r="N314" s="662">
        <f>M53</f>
        <v>0</v>
      </c>
      <c r="O314" s="662">
        <f>N53</f>
        <v>0.99999999999999978</v>
      </c>
      <c r="Q314" s="1031"/>
      <c r="R314" s="662">
        <v>5</v>
      </c>
      <c r="S314" s="662">
        <f>Q53</f>
        <v>1000</v>
      </c>
      <c r="T314" s="662" t="str">
        <f>R53</f>
        <v>-</v>
      </c>
      <c r="U314" s="662" t="str">
        <f>S53</f>
        <v>-</v>
      </c>
      <c r="V314" s="662">
        <f>T53</f>
        <v>0</v>
      </c>
      <c r="W314" s="663">
        <f>U53</f>
        <v>0</v>
      </c>
      <c r="AE314" s="637"/>
    </row>
    <row r="315" spans="1:31" ht="13">
      <c r="A315" s="1031"/>
      <c r="B315" s="662">
        <v>6</v>
      </c>
      <c r="C315" s="662">
        <f>C64</f>
        <v>35</v>
      </c>
      <c r="D315" s="662">
        <f t="shared" ref="D315:F315" si="133">D64</f>
        <v>0.1</v>
      </c>
      <c r="E315" s="662">
        <f t="shared" si="133"/>
        <v>-0.9</v>
      </c>
      <c r="F315" s="662">
        <f t="shared" si="133"/>
        <v>0</v>
      </c>
      <c r="G315" s="662">
        <f>G64</f>
        <v>0.5</v>
      </c>
      <c r="I315" s="1031"/>
      <c r="J315" s="662">
        <v>6</v>
      </c>
      <c r="K315" s="662">
        <f>J64</f>
        <v>70</v>
      </c>
      <c r="L315" s="662">
        <f>K64</f>
        <v>-6.7</v>
      </c>
      <c r="M315" s="662">
        <f>L64</f>
        <v>0.9</v>
      </c>
      <c r="N315" s="662">
        <f>M64</f>
        <v>0</v>
      </c>
      <c r="O315" s="662">
        <f>N64</f>
        <v>3.8000000000000003</v>
      </c>
      <c r="Q315" s="1031"/>
      <c r="R315" s="662">
        <v>6</v>
      </c>
      <c r="S315" s="662">
        <f>Q64</f>
        <v>1000</v>
      </c>
      <c r="T315" s="662">
        <f>R64</f>
        <v>0.9</v>
      </c>
      <c r="U315" s="662">
        <f>S64</f>
        <v>-0.3</v>
      </c>
      <c r="V315" s="662">
        <f>T64</f>
        <v>0</v>
      </c>
      <c r="W315" s="663">
        <f>U64</f>
        <v>0.6</v>
      </c>
      <c r="AE315" s="637"/>
    </row>
    <row r="316" spans="1:31" ht="13">
      <c r="A316" s="1031"/>
      <c r="B316" s="662">
        <v>7</v>
      </c>
      <c r="C316" s="662">
        <f>C75</f>
        <v>35</v>
      </c>
      <c r="D316" s="662">
        <f t="shared" ref="D316:F316" si="134">D75</f>
        <v>9.9999999999999995E-7</v>
      </c>
      <c r="E316" s="662">
        <f t="shared" si="134"/>
        <v>-1.1000000000000001</v>
      </c>
      <c r="F316" s="662">
        <f t="shared" si="134"/>
        <v>0</v>
      </c>
      <c r="G316" s="662">
        <f>G75</f>
        <v>0.5500005</v>
      </c>
      <c r="I316" s="1031"/>
      <c r="J316" s="662">
        <v>7</v>
      </c>
      <c r="K316" s="662">
        <f>J75</f>
        <v>70</v>
      </c>
      <c r="L316" s="662">
        <f>K75</f>
        <v>-2.2999999999999998</v>
      </c>
      <c r="M316" s="662">
        <f>L75</f>
        <v>0.9</v>
      </c>
      <c r="N316" s="662">
        <f>M75</f>
        <v>0</v>
      </c>
      <c r="O316" s="662">
        <f>N75</f>
        <v>1.5999999999999999</v>
      </c>
      <c r="Q316" s="1031"/>
      <c r="R316" s="662">
        <v>7</v>
      </c>
      <c r="S316" s="662">
        <f>Q75</f>
        <v>1000</v>
      </c>
      <c r="T316" s="662">
        <f>R75</f>
        <v>-3.9</v>
      </c>
      <c r="U316" s="662">
        <f>S75</f>
        <v>-0.4</v>
      </c>
      <c r="V316" s="662">
        <f>T75</f>
        <v>0</v>
      </c>
      <c r="W316" s="663">
        <f>U75</f>
        <v>1.75</v>
      </c>
      <c r="AE316" s="637"/>
    </row>
    <row r="317" spans="1:31" ht="13">
      <c r="A317" s="1031"/>
      <c r="B317" s="662">
        <v>8</v>
      </c>
      <c r="C317" s="662">
        <f>C86</f>
        <v>35</v>
      </c>
      <c r="D317" s="662">
        <f t="shared" ref="D317:F317" si="135">D86</f>
        <v>-0.1</v>
      </c>
      <c r="E317" s="662">
        <f t="shared" si="135"/>
        <v>-0.5</v>
      </c>
      <c r="F317" s="662">
        <f t="shared" si="135"/>
        <v>0</v>
      </c>
      <c r="G317" s="662">
        <f>G86</f>
        <v>0.2</v>
      </c>
      <c r="I317" s="1031"/>
      <c r="J317" s="662">
        <v>8</v>
      </c>
      <c r="K317" s="662">
        <f>J86</f>
        <v>70</v>
      </c>
      <c r="L317" s="662">
        <f>K86</f>
        <v>-4.0999999999999996</v>
      </c>
      <c r="M317" s="662">
        <f>L86</f>
        <v>-1.2</v>
      </c>
      <c r="N317" s="662">
        <f>M86</f>
        <v>0</v>
      </c>
      <c r="O317" s="662">
        <f>N86</f>
        <v>1.4499999999999997</v>
      </c>
      <c r="Q317" s="1031"/>
      <c r="R317" s="662">
        <v>8</v>
      </c>
      <c r="S317" s="662">
        <f>Q86</f>
        <v>1000</v>
      </c>
      <c r="T317" s="662">
        <f>R86</f>
        <v>-3.5</v>
      </c>
      <c r="U317" s="662">
        <f>S86</f>
        <v>0.2</v>
      </c>
      <c r="V317" s="662">
        <f>T86</f>
        <v>0</v>
      </c>
      <c r="W317" s="663">
        <f>U86</f>
        <v>1.85</v>
      </c>
      <c r="AE317" s="637"/>
    </row>
    <row r="318" spans="1:31" ht="13">
      <c r="A318" s="1031"/>
      <c r="B318" s="662">
        <v>9</v>
      </c>
      <c r="C318" s="662">
        <f>C97</f>
        <v>35</v>
      </c>
      <c r="D318" s="662">
        <f t="shared" ref="D318:F318" si="136">D97</f>
        <v>-0.5</v>
      </c>
      <c r="E318" s="662" t="str">
        <f t="shared" si="136"/>
        <v>-</v>
      </c>
      <c r="F318" s="662">
        <f t="shared" si="136"/>
        <v>0</v>
      </c>
      <c r="G318" s="662">
        <f>G97</f>
        <v>0</v>
      </c>
      <c r="I318" s="1031"/>
      <c r="J318" s="662">
        <v>9</v>
      </c>
      <c r="K318" s="662">
        <f>J97</f>
        <v>70</v>
      </c>
      <c r="L318" s="662">
        <f>K97</f>
        <v>-0.6</v>
      </c>
      <c r="M318" s="662" t="str">
        <f>L97</f>
        <v>-</v>
      </c>
      <c r="N318" s="662">
        <f>M97</f>
        <v>0</v>
      </c>
      <c r="O318" s="662">
        <f>N97</f>
        <v>0</v>
      </c>
      <c r="Q318" s="1031"/>
      <c r="R318" s="662">
        <v>9</v>
      </c>
      <c r="S318" s="662">
        <f>Q97</f>
        <v>1000</v>
      </c>
      <c r="T318" s="662">
        <f>R97</f>
        <v>0.2</v>
      </c>
      <c r="U318" s="662" t="str">
        <f>S97</f>
        <v>-</v>
      </c>
      <c r="V318" s="662">
        <f>T97</f>
        <v>0</v>
      </c>
      <c r="W318" s="663">
        <f>U97</f>
        <v>0</v>
      </c>
      <c r="AE318" s="637"/>
    </row>
    <row r="319" spans="1:31" ht="13">
      <c r="A319" s="1031"/>
      <c r="B319" s="662">
        <v>10</v>
      </c>
      <c r="C319" s="662">
        <f>C108</f>
        <v>35</v>
      </c>
      <c r="D319" s="662">
        <f t="shared" ref="D319:F319" si="137">D108</f>
        <v>0.2</v>
      </c>
      <c r="E319" s="662">
        <f t="shared" si="137"/>
        <v>0.8</v>
      </c>
      <c r="F319" s="662">
        <f t="shared" si="137"/>
        <v>0</v>
      </c>
      <c r="G319" s="662">
        <f>G108</f>
        <v>0.30000000000000004</v>
      </c>
      <c r="I319" s="1031"/>
      <c r="J319" s="662">
        <v>10</v>
      </c>
      <c r="K319" s="662">
        <f>J108</f>
        <v>70</v>
      </c>
      <c r="L319" s="662">
        <f>K108</f>
        <v>-0.3</v>
      </c>
      <c r="M319" s="662">
        <f>L108</f>
        <v>-5.0999999999999996</v>
      </c>
      <c r="N319" s="662">
        <f>M108</f>
        <v>0</v>
      </c>
      <c r="O319" s="662">
        <f>N108</f>
        <v>2.4</v>
      </c>
      <c r="Q319" s="1031"/>
      <c r="R319" s="662">
        <v>10</v>
      </c>
      <c r="S319" s="662">
        <f>Q108</f>
        <v>1000</v>
      </c>
      <c r="T319" s="662" t="str">
        <f>R108</f>
        <v>-</v>
      </c>
      <c r="U319" s="662" t="str">
        <f>S108</f>
        <v>-</v>
      </c>
      <c r="V319" s="662">
        <f>T108</f>
        <v>0</v>
      </c>
      <c r="W319" s="663">
        <f>U108</f>
        <v>0</v>
      </c>
      <c r="AE319" s="637"/>
    </row>
    <row r="320" spans="1:31" ht="13">
      <c r="A320" s="1031"/>
      <c r="B320" s="662">
        <v>11</v>
      </c>
      <c r="C320" s="662">
        <f>C119</f>
        <v>35</v>
      </c>
      <c r="D320" s="662">
        <f t="shared" ref="D320:F320" si="138">D119</f>
        <v>0.5</v>
      </c>
      <c r="E320" s="662">
        <f t="shared" si="138"/>
        <v>0.4</v>
      </c>
      <c r="F320" s="662">
        <f t="shared" si="138"/>
        <v>0</v>
      </c>
      <c r="G320" s="662">
        <f>G119</f>
        <v>4.9999999999999989E-2</v>
      </c>
      <c r="I320" s="1031"/>
      <c r="J320" s="662">
        <v>11</v>
      </c>
      <c r="K320" s="662">
        <f>J119</f>
        <v>70</v>
      </c>
      <c r="L320" s="662">
        <f>K119</f>
        <v>-3.4</v>
      </c>
      <c r="M320" s="662">
        <f>L119</f>
        <v>-1.7</v>
      </c>
      <c r="N320" s="662">
        <f>M119</f>
        <v>0</v>
      </c>
      <c r="O320" s="662">
        <f>N119</f>
        <v>0.85</v>
      </c>
      <c r="Q320" s="1031"/>
      <c r="R320" s="662">
        <v>11</v>
      </c>
      <c r="S320" s="662">
        <f>Q119</f>
        <v>1000</v>
      </c>
      <c r="T320" s="662" t="str">
        <f>R119</f>
        <v>-</v>
      </c>
      <c r="U320" s="662" t="str">
        <f>S119</f>
        <v>-</v>
      </c>
      <c r="V320" s="662">
        <f>T119</f>
        <v>0</v>
      </c>
      <c r="W320" s="663">
        <f>U119</f>
        <v>0</v>
      </c>
      <c r="AE320" s="637"/>
    </row>
    <row r="321" spans="1:31" ht="13">
      <c r="A321" s="1031"/>
      <c r="B321" s="662">
        <v>12</v>
      </c>
      <c r="C321" s="662">
        <f>C130</f>
        <v>35</v>
      </c>
      <c r="D321" s="662">
        <f t="shared" ref="D321:F321" si="139">D130</f>
        <v>-0.2</v>
      </c>
      <c r="E321" s="662" t="str">
        <f t="shared" si="139"/>
        <v>-</v>
      </c>
      <c r="F321" s="662">
        <f t="shared" si="139"/>
        <v>0</v>
      </c>
      <c r="G321" s="662">
        <f>G130</f>
        <v>0</v>
      </c>
      <c r="I321" s="1031"/>
      <c r="J321" s="662">
        <v>12</v>
      </c>
      <c r="K321" s="662">
        <f>J130</f>
        <v>70</v>
      </c>
      <c r="L321" s="662">
        <f>K130</f>
        <v>-0.1</v>
      </c>
      <c r="M321" s="662" t="str">
        <f>L130</f>
        <v>-</v>
      </c>
      <c r="N321" s="662">
        <f>M130</f>
        <v>0</v>
      </c>
      <c r="O321" s="662">
        <f>N130</f>
        <v>0</v>
      </c>
      <c r="Q321" s="1031"/>
      <c r="R321" s="662">
        <v>12</v>
      </c>
      <c r="S321" s="662">
        <f>Q130</f>
        <v>1000</v>
      </c>
      <c r="T321" s="662">
        <f>R130</f>
        <v>-0.8</v>
      </c>
      <c r="U321" s="662" t="str">
        <f>S130</f>
        <v>-</v>
      </c>
      <c r="V321" s="662">
        <f>T130</f>
        <v>0</v>
      </c>
      <c r="W321" s="663">
        <f>U130</f>
        <v>0</v>
      </c>
      <c r="AE321" s="637"/>
    </row>
    <row r="322" spans="1:31" ht="13">
      <c r="A322" s="1031"/>
      <c r="B322" s="662">
        <v>13</v>
      </c>
      <c r="C322" s="662">
        <f>C141</f>
        <v>35</v>
      </c>
      <c r="D322" s="662">
        <f>E141</f>
        <v>0.3</v>
      </c>
      <c r="E322" s="662" t="str">
        <f>F141</f>
        <v>-</v>
      </c>
      <c r="F322" s="662" t="str">
        <f>F141</f>
        <v>-</v>
      </c>
      <c r="G322" s="662">
        <f>G141</f>
        <v>0</v>
      </c>
      <c r="I322" s="1031"/>
      <c r="J322" s="662">
        <v>13</v>
      </c>
      <c r="K322" s="662">
        <f>J141</f>
        <v>70</v>
      </c>
      <c r="L322" s="662">
        <f>L141</f>
        <v>-1.9</v>
      </c>
      <c r="M322" s="662" t="str">
        <f>M141</f>
        <v>-</v>
      </c>
      <c r="N322" s="662" t="s">
        <v>155</v>
      </c>
      <c r="O322" s="662">
        <f>N141</f>
        <v>0</v>
      </c>
      <c r="Q322" s="1031"/>
      <c r="R322" s="662">
        <v>13</v>
      </c>
      <c r="S322" s="662">
        <f>Q141</f>
        <v>1000</v>
      </c>
      <c r="T322" s="662">
        <f>S141</f>
        <v>1.1000000000000001</v>
      </c>
      <c r="U322" s="662" t="str">
        <f>T141</f>
        <v>-</v>
      </c>
      <c r="V322" s="662" t="s">
        <v>155</v>
      </c>
      <c r="W322" s="663">
        <f>U141</f>
        <v>0</v>
      </c>
      <c r="AE322" s="637"/>
    </row>
    <row r="323" spans="1:31" ht="13">
      <c r="A323" s="1031"/>
      <c r="B323" s="662">
        <v>14</v>
      </c>
      <c r="C323" s="662">
        <f>C152</f>
        <v>35</v>
      </c>
      <c r="D323" s="662">
        <f>E152</f>
        <v>-0.6</v>
      </c>
      <c r="E323" s="662" t="str">
        <f>F152</f>
        <v>-</v>
      </c>
      <c r="F323" s="662" t="str">
        <f>F152</f>
        <v>-</v>
      </c>
      <c r="G323" s="662">
        <f>G152</f>
        <v>0</v>
      </c>
      <c r="I323" s="1031"/>
      <c r="J323" s="662">
        <v>14</v>
      </c>
      <c r="K323" s="662">
        <f>J152</f>
        <v>70</v>
      </c>
      <c r="L323" s="662">
        <f>L152</f>
        <v>-0.8</v>
      </c>
      <c r="M323" s="662" t="str">
        <f>M152</f>
        <v>-</v>
      </c>
      <c r="N323" s="662" t="s">
        <v>155</v>
      </c>
      <c r="O323" s="662">
        <f>N152</f>
        <v>0</v>
      </c>
      <c r="Q323" s="1031"/>
      <c r="R323" s="662">
        <v>14</v>
      </c>
      <c r="S323" s="662">
        <f>Q152</f>
        <v>1000</v>
      </c>
      <c r="T323" s="662">
        <f>S152</f>
        <v>1.1000000000000001</v>
      </c>
      <c r="U323" s="662" t="str">
        <f>T152</f>
        <v>-</v>
      </c>
      <c r="V323" s="662" t="s">
        <v>155</v>
      </c>
      <c r="W323" s="663">
        <f>U152</f>
        <v>0</v>
      </c>
      <c r="AE323" s="637"/>
    </row>
    <row r="324" spans="1:31" ht="13">
      <c r="A324" s="1031"/>
      <c r="B324" s="662">
        <v>15</v>
      </c>
      <c r="C324" s="662">
        <f>C163</f>
        <v>35</v>
      </c>
      <c r="D324" s="662">
        <f>E163</f>
        <v>-0.1</v>
      </c>
      <c r="E324" s="662" t="str">
        <f>F163</f>
        <v>-</v>
      </c>
      <c r="F324" s="662" t="str">
        <f>F163</f>
        <v>-</v>
      </c>
      <c r="G324" s="662">
        <f>G163</f>
        <v>0</v>
      </c>
      <c r="I324" s="1031"/>
      <c r="J324" s="662">
        <v>15</v>
      </c>
      <c r="K324" s="662">
        <f>J163</f>
        <v>70</v>
      </c>
      <c r="L324" s="662">
        <f>L163</f>
        <v>-0.8</v>
      </c>
      <c r="M324" s="662" t="str">
        <f>M163</f>
        <v>-</v>
      </c>
      <c r="N324" s="662" t="s">
        <v>155</v>
      </c>
      <c r="O324" s="662">
        <f>N163</f>
        <v>0</v>
      </c>
      <c r="Q324" s="1031"/>
      <c r="R324" s="662">
        <v>15</v>
      </c>
      <c r="S324" s="662">
        <f>Q163</f>
        <v>1000</v>
      </c>
      <c r="T324" s="662">
        <f>S163</f>
        <v>1.1000000000000001</v>
      </c>
      <c r="U324" s="662" t="str">
        <f>T163</f>
        <v>-</v>
      </c>
      <c r="V324" s="662" t="s">
        <v>155</v>
      </c>
      <c r="W324" s="663">
        <f>U163</f>
        <v>0</v>
      </c>
      <c r="AE324" s="637"/>
    </row>
    <row r="325" spans="1:31" ht="13">
      <c r="A325" s="1031"/>
      <c r="B325" s="662">
        <v>16</v>
      </c>
      <c r="C325" s="662">
        <f>C174</f>
        <v>35</v>
      </c>
      <c r="D325" s="662">
        <f t="shared" ref="D325:F325" si="140">D174</f>
        <v>0.1</v>
      </c>
      <c r="E325" s="662" t="str">
        <f t="shared" si="140"/>
        <v>-</v>
      </c>
      <c r="F325" s="662">
        <f t="shared" si="140"/>
        <v>0</v>
      </c>
      <c r="G325" s="662">
        <f>G174</f>
        <v>0</v>
      </c>
      <c r="I325" s="1031"/>
      <c r="J325" s="662">
        <v>16</v>
      </c>
      <c r="K325" s="662">
        <f>J174</f>
        <v>70</v>
      </c>
      <c r="L325" s="662">
        <f>K174</f>
        <v>-1.8</v>
      </c>
      <c r="M325" s="662" t="str">
        <f>L174</f>
        <v>-</v>
      </c>
      <c r="N325" s="662">
        <f>M174</f>
        <v>0</v>
      </c>
      <c r="O325" s="662">
        <f>N174</f>
        <v>0</v>
      </c>
      <c r="Q325" s="1031"/>
      <c r="R325" s="662">
        <v>16</v>
      </c>
      <c r="S325" s="662">
        <f>Q174</f>
        <v>1000</v>
      </c>
      <c r="T325" s="662">
        <f>R174</f>
        <v>-0.4</v>
      </c>
      <c r="U325" s="662" t="str">
        <f>S174</f>
        <v>-</v>
      </c>
      <c r="V325" s="662">
        <f>T174</f>
        <v>0</v>
      </c>
      <c r="W325" s="663">
        <f>U174</f>
        <v>0</v>
      </c>
      <c r="AE325" s="637"/>
    </row>
    <row r="326" spans="1:31" ht="13">
      <c r="A326" s="1031"/>
      <c r="B326" s="662">
        <v>17</v>
      </c>
      <c r="C326" s="662">
        <f>C185</f>
        <v>35</v>
      </c>
      <c r="D326" s="662">
        <f t="shared" ref="D326:F326" si="141">D185</f>
        <v>-0.5</v>
      </c>
      <c r="E326" s="662" t="str">
        <f t="shared" si="141"/>
        <v>-</v>
      </c>
      <c r="F326" s="662">
        <f t="shared" si="141"/>
        <v>0</v>
      </c>
      <c r="G326" s="662">
        <f>G185</f>
        <v>0</v>
      </c>
      <c r="I326" s="1031"/>
      <c r="J326" s="662">
        <v>17</v>
      </c>
      <c r="K326" s="662">
        <f>J185</f>
        <v>70</v>
      </c>
      <c r="L326" s="662">
        <f>K185</f>
        <v>-0.3</v>
      </c>
      <c r="M326" s="662" t="str">
        <f>L185</f>
        <v>-</v>
      </c>
      <c r="N326" s="662">
        <f>M185</f>
        <v>0</v>
      </c>
      <c r="O326" s="662">
        <f>N185</f>
        <v>0</v>
      </c>
      <c r="Q326" s="1031"/>
      <c r="R326" s="662">
        <v>17</v>
      </c>
      <c r="S326" s="662">
        <f>Q185</f>
        <v>1000</v>
      </c>
      <c r="T326" s="662">
        <f>R185</f>
        <v>-0.6</v>
      </c>
      <c r="U326" s="662" t="str">
        <f>S185</f>
        <v>-</v>
      </c>
      <c r="V326" s="662">
        <f>T185</f>
        <v>0</v>
      </c>
      <c r="W326" s="663">
        <f>U185</f>
        <v>0</v>
      </c>
      <c r="AE326" s="637"/>
    </row>
    <row r="327" spans="1:31" ht="13">
      <c r="A327" s="1031"/>
      <c r="B327" s="662">
        <v>18</v>
      </c>
      <c r="C327" s="662">
        <f>C196</f>
        <v>35</v>
      </c>
      <c r="D327" s="662">
        <f t="shared" ref="D327:F327" si="142">D196</f>
        <v>-0.3</v>
      </c>
      <c r="E327" s="662" t="str">
        <f t="shared" si="142"/>
        <v>-</v>
      </c>
      <c r="F327" s="662">
        <f t="shared" si="142"/>
        <v>0</v>
      </c>
      <c r="G327" s="662">
        <f>G196</f>
        <v>0</v>
      </c>
      <c r="I327" s="1031"/>
      <c r="J327" s="662">
        <v>18</v>
      </c>
      <c r="K327" s="662">
        <f>J196</f>
        <v>70</v>
      </c>
      <c r="L327" s="662">
        <f>K196</f>
        <v>-0.3</v>
      </c>
      <c r="M327" s="662" t="str">
        <f>L196</f>
        <v>-</v>
      </c>
      <c r="N327" s="662">
        <f>M196</f>
        <v>0</v>
      </c>
      <c r="O327" s="662">
        <f>N196</f>
        <v>0</v>
      </c>
      <c r="Q327" s="1031"/>
      <c r="R327" s="662">
        <v>18</v>
      </c>
      <c r="S327" s="662">
        <f>Q196</f>
        <v>1000</v>
      </c>
      <c r="T327" s="662">
        <f>R196</f>
        <v>-0.8</v>
      </c>
      <c r="U327" s="662" t="str">
        <f>S196</f>
        <v>-</v>
      </c>
      <c r="V327" s="662">
        <f>T196</f>
        <v>0</v>
      </c>
      <c r="W327" s="663">
        <f>U196</f>
        <v>0</v>
      </c>
      <c r="AE327" s="637"/>
    </row>
    <row r="328" spans="1:31" ht="13">
      <c r="A328" s="1031"/>
      <c r="B328" s="662">
        <v>19</v>
      </c>
      <c r="C328" s="662">
        <f>C207</f>
        <v>35</v>
      </c>
      <c r="D328" s="662">
        <f t="shared" ref="D328:F328" si="143">D207</f>
        <v>-0.1</v>
      </c>
      <c r="E328" s="662" t="str">
        <f t="shared" si="143"/>
        <v>-</v>
      </c>
      <c r="F328" s="662">
        <f t="shared" si="143"/>
        <v>0</v>
      </c>
      <c r="G328" s="662">
        <f>G207</f>
        <v>0</v>
      </c>
      <c r="I328" s="1031"/>
      <c r="J328" s="662">
        <v>19</v>
      </c>
      <c r="K328" s="662">
        <f>J207</f>
        <v>70</v>
      </c>
      <c r="L328" s="662">
        <f>K207</f>
        <v>-0.7</v>
      </c>
      <c r="M328" s="662" t="str">
        <f>L207</f>
        <v>-</v>
      </c>
      <c r="N328" s="662">
        <f>M207</f>
        <v>0</v>
      </c>
      <c r="O328" s="662">
        <f>N207</f>
        <v>0</v>
      </c>
      <c r="Q328" s="1031"/>
      <c r="R328" s="662">
        <v>19</v>
      </c>
      <c r="S328" s="662">
        <f>Q207</f>
        <v>1000</v>
      </c>
      <c r="T328" s="662">
        <f>R207</f>
        <v>2.2000000000000002</v>
      </c>
      <c r="U328" s="662" t="str">
        <f>S207</f>
        <v>-</v>
      </c>
      <c r="V328" s="662">
        <f>T207</f>
        <v>0</v>
      </c>
      <c r="W328" s="663">
        <f>U207</f>
        <v>0</v>
      </c>
      <c r="AE328" s="637"/>
    </row>
    <row r="329" spans="1:31" ht="13.5" thickBot="1">
      <c r="A329" s="1031"/>
      <c r="B329" s="662">
        <v>20</v>
      </c>
      <c r="C329" s="662">
        <f>C218</f>
        <v>34.5</v>
      </c>
      <c r="D329" s="662">
        <f t="shared" ref="D329:F329" si="144">D218</f>
        <v>9.9999999999999995E-7</v>
      </c>
      <c r="E329" s="662" t="str">
        <f t="shared" si="144"/>
        <v>-</v>
      </c>
      <c r="F329" s="662">
        <f t="shared" si="144"/>
        <v>9.9999999999999995E-7</v>
      </c>
      <c r="G329" s="662">
        <f>G218</f>
        <v>0</v>
      </c>
      <c r="I329" s="1031"/>
      <c r="J329" s="662">
        <v>20</v>
      </c>
      <c r="K329" s="662">
        <f>J218</f>
        <v>80.8</v>
      </c>
      <c r="L329" s="662">
        <f>K218</f>
        <v>9.9999999999999995E-7</v>
      </c>
      <c r="M329" s="662" t="str">
        <f>L218</f>
        <v>-</v>
      </c>
      <c r="N329" s="662">
        <f>M218</f>
        <v>0</v>
      </c>
      <c r="O329" s="662">
        <f>N218</f>
        <v>0</v>
      </c>
      <c r="Q329" s="1033"/>
      <c r="R329" s="671">
        <v>20</v>
      </c>
      <c r="S329" s="671">
        <f>Q218</f>
        <v>1000</v>
      </c>
      <c r="T329" s="671" t="str">
        <f>R218</f>
        <v>-</v>
      </c>
      <c r="U329" s="671" t="str">
        <f>S218</f>
        <v>-</v>
      </c>
      <c r="V329" s="671">
        <f>T218</f>
        <v>0</v>
      </c>
      <c r="W329" s="687">
        <f>U218</f>
        <v>0</v>
      </c>
      <c r="AE329" s="675"/>
    </row>
    <row r="330" spans="1:31" ht="13.5" thickBot="1">
      <c r="A330" s="676"/>
      <c r="B330" s="676"/>
      <c r="C330" s="676"/>
      <c r="D330" s="676"/>
      <c r="E330" s="676"/>
      <c r="F330" s="656"/>
      <c r="G330" s="676"/>
      <c r="I330" s="676"/>
      <c r="J330" s="676"/>
      <c r="K330" s="676"/>
      <c r="L330" s="676"/>
      <c r="M330" s="676"/>
      <c r="N330" s="656"/>
      <c r="O330" s="676"/>
      <c r="Q330" s="688"/>
      <c r="R330" s="678"/>
      <c r="S330" s="689"/>
      <c r="T330" s="689"/>
      <c r="U330" s="689"/>
      <c r="W330" s="690"/>
      <c r="AE330" s="637"/>
    </row>
    <row r="331" spans="1:31" ht="13">
      <c r="A331" s="1031">
        <v>6</v>
      </c>
      <c r="B331" s="662">
        <v>1</v>
      </c>
      <c r="C331" s="662">
        <f>C10</f>
        <v>37</v>
      </c>
      <c r="D331" s="662">
        <f t="shared" ref="D331:F331" si="145">D10</f>
        <v>-0.2</v>
      </c>
      <c r="E331" s="662">
        <f t="shared" si="145"/>
        <v>-0.6</v>
      </c>
      <c r="F331" s="662">
        <f t="shared" si="145"/>
        <v>0</v>
      </c>
      <c r="G331" s="662">
        <f>G10</f>
        <v>0.3</v>
      </c>
      <c r="I331" s="1031">
        <v>6</v>
      </c>
      <c r="J331" s="662">
        <v>1</v>
      </c>
      <c r="K331" s="662">
        <f>J10</f>
        <v>80</v>
      </c>
      <c r="L331" s="662">
        <f>K10</f>
        <v>-3.2</v>
      </c>
      <c r="M331" s="662">
        <f>L10</f>
        <v>0.7</v>
      </c>
      <c r="N331" s="662">
        <f>M10</f>
        <v>0</v>
      </c>
      <c r="O331" s="662">
        <f>N10</f>
        <v>1.9500000000000002</v>
      </c>
      <c r="Q331" s="1032">
        <v>6</v>
      </c>
      <c r="R331" s="682">
        <v>1</v>
      </c>
      <c r="S331" s="682">
        <f>Q10</f>
        <v>1005</v>
      </c>
      <c r="T331" s="682" t="str">
        <f>R10</f>
        <v>-</v>
      </c>
      <c r="U331" s="682" t="str">
        <f>S10</f>
        <v>-</v>
      </c>
      <c r="V331" s="682">
        <f>T10</f>
        <v>0</v>
      </c>
      <c r="W331" s="691">
        <f>U10</f>
        <v>0</v>
      </c>
      <c r="AE331" s="685"/>
    </row>
    <row r="332" spans="1:31" ht="13">
      <c r="A332" s="1031"/>
      <c r="B332" s="662">
        <v>2</v>
      </c>
      <c r="C332" s="662">
        <f>C21</f>
        <v>37</v>
      </c>
      <c r="D332" s="662">
        <f t="shared" ref="D332:F332" si="146">D21</f>
        <v>-0.2</v>
      </c>
      <c r="E332" s="662">
        <f t="shared" si="146"/>
        <v>-0.3</v>
      </c>
      <c r="F332" s="662">
        <f t="shared" si="146"/>
        <v>0</v>
      </c>
      <c r="G332" s="662">
        <f>G21</f>
        <v>4.9999999999999989E-2</v>
      </c>
      <c r="I332" s="1031"/>
      <c r="J332" s="662">
        <v>2</v>
      </c>
      <c r="K332" s="662">
        <f>J21</f>
        <v>80</v>
      </c>
      <c r="L332" s="662">
        <f>K21</f>
        <v>-0.5</v>
      </c>
      <c r="M332" s="662">
        <f>L21</f>
        <v>-0.7</v>
      </c>
      <c r="N332" s="662">
        <f>M21</f>
        <v>0</v>
      </c>
      <c r="O332" s="662">
        <f>N21</f>
        <v>9.9999999999999978E-2</v>
      </c>
      <c r="Q332" s="1031"/>
      <c r="R332" s="662">
        <v>2</v>
      </c>
      <c r="S332" s="662">
        <f>Q21</f>
        <v>1005</v>
      </c>
      <c r="T332" s="662" t="str">
        <f>R21</f>
        <v>-</v>
      </c>
      <c r="U332" s="662" t="str">
        <f>S21</f>
        <v>-</v>
      </c>
      <c r="V332" s="662">
        <f>T21</f>
        <v>0</v>
      </c>
      <c r="W332" s="663">
        <f>U21</f>
        <v>0</v>
      </c>
      <c r="AE332" s="637"/>
    </row>
    <row r="333" spans="1:31" ht="13">
      <c r="A333" s="1031"/>
      <c r="B333" s="662">
        <v>3</v>
      </c>
      <c r="C333" s="662">
        <f>C32</f>
        <v>37</v>
      </c>
      <c r="D333" s="662">
        <f t="shared" ref="D333:F333" si="147">D32</f>
        <v>-0.2</v>
      </c>
      <c r="E333" s="662">
        <f t="shared" si="147"/>
        <v>-0.6</v>
      </c>
      <c r="F333" s="662">
        <f t="shared" si="147"/>
        <v>0</v>
      </c>
      <c r="G333" s="662">
        <f>G32</f>
        <v>0.19999999999999998</v>
      </c>
      <c r="I333" s="1031"/>
      <c r="J333" s="662">
        <v>3</v>
      </c>
      <c r="K333" s="662">
        <f>J32</f>
        <v>80</v>
      </c>
      <c r="L333" s="662">
        <f>K32</f>
        <v>-0.8</v>
      </c>
      <c r="M333" s="662">
        <f>L32</f>
        <v>-2.9</v>
      </c>
      <c r="N333" s="662">
        <f>M32</f>
        <v>0</v>
      </c>
      <c r="O333" s="662">
        <f>N32</f>
        <v>1.0499999999999998</v>
      </c>
      <c r="Q333" s="1031"/>
      <c r="R333" s="662">
        <v>3</v>
      </c>
      <c r="S333" s="662">
        <f>Q32</f>
        <v>1005</v>
      </c>
      <c r="T333" s="662" t="str">
        <f>R32</f>
        <v>-</v>
      </c>
      <c r="U333" s="662" t="str">
        <f>S32</f>
        <v>-</v>
      </c>
      <c r="V333" s="662">
        <f>T32</f>
        <v>0</v>
      </c>
      <c r="W333" s="663">
        <f>U32</f>
        <v>0</v>
      </c>
      <c r="AE333" s="637"/>
    </row>
    <row r="334" spans="1:31" ht="13">
      <c r="A334" s="1031"/>
      <c r="B334" s="662">
        <v>4</v>
      </c>
      <c r="C334" s="662">
        <f>C43</f>
        <v>37</v>
      </c>
      <c r="D334" s="662">
        <f t="shared" ref="D334:F334" si="148">D43</f>
        <v>-0.4</v>
      </c>
      <c r="E334" s="662">
        <f t="shared" si="148"/>
        <v>-0.6</v>
      </c>
      <c r="F334" s="662">
        <f t="shared" si="148"/>
        <v>0</v>
      </c>
      <c r="G334" s="662">
        <f>G43</f>
        <v>9.9999999999999978E-2</v>
      </c>
      <c r="I334" s="1031"/>
      <c r="J334" s="662">
        <v>4</v>
      </c>
      <c r="K334" s="662">
        <f>J43</f>
        <v>80</v>
      </c>
      <c r="L334" s="662">
        <f>K43</f>
        <v>-3.8</v>
      </c>
      <c r="M334" s="662">
        <f>L43</f>
        <v>1.9</v>
      </c>
      <c r="N334" s="662">
        <f>M43</f>
        <v>0</v>
      </c>
      <c r="O334" s="662">
        <f>N43</f>
        <v>2.8499999999999996</v>
      </c>
      <c r="Q334" s="1031"/>
      <c r="R334" s="662">
        <v>4</v>
      </c>
      <c r="S334" s="662">
        <f>Q43</f>
        <v>1005</v>
      </c>
      <c r="T334" s="662" t="str">
        <f>R43</f>
        <v>-</v>
      </c>
      <c r="U334" s="662" t="str">
        <f>S43</f>
        <v>-</v>
      </c>
      <c r="V334" s="662">
        <f>T43</f>
        <v>0</v>
      </c>
      <c r="W334" s="663">
        <f>U43</f>
        <v>0</v>
      </c>
      <c r="AE334" s="637"/>
    </row>
    <row r="335" spans="1:31" ht="13">
      <c r="A335" s="1031"/>
      <c r="B335" s="662">
        <v>5</v>
      </c>
      <c r="C335" s="662">
        <f>C54</f>
        <v>37</v>
      </c>
      <c r="D335" s="662">
        <f t="shared" ref="D335:F335" si="149">D54</f>
        <v>0.7</v>
      </c>
      <c r="E335" s="662">
        <f t="shared" si="149"/>
        <v>9.9999999999999995E-7</v>
      </c>
      <c r="F335" s="662">
        <f t="shared" si="149"/>
        <v>0</v>
      </c>
      <c r="G335" s="662">
        <f>G54</f>
        <v>0.34999949999999996</v>
      </c>
      <c r="I335" s="1031"/>
      <c r="J335" s="662">
        <v>5</v>
      </c>
      <c r="K335" s="662">
        <f>J54</f>
        <v>80</v>
      </c>
      <c r="L335" s="662">
        <f>K54</f>
        <v>-3</v>
      </c>
      <c r="M335" s="662">
        <f>L54</f>
        <v>0.2</v>
      </c>
      <c r="N335" s="662">
        <f>M54</f>
        <v>0</v>
      </c>
      <c r="O335" s="662">
        <f>N54</f>
        <v>1.6</v>
      </c>
      <c r="Q335" s="1031"/>
      <c r="R335" s="662">
        <v>5</v>
      </c>
      <c r="S335" s="662">
        <f>Q54</f>
        <v>1005</v>
      </c>
      <c r="T335" s="662" t="str">
        <f>R54</f>
        <v>-</v>
      </c>
      <c r="U335" s="662" t="str">
        <f>S54</f>
        <v>-</v>
      </c>
      <c r="V335" s="662">
        <f>T54</f>
        <v>0</v>
      </c>
      <c r="W335" s="663">
        <f>U54</f>
        <v>0</v>
      </c>
      <c r="AE335" s="637"/>
    </row>
    <row r="336" spans="1:31" ht="13">
      <c r="A336" s="1031"/>
      <c r="B336" s="662">
        <v>6</v>
      </c>
      <c r="C336" s="662">
        <f>C65</f>
        <v>37</v>
      </c>
      <c r="D336" s="662">
        <f t="shared" ref="D336:F336" si="150">D65</f>
        <v>0.1</v>
      </c>
      <c r="E336" s="662">
        <f t="shared" si="150"/>
        <v>-1.1000000000000001</v>
      </c>
      <c r="F336" s="662">
        <f t="shared" si="150"/>
        <v>0</v>
      </c>
      <c r="G336" s="662">
        <f>G65</f>
        <v>0.60000000000000009</v>
      </c>
      <c r="I336" s="1031"/>
      <c r="J336" s="662">
        <v>6</v>
      </c>
      <c r="K336" s="662">
        <f>J65</f>
        <v>80</v>
      </c>
      <c r="L336" s="662">
        <f>K65</f>
        <v>-6.3</v>
      </c>
      <c r="M336" s="662">
        <f>L65</f>
        <v>0.8</v>
      </c>
      <c r="N336" s="662">
        <f>M65</f>
        <v>0</v>
      </c>
      <c r="O336" s="662">
        <f>N65</f>
        <v>3.55</v>
      </c>
      <c r="Q336" s="1031"/>
      <c r="R336" s="662">
        <v>6</v>
      </c>
      <c r="S336" s="662">
        <f>Q65</f>
        <v>1005</v>
      </c>
      <c r="T336" s="662">
        <f>R65</f>
        <v>0.9</v>
      </c>
      <c r="U336" s="662">
        <f>S65</f>
        <v>-0.3</v>
      </c>
      <c r="V336" s="662">
        <f>T65</f>
        <v>0</v>
      </c>
      <c r="W336" s="663">
        <f>U65</f>
        <v>0.6</v>
      </c>
      <c r="AE336" s="637"/>
    </row>
    <row r="337" spans="1:31" ht="13">
      <c r="A337" s="1031"/>
      <c r="B337" s="662">
        <v>7</v>
      </c>
      <c r="C337" s="662">
        <f>C76</f>
        <v>37</v>
      </c>
      <c r="D337" s="662">
        <f t="shared" ref="D337:F337" si="151">D76</f>
        <v>9.9999999999999995E-7</v>
      </c>
      <c r="E337" s="662">
        <f t="shared" si="151"/>
        <v>-1.4</v>
      </c>
      <c r="F337" s="662">
        <f t="shared" si="151"/>
        <v>0</v>
      </c>
      <c r="G337" s="662">
        <f>G76</f>
        <v>0.70000049999999991</v>
      </c>
      <c r="I337" s="1031"/>
      <c r="J337" s="662">
        <v>7</v>
      </c>
      <c r="K337" s="662">
        <f>J76</f>
        <v>80</v>
      </c>
      <c r="L337" s="662">
        <f>K76</f>
        <v>-2.6</v>
      </c>
      <c r="M337" s="662">
        <f>L76</f>
        <v>1.2</v>
      </c>
      <c r="N337" s="662">
        <f>M76</f>
        <v>0</v>
      </c>
      <c r="O337" s="662">
        <f>N76</f>
        <v>1.9</v>
      </c>
      <c r="Q337" s="1031"/>
      <c r="R337" s="662">
        <v>7</v>
      </c>
      <c r="S337" s="662">
        <f>Q76</f>
        <v>1005</v>
      </c>
      <c r="T337" s="662">
        <f>R76</f>
        <v>-3.8</v>
      </c>
      <c r="U337" s="662">
        <f>S76</f>
        <v>-0.5</v>
      </c>
      <c r="V337" s="662">
        <f>T76</f>
        <v>0</v>
      </c>
      <c r="W337" s="663">
        <f>U76</f>
        <v>1.65</v>
      </c>
      <c r="AE337" s="637"/>
    </row>
    <row r="338" spans="1:31" ht="13">
      <c r="A338" s="1031"/>
      <c r="B338" s="662">
        <v>8</v>
      </c>
      <c r="C338" s="662">
        <f>C87</f>
        <v>37</v>
      </c>
      <c r="D338" s="662">
        <f t="shared" ref="D338:F338" si="152">D87</f>
        <v>-0.1</v>
      </c>
      <c r="E338" s="662">
        <f t="shared" si="152"/>
        <v>-0.5</v>
      </c>
      <c r="F338" s="662">
        <f t="shared" si="152"/>
        <v>0</v>
      </c>
      <c r="G338" s="662">
        <f>G87</f>
        <v>0.2</v>
      </c>
      <c r="I338" s="1031"/>
      <c r="J338" s="662">
        <v>8</v>
      </c>
      <c r="K338" s="662">
        <f>J87</f>
        <v>80</v>
      </c>
      <c r="L338" s="662">
        <f>K87</f>
        <v>-4.5</v>
      </c>
      <c r="M338" s="662">
        <f>L87</f>
        <v>-1.2</v>
      </c>
      <c r="N338" s="662">
        <f>M87</f>
        <v>0</v>
      </c>
      <c r="O338" s="662">
        <f>N87</f>
        <v>1.65</v>
      </c>
      <c r="Q338" s="1031"/>
      <c r="R338" s="662">
        <v>8</v>
      </c>
      <c r="S338" s="662">
        <f>Q87</f>
        <v>1005</v>
      </c>
      <c r="T338" s="662">
        <f>R87</f>
        <v>-3.4</v>
      </c>
      <c r="U338" s="662">
        <f>S87</f>
        <v>0.2</v>
      </c>
      <c r="V338" s="662">
        <f>T87</f>
        <v>0</v>
      </c>
      <c r="W338" s="663">
        <f>U87</f>
        <v>1.8</v>
      </c>
      <c r="AE338" s="637"/>
    </row>
    <row r="339" spans="1:31" ht="13">
      <c r="A339" s="1031"/>
      <c r="B339" s="662">
        <v>9</v>
      </c>
      <c r="C339" s="662">
        <f>C98</f>
        <v>37</v>
      </c>
      <c r="D339" s="662">
        <f t="shared" ref="D339:F339" si="153">D98</f>
        <v>-0.5</v>
      </c>
      <c r="E339" s="662" t="str">
        <f t="shared" si="153"/>
        <v>-</v>
      </c>
      <c r="F339" s="662">
        <f t="shared" si="153"/>
        <v>0</v>
      </c>
      <c r="G339" s="662">
        <f>G98</f>
        <v>0</v>
      </c>
      <c r="I339" s="1031"/>
      <c r="J339" s="662">
        <v>9</v>
      </c>
      <c r="K339" s="662">
        <f>J98</f>
        <v>80</v>
      </c>
      <c r="L339" s="662">
        <f>K98</f>
        <v>-0.5</v>
      </c>
      <c r="M339" s="662" t="str">
        <f>L98</f>
        <v>-</v>
      </c>
      <c r="N339" s="662">
        <f>M98</f>
        <v>0</v>
      </c>
      <c r="O339" s="662">
        <f>N98</f>
        <v>0</v>
      </c>
      <c r="Q339" s="1031"/>
      <c r="R339" s="662">
        <v>9</v>
      </c>
      <c r="S339" s="662">
        <f>Q98</f>
        <v>1005</v>
      </c>
      <c r="T339" s="662">
        <f>R98</f>
        <v>0.2</v>
      </c>
      <c r="U339" s="662" t="str">
        <f>S98</f>
        <v>-</v>
      </c>
      <c r="V339" s="662">
        <f>T98</f>
        <v>0</v>
      </c>
      <c r="W339" s="663">
        <f>U98</f>
        <v>0</v>
      </c>
      <c r="AE339" s="637"/>
    </row>
    <row r="340" spans="1:31" ht="13">
      <c r="A340" s="1031"/>
      <c r="B340" s="662">
        <v>10</v>
      </c>
      <c r="C340" s="662">
        <f>C109</f>
        <v>37</v>
      </c>
      <c r="D340" s="662">
        <f t="shared" ref="D340:F340" si="154">D109</f>
        <v>0.2</v>
      </c>
      <c r="E340" s="662">
        <f t="shared" si="154"/>
        <v>0.4</v>
      </c>
      <c r="F340" s="662">
        <f t="shared" si="154"/>
        <v>0</v>
      </c>
      <c r="G340" s="662">
        <f>G109</f>
        <v>0.1</v>
      </c>
      <c r="I340" s="1031"/>
      <c r="J340" s="662">
        <v>10</v>
      </c>
      <c r="K340" s="662">
        <f>J109</f>
        <v>80</v>
      </c>
      <c r="L340" s="662">
        <f>K109</f>
        <v>2.2000000000000002</v>
      </c>
      <c r="M340" s="662">
        <f>L109</f>
        <v>-4.7</v>
      </c>
      <c r="N340" s="662">
        <f>M109</f>
        <v>0</v>
      </c>
      <c r="O340" s="662">
        <f>N109</f>
        <v>3.45</v>
      </c>
      <c r="Q340" s="1031"/>
      <c r="R340" s="662">
        <v>10</v>
      </c>
      <c r="S340" s="662">
        <f>Q109</f>
        <v>1005</v>
      </c>
      <c r="T340" s="662" t="str">
        <f>R109</f>
        <v>-</v>
      </c>
      <c r="U340" s="662" t="str">
        <f>S109</f>
        <v>-</v>
      </c>
      <c r="V340" s="662">
        <f>T109</f>
        <v>0</v>
      </c>
      <c r="W340" s="663">
        <f>U109</f>
        <v>0</v>
      </c>
      <c r="AE340" s="637"/>
    </row>
    <row r="341" spans="1:31" ht="13">
      <c r="A341" s="1031"/>
      <c r="B341" s="662">
        <v>11</v>
      </c>
      <c r="C341" s="662">
        <f>C120</f>
        <v>37</v>
      </c>
      <c r="D341" s="662">
        <f t="shared" ref="D341:F341" si="155">D120</f>
        <v>0.5</v>
      </c>
      <c r="E341" s="662">
        <f t="shared" si="155"/>
        <v>0.5</v>
      </c>
      <c r="F341" s="662">
        <f t="shared" si="155"/>
        <v>0</v>
      </c>
      <c r="G341" s="662">
        <f>G120</f>
        <v>0</v>
      </c>
      <c r="I341" s="1031"/>
      <c r="J341" s="662">
        <v>11</v>
      </c>
      <c r="K341" s="662">
        <f>J120</f>
        <v>80</v>
      </c>
      <c r="L341" s="662">
        <f>K120</f>
        <v>-1.4</v>
      </c>
      <c r="M341" s="662">
        <f>L120</f>
        <v>2.6</v>
      </c>
      <c r="N341" s="662">
        <f>M120</f>
        <v>0</v>
      </c>
      <c r="O341" s="662">
        <f>N120</f>
        <v>2</v>
      </c>
      <c r="Q341" s="1031"/>
      <c r="R341" s="662">
        <v>11</v>
      </c>
      <c r="S341" s="662">
        <f>Q120</f>
        <v>1005</v>
      </c>
      <c r="T341" s="662" t="str">
        <f>R120</f>
        <v>-</v>
      </c>
      <c r="U341" s="662" t="str">
        <f>S120</f>
        <v>-</v>
      </c>
      <c r="V341" s="662">
        <f>T120</f>
        <v>0</v>
      </c>
      <c r="W341" s="663">
        <f>U120</f>
        <v>0</v>
      </c>
      <c r="AE341" s="637"/>
    </row>
    <row r="342" spans="1:31" ht="13">
      <c r="A342" s="1031"/>
      <c r="B342" s="662">
        <v>12</v>
      </c>
      <c r="C342" s="662">
        <f>C131</f>
        <v>37</v>
      </c>
      <c r="D342" s="662">
        <f t="shared" ref="D342:F342" si="156">D131</f>
        <v>-0.3</v>
      </c>
      <c r="E342" s="662" t="str">
        <f t="shared" si="156"/>
        <v>-</v>
      </c>
      <c r="F342" s="662">
        <f t="shared" si="156"/>
        <v>0</v>
      </c>
      <c r="G342" s="662">
        <f>G131</f>
        <v>0</v>
      </c>
      <c r="I342" s="1031"/>
      <c r="J342" s="662">
        <v>12</v>
      </c>
      <c r="K342" s="662">
        <f>J131</f>
        <v>80</v>
      </c>
      <c r="L342" s="662">
        <f>K131</f>
        <v>-0.5</v>
      </c>
      <c r="M342" s="662" t="str">
        <f>L131</f>
        <v>-</v>
      </c>
      <c r="N342" s="662">
        <f>M131</f>
        <v>0</v>
      </c>
      <c r="O342" s="662">
        <f>N131</f>
        <v>0</v>
      </c>
      <c r="Q342" s="1031"/>
      <c r="R342" s="662">
        <v>12</v>
      </c>
      <c r="S342" s="662">
        <f>Q131</f>
        <v>1005</v>
      </c>
      <c r="T342" s="662">
        <f>R131</f>
        <v>-0.8</v>
      </c>
      <c r="U342" s="662" t="str">
        <f>S131</f>
        <v>-</v>
      </c>
      <c r="V342" s="662">
        <f>T131</f>
        <v>0</v>
      </c>
      <c r="W342" s="663">
        <f>U131</f>
        <v>0</v>
      </c>
      <c r="AE342" s="637"/>
    </row>
    <row r="343" spans="1:31" ht="13">
      <c r="A343" s="1031"/>
      <c r="B343" s="662">
        <v>13</v>
      </c>
      <c r="C343" s="662">
        <f>C142</f>
        <v>37</v>
      </c>
      <c r="D343" s="662">
        <f>E142</f>
        <v>0.4</v>
      </c>
      <c r="E343" s="662" t="str">
        <f>F142</f>
        <v>-</v>
      </c>
      <c r="F343" s="662" t="str">
        <f>F142</f>
        <v>-</v>
      </c>
      <c r="G343" s="662">
        <f>G142</f>
        <v>0</v>
      </c>
      <c r="I343" s="1031"/>
      <c r="J343" s="662">
        <v>13</v>
      </c>
      <c r="K343" s="662">
        <f>J142</f>
        <v>80</v>
      </c>
      <c r="L343" s="662">
        <f>L142</f>
        <v>-2.5</v>
      </c>
      <c r="M343" s="662" t="str">
        <f>M142</f>
        <v>-</v>
      </c>
      <c r="N343" s="662" t="s">
        <v>155</v>
      </c>
      <c r="O343" s="662">
        <f>N142</f>
        <v>0</v>
      </c>
      <c r="Q343" s="1031"/>
      <c r="R343" s="662">
        <v>13</v>
      </c>
      <c r="S343" s="662">
        <f>Q142</f>
        <v>1005</v>
      </c>
      <c r="T343" s="662">
        <f>S142</f>
        <v>1.1000000000000001</v>
      </c>
      <c r="U343" s="662" t="str">
        <f>T142</f>
        <v>-</v>
      </c>
      <c r="V343" s="662" t="s">
        <v>155</v>
      </c>
      <c r="W343" s="663">
        <f>U142</f>
        <v>0</v>
      </c>
      <c r="AE343" s="637"/>
    </row>
    <row r="344" spans="1:31" ht="13">
      <c r="A344" s="1031"/>
      <c r="B344" s="662">
        <v>14</v>
      </c>
      <c r="C344" s="662">
        <f>C153</f>
        <v>37</v>
      </c>
      <c r="D344" s="662">
        <f>E153</f>
        <v>-0.8</v>
      </c>
      <c r="E344" s="662" t="str">
        <f>F153</f>
        <v>-</v>
      </c>
      <c r="F344" s="662" t="str">
        <f>F153</f>
        <v>-</v>
      </c>
      <c r="G344" s="662">
        <f>G153</f>
        <v>0</v>
      </c>
      <c r="I344" s="1031"/>
      <c r="J344" s="662">
        <v>14</v>
      </c>
      <c r="K344" s="662">
        <f>J153</f>
        <v>80</v>
      </c>
      <c r="L344" s="662">
        <f>L153</f>
        <v>-0.9</v>
      </c>
      <c r="M344" s="662" t="str">
        <f>M153</f>
        <v>-</v>
      </c>
      <c r="N344" s="662" t="s">
        <v>155</v>
      </c>
      <c r="O344" s="662">
        <f>N153</f>
        <v>0</v>
      </c>
      <c r="Q344" s="1031"/>
      <c r="R344" s="662">
        <v>14</v>
      </c>
      <c r="S344" s="662">
        <f>Q153</f>
        <v>1005</v>
      </c>
      <c r="T344" s="662">
        <f>S153</f>
        <v>1.1000000000000001</v>
      </c>
      <c r="U344" s="662" t="str">
        <f>T153</f>
        <v>-</v>
      </c>
      <c r="V344" s="662" t="s">
        <v>155</v>
      </c>
      <c r="W344" s="663">
        <f>U153</f>
        <v>0</v>
      </c>
      <c r="AE344" s="637"/>
    </row>
    <row r="345" spans="1:31" ht="13">
      <c r="A345" s="1031"/>
      <c r="B345" s="662">
        <v>15</v>
      </c>
      <c r="C345" s="662">
        <f>C164</f>
        <v>37</v>
      </c>
      <c r="D345" s="662">
        <f>E164</f>
        <v>-0.1</v>
      </c>
      <c r="E345" s="662" t="str">
        <f>F164</f>
        <v>-</v>
      </c>
      <c r="F345" s="662" t="str">
        <f>F164</f>
        <v>-</v>
      </c>
      <c r="G345" s="662">
        <f>G164</f>
        <v>0</v>
      </c>
      <c r="I345" s="1031"/>
      <c r="J345" s="662">
        <v>15</v>
      </c>
      <c r="K345" s="662">
        <f>J164</f>
        <v>80</v>
      </c>
      <c r="L345" s="662">
        <f>L164</f>
        <v>-1.3</v>
      </c>
      <c r="M345" s="662" t="str">
        <f>M164</f>
        <v>-</v>
      </c>
      <c r="N345" s="662" t="s">
        <v>155</v>
      </c>
      <c r="O345" s="662">
        <f>N164</f>
        <v>0</v>
      </c>
      <c r="Q345" s="1031"/>
      <c r="R345" s="662">
        <v>15</v>
      </c>
      <c r="S345" s="662">
        <f>Q164</f>
        <v>1005</v>
      </c>
      <c r="T345" s="662">
        <f>S164</f>
        <v>1.1000000000000001</v>
      </c>
      <c r="U345" s="662" t="str">
        <f>T164</f>
        <v>-</v>
      </c>
      <c r="V345" s="662" t="s">
        <v>155</v>
      </c>
      <c r="W345" s="663">
        <f>U164</f>
        <v>0</v>
      </c>
      <c r="AE345" s="637"/>
    </row>
    <row r="346" spans="1:31" ht="13">
      <c r="A346" s="1031"/>
      <c r="B346" s="662">
        <v>16</v>
      </c>
      <c r="C346" s="662">
        <f>C175</f>
        <v>37</v>
      </c>
      <c r="D346" s="662">
        <f t="shared" ref="D346:F346" si="157">D175</f>
        <v>9.9999999999999995E-7</v>
      </c>
      <c r="E346" s="662" t="str">
        <f t="shared" si="157"/>
        <v>-</v>
      </c>
      <c r="F346" s="662">
        <f t="shared" si="157"/>
        <v>0</v>
      </c>
      <c r="G346" s="662">
        <f>G175</f>
        <v>0</v>
      </c>
      <c r="I346" s="1031"/>
      <c r="J346" s="662">
        <v>16</v>
      </c>
      <c r="K346" s="662">
        <f>J175</f>
        <v>80</v>
      </c>
      <c r="L346" s="662">
        <f>K175</f>
        <v>-2.2999999999999998</v>
      </c>
      <c r="M346" s="662" t="str">
        <f>L175</f>
        <v>-</v>
      </c>
      <c r="N346" s="662">
        <f>M175</f>
        <v>0</v>
      </c>
      <c r="O346" s="662">
        <f>N175</f>
        <v>0</v>
      </c>
      <c r="Q346" s="1031"/>
      <c r="R346" s="662">
        <v>16</v>
      </c>
      <c r="S346" s="662">
        <f>Q175</f>
        <v>1005</v>
      </c>
      <c r="T346" s="662">
        <f>R175</f>
        <v>-0.4</v>
      </c>
      <c r="U346" s="662" t="str">
        <f>S175</f>
        <v>-</v>
      </c>
      <c r="V346" s="662">
        <f>T175</f>
        <v>0</v>
      </c>
      <c r="W346" s="663">
        <f>U175</f>
        <v>0</v>
      </c>
      <c r="AE346" s="637"/>
    </row>
    <row r="347" spans="1:31" ht="13">
      <c r="A347" s="1031"/>
      <c r="B347" s="662">
        <v>17</v>
      </c>
      <c r="C347" s="662">
        <f>C186</f>
        <v>37</v>
      </c>
      <c r="D347" s="662">
        <f t="shared" ref="D347:F347" si="158">D186</f>
        <v>-0.6</v>
      </c>
      <c r="E347" s="662" t="str">
        <f t="shared" si="158"/>
        <v>-</v>
      </c>
      <c r="F347" s="662">
        <f t="shared" si="158"/>
        <v>0</v>
      </c>
      <c r="G347" s="662">
        <f>G186</f>
        <v>0</v>
      </c>
      <c r="I347" s="1031"/>
      <c r="J347" s="662">
        <v>17</v>
      </c>
      <c r="K347" s="662">
        <f>J186</f>
        <v>80</v>
      </c>
      <c r="L347" s="662">
        <f>K186</f>
        <v>-0.8</v>
      </c>
      <c r="M347" s="662" t="str">
        <f>L186</f>
        <v>-</v>
      </c>
      <c r="N347" s="662">
        <f>M186</f>
        <v>0</v>
      </c>
      <c r="O347" s="662">
        <f>N186</f>
        <v>0</v>
      </c>
      <c r="Q347" s="1031"/>
      <c r="R347" s="662">
        <v>17</v>
      </c>
      <c r="S347" s="662">
        <f>Q186</f>
        <v>1005</v>
      </c>
      <c r="T347" s="662">
        <f>R186</f>
        <v>-0.6</v>
      </c>
      <c r="U347" s="662" t="str">
        <f>S186</f>
        <v>-</v>
      </c>
      <c r="V347" s="662">
        <f>T186</f>
        <v>0</v>
      </c>
      <c r="W347" s="663">
        <f>U186</f>
        <v>0</v>
      </c>
      <c r="AE347" s="637"/>
    </row>
    <row r="348" spans="1:31" ht="13">
      <c r="A348" s="1031"/>
      <c r="B348" s="662">
        <v>18</v>
      </c>
      <c r="C348" s="662">
        <f>C197</f>
        <v>37</v>
      </c>
      <c r="D348" s="662">
        <f t="shared" ref="D348:F348" si="159">D197</f>
        <v>-0.3</v>
      </c>
      <c r="E348" s="662" t="str">
        <f t="shared" si="159"/>
        <v>-</v>
      </c>
      <c r="F348" s="662">
        <f t="shared" si="159"/>
        <v>0</v>
      </c>
      <c r="G348" s="662">
        <f>G197</f>
        <v>0</v>
      </c>
      <c r="I348" s="1031"/>
      <c r="J348" s="662">
        <v>18</v>
      </c>
      <c r="K348" s="662">
        <f>J197</f>
        <v>80</v>
      </c>
      <c r="L348" s="662">
        <f>K197</f>
        <v>-0.5</v>
      </c>
      <c r="M348" s="662" t="str">
        <f>L197</f>
        <v>-</v>
      </c>
      <c r="N348" s="662">
        <f>M197</f>
        <v>0</v>
      </c>
      <c r="O348" s="662">
        <f>N197</f>
        <v>0</v>
      </c>
      <c r="Q348" s="1031"/>
      <c r="R348" s="662">
        <v>18</v>
      </c>
      <c r="S348" s="662">
        <f>Q197</f>
        <v>1005</v>
      </c>
      <c r="T348" s="662">
        <f>R197</f>
        <v>-0.7</v>
      </c>
      <c r="U348" s="662" t="str">
        <f>S197</f>
        <v>-</v>
      </c>
      <c r="V348" s="662">
        <f>T197</f>
        <v>0</v>
      </c>
      <c r="W348" s="663">
        <f>U197</f>
        <v>0</v>
      </c>
      <c r="AE348" s="637"/>
    </row>
    <row r="349" spans="1:31" ht="13">
      <c r="A349" s="1031"/>
      <c r="B349" s="662">
        <v>19</v>
      </c>
      <c r="C349" s="662">
        <f>C208</f>
        <v>37</v>
      </c>
      <c r="D349" s="662">
        <f t="shared" ref="D349:F349" si="160">D208</f>
        <v>9.9999999999999995E-7</v>
      </c>
      <c r="E349" s="662" t="str">
        <f t="shared" si="160"/>
        <v>-</v>
      </c>
      <c r="F349" s="662">
        <f t="shared" si="160"/>
        <v>0</v>
      </c>
      <c r="G349" s="662">
        <f>G208</f>
        <v>0</v>
      </c>
      <c r="I349" s="1031"/>
      <c r="J349" s="662">
        <v>19</v>
      </c>
      <c r="K349" s="662">
        <f>J208</f>
        <v>80</v>
      </c>
      <c r="L349" s="662">
        <f>K208</f>
        <v>-0.9</v>
      </c>
      <c r="M349" s="662" t="str">
        <f>L208</f>
        <v>-</v>
      </c>
      <c r="N349" s="662">
        <f>M208</f>
        <v>0</v>
      </c>
      <c r="O349" s="662">
        <f>N208</f>
        <v>0</v>
      </c>
      <c r="Q349" s="1031"/>
      <c r="R349" s="662">
        <v>19</v>
      </c>
      <c r="S349" s="662">
        <f>Q208</f>
        <v>1005</v>
      </c>
      <c r="T349" s="662">
        <f>R208</f>
        <v>2.2000000000000002</v>
      </c>
      <c r="U349" s="662" t="str">
        <f>S208</f>
        <v>-</v>
      </c>
      <c r="V349" s="662">
        <f>T208</f>
        <v>0</v>
      </c>
      <c r="W349" s="663">
        <f>U208</f>
        <v>0</v>
      </c>
      <c r="AE349" s="637"/>
    </row>
    <row r="350" spans="1:31" ht="13.5" thickBot="1">
      <c r="A350" s="1031"/>
      <c r="B350" s="662">
        <v>20</v>
      </c>
      <c r="C350" s="662">
        <f>C219</f>
        <v>39.5</v>
      </c>
      <c r="D350" s="662">
        <f t="shared" ref="D350:F350" si="161">D219</f>
        <v>9.9999999999999995E-7</v>
      </c>
      <c r="E350" s="662" t="str">
        <f t="shared" si="161"/>
        <v>-</v>
      </c>
      <c r="F350" s="662">
        <f t="shared" si="161"/>
        <v>9.9999999999999995E-7</v>
      </c>
      <c r="G350" s="662">
        <f>G219</f>
        <v>0</v>
      </c>
      <c r="I350" s="1031"/>
      <c r="J350" s="662">
        <v>20</v>
      </c>
      <c r="K350" s="662">
        <f>J219</f>
        <v>88.7</v>
      </c>
      <c r="L350" s="662">
        <f>K219</f>
        <v>9.9999999999999995E-7</v>
      </c>
      <c r="M350" s="662" t="str">
        <f>L219</f>
        <v>-</v>
      </c>
      <c r="N350" s="662">
        <f>M219</f>
        <v>0</v>
      </c>
      <c r="O350" s="662">
        <f>N219</f>
        <v>0</v>
      </c>
      <c r="Q350" s="1033"/>
      <c r="R350" s="671">
        <v>20</v>
      </c>
      <c r="S350" s="671">
        <f>Q219</f>
        <v>1005</v>
      </c>
      <c r="T350" s="671" t="str">
        <f>R219</f>
        <v>-</v>
      </c>
      <c r="U350" s="671" t="str">
        <f>S219</f>
        <v>-</v>
      </c>
      <c r="V350" s="671">
        <f>T219</f>
        <v>0</v>
      </c>
      <c r="W350" s="687">
        <f>U219</f>
        <v>0</v>
      </c>
      <c r="AE350" s="675"/>
    </row>
    <row r="351" spans="1:31" ht="13.5" thickBot="1">
      <c r="A351" s="676"/>
      <c r="B351" s="676"/>
      <c r="C351" s="676"/>
      <c r="D351" s="676"/>
      <c r="E351" s="676"/>
      <c r="F351" s="656"/>
      <c r="G351" s="676"/>
      <c r="I351" s="676"/>
      <c r="J351" s="676"/>
      <c r="K351" s="676"/>
      <c r="L351" s="676"/>
      <c r="M351" s="676"/>
      <c r="N351" s="656"/>
      <c r="O351" s="676"/>
      <c r="Q351" s="693"/>
      <c r="R351" s="678"/>
      <c r="S351" s="689"/>
      <c r="T351" s="689"/>
      <c r="U351" s="689"/>
      <c r="W351" s="690"/>
      <c r="AE351" s="637"/>
    </row>
    <row r="352" spans="1:31" ht="13">
      <c r="A352" s="1031">
        <v>7</v>
      </c>
      <c r="B352" s="662">
        <v>1</v>
      </c>
      <c r="C352" s="662">
        <f>C11</f>
        <v>40</v>
      </c>
      <c r="D352" s="662">
        <f t="shared" ref="D352:F352" si="162">D11</f>
        <v>-0.3</v>
      </c>
      <c r="E352" s="662">
        <f t="shared" si="162"/>
        <v>-0.8</v>
      </c>
      <c r="F352" s="662">
        <f t="shared" si="162"/>
        <v>0</v>
      </c>
      <c r="G352" s="662">
        <f>G11</f>
        <v>0.4</v>
      </c>
      <c r="I352" s="1031">
        <v>7</v>
      </c>
      <c r="J352" s="662">
        <v>1</v>
      </c>
      <c r="K352" s="662">
        <f>J11</f>
        <v>90</v>
      </c>
      <c r="L352" s="662">
        <f>K11</f>
        <v>-1.6</v>
      </c>
      <c r="M352" s="662">
        <f>L11</f>
        <v>4.5</v>
      </c>
      <c r="N352" s="662">
        <f>M11</f>
        <v>0</v>
      </c>
      <c r="O352" s="662">
        <f>N11</f>
        <v>3.05</v>
      </c>
      <c r="Q352" s="1034">
        <v>7</v>
      </c>
      <c r="R352" s="682">
        <v>1</v>
      </c>
      <c r="S352" s="682">
        <f>Q11</f>
        <v>1020</v>
      </c>
      <c r="T352" s="682" t="str">
        <f>R11</f>
        <v>-</v>
      </c>
      <c r="U352" s="682" t="str">
        <f>S11</f>
        <v>-</v>
      </c>
      <c r="V352" s="682">
        <f>T11</f>
        <v>0</v>
      </c>
      <c r="W352" s="691">
        <f>U11</f>
        <v>0</v>
      </c>
      <c r="AE352" s="685"/>
    </row>
    <row r="353" spans="1:31" ht="13">
      <c r="A353" s="1031"/>
      <c r="B353" s="662">
        <v>2</v>
      </c>
      <c r="C353" s="662">
        <f>C22</f>
        <v>40</v>
      </c>
      <c r="D353" s="662">
        <f t="shared" ref="D353:F353" si="163">D22</f>
        <v>-0.1</v>
      </c>
      <c r="E353" s="662">
        <f t="shared" si="163"/>
        <v>-0.3</v>
      </c>
      <c r="F353" s="662">
        <f t="shared" si="163"/>
        <v>0</v>
      </c>
      <c r="G353" s="662">
        <f>G22</f>
        <v>9.9999999999999992E-2</v>
      </c>
      <c r="I353" s="1031"/>
      <c r="J353" s="662">
        <v>2</v>
      </c>
      <c r="K353" s="662">
        <f>J22</f>
        <v>90</v>
      </c>
      <c r="L353" s="662">
        <f>K22</f>
        <v>1.7</v>
      </c>
      <c r="M353" s="662">
        <f>L22</f>
        <v>-0.3</v>
      </c>
      <c r="N353" s="662">
        <f>M22</f>
        <v>0</v>
      </c>
      <c r="O353" s="662">
        <f>N22</f>
        <v>1</v>
      </c>
      <c r="Q353" s="1035"/>
      <c r="R353" s="662">
        <v>2</v>
      </c>
      <c r="S353" s="662">
        <f>Q22</f>
        <v>1020</v>
      </c>
      <c r="T353" s="662" t="str">
        <f>R22</f>
        <v>-</v>
      </c>
      <c r="U353" s="662" t="str">
        <f>S22</f>
        <v>-</v>
      </c>
      <c r="V353" s="662">
        <f>T22</f>
        <v>0</v>
      </c>
      <c r="W353" s="663">
        <f>U22</f>
        <v>0</v>
      </c>
      <c r="AE353" s="637"/>
    </row>
    <row r="354" spans="1:31" ht="13">
      <c r="A354" s="1031"/>
      <c r="B354" s="662">
        <v>3</v>
      </c>
      <c r="C354" s="662">
        <f>C33</f>
        <v>40</v>
      </c>
      <c r="D354" s="662">
        <f t="shared" ref="D354:F354" si="164">D33</f>
        <v>0.2</v>
      </c>
      <c r="E354" s="662">
        <f t="shared" si="164"/>
        <v>-0.7</v>
      </c>
      <c r="F354" s="662">
        <f t="shared" si="164"/>
        <v>0</v>
      </c>
      <c r="G354" s="662">
        <f>G33</f>
        <v>0.44999999999999996</v>
      </c>
      <c r="I354" s="1031"/>
      <c r="J354" s="662">
        <v>3</v>
      </c>
      <c r="K354" s="662">
        <f>J33</f>
        <v>90</v>
      </c>
      <c r="L354" s="662">
        <f>K33</f>
        <v>0.3</v>
      </c>
      <c r="M354" s="662">
        <f>L33</f>
        <v>-2</v>
      </c>
      <c r="N354" s="662">
        <f>M33</f>
        <v>0</v>
      </c>
      <c r="O354" s="662">
        <f>N33</f>
        <v>1.1499999999999999</v>
      </c>
      <c r="Q354" s="1035"/>
      <c r="R354" s="662">
        <v>3</v>
      </c>
      <c r="S354" s="662">
        <f>Q33</f>
        <v>1020</v>
      </c>
      <c r="T354" s="662" t="str">
        <f>R33</f>
        <v>-</v>
      </c>
      <c r="U354" s="662" t="str">
        <f>S33</f>
        <v>-</v>
      </c>
      <c r="V354" s="662">
        <f>T33</f>
        <v>0</v>
      </c>
      <c r="W354" s="663">
        <f>U33</f>
        <v>0</v>
      </c>
      <c r="AE354" s="637"/>
    </row>
    <row r="355" spans="1:31" ht="13">
      <c r="A355" s="1031"/>
      <c r="B355" s="662">
        <v>4</v>
      </c>
      <c r="C355" s="662">
        <f>C44</f>
        <v>40</v>
      </c>
      <c r="D355" s="662">
        <f t="shared" ref="D355:F355" si="165">D44</f>
        <v>-0.5</v>
      </c>
      <c r="E355" s="662">
        <f t="shared" si="165"/>
        <v>-0.6</v>
      </c>
      <c r="F355" s="662">
        <f t="shared" si="165"/>
        <v>0</v>
      </c>
      <c r="G355" s="662">
        <f>G44</f>
        <v>4.9999999999999989E-2</v>
      </c>
      <c r="I355" s="1031"/>
      <c r="J355" s="662">
        <v>4</v>
      </c>
      <c r="K355" s="662">
        <f>J44</f>
        <v>90</v>
      </c>
      <c r="L355" s="662">
        <f>K44</f>
        <v>-3.5</v>
      </c>
      <c r="M355" s="662">
        <f>L44</f>
        <v>3.3</v>
      </c>
      <c r="N355" s="662">
        <f>M44</f>
        <v>0</v>
      </c>
      <c r="O355" s="662">
        <f>N44</f>
        <v>3.4</v>
      </c>
      <c r="Q355" s="1035"/>
      <c r="R355" s="662">
        <v>4</v>
      </c>
      <c r="S355" s="662">
        <f>Q44</f>
        <v>1020</v>
      </c>
      <c r="T355" s="662" t="str">
        <f>R44</f>
        <v>-</v>
      </c>
      <c r="U355" s="662" t="str">
        <f>S44</f>
        <v>-</v>
      </c>
      <c r="V355" s="662">
        <f>T44</f>
        <v>0</v>
      </c>
      <c r="W355" s="663">
        <f>U44</f>
        <v>0</v>
      </c>
      <c r="AE355" s="637"/>
    </row>
    <row r="356" spans="1:31" ht="13">
      <c r="A356" s="1031"/>
      <c r="B356" s="662">
        <v>5</v>
      </c>
      <c r="C356" s="662">
        <f>C55</f>
        <v>40</v>
      </c>
      <c r="D356" s="662">
        <f t="shared" ref="D356:F356" si="166">D55</f>
        <v>0.7</v>
      </c>
      <c r="E356" s="662">
        <f t="shared" si="166"/>
        <v>-0.1</v>
      </c>
      <c r="F356" s="662">
        <f t="shared" si="166"/>
        <v>0</v>
      </c>
      <c r="G356" s="662">
        <f>G55</f>
        <v>0.39999999999999997</v>
      </c>
      <c r="I356" s="1031"/>
      <c r="J356" s="662">
        <v>5</v>
      </c>
      <c r="K356" s="662">
        <f>J55</f>
        <v>90</v>
      </c>
      <c r="L356" s="662">
        <f>K55</f>
        <v>-1.8</v>
      </c>
      <c r="M356" s="662">
        <f>L55</f>
        <v>2.7</v>
      </c>
      <c r="N356" s="662">
        <f>M55</f>
        <v>0</v>
      </c>
      <c r="O356" s="662">
        <f>N55</f>
        <v>2.25</v>
      </c>
      <c r="Q356" s="1035"/>
      <c r="R356" s="662">
        <v>5</v>
      </c>
      <c r="S356" s="662">
        <f>Q55</f>
        <v>1020</v>
      </c>
      <c r="T356" s="662" t="str">
        <f>R55</f>
        <v>-</v>
      </c>
      <c r="U356" s="662" t="str">
        <f>S55</f>
        <v>-</v>
      </c>
      <c r="V356" s="662">
        <f>T55</f>
        <v>0</v>
      </c>
      <c r="W356" s="663">
        <f>U55</f>
        <v>0</v>
      </c>
      <c r="AE356" s="637"/>
    </row>
    <row r="357" spans="1:31" ht="13">
      <c r="A357" s="1031"/>
      <c r="B357" s="662">
        <v>6</v>
      </c>
      <c r="C357" s="662">
        <f>C66</f>
        <v>40</v>
      </c>
      <c r="D357" s="662">
        <f t="shared" ref="D357:F357" si="167">D66</f>
        <v>0.1</v>
      </c>
      <c r="E357" s="662">
        <f t="shared" si="167"/>
        <v>-1.4</v>
      </c>
      <c r="F357" s="662">
        <f t="shared" si="167"/>
        <v>0</v>
      </c>
      <c r="G357" s="662">
        <f>G66</f>
        <v>0.75</v>
      </c>
      <c r="I357" s="1031"/>
      <c r="J357" s="662">
        <v>6</v>
      </c>
      <c r="K357" s="662">
        <f>J66</f>
        <v>90</v>
      </c>
      <c r="L357" s="662">
        <f>K66</f>
        <v>-5.2</v>
      </c>
      <c r="M357" s="662">
        <f>L66</f>
        <v>0.7</v>
      </c>
      <c r="N357" s="662">
        <f>M66</f>
        <v>0</v>
      </c>
      <c r="O357" s="662">
        <f>N66</f>
        <v>2.95</v>
      </c>
      <c r="Q357" s="1035"/>
      <c r="R357" s="662">
        <v>6</v>
      </c>
      <c r="S357" s="662">
        <f>Q66</f>
        <v>1020</v>
      </c>
      <c r="T357" s="662">
        <f>R66</f>
        <v>0.9</v>
      </c>
      <c r="U357" s="662">
        <f>S66</f>
        <v>9.9999999999999995E-7</v>
      </c>
      <c r="V357" s="662">
        <f>T66</f>
        <v>0</v>
      </c>
      <c r="W357" s="663">
        <f>U66</f>
        <v>0.4499995</v>
      </c>
      <c r="AE357" s="637"/>
    </row>
    <row r="358" spans="1:31" ht="13">
      <c r="A358" s="1031"/>
      <c r="B358" s="662">
        <v>7</v>
      </c>
      <c r="C358" s="662">
        <f>C77</f>
        <v>40</v>
      </c>
      <c r="D358" s="662">
        <f t="shared" ref="D358:F358" si="168">D77</f>
        <v>0.1</v>
      </c>
      <c r="E358" s="662">
        <f t="shared" si="168"/>
        <v>-1.7</v>
      </c>
      <c r="F358" s="662">
        <f t="shared" si="168"/>
        <v>0</v>
      </c>
      <c r="G358" s="662">
        <f>G77</f>
        <v>0.9</v>
      </c>
      <c r="I358" s="1031"/>
      <c r="J358" s="662">
        <v>7</v>
      </c>
      <c r="K358" s="662">
        <f>J77</f>
        <v>90</v>
      </c>
      <c r="L358" s="662">
        <f>K77</f>
        <v>-3</v>
      </c>
      <c r="M358" s="662">
        <f>L77</f>
        <v>1.8</v>
      </c>
      <c r="N358" s="662">
        <f>M77</f>
        <v>0</v>
      </c>
      <c r="O358" s="662">
        <f>N77</f>
        <v>2.4</v>
      </c>
      <c r="Q358" s="1035"/>
      <c r="R358" s="662">
        <v>7</v>
      </c>
      <c r="S358" s="662">
        <f>Q77</f>
        <v>1020</v>
      </c>
      <c r="T358" s="662">
        <f>R77</f>
        <v>-3.8</v>
      </c>
      <c r="U358" s="662">
        <f>S77</f>
        <v>9.9999999999999995E-7</v>
      </c>
      <c r="V358" s="662">
        <f>T77</f>
        <v>0</v>
      </c>
      <c r="W358" s="663">
        <f>U77</f>
        <v>1.9000005</v>
      </c>
      <c r="AE358" s="637"/>
    </row>
    <row r="359" spans="1:31" ht="13">
      <c r="A359" s="1031"/>
      <c r="B359" s="662">
        <v>8</v>
      </c>
      <c r="C359" s="662">
        <f>C88</f>
        <v>40</v>
      </c>
      <c r="D359" s="662">
        <f t="shared" ref="D359:F359" si="169">D88</f>
        <v>9.9999999999999995E-7</v>
      </c>
      <c r="E359" s="662">
        <f t="shared" si="169"/>
        <v>-0.4</v>
      </c>
      <c r="F359" s="662">
        <f t="shared" si="169"/>
        <v>0</v>
      </c>
      <c r="G359" s="662">
        <f>G88</f>
        <v>0.2000005</v>
      </c>
      <c r="I359" s="1031"/>
      <c r="J359" s="662">
        <v>8</v>
      </c>
      <c r="K359" s="662">
        <f>J88</f>
        <v>90</v>
      </c>
      <c r="L359" s="662">
        <f>K88</f>
        <v>-4.9000000000000004</v>
      </c>
      <c r="M359" s="662">
        <f>L88</f>
        <v>-1.3</v>
      </c>
      <c r="N359" s="662">
        <f>M88</f>
        <v>0</v>
      </c>
      <c r="O359" s="662">
        <f>N88</f>
        <v>1.8000000000000003</v>
      </c>
      <c r="Q359" s="1035"/>
      <c r="R359" s="662">
        <v>8</v>
      </c>
      <c r="S359" s="662">
        <f>Q88</f>
        <v>1020</v>
      </c>
      <c r="T359" s="662">
        <f>R88</f>
        <v>-3.4</v>
      </c>
      <c r="U359" s="662">
        <f>S88</f>
        <v>9.9999999999999995E-7</v>
      </c>
      <c r="V359" s="662">
        <f>T88</f>
        <v>0</v>
      </c>
      <c r="W359" s="663">
        <f>U88</f>
        <v>1.7000005</v>
      </c>
      <c r="AE359" s="637"/>
    </row>
    <row r="360" spans="1:31" ht="13">
      <c r="A360" s="1031"/>
      <c r="B360" s="662">
        <v>9</v>
      </c>
      <c r="C360" s="662">
        <f>C99</f>
        <v>40</v>
      </c>
      <c r="D360" s="662">
        <f t="shared" ref="D360:F360" si="170">D99</f>
        <v>-0.4</v>
      </c>
      <c r="E360" s="662" t="str">
        <f t="shared" si="170"/>
        <v>-</v>
      </c>
      <c r="F360" s="662">
        <f t="shared" si="170"/>
        <v>0</v>
      </c>
      <c r="G360" s="662">
        <f>G99</f>
        <v>0</v>
      </c>
      <c r="I360" s="1031"/>
      <c r="J360" s="662">
        <v>9</v>
      </c>
      <c r="K360" s="662">
        <f>J99</f>
        <v>90</v>
      </c>
      <c r="L360" s="662">
        <f>K99</f>
        <v>-0.2</v>
      </c>
      <c r="M360" s="662" t="str">
        <f>L99</f>
        <v>-</v>
      </c>
      <c r="N360" s="662">
        <f>M99</f>
        <v>0</v>
      </c>
      <c r="O360" s="662">
        <f>N99</f>
        <v>0</v>
      </c>
      <c r="Q360" s="1035"/>
      <c r="R360" s="662">
        <v>9</v>
      </c>
      <c r="S360" s="662">
        <f>Q99</f>
        <v>1020</v>
      </c>
      <c r="T360" s="662">
        <f>R99</f>
        <v>9.9999999999999995E-7</v>
      </c>
      <c r="U360" s="662" t="str">
        <f>S99</f>
        <v>-</v>
      </c>
      <c r="V360" s="662">
        <f>T99</f>
        <v>0</v>
      </c>
      <c r="W360" s="663">
        <f>U99</f>
        <v>0</v>
      </c>
      <c r="AE360" s="637"/>
    </row>
    <row r="361" spans="1:31" ht="13">
      <c r="A361" s="1031"/>
      <c r="B361" s="662">
        <v>10</v>
      </c>
      <c r="C361" s="662">
        <f>C110</f>
        <v>40</v>
      </c>
      <c r="D361" s="662">
        <f t="shared" ref="D361:F361" si="171">D110</f>
        <v>0.2</v>
      </c>
      <c r="E361" s="662">
        <f t="shared" si="171"/>
        <v>9.9999999999999995E-7</v>
      </c>
      <c r="F361" s="662">
        <f t="shared" si="171"/>
        <v>0</v>
      </c>
      <c r="G361" s="662">
        <f>G110</f>
        <v>9.9999500000000005E-2</v>
      </c>
      <c r="I361" s="1031"/>
      <c r="J361" s="662">
        <v>10</v>
      </c>
      <c r="K361" s="662">
        <f>J110</f>
        <v>90</v>
      </c>
      <c r="L361" s="662">
        <f>K110</f>
        <v>5.4</v>
      </c>
      <c r="M361" s="662">
        <f>L110</f>
        <v>9.9999999999999995E-7</v>
      </c>
      <c r="N361" s="662">
        <f>M110</f>
        <v>0</v>
      </c>
      <c r="O361" s="662">
        <f>N110</f>
        <v>2.6999995000000001</v>
      </c>
      <c r="Q361" s="1035"/>
      <c r="R361" s="662">
        <v>10</v>
      </c>
      <c r="S361" s="662">
        <f>Q110</f>
        <v>1020</v>
      </c>
      <c r="T361" s="662" t="str">
        <f>R110</f>
        <v>-</v>
      </c>
      <c r="U361" s="662" t="str">
        <f>S110</f>
        <v>-</v>
      </c>
      <c r="V361" s="662">
        <f>T110</f>
        <v>0</v>
      </c>
      <c r="W361" s="663">
        <f>U110</f>
        <v>0</v>
      </c>
      <c r="AE361" s="637"/>
    </row>
    <row r="362" spans="1:31" ht="13">
      <c r="A362" s="1031"/>
      <c r="B362" s="662">
        <v>11</v>
      </c>
      <c r="C362" s="662">
        <f>C121</f>
        <v>40</v>
      </c>
      <c r="D362" s="662">
        <f t="shared" ref="D362:F362" si="172">D121</f>
        <v>0.5</v>
      </c>
      <c r="E362" s="662">
        <f t="shared" si="172"/>
        <v>9.9999999999999995E-7</v>
      </c>
      <c r="F362" s="662">
        <f t="shared" si="172"/>
        <v>0</v>
      </c>
      <c r="G362" s="662">
        <f>G121</f>
        <v>0.24999950000000001</v>
      </c>
      <c r="I362" s="1031"/>
      <c r="J362" s="662">
        <v>11</v>
      </c>
      <c r="K362" s="662">
        <f>J121</f>
        <v>90</v>
      </c>
      <c r="L362" s="662">
        <f>K121</f>
        <v>1.3</v>
      </c>
      <c r="M362" s="662">
        <f>L121</f>
        <v>9.9999999999999995E-7</v>
      </c>
      <c r="N362" s="662">
        <f>M121</f>
        <v>0</v>
      </c>
      <c r="O362" s="662">
        <f>N121</f>
        <v>0.64999950000000006</v>
      </c>
      <c r="Q362" s="1035"/>
      <c r="R362" s="662">
        <v>11</v>
      </c>
      <c r="S362" s="662">
        <f>Q121</f>
        <v>1020</v>
      </c>
      <c r="T362" s="662" t="str">
        <f>R121</f>
        <v>-</v>
      </c>
      <c r="U362" s="662" t="str">
        <f>S121</f>
        <v>-</v>
      </c>
      <c r="V362" s="662">
        <f>T121</f>
        <v>0</v>
      </c>
      <c r="W362" s="663">
        <f>U121</f>
        <v>0</v>
      </c>
      <c r="AE362" s="637"/>
    </row>
    <row r="363" spans="1:31" ht="13">
      <c r="A363" s="1031"/>
      <c r="B363" s="662">
        <v>12</v>
      </c>
      <c r="C363" s="662">
        <f>C132</f>
        <v>40</v>
      </c>
      <c r="D363" s="662">
        <f t="shared" ref="D363:F363" si="173">D132</f>
        <v>-0.4</v>
      </c>
      <c r="E363" s="662" t="str">
        <f t="shared" si="173"/>
        <v>-</v>
      </c>
      <c r="F363" s="662">
        <f t="shared" si="173"/>
        <v>0</v>
      </c>
      <c r="G363" s="662">
        <f>G132</f>
        <v>0</v>
      </c>
      <c r="I363" s="1031"/>
      <c r="J363" s="662">
        <v>12</v>
      </c>
      <c r="K363" s="662">
        <f>J132</f>
        <v>90</v>
      </c>
      <c r="L363" s="662">
        <f>K132</f>
        <v>-0.9</v>
      </c>
      <c r="M363" s="662" t="str">
        <f>L132</f>
        <v>-</v>
      </c>
      <c r="N363" s="662">
        <f>M132</f>
        <v>0</v>
      </c>
      <c r="O363" s="662">
        <f>N132</f>
        <v>0</v>
      </c>
      <c r="Q363" s="1035"/>
      <c r="R363" s="662">
        <v>12</v>
      </c>
      <c r="S363" s="662">
        <f>Q132</f>
        <v>1020</v>
      </c>
      <c r="T363" s="662">
        <f>R132</f>
        <v>9.9999999999999995E-7</v>
      </c>
      <c r="U363" s="662" t="str">
        <f>S132</f>
        <v>-</v>
      </c>
      <c r="V363" s="662">
        <f>T132</f>
        <v>0</v>
      </c>
      <c r="W363" s="663">
        <f>U132</f>
        <v>0</v>
      </c>
      <c r="AE363" s="637"/>
    </row>
    <row r="364" spans="1:31" ht="13">
      <c r="A364" s="1031"/>
      <c r="B364" s="662">
        <v>13</v>
      </c>
      <c r="C364" s="662">
        <f>C143</f>
        <v>40</v>
      </c>
      <c r="D364" s="662">
        <f>E143</f>
        <v>0.5</v>
      </c>
      <c r="E364" s="662" t="str">
        <f>F143</f>
        <v>-</v>
      </c>
      <c r="F364" s="662" t="str">
        <f>F143</f>
        <v>-</v>
      </c>
      <c r="G364" s="662">
        <f>G143</f>
        <v>0</v>
      </c>
      <c r="I364" s="1031"/>
      <c r="J364" s="662">
        <v>13</v>
      </c>
      <c r="K364" s="662">
        <f>J143</f>
        <v>90</v>
      </c>
      <c r="L364" s="662">
        <f>L143</f>
        <v>-3.2</v>
      </c>
      <c r="M364" s="662" t="str">
        <f>M143</f>
        <v>-</v>
      </c>
      <c r="N364" s="662" t="s">
        <v>155</v>
      </c>
      <c r="O364" s="662">
        <f>N143</f>
        <v>0</v>
      </c>
      <c r="Q364" s="1035"/>
      <c r="R364" s="662">
        <v>13</v>
      </c>
      <c r="S364" s="662">
        <f>Q143</f>
        <v>1010</v>
      </c>
      <c r="T364" s="662">
        <f>S143</f>
        <v>1.1000000000000001</v>
      </c>
      <c r="U364" s="662" t="str">
        <f>T143</f>
        <v>-</v>
      </c>
      <c r="V364" s="662" t="s">
        <v>155</v>
      </c>
      <c r="W364" s="663">
        <f>U143</f>
        <v>0</v>
      </c>
      <c r="AE364" s="637"/>
    </row>
    <row r="365" spans="1:31" ht="13">
      <c r="A365" s="1031"/>
      <c r="B365" s="662">
        <v>14</v>
      </c>
      <c r="C365" s="662">
        <f>C154</f>
        <v>40</v>
      </c>
      <c r="D365" s="662">
        <f>E154</f>
        <v>-1.1000000000000001</v>
      </c>
      <c r="E365" s="662" t="str">
        <f>F154</f>
        <v>-</v>
      </c>
      <c r="F365" s="662" t="str">
        <f>F154</f>
        <v>-</v>
      </c>
      <c r="G365" s="662">
        <f>G154</f>
        <v>0</v>
      </c>
      <c r="I365" s="1031"/>
      <c r="J365" s="662">
        <v>14</v>
      </c>
      <c r="K365" s="662">
        <f>J154</f>
        <v>90</v>
      </c>
      <c r="L365" s="662">
        <f>L154</f>
        <v>-0.8</v>
      </c>
      <c r="M365" s="662" t="str">
        <f>M154</f>
        <v>-</v>
      </c>
      <c r="N365" s="662" t="s">
        <v>155</v>
      </c>
      <c r="O365" s="662">
        <f>N154</f>
        <v>0</v>
      </c>
      <c r="Q365" s="1035"/>
      <c r="R365" s="662">
        <v>14</v>
      </c>
      <c r="S365" s="662">
        <f>Q154</f>
        <v>1010</v>
      </c>
      <c r="T365" s="662">
        <f>S154</f>
        <v>9.9999999999999995E-7</v>
      </c>
      <c r="U365" s="662" t="str">
        <f>T154</f>
        <v>-</v>
      </c>
      <c r="V365" s="662" t="s">
        <v>155</v>
      </c>
      <c r="W365" s="663">
        <f>U154</f>
        <v>0</v>
      </c>
      <c r="AE365" s="637"/>
    </row>
    <row r="366" spans="1:31" ht="13">
      <c r="A366" s="1031"/>
      <c r="B366" s="662">
        <v>15</v>
      </c>
      <c r="C366" s="662">
        <f>C165</f>
        <v>40</v>
      </c>
      <c r="D366" s="662">
        <f>E165</f>
        <v>9.9999999999999995E-7</v>
      </c>
      <c r="E366" s="662" t="str">
        <f>F165</f>
        <v>-</v>
      </c>
      <c r="F366" s="662" t="str">
        <f>F165</f>
        <v>-</v>
      </c>
      <c r="G366" s="662">
        <f>G165</f>
        <v>0</v>
      </c>
      <c r="I366" s="1031"/>
      <c r="J366" s="662">
        <v>15</v>
      </c>
      <c r="K366" s="662">
        <f>J165</f>
        <v>90</v>
      </c>
      <c r="L366" s="662">
        <f>L165</f>
        <v>-2</v>
      </c>
      <c r="M366" s="662" t="str">
        <f>M165</f>
        <v>-</v>
      </c>
      <c r="N366" s="662" t="s">
        <v>155</v>
      </c>
      <c r="O366" s="662">
        <f>N165</f>
        <v>0</v>
      </c>
      <c r="Q366" s="1035"/>
      <c r="R366" s="662">
        <v>15</v>
      </c>
      <c r="S366" s="662">
        <f>Q165</f>
        <v>1010</v>
      </c>
      <c r="T366" s="662">
        <f>S165</f>
        <v>9.9999999999999995E-7</v>
      </c>
      <c r="U366" s="662" t="str">
        <f>T165</f>
        <v>-</v>
      </c>
      <c r="V366" s="662" t="s">
        <v>155</v>
      </c>
      <c r="W366" s="663">
        <f>U165</f>
        <v>0</v>
      </c>
      <c r="AE366" s="637"/>
    </row>
    <row r="367" spans="1:31" ht="13">
      <c r="A367" s="1031"/>
      <c r="B367" s="662">
        <v>16</v>
      </c>
      <c r="C367" s="662">
        <f>C176</f>
        <v>40</v>
      </c>
      <c r="D367" s="662">
        <f t="shared" ref="D367:F367" si="174">D176</f>
        <v>9.9999999999999995E-7</v>
      </c>
      <c r="E367" s="662" t="str">
        <f t="shared" si="174"/>
        <v>-</v>
      </c>
      <c r="F367" s="662">
        <f t="shared" si="174"/>
        <v>0</v>
      </c>
      <c r="G367" s="662">
        <f>G176</f>
        <v>0</v>
      </c>
      <c r="I367" s="1031"/>
      <c r="J367" s="662">
        <v>16</v>
      </c>
      <c r="K367" s="662">
        <f>J176</f>
        <v>90</v>
      </c>
      <c r="L367" s="662">
        <f>K176</f>
        <v>-3</v>
      </c>
      <c r="M367" s="662" t="str">
        <f>L176</f>
        <v>-</v>
      </c>
      <c r="N367" s="662">
        <f>M176</f>
        <v>0</v>
      </c>
      <c r="O367" s="662">
        <f>N176</f>
        <v>0</v>
      </c>
      <c r="Q367" s="1035"/>
      <c r="R367" s="662">
        <v>16</v>
      </c>
      <c r="S367" s="662">
        <f>Q176</f>
        <v>1020</v>
      </c>
      <c r="T367" s="662">
        <f>R176</f>
        <v>9.9999999999999995E-7</v>
      </c>
      <c r="U367" s="662" t="str">
        <f>S176</f>
        <v>-</v>
      </c>
      <c r="V367" s="662">
        <f>T176</f>
        <v>0</v>
      </c>
      <c r="W367" s="663">
        <f>U176</f>
        <v>0</v>
      </c>
      <c r="AE367" s="637"/>
    </row>
    <row r="368" spans="1:31" ht="13">
      <c r="A368" s="1031"/>
      <c r="B368" s="662">
        <v>17</v>
      </c>
      <c r="C368" s="662">
        <f>C187</f>
        <v>40</v>
      </c>
      <c r="D368" s="662">
        <f t="shared" ref="D368:F368" si="175">D187</f>
        <v>-0.8</v>
      </c>
      <c r="E368" s="662" t="str">
        <f t="shared" si="175"/>
        <v>-</v>
      </c>
      <c r="F368" s="662">
        <f t="shared" si="175"/>
        <v>0</v>
      </c>
      <c r="G368" s="662">
        <f>G187</f>
        <v>0</v>
      </c>
      <c r="I368" s="1031"/>
      <c r="J368" s="662">
        <v>17</v>
      </c>
      <c r="K368" s="662">
        <f>J187</f>
        <v>90</v>
      </c>
      <c r="L368" s="662">
        <f>K187</f>
        <v>-1.4</v>
      </c>
      <c r="M368" s="662" t="str">
        <f>L187</f>
        <v>-</v>
      </c>
      <c r="N368" s="662">
        <f>M187</f>
        <v>0</v>
      </c>
      <c r="O368" s="662">
        <f>N187</f>
        <v>0</v>
      </c>
      <c r="Q368" s="1035"/>
      <c r="R368" s="662">
        <v>17</v>
      </c>
      <c r="S368" s="662">
        <f>Q187</f>
        <v>1020</v>
      </c>
      <c r="T368" s="662">
        <f>R187</f>
        <v>9.9999999999999995E-7</v>
      </c>
      <c r="U368" s="662" t="str">
        <f>S187</f>
        <v>-</v>
      </c>
      <c r="V368" s="662">
        <f>T187</f>
        <v>0</v>
      </c>
      <c r="W368" s="663">
        <f>U187</f>
        <v>0</v>
      </c>
      <c r="AE368" s="637"/>
    </row>
    <row r="369" spans="1:36" ht="13">
      <c r="A369" s="1031"/>
      <c r="B369" s="662">
        <v>18</v>
      </c>
      <c r="C369" s="662">
        <f>C198</f>
        <v>40</v>
      </c>
      <c r="D369" s="662">
        <f t="shared" ref="D369:F369" si="176">D198</f>
        <v>-0.4</v>
      </c>
      <c r="E369" s="662" t="str">
        <f t="shared" si="176"/>
        <v>-</v>
      </c>
      <c r="F369" s="662">
        <f t="shared" si="176"/>
        <v>0</v>
      </c>
      <c r="G369" s="662">
        <f>G198</f>
        <v>0</v>
      </c>
      <c r="I369" s="1031"/>
      <c r="J369" s="662">
        <v>18</v>
      </c>
      <c r="K369" s="662">
        <f>J198</f>
        <v>90</v>
      </c>
      <c r="L369" s="662">
        <f>K198</f>
        <v>-0.8</v>
      </c>
      <c r="M369" s="662" t="str">
        <f>L198</f>
        <v>-</v>
      </c>
      <c r="N369" s="662">
        <f>M198</f>
        <v>0</v>
      </c>
      <c r="O369" s="662">
        <f>N198</f>
        <v>0</v>
      </c>
      <c r="Q369" s="1035"/>
      <c r="R369" s="662">
        <v>18</v>
      </c>
      <c r="S369" s="662">
        <f>Q198</f>
        <v>1020</v>
      </c>
      <c r="T369" s="662">
        <f>R198</f>
        <v>9.9999999999999995E-7</v>
      </c>
      <c r="U369" s="662" t="str">
        <f>S198</f>
        <v>-</v>
      </c>
      <c r="V369" s="662">
        <f>T198</f>
        <v>0</v>
      </c>
      <c r="W369" s="663">
        <f>U198</f>
        <v>0</v>
      </c>
      <c r="AE369" s="637"/>
    </row>
    <row r="370" spans="1:36" ht="13">
      <c r="A370" s="1031"/>
      <c r="B370" s="662">
        <v>19</v>
      </c>
      <c r="C370" s="662">
        <f>C209</f>
        <v>40</v>
      </c>
      <c r="D370" s="662">
        <f t="shared" ref="D370:F370" si="177">D209</f>
        <v>0.2</v>
      </c>
      <c r="E370" s="662" t="str">
        <f t="shared" si="177"/>
        <v>-</v>
      </c>
      <c r="F370" s="662">
        <f t="shared" si="177"/>
        <v>0</v>
      </c>
      <c r="G370" s="662">
        <f>G209</f>
        <v>0</v>
      </c>
      <c r="I370" s="1031"/>
      <c r="J370" s="662">
        <v>19</v>
      </c>
      <c r="K370" s="662">
        <f>J209</f>
        <v>90</v>
      </c>
      <c r="L370" s="662">
        <f>K209</f>
        <v>-0.6</v>
      </c>
      <c r="M370" s="662" t="str">
        <f>L209</f>
        <v>-</v>
      </c>
      <c r="N370" s="662">
        <f>M209</f>
        <v>0</v>
      </c>
      <c r="O370" s="662">
        <f>N209</f>
        <v>0</v>
      </c>
      <c r="Q370" s="1035"/>
      <c r="R370" s="662">
        <v>19</v>
      </c>
      <c r="S370" s="662">
        <f>Q209</f>
        <v>1020</v>
      </c>
      <c r="T370" s="662">
        <f>R209</f>
        <v>2.2999999999999998</v>
      </c>
      <c r="U370" s="662" t="str">
        <f>S209</f>
        <v>-</v>
      </c>
      <c r="V370" s="662">
        <f>T209</f>
        <v>0</v>
      </c>
      <c r="W370" s="663">
        <f>U209</f>
        <v>0</v>
      </c>
      <c r="AE370" s="637"/>
    </row>
    <row r="371" spans="1:36" ht="13.5" thickBot="1">
      <c r="A371" s="1031"/>
      <c r="B371" s="662">
        <v>20</v>
      </c>
      <c r="C371" s="662">
        <f>C220</f>
        <v>40</v>
      </c>
      <c r="D371" s="662">
        <f t="shared" ref="D371:F371" si="178">D220</f>
        <v>9.9999999999999995E-7</v>
      </c>
      <c r="E371" s="662" t="str">
        <f t="shared" si="178"/>
        <v>-</v>
      </c>
      <c r="F371" s="662">
        <f t="shared" si="178"/>
        <v>9.9999999999999995E-7</v>
      </c>
      <c r="G371" s="662">
        <f>G220</f>
        <v>0</v>
      </c>
      <c r="I371" s="1031"/>
      <c r="J371" s="662">
        <v>20</v>
      </c>
      <c r="K371" s="662">
        <f>J220</f>
        <v>90</v>
      </c>
      <c r="L371" s="662">
        <f>K220</f>
        <v>9.9999999999999995E-7</v>
      </c>
      <c r="M371" s="662" t="str">
        <f>L220</f>
        <v>-</v>
      </c>
      <c r="N371" s="662">
        <f>M220</f>
        <v>0</v>
      </c>
      <c r="O371" s="662">
        <f>N220</f>
        <v>0</v>
      </c>
      <c r="Q371" s="1036"/>
      <c r="R371" s="671">
        <v>20</v>
      </c>
      <c r="S371" s="671">
        <f>Q220</f>
        <v>1020</v>
      </c>
      <c r="T371" s="671" t="str">
        <f>R220</f>
        <v>-</v>
      </c>
      <c r="U371" s="671" t="str">
        <f>S220</f>
        <v>-</v>
      </c>
      <c r="V371" s="671">
        <f>T220</f>
        <v>0</v>
      </c>
      <c r="W371" s="687">
        <f>U220</f>
        <v>0</v>
      </c>
      <c r="AE371" s="675"/>
    </row>
    <row r="372" spans="1:36" ht="13.5" thickBot="1">
      <c r="A372" s="694"/>
      <c r="B372" s="695"/>
      <c r="C372" s="681"/>
      <c r="D372" s="681"/>
      <c r="E372" s="681"/>
      <c r="F372" s="681"/>
      <c r="G372" s="681"/>
      <c r="H372" s="637"/>
      <c r="I372" s="674"/>
      <c r="J372" s="695"/>
      <c r="K372" s="681"/>
      <c r="L372" s="681"/>
      <c r="M372" s="681"/>
      <c r="N372" s="681"/>
      <c r="O372" s="681"/>
      <c r="P372" s="637"/>
    </row>
    <row r="373" spans="1:36" ht="29.25" customHeight="1">
      <c r="A373" s="619">
        <f>A410</f>
        <v>6</v>
      </c>
      <c r="B373" s="1028" t="str">
        <f>A389</f>
        <v>Thermohygrolight, Merek : Greisinger, Model : GFTB 200, SN : 34903046</v>
      </c>
      <c r="C373" s="1028"/>
      <c r="D373" s="1028"/>
      <c r="E373" s="1028"/>
      <c r="G373" s="619">
        <f>A373</f>
        <v>6</v>
      </c>
      <c r="H373" s="1028" t="str">
        <f>B373</f>
        <v>Thermohygrolight, Merek : Greisinger, Model : GFTB 200, SN : 34903046</v>
      </c>
      <c r="I373" s="1028"/>
      <c r="J373" s="1028"/>
      <c r="K373" s="1028"/>
      <c r="M373" s="619">
        <f>G373</f>
        <v>6</v>
      </c>
      <c r="N373" s="1028" t="str">
        <f>H373</f>
        <v>Thermohygrolight, Merek : Greisinger, Model : GFTB 200, SN : 34903046</v>
      </c>
      <c r="O373" s="1028"/>
      <c r="P373" s="1028"/>
      <c r="Q373" s="1028"/>
      <c r="S373" s="619">
        <f>A373</f>
        <v>6</v>
      </c>
      <c r="T373" s="1029" t="str">
        <f>H373</f>
        <v>Thermohygrolight, Merek : Greisinger, Model : GFTB 200, SN : 34903046</v>
      </c>
      <c r="U373" s="1029"/>
      <c r="V373" s="1029"/>
      <c r="W373" s="1029"/>
      <c r="Z373" s="696"/>
      <c r="AE373" s="648"/>
    </row>
    <row r="374" spans="1:36" ht="13.5">
      <c r="A374" s="697" t="s">
        <v>152</v>
      </c>
      <c r="B374" s="1030" t="s">
        <v>175</v>
      </c>
      <c r="C374" s="1030"/>
      <c r="D374" s="1030"/>
      <c r="E374" s="1030" t="s">
        <v>154</v>
      </c>
      <c r="G374" s="697" t="s">
        <v>153</v>
      </c>
      <c r="H374" s="1030" t="s">
        <v>175</v>
      </c>
      <c r="I374" s="1030"/>
      <c r="J374" s="1030"/>
      <c r="K374" s="1030" t="s">
        <v>154</v>
      </c>
      <c r="M374" s="697" t="s">
        <v>450</v>
      </c>
      <c r="N374" s="1030" t="s">
        <v>175</v>
      </c>
      <c r="O374" s="1030"/>
      <c r="P374" s="1030"/>
      <c r="Q374" s="1030" t="s">
        <v>154</v>
      </c>
      <c r="S374" s="1023"/>
      <c r="T374" s="1023" t="s">
        <v>197</v>
      </c>
      <c r="U374" s="1023" t="s">
        <v>198</v>
      </c>
      <c r="V374" s="1023" t="s">
        <v>199</v>
      </c>
      <c r="W374" s="1024" t="s">
        <v>90</v>
      </c>
      <c r="Z374" s="681"/>
    </row>
    <row r="375" spans="1:36" ht="14">
      <c r="A375" s="698" t="s">
        <v>189</v>
      </c>
      <c r="B375" s="697">
        <f>VLOOKUP(B373,A390:L409,9,FALSE)</f>
        <v>2019</v>
      </c>
      <c r="C375" s="697">
        <f>VLOOKUP(B373,A390:L409,10,FALSE)</f>
        <v>2018</v>
      </c>
      <c r="D375" s="697">
        <f>VLOOKUP(B373,A390:L409,11,FALSE)</f>
        <v>2016</v>
      </c>
      <c r="E375" s="1030"/>
      <c r="G375" s="699" t="s">
        <v>70</v>
      </c>
      <c r="H375" s="697">
        <f>B375</f>
        <v>2019</v>
      </c>
      <c r="I375" s="697">
        <f>C375</f>
        <v>2018</v>
      </c>
      <c r="J375" s="697">
        <f>D375</f>
        <v>2016</v>
      </c>
      <c r="K375" s="1030"/>
      <c r="M375" s="699" t="s">
        <v>451</v>
      </c>
      <c r="N375" s="697">
        <f>H375</f>
        <v>2019</v>
      </c>
      <c r="O375" s="697">
        <f>I375</f>
        <v>2018</v>
      </c>
      <c r="P375" s="697">
        <f>J375</f>
        <v>2016</v>
      </c>
      <c r="Q375" s="1030"/>
      <c r="S375" s="1023"/>
      <c r="T375" s="1023"/>
      <c r="U375" s="1023"/>
      <c r="V375" s="1023"/>
      <c r="W375" s="1024"/>
      <c r="Z375" s="681"/>
    </row>
    <row r="376" spans="1:36" ht="13">
      <c r="A376" s="676">
        <f>VLOOKUP($A$373,$B$226:$G$245,2,FALSE)</f>
        <v>15</v>
      </c>
      <c r="B376" s="676">
        <f>VLOOKUP($A$373,$B$226:$G$245,3,FALSE)</f>
        <v>0.4</v>
      </c>
      <c r="C376" s="676">
        <f>VLOOKUP($A$373,$B$226:$G$245,4,FALSE)</f>
        <v>0.4</v>
      </c>
      <c r="D376" s="676">
        <f>VLOOKUP($A$373,$B$226:$G$245,5,FALSE)</f>
        <v>0</v>
      </c>
      <c r="E376" s="676">
        <f>VLOOKUP($A$373,$B$226:$G$245,6,FALSE)</f>
        <v>0</v>
      </c>
      <c r="G376" s="676">
        <f>VLOOKUP($G$373,$J$226:$O$245,2,FALSE)</f>
        <v>30</v>
      </c>
      <c r="H376" s="676">
        <f>VLOOKUP($G$373,$J$226:$O$245,3,FALSE)</f>
        <v>-1.5</v>
      </c>
      <c r="I376" s="676">
        <f>VLOOKUP($G$373,$J$226:$O$245,4,FALSE)</f>
        <v>1.7</v>
      </c>
      <c r="J376" s="676">
        <f>VLOOKUP($G$373,$J$226:$O$245,5,FALSE)</f>
        <v>0</v>
      </c>
      <c r="K376" s="676">
        <f>VLOOKUP($G$373,$J$226:$O$245,6,FALSE)</f>
        <v>1.6</v>
      </c>
      <c r="M376" s="676">
        <f>VLOOKUP($M$373,$R$226:$W$245,2,FALSE)</f>
        <v>750</v>
      </c>
      <c r="N376" s="676">
        <f>VLOOKUP($M$373,$R$226:$W$245,3,FALSE)</f>
        <v>0.9</v>
      </c>
      <c r="O376" s="676">
        <f>VLOOKUP($M$373,$R$226:$W$245,4,FALSE)</f>
        <v>2.1</v>
      </c>
      <c r="P376" s="676">
        <f>VLOOKUP($M$373,$R$226:$W$245,5,FALSE)</f>
        <v>0</v>
      </c>
      <c r="Q376" s="676">
        <f>VLOOKUP($M$373,$R$226:$W$245,6,FALSE)</f>
        <v>0.60000000000000009</v>
      </c>
      <c r="S376" s="1023"/>
      <c r="T376" s="1023"/>
      <c r="U376" s="1023"/>
      <c r="V376" s="1023"/>
      <c r="W376" s="1024"/>
      <c r="Z376" s="681"/>
    </row>
    <row r="377" spans="1:36" ht="13">
      <c r="A377" s="676">
        <f>VLOOKUP($A$373,$B$247:$G$266,2,FALSE)</f>
        <v>20</v>
      </c>
      <c r="B377" s="676">
        <f>VLOOKUP($A$373,$B$247:$G$266,3,FALSE)</f>
        <v>0.3</v>
      </c>
      <c r="C377" s="676">
        <f>VLOOKUP($A$373,$B$247:$G$266,4,FALSE)</f>
        <v>0.2</v>
      </c>
      <c r="D377" s="676">
        <f>VLOOKUP($A$373,$B$247:$G$266,5,FALSE)</f>
        <v>0</v>
      </c>
      <c r="E377" s="676">
        <f>VLOOKUP($A$373,$B$247:$G$266,6,FALSE)</f>
        <v>4.9999999999999989E-2</v>
      </c>
      <c r="G377" s="676">
        <f>VLOOKUP($G$373,$J$247:$O$266,2,FALSE)</f>
        <v>40</v>
      </c>
      <c r="H377" s="676">
        <f>VLOOKUP($G$373,$J$247:$O$266,3,FALSE)</f>
        <v>-3.8</v>
      </c>
      <c r="I377" s="676">
        <f>VLOOKUP($G$373,$J$247:$O$266,4,FALSE)</f>
        <v>1.5</v>
      </c>
      <c r="J377" s="676">
        <f>VLOOKUP($G$373,$J$247:$O$266,5,FALSE)</f>
        <v>0</v>
      </c>
      <c r="K377" s="676">
        <f>VLOOKUP($G$373,$J$247:$O$266,6,FALSE)</f>
        <v>2.65</v>
      </c>
      <c r="M377" s="676">
        <f>VLOOKUP($M$373,$R$247:$W$266,2,FALSE)</f>
        <v>800</v>
      </c>
      <c r="N377" s="676">
        <f>VLOOKUP($M$373,$R$247:$W$266,3,FALSE)</f>
        <v>0.9</v>
      </c>
      <c r="O377" s="676">
        <f>VLOOKUP($M$373,$R$247:$W$266,4,FALSE)</f>
        <v>1.6</v>
      </c>
      <c r="P377" s="676">
        <f>VLOOKUP($M$373,$R$247:$W$266,5,FALSE)</f>
        <v>0</v>
      </c>
      <c r="Q377" s="676">
        <f>VLOOKUP($M$373,$R$247:$W$266,6,FALSE)</f>
        <v>0.35000000000000003</v>
      </c>
      <c r="S377" s="677" t="s">
        <v>152</v>
      </c>
      <c r="T377" s="815">
        <f>ID!N16</f>
        <v>24.35</v>
      </c>
      <c r="U377" s="816">
        <f>T377+S386</f>
        <v>24.590990566037739</v>
      </c>
      <c r="V377" s="647">
        <f>STDEV(ID!E16:F16)</f>
        <v>0.21213203435596475</v>
      </c>
      <c r="W377" s="815">
        <f>VLOOKUP(S373,Y225:Z244,2,(FALSE))</f>
        <v>0.8</v>
      </c>
      <c r="Z377" s="681"/>
    </row>
    <row r="378" spans="1:36" ht="13">
      <c r="A378" s="676">
        <f>VLOOKUP($A$373,$B$268:$G$287,2,FALSE)</f>
        <v>25</v>
      </c>
      <c r="B378" s="676">
        <f>VLOOKUP($A$373,$B$268:$G$287,3,FALSE)</f>
        <v>0.2</v>
      </c>
      <c r="C378" s="676">
        <f>VLOOKUP($A$373,$B$268:$G$287,4,FALSE)</f>
        <v>-0.1</v>
      </c>
      <c r="D378" s="676">
        <f>VLOOKUP($A$373,$B$268:$G$287,5,FALSE)</f>
        <v>0</v>
      </c>
      <c r="E378" s="676">
        <f>VLOOKUP($A$373,$B$268:$G$287,6,FALSE)</f>
        <v>0.15000000000000002</v>
      </c>
      <c r="G378" s="676">
        <f>VLOOKUP($G$373,$J$268:$O$287,2,FALSE)</f>
        <v>50</v>
      </c>
      <c r="H378" s="676">
        <f>VLOOKUP($G$373,$J$268:$O$287,3,FALSE)</f>
        <v>-5.4</v>
      </c>
      <c r="I378" s="676">
        <f>VLOOKUP($G$373,$J$268:$O$287,4,FALSE)</f>
        <v>1.2</v>
      </c>
      <c r="J378" s="676">
        <f>VLOOKUP($G$373,$J$268:$O$287,5,FALSE)</f>
        <v>0</v>
      </c>
      <c r="K378" s="676">
        <f>VLOOKUP($G$373,$J$268:$O$287,6,FALSE)</f>
        <v>3.3000000000000003</v>
      </c>
      <c r="M378" s="676">
        <f>VLOOKUP($M$373,$R$268:$W$287,2,FALSE)</f>
        <v>850</v>
      </c>
      <c r="N378" s="676">
        <f>VLOOKUP($M$373,$R$268:$W$287,3,FALSE)</f>
        <v>0.9</v>
      </c>
      <c r="O378" s="676">
        <f>VLOOKUP($M$373,$R$268:$W$287,4,FALSE)</f>
        <v>1.1000000000000001</v>
      </c>
      <c r="P378" s="676">
        <f>VLOOKUP($M$373,$R$268:$W$287,5,FALSE)</f>
        <v>0</v>
      </c>
      <c r="Q378" s="676">
        <f>VLOOKUP($M$373,$R$268:$W$287,6,FALSE)</f>
        <v>0.10000000000000003</v>
      </c>
      <c r="S378" s="677" t="s">
        <v>70</v>
      </c>
      <c r="T378" s="815">
        <f>ID!N17</f>
        <v>65.55</v>
      </c>
      <c r="U378" s="816">
        <f>T378+T386</f>
        <v>60.16225</v>
      </c>
      <c r="V378" s="647">
        <f>STDEV(ID!E17:F17)</f>
        <v>7.0710678118650741E-2</v>
      </c>
      <c r="W378" s="815">
        <f>VLOOKUP(S373,Y249:Z268,2,(FALSE))</f>
        <v>2.6</v>
      </c>
      <c r="Z378" s="681"/>
    </row>
    <row r="379" spans="1:36" ht="13">
      <c r="A379" s="676">
        <f>VLOOKUP($A$373,$B$289:$G$308,2,FALSE)</f>
        <v>30</v>
      </c>
      <c r="B379" s="676">
        <f>VLOOKUP($A$373,$B$289:$G$308,3,FALSE)</f>
        <v>0.1</v>
      </c>
      <c r="C379" s="676">
        <f>VLOOKUP($A$373,$B$289:$G$308,4,FALSE)</f>
        <v>-0.5</v>
      </c>
      <c r="D379" s="676">
        <f>VLOOKUP($A$373,$B$289:$G$308,5,FALSE)</f>
        <v>0</v>
      </c>
      <c r="E379" s="676">
        <f>VLOOKUP($A$373,$B$289:$G$308,6,FALSE)</f>
        <v>0.3</v>
      </c>
      <c r="G379" s="676">
        <f>VLOOKUP($G$373,$J$289:$O$308,2,FALSE)</f>
        <v>60</v>
      </c>
      <c r="H379" s="676">
        <f>VLOOKUP($G$373,$J$289:$O$308,3,FALSE)</f>
        <v>-6.4</v>
      </c>
      <c r="I379" s="676">
        <f>VLOOKUP($G$373,$J$289:$O$308,4,FALSE)</f>
        <v>1.1000000000000001</v>
      </c>
      <c r="J379" s="676">
        <f>VLOOKUP($G$373,$J$289:$O$308,5,FALSE)</f>
        <v>0</v>
      </c>
      <c r="K379" s="676">
        <f>VLOOKUP($G$373,$J$289:$O$308,6,FALSE)</f>
        <v>3.75</v>
      </c>
      <c r="M379" s="676">
        <f>VLOOKUP($M$373,$R$289:$W$308,2,FALSE)</f>
        <v>900</v>
      </c>
      <c r="N379" s="676">
        <f>VLOOKUP($M$373,$R$289:$W$308,3,FALSE)</f>
        <v>0.9</v>
      </c>
      <c r="O379" s="676">
        <f>VLOOKUP($M$373,$R$289:$W$308,4,FALSE)</f>
        <v>0.7</v>
      </c>
      <c r="P379" s="676">
        <f>VLOOKUP($M$373,$R$289:$W$308,5,FALSE)</f>
        <v>0</v>
      </c>
      <c r="Q379" s="676">
        <f>VLOOKUP($M$373,$R$289:$W$308,6,FALSE)</f>
        <v>0.10000000000000003</v>
      </c>
      <c r="S379" s="700" t="s">
        <v>451</v>
      </c>
      <c r="T379" s="626" t="s">
        <v>155</v>
      </c>
      <c r="U379" s="700" t="s">
        <v>155</v>
      </c>
      <c r="V379" s="626" t="s">
        <v>155</v>
      </c>
      <c r="W379" s="817">
        <f>VLOOKUP(S373,Y273:Z292,2,(FALSE))</f>
        <v>1.6</v>
      </c>
      <c r="Z379" s="681"/>
      <c r="AE379" s="701"/>
    </row>
    <row r="380" spans="1:36" ht="13.5" thickBot="1">
      <c r="A380" s="676">
        <f>VLOOKUP($A$373,$B$310:$G$329,2,FALSE)</f>
        <v>35</v>
      </c>
      <c r="B380" s="676">
        <f>VLOOKUP($A$373,$B$310:$G$329,3,FALSE)</f>
        <v>0.1</v>
      </c>
      <c r="C380" s="676">
        <f>VLOOKUP($A$373,$B$310:$G$329,4,FALSE)</f>
        <v>-0.9</v>
      </c>
      <c r="D380" s="676">
        <f>VLOOKUP($A$373,$B$310:$G$329,5,FALSE)</f>
        <v>0</v>
      </c>
      <c r="E380" s="676">
        <f>VLOOKUP($A$373,$B$310:$G$329,6,FALSE)</f>
        <v>0.5</v>
      </c>
      <c r="G380" s="676">
        <f>VLOOKUP($G$373,$J$310:$O$329,2,FALSE)</f>
        <v>70</v>
      </c>
      <c r="H380" s="676">
        <f>VLOOKUP($G$373,$J$310:$O$329,3,FALSE)</f>
        <v>-6.7</v>
      </c>
      <c r="I380" s="676">
        <f>VLOOKUP($G$373,$J$310:$O$329,4,FALSE)</f>
        <v>0.9</v>
      </c>
      <c r="J380" s="676">
        <f>VLOOKUP($G$373,$J$310:$O$329,5,FALSE)</f>
        <v>0</v>
      </c>
      <c r="K380" s="676">
        <f>VLOOKUP($G$373,$J$310:$O$329,6,FALSE)</f>
        <v>3.8000000000000003</v>
      </c>
      <c r="M380" s="676">
        <f>VLOOKUP($M$373,$R$310:$W$329,2,FALSE)</f>
        <v>1000</v>
      </c>
      <c r="N380" s="676">
        <f>VLOOKUP($M$373,$R$310:$W$329,3,FALSE)</f>
        <v>0.9</v>
      </c>
      <c r="O380" s="676">
        <f>VLOOKUP($M$373,$R$310:$W$329,4,FALSE)</f>
        <v>-0.3</v>
      </c>
      <c r="P380" s="676">
        <f>VLOOKUP($M$373,$R$310:$W$329,5,FALSE)</f>
        <v>0</v>
      </c>
      <c r="Q380" s="676">
        <f>VLOOKUP($M$373,$R$310:$W$329,6,FALSE)</f>
        <v>0.6</v>
      </c>
      <c r="Z380" s="681"/>
      <c r="AE380" s="702"/>
    </row>
    <row r="381" spans="1:36" ht="14">
      <c r="A381" s="676">
        <f>VLOOKUP($A$373,$B$331:$G$350,2,FALSE)</f>
        <v>37</v>
      </c>
      <c r="B381" s="676">
        <f>VLOOKUP($A$373,$B$331:$G$350,3,FALSE)</f>
        <v>0.1</v>
      </c>
      <c r="C381" s="676">
        <f>VLOOKUP($A$373,$B$331:$G$350,4,FALSE)</f>
        <v>-1.1000000000000001</v>
      </c>
      <c r="D381" s="676">
        <f>VLOOKUP($A$373,$B$331:$G$350,5,FALSE)</f>
        <v>0</v>
      </c>
      <c r="E381" s="676">
        <f>VLOOKUP($A$373,$B$331:$G$350,6,FALSE)</f>
        <v>0.60000000000000009</v>
      </c>
      <c r="G381" s="676">
        <f>VLOOKUP($G$373,$J$331:$O$350,2,FALSE)</f>
        <v>80</v>
      </c>
      <c r="H381" s="676">
        <f>VLOOKUP($G$373,$J$331:$O$350,3,FALSE)</f>
        <v>-6.3</v>
      </c>
      <c r="I381" s="676">
        <f>VLOOKUP($G$373,$J$331:$O$350,4,FALSE)</f>
        <v>0.8</v>
      </c>
      <c r="J381" s="676">
        <f>VLOOKUP($G$373,$J$331:$O$350,5,FALSE)</f>
        <v>0</v>
      </c>
      <c r="K381" s="676">
        <f>VLOOKUP($G$373,$J$331:$O$350,6,FALSE)</f>
        <v>3.55</v>
      </c>
      <c r="M381" s="676">
        <f>VLOOKUP($M$373,$R$331:$W$350,2,FALSE)</f>
        <v>1005</v>
      </c>
      <c r="N381" s="676">
        <f>VLOOKUP($M$373,$R$331:$W$350,3,FALSE)</f>
        <v>0.9</v>
      </c>
      <c r="O381" s="676">
        <f>VLOOKUP($M$373,$R$331:$W$350,4,FALSE)</f>
        <v>-0.3</v>
      </c>
      <c r="P381" s="676">
        <f>VLOOKUP($M$373,$R$331:$W$350,5,FALSE)</f>
        <v>0</v>
      </c>
      <c r="Q381" s="676">
        <f>VLOOKUP($M$373,$R$331:$W$350,6,FALSE)</f>
        <v>0.6</v>
      </c>
      <c r="S381" s="1025" t="s">
        <v>460</v>
      </c>
      <c r="T381" s="703" t="str">
        <f>N393&amp;N390&amp;O393&amp;O390&amp;P393&amp;P390</f>
        <v>( 24.6 ± 0.8 ) °C</v>
      </c>
      <c r="U381" s="704"/>
      <c r="Z381" s="681"/>
      <c r="AE381" s="705"/>
    </row>
    <row r="382" spans="1:36" ht="14">
      <c r="A382" s="676">
        <f>VLOOKUP($A$373,$B$352:$G$371,2,FALSE)</f>
        <v>40</v>
      </c>
      <c r="B382" s="676">
        <f>VLOOKUP($A$373,$B$352:$G$371,3,FALSE)</f>
        <v>0.1</v>
      </c>
      <c r="C382" s="676">
        <f>VLOOKUP($A$373,$B$352:$G$371,4,FALSE)</f>
        <v>-1.4</v>
      </c>
      <c r="D382" s="676">
        <f>VLOOKUP($A$373,$B$352:$G$371,5,FALSE)</f>
        <v>0</v>
      </c>
      <c r="E382" s="676">
        <f>VLOOKUP($A$373,$B$352:$G$371,6,FALSE)</f>
        <v>0.75</v>
      </c>
      <c r="G382" s="676">
        <f>VLOOKUP($G$373,$J$352:$O$371,2,FALSE)</f>
        <v>90</v>
      </c>
      <c r="H382" s="676">
        <f>VLOOKUP($G$373,$J$352:$O$371,3,FALSE)</f>
        <v>-5.2</v>
      </c>
      <c r="I382" s="676">
        <f>VLOOKUP($G$373,$J$352:$O$371,4,FALSE)</f>
        <v>0.7</v>
      </c>
      <c r="J382" s="676">
        <f>VLOOKUP($G$373,$J$352:$O$371,5,FALSE)</f>
        <v>0</v>
      </c>
      <c r="K382" s="676">
        <f>VLOOKUP($G$373,$J$352:$O$371,6,FALSE)</f>
        <v>2.95</v>
      </c>
      <c r="M382" s="676">
        <f>VLOOKUP($M$373,$R$352:$W$371,2,FALSE)</f>
        <v>1020</v>
      </c>
      <c r="N382" s="676">
        <f>VLOOKUP($M$373,$R$352:$W$371,3,FALSE)</f>
        <v>0.9</v>
      </c>
      <c r="O382" s="676">
        <f>VLOOKUP($M$373,$R$352:$W$371,4,FALSE)</f>
        <v>9.9999999999999995E-7</v>
      </c>
      <c r="P382" s="676">
        <f>VLOOKUP($M$373,$R$352:$W$371,5,FALSE)</f>
        <v>0</v>
      </c>
      <c r="Q382" s="676">
        <f>VLOOKUP($M$373,$R$352:$W$371,6,FALSE)</f>
        <v>0.4499995</v>
      </c>
      <c r="S382" s="1026"/>
      <c r="T382" s="630" t="str">
        <f>N393&amp;N391&amp;O393&amp;O391&amp;P393&amp;P391</f>
        <v>( 60.2 ± 2.6 ) %RH</v>
      </c>
      <c r="U382" s="706"/>
      <c r="Z382" s="681"/>
      <c r="AE382" s="705"/>
    </row>
    <row r="383" spans="1:36" ht="14.5" thickBot="1">
      <c r="A383" s="707"/>
      <c r="B383" s="681"/>
      <c r="C383" s="681"/>
      <c r="D383" s="681"/>
      <c r="E383" s="681"/>
      <c r="G383" s="681"/>
      <c r="H383" s="681"/>
      <c r="I383" s="681"/>
      <c r="J383" s="681"/>
      <c r="M383" s="681"/>
      <c r="N383" s="681"/>
      <c r="O383" s="681"/>
      <c r="P383" s="681"/>
      <c r="S383" s="1027"/>
      <c r="T383" s="708" t="str">
        <f>N393&amp;N392&amp;O393&amp;O392&amp;P393&amp;P392</f>
        <v>( - ± - )-</v>
      </c>
      <c r="U383" s="709"/>
      <c r="Z383" s="681"/>
      <c r="AE383" s="705"/>
    </row>
    <row r="384" spans="1:36" ht="14">
      <c r="D384" s="710"/>
      <c r="E384" s="711"/>
      <c r="G384" s="710"/>
      <c r="H384" s="710"/>
      <c r="I384" s="710"/>
      <c r="J384" s="710"/>
      <c r="M384" s="710"/>
      <c r="N384" s="710"/>
      <c r="O384" s="710"/>
      <c r="P384" s="710"/>
      <c r="Z384" s="681"/>
      <c r="AE384" s="705"/>
      <c r="AF384" s="712"/>
      <c r="AJ384" s="713"/>
    </row>
    <row r="385" spans="1:36" ht="31.5">
      <c r="D385" s="714"/>
      <c r="E385" s="715"/>
      <c r="G385" s="716"/>
      <c r="H385" s="714"/>
      <c r="I385" s="714"/>
      <c r="J385" s="714"/>
      <c r="M385" s="716"/>
      <c r="N385" s="714"/>
      <c r="O385" s="714"/>
      <c r="P385" s="714"/>
      <c r="S385" s="717" t="s">
        <v>461</v>
      </c>
      <c r="T385" s="717" t="s">
        <v>462</v>
      </c>
      <c r="U385" s="717" t="s">
        <v>463</v>
      </c>
      <c r="Z385" s="681"/>
      <c r="AE385" s="681"/>
      <c r="AJ385" s="713"/>
    </row>
    <row r="386" spans="1:36" ht="13.5">
      <c r="A386" s="716"/>
      <c r="B386" s="714"/>
      <c r="C386" s="714"/>
      <c r="D386" s="714"/>
      <c r="E386" s="715"/>
      <c r="G386" s="716"/>
      <c r="H386" s="714"/>
      <c r="I386" s="714"/>
      <c r="J386" s="714"/>
      <c r="M386" s="716"/>
      <c r="N386" s="714"/>
      <c r="O386" s="714"/>
      <c r="P386" s="714"/>
      <c r="S386" s="718">
        <f>FORECAST(T377,B376:B382,A376:A382)</f>
        <v>0.24099056603773594</v>
      </c>
      <c r="T386" s="719">
        <f>FORECAST(T378,H376:H382,G376:G382)</f>
        <v>-5.3877500000000005</v>
      </c>
      <c r="U386" s="719" t="s">
        <v>155</v>
      </c>
      <c r="Z386" s="681"/>
      <c r="AE386" s="681"/>
      <c r="AJ386" s="713"/>
    </row>
    <row r="387" spans="1:36" ht="13.5" thickBot="1">
      <c r="A387" s="716"/>
      <c r="B387" s="714"/>
      <c r="C387" s="714"/>
      <c r="D387" s="714"/>
      <c r="E387" s="720"/>
      <c r="G387" s="716"/>
      <c r="H387" s="714"/>
      <c r="I387" s="714"/>
      <c r="J387" s="714"/>
      <c r="M387" s="716"/>
      <c r="N387" s="714"/>
      <c r="O387" s="714"/>
      <c r="P387" s="714"/>
      <c r="Z387" s="721"/>
      <c r="AE387" s="721"/>
      <c r="AF387" s="722"/>
      <c r="AG387" s="723"/>
      <c r="AH387" s="723"/>
      <c r="AI387" s="723"/>
      <c r="AJ387" s="724"/>
    </row>
    <row r="388" spans="1:36" ht="13" thickBot="1"/>
    <row r="389" spans="1:36" ht="13">
      <c r="A389" s="801" t="str">
        <f>ID!B52</f>
        <v>Thermohygrolight, Merek : Greisinger, Model : GFTB 200, SN : 34903046</v>
      </c>
      <c r="B389" s="801"/>
      <c r="C389" s="801"/>
      <c r="D389" s="801"/>
      <c r="E389" s="801"/>
      <c r="F389" s="801"/>
      <c r="G389" s="801"/>
      <c r="H389" s="801"/>
      <c r="I389" s="801"/>
      <c r="J389" s="801"/>
      <c r="K389" s="801"/>
      <c r="L389" s="801"/>
      <c r="N389" s="1019" t="s">
        <v>200</v>
      </c>
      <c r="O389" s="1020"/>
      <c r="P389" s="1021"/>
    </row>
    <row r="390" spans="1:36" ht="15.5">
      <c r="A390" s="725" t="s">
        <v>400</v>
      </c>
      <c r="B390" s="662"/>
      <c r="C390" s="662"/>
      <c r="D390" s="725"/>
      <c r="E390" s="725"/>
      <c r="F390" s="725"/>
      <c r="G390" s="725"/>
      <c r="H390" s="725"/>
      <c r="I390" s="662">
        <f>D4</f>
        <v>2020</v>
      </c>
      <c r="J390" s="662">
        <f>E4</f>
        <v>2017</v>
      </c>
      <c r="K390" s="662">
        <f>F4</f>
        <v>2016</v>
      </c>
      <c r="L390" s="662">
        <v>1</v>
      </c>
      <c r="N390" s="726" t="str">
        <f>TEXT(U377,"0.0")</f>
        <v>24.6</v>
      </c>
      <c r="O390" s="727" t="str">
        <f>TEXT(W377,"0.0")</f>
        <v>0.8</v>
      </c>
      <c r="P390" s="728" t="s">
        <v>201</v>
      </c>
    </row>
    <row r="391" spans="1:36" ht="15.5">
      <c r="A391" s="725" t="s">
        <v>401</v>
      </c>
      <c r="B391" s="662"/>
      <c r="C391" s="662"/>
      <c r="D391" s="725"/>
      <c r="E391" s="725"/>
      <c r="F391" s="725"/>
      <c r="G391" s="725"/>
      <c r="H391" s="725"/>
      <c r="I391" s="662">
        <f>D15</f>
        <v>2021</v>
      </c>
      <c r="J391" s="662">
        <f>E15</f>
        <v>2018</v>
      </c>
      <c r="K391" s="662">
        <f>F15</f>
        <v>2016</v>
      </c>
      <c r="L391" s="662">
        <v>2</v>
      </c>
      <c r="N391" s="726" t="str">
        <f>TEXT(U378,"0.0")</f>
        <v>60.2</v>
      </c>
      <c r="O391" s="727" t="str">
        <f>TEXT(W378,"0.0")</f>
        <v>2.6</v>
      </c>
      <c r="P391" s="728" t="s">
        <v>202</v>
      </c>
    </row>
    <row r="392" spans="1:36" ht="15.5">
      <c r="A392" s="725" t="s">
        <v>206</v>
      </c>
      <c r="B392" s="662"/>
      <c r="C392" s="662"/>
      <c r="D392" s="725"/>
      <c r="E392" s="725"/>
      <c r="F392" s="725"/>
      <c r="G392" s="725"/>
      <c r="H392" s="725"/>
      <c r="I392" s="662">
        <f>D26</f>
        <v>2021</v>
      </c>
      <c r="J392" s="662">
        <f>E26</f>
        <v>2018</v>
      </c>
      <c r="K392" s="662">
        <f>F26</f>
        <v>2016</v>
      </c>
      <c r="L392" s="662">
        <v>3</v>
      </c>
      <c r="N392" s="662" t="s">
        <v>155</v>
      </c>
      <c r="O392" s="727" t="s">
        <v>155</v>
      </c>
      <c r="P392" s="729" t="s">
        <v>155</v>
      </c>
    </row>
    <row r="393" spans="1:36" ht="16" thickBot="1">
      <c r="A393" s="725" t="s">
        <v>402</v>
      </c>
      <c r="B393" s="662"/>
      <c r="C393" s="662"/>
      <c r="D393" s="725"/>
      <c r="E393" s="725"/>
      <c r="F393" s="725"/>
      <c r="G393" s="725"/>
      <c r="H393" s="725"/>
      <c r="I393" s="662">
        <f>D37</f>
        <v>2019</v>
      </c>
      <c r="J393" s="662">
        <f>E37</f>
        <v>2017</v>
      </c>
      <c r="K393" s="662">
        <f>F37</f>
        <v>2016</v>
      </c>
      <c r="L393" s="662">
        <v>4</v>
      </c>
      <c r="N393" s="730" t="s">
        <v>203</v>
      </c>
      <c r="O393" s="731" t="s">
        <v>204</v>
      </c>
      <c r="P393" s="732" t="s">
        <v>205</v>
      </c>
    </row>
    <row r="394" spans="1:36" ht="13">
      <c r="A394" s="725" t="s">
        <v>403</v>
      </c>
      <c r="B394" s="662"/>
      <c r="C394" s="662"/>
      <c r="D394" s="725"/>
      <c r="E394" s="725"/>
      <c r="F394" s="725"/>
      <c r="G394" s="725"/>
      <c r="H394" s="725"/>
      <c r="I394" s="662">
        <f>D48</f>
        <v>2020</v>
      </c>
      <c r="J394" s="662">
        <f>E48</f>
        <v>2017</v>
      </c>
      <c r="K394" s="662">
        <f>F48</f>
        <v>2016</v>
      </c>
      <c r="L394" s="662">
        <v>5</v>
      </c>
    </row>
    <row r="395" spans="1:36" ht="13">
      <c r="A395" s="725" t="s">
        <v>207</v>
      </c>
      <c r="B395" s="662"/>
      <c r="C395" s="662"/>
      <c r="D395" s="725"/>
      <c r="E395" s="725"/>
      <c r="F395" s="725"/>
      <c r="G395" s="725"/>
      <c r="H395" s="725"/>
      <c r="I395" s="662">
        <f>D59</f>
        <v>2019</v>
      </c>
      <c r="J395" s="662">
        <f>E59</f>
        <v>2018</v>
      </c>
      <c r="K395" s="662">
        <f>F59</f>
        <v>2016</v>
      </c>
      <c r="L395" s="662">
        <v>6</v>
      </c>
    </row>
    <row r="396" spans="1:36" ht="13">
      <c r="A396" s="725" t="s">
        <v>80</v>
      </c>
      <c r="B396" s="662"/>
      <c r="C396" s="662"/>
      <c r="D396" s="725"/>
      <c r="E396" s="725"/>
      <c r="F396" s="725"/>
      <c r="G396" s="725"/>
      <c r="H396" s="725"/>
      <c r="I396" s="662">
        <f>D70</f>
        <v>2021</v>
      </c>
      <c r="J396" s="662">
        <f>E70</f>
        <v>2018</v>
      </c>
      <c r="K396" s="662">
        <f>F70</f>
        <v>2016</v>
      </c>
      <c r="L396" s="662">
        <v>7</v>
      </c>
    </row>
    <row r="397" spans="1:36" ht="13">
      <c r="A397" s="725" t="s">
        <v>338</v>
      </c>
      <c r="B397" s="662"/>
      <c r="C397" s="662"/>
      <c r="D397" s="725"/>
      <c r="E397" s="725"/>
      <c r="F397" s="725"/>
      <c r="G397" s="725"/>
      <c r="H397" s="725"/>
      <c r="I397" s="662">
        <f>D81</f>
        <v>2021</v>
      </c>
      <c r="J397" s="662">
        <f>E81</f>
        <v>2019</v>
      </c>
      <c r="K397" s="662">
        <f>F81</f>
        <v>2016</v>
      </c>
      <c r="L397" s="662">
        <v>8</v>
      </c>
    </row>
    <row r="398" spans="1:36" ht="13">
      <c r="A398" s="725" t="s">
        <v>208</v>
      </c>
      <c r="B398" s="662"/>
      <c r="C398" s="662"/>
      <c r="D398" s="725"/>
      <c r="E398" s="725"/>
      <c r="F398" s="725"/>
      <c r="G398" s="725"/>
      <c r="H398" s="725"/>
      <c r="I398" s="662">
        <f>D92</f>
        <v>2019</v>
      </c>
      <c r="J398" s="662" t="str">
        <f>E92</f>
        <v>-</v>
      </c>
      <c r="K398" s="662">
        <f>F92</f>
        <v>2016</v>
      </c>
      <c r="L398" s="662">
        <v>9</v>
      </c>
    </row>
    <row r="399" spans="1:36" ht="13">
      <c r="A399" s="725" t="s">
        <v>209</v>
      </c>
      <c r="B399" s="662"/>
      <c r="C399" s="662"/>
      <c r="D399" s="725"/>
      <c r="E399" s="725"/>
      <c r="F399" s="725"/>
      <c r="G399" s="725"/>
      <c r="H399" s="725"/>
      <c r="I399" s="662">
        <f>D103</f>
        <v>2019</v>
      </c>
      <c r="J399" s="662">
        <f>E103</f>
        <v>2016</v>
      </c>
      <c r="K399" s="662">
        <f>F103</f>
        <v>2016</v>
      </c>
      <c r="L399" s="662">
        <v>10</v>
      </c>
    </row>
    <row r="400" spans="1:36" ht="13">
      <c r="A400" s="725" t="s">
        <v>210</v>
      </c>
      <c r="B400" s="662"/>
      <c r="C400" s="662"/>
      <c r="D400" s="725"/>
      <c r="E400" s="725"/>
      <c r="F400" s="725"/>
      <c r="G400" s="725"/>
      <c r="H400" s="725"/>
      <c r="I400" s="662">
        <f>D114</f>
        <v>2020</v>
      </c>
      <c r="J400" s="662">
        <f>E114</f>
        <v>2016</v>
      </c>
      <c r="K400" s="662">
        <f>F114</f>
        <v>2016</v>
      </c>
      <c r="L400" s="662">
        <v>11</v>
      </c>
    </row>
    <row r="401" spans="1:12" ht="13">
      <c r="A401" s="725" t="s">
        <v>442</v>
      </c>
      <c r="B401" s="662"/>
      <c r="C401" s="662"/>
      <c r="D401" s="725"/>
      <c r="E401" s="725"/>
      <c r="F401" s="725"/>
      <c r="G401" s="725"/>
      <c r="H401" s="725"/>
      <c r="I401" s="662">
        <f>D125</f>
        <v>2020</v>
      </c>
      <c r="J401" s="662" t="str">
        <f>E125</f>
        <v>-</v>
      </c>
      <c r="K401" s="662">
        <f>F125</f>
        <v>2016</v>
      </c>
      <c r="L401" s="662">
        <v>12</v>
      </c>
    </row>
    <row r="402" spans="1:12" ht="13">
      <c r="A402" s="725" t="s">
        <v>443</v>
      </c>
      <c r="B402" s="662"/>
      <c r="C402" s="662"/>
      <c r="D402" s="725"/>
      <c r="E402" s="725"/>
      <c r="F402" s="725"/>
      <c r="G402" s="725"/>
      <c r="H402" s="725"/>
      <c r="I402" s="662">
        <f>E136</f>
        <v>2020</v>
      </c>
      <c r="J402" s="662" t="str">
        <f>F136</f>
        <v>-</v>
      </c>
      <c r="K402" s="662" t="s">
        <v>155</v>
      </c>
      <c r="L402" s="662">
        <v>13</v>
      </c>
    </row>
    <row r="403" spans="1:12" ht="13">
      <c r="A403" s="725" t="s">
        <v>444</v>
      </c>
      <c r="B403" s="662"/>
      <c r="C403" s="662"/>
      <c r="D403" s="725"/>
      <c r="E403" s="725"/>
      <c r="F403" s="725"/>
      <c r="G403" s="725"/>
      <c r="H403" s="725"/>
      <c r="I403" s="662">
        <f>E147</f>
        <v>2020</v>
      </c>
      <c r="J403" s="662" t="str">
        <f>F147</f>
        <v>-</v>
      </c>
      <c r="K403" s="662" t="s">
        <v>155</v>
      </c>
      <c r="L403" s="662">
        <v>14</v>
      </c>
    </row>
    <row r="404" spans="1:12" ht="13">
      <c r="A404" s="725" t="s">
        <v>445</v>
      </c>
      <c r="B404" s="662"/>
      <c r="C404" s="662"/>
      <c r="D404" s="725"/>
      <c r="E404" s="725"/>
      <c r="F404" s="725"/>
      <c r="G404" s="725"/>
      <c r="H404" s="725"/>
      <c r="I404" s="662">
        <f>E158</f>
        <v>2020</v>
      </c>
      <c r="J404" s="662" t="str">
        <f>F158</f>
        <v>-</v>
      </c>
      <c r="K404" s="662" t="s">
        <v>155</v>
      </c>
      <c r="L404" s="662">
        <v>15</v>
      </c>
    </row>
    <row r="405" spans="1:12" ht="13">
      <c r="A405" s="725" t="s">
        <v>446</v>
      </c>
      <c r="B405" s="662"/>
      <c r="C405" s="662"/>
      <c r="D405" s="725"/>
      <c r="E405" s="725"/>
      <c r="F405" s="725"/>
      <c r="G405" s="725"/>
      <c r="H405" s="725"/>
      <c r="I405" s="662">
        <f>D169</f>
        <v>2020</v>
      </c>
      <c r="J405" s="662" t="str">
        <f>E169</f>
        <v>-</v>
      </c>
      <c r="K405" s="662">
        <f>F169</f>
        <v>2016</v>
      </c>
      <c r="L405" s="662">
        <v>16</v>
      </c>
    </row>
    <row r="406" spans="1:12" ht="13">
      <c r="A406" s="725" t="s">
        <v>447</v>
      </c>
      <c r="B406" s="662"/>
      <c r="C406" s="662"/>
      <c r="D406" s="725"/>
      <c r="E406" s="725"/>
      <c r="F406" s="725"/>
      <c r="G406" s="725"/>
      <c r="H406" s="725"/>
      <c r="I406" s="662">
        <f>D180</f>
        <v>2020</v>
      </c>
      <c r="J406" s="662" t="str">
        <f>E180</f>
        <v>-</v>
      </c>
      <c r="K406" s="662">
        <f>F180</f>
        <v>2016</v>
      </c>
      <c r="L406" s="662">
        <v>17</v>
      </c>
    </row>
    <row r="407" spans="1:12" ht="13">
      <c r="A407" s="725" t="s">
        <v>448</v>
      </c>
      <c r="B407" s="662"/>
      <c r="C407" s="662"/>
      <c r="D407" s="725"/>
      <c r="E407" s="725"/>
      <c r="F407" s="725"/>
      <c r="G407" s="725"/>
      <c r="H407" s="725"/>
      <c r="I407" s="662">
        <f>D191</f>
        <v>2020</v>
      </c>
      <c r="J407" s="662" t="str">
        <f>E191</f>
        <v>-</v>
      </c>
      <c r="K407" s="662">
        <f>F191</f>
        <v>2016</v>
      </c>
      <c r="L407" s="662">
        <v>18</v>
      </c>
    </row>
    <row r="408" spans="1:12" ht="13">
      <c r="A408" s="725" t="s">
        <v>449</v>
      </c>
      <c r="B408" s="662"/>
      <c r="C408" s="662"/>
      <c r="D408" s="725"/>
      <c r="E408" s="725"/>
      <c r="F408" s="725"/>
      <c r="G408" s="725"/>
      <c r="H408" s="725"/>
      <c r="I408" s="662">
        <v>2021</v>
      </c>
      <c r="J408" s="662" t="str">
        <f>E202</f>
        <v>-</v>
      </c>
      <c r="K408" s="662">
        <f>F202</f>
        <v>2016</v>
      </c>
      <c r="L408" s="662">
        <v>19</v>
      </c>
    </row>
    <row r="409" spans="1:12" ht="13">
      <c r="A409" s="733">
        <v>20</v>
      </c>
      <c r="B409" s="662"/>
      <c r="C409" s="662"/>
      <c r="D409" s="725"/>
      <c r="E409" s="725"/>
      <c r="F409" s="725"/>
      <c r="G409" s="725"/>
      <c r="H409" s="725"/>
      <c r="I409" s="662">
        <f>D213</f>
        <v>2017</v>
      </c>
      <c r="J409" s="662" t="str">
        <f>E213</f>
        <v>-</v>
      </c>
      <c r="K409" s="662">
        <f>F213</f>
        <v>2016</v>
      </c>
      <c r="L409" s="662">
        <v>20</v>
      </c>
    </row>
    <row r="410" spans="1:12" ht="13">
      <c r="A410" s="1022">
        <f>VLOOKUP(A389,A390:L409,12,(FALSE))</f>
        <v>6</v>
      </c>
      <c r="B410" s="1022"/>
      <c r="C410" s="1022"/>
      <c r="D410" s="1022"/>
      <c r="E410" s="1022"/>
      <c r="F410" s="1022"/>
      <c r="G410" s="1022"/>
      <c r="H410" s="1022"/>
      <c r="I410" s="1022"/>
      <c r="J410" s="1022"/>
      <c r="K410" s="1022"/>
      <c r="L410" s="1022"/>
    </row>
  </sheetData>
  <mergeCells count="402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GridLines="0" showWhiteSpace="0" view="pageLayout" topLeftCell="D14" zoomScaleNormal="100" zoomScaleSheetLayoutView="100" workbookViewId="0">
      <selection activeCell="I18" sqref="I18"/>
    </sheetView>
  </sheetViews>
  <sheetFormatPr defaultColWidth="9.1796875" defaultRowHeight="14"/>
  <cols>
    <col min="1" max="2" width="4.1796875" style="23" customWidth="1"/>
    <col min="3" max="3" width="13" style="23" customWidth="1"/>
    <col min="4" max="4" width="8.453125" style="23" customWidth="1"/>
    <col min="5" max="5" width="2.26953125" style="23" customWidth="1"/>
    <col min="6" max="6" width="8" style="253" customWidth="1"/>
    <col min="7" max="7" width="6.1796875" style="23" customWidth="1"/>
    <col min="8" max="8" width="7.26953125" style="23" bestFit="1" customWidth="1"/>
    <col min="9" max="9" width="5.7265625" style="23" customWidth="1"/>
    <col min="10" max="10" width="11.81640625" style="23" customWidth="1"/>
    <col min="11" max="11" width="12.54296875" style="23" customWidth="1"/>
    <col min="12" max="12" width="16.54296875" style="23" customWidth="1"/>
    <col min="13" max="13" width="6.81640625" style="23" customWidth="1"/>
    <col min="14" max="14" width="15.7265625" style="23" customWidth="1"/>
    <col min="15" max="15" width="7.1796875" style="23" customWidth="1"/>
    <col min="16" max="16" width="7.7265625" style="23" customWidth="1"/>
    <col min="17" max="18" width="9.1796875" style="23"/>
    <col min="19" max="19" width="9.453125" style="23" bestFit="1" customWidth="1"/>
    <col min="20" max="16384" width="9.1796875" style="23"/>
  </cols>
  <sheetData>
    <row r="1" spans="1:17" ht="18">
      <c r="A1" s="950" t="s">
        <v>476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63"/>
    </row>
    <row r="2" spans="1:17" ht="17.25" customHeight="1">
      <c r="A2" s="1077" t="str">
        <f>ID!H2&amp;" "&amp;ID!I2</f>
        <v>Nomor Sertifikat : 13 / 1 / IV - 21 / E - 03.000 DL</v>
      </c>
      <c r="B2" s="1077"/>
      <c r="C2" s="1077"/>
      <c r="D2" s="1077"/>
      <c r="E2" s="1077"/>
      <c r="F2" s="1077"/>
      <c r="G2" s="1077"/>
      <c r="H2" s="1077"/>
      <c r="I2" s="1077"/>
      <c r="J2" s="1077"/>
      <c r="K2" s="1077"/>
      <c r="L2" s="1077"/>
      <c r="M2" s="1077"/>
      <c r="N2" s="1077"/>
      <c r="O2" s="1077"/>
      <c r="P2" s="1077"/>
      <c r="Q2" s="64"/>
    </row>
    <row r="3" spans="1:17" ht="17.25" customHeight="1">
      <c r="B3" s="548"/>
      <c r="C3" s="548"/>
      <c r="D3" s="548"/>
      <c r="E3" s="548"/>
      <c r="F3" s="367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64"/>
    </row>
    <row r="4" spans="1:17" ht="14.25" customHeight="1">
      <c r="B4" s="24"/>
      <c r="C4" s="24"/>
      <c r="D4" s="24"/>
      <c r="E4" s="24"/>
      <c r="F4" s="368"/>
      <c r="G4" s="24"/>
      <c r="H4" s="24"/>
      <c r="I4" s="24"/>
      <c r="J4" s="24"/>
      <c r="K4" s="24"/>
      <c r="L4" s="24"/>
      <c r="M4" s="26"/>
      <c r="N4" s="26"/>
      <c r="O4" s="26"/>
      <c r="P4" s="26"/>
    </row>
    <row r="5" spans="1:17">
      <c r="A5" s="25" t="str">
        <f>ID!A4</f>
        <v>Merek</v>
      </c>
      <c r="C5" s="25"/>
      <c r="D5" s="26"/>
      <c r="E5" s="27" t="s">
        <v>14</v>
      </c>
      <c r="F5" s="369" t="str">
        <f>ID!E4</f>
        <v>bistos</v>
      </c>
      <c r="G5" s="27"/>
      <c r="H5" s="27"/>
      <c r="J5" s="25"/>
      <c r="K5" s="25"/>
      <c r="L5" s="25"/>
      <c r="M5" s="25"/>
      <c r="N5" s="26"/>
      <c r="O5" s="26"/>
      <c r="P5" s="26"/>
    </row>
    <row r="6" spans="1:17">
      <c r="A6" s="25" t="str">
        <f>ID!A5</f>
        <v>Model/Tipe</v>
      </c>
      <c r="C6" s="25"/>
      <c r="D6" s="26"/>
      <c r="E6" s="27" t="s">
        <v>14</v>
      </c>
      <c r="F6" s="369" t="str">
        <f>ID!E5</f>
        <v>BT - 200</v>
      </c>
      <c r="G6" s="27"/>
      <c r="H6" s="27"/>
      <c r="J6" s="25"/>
      <c r="K6" s="25"/>
      <c r="L6" s="25"/>
      <c r="M6" s="25"/>
      <c r="N6" s="26"/>
      <c r="O6" s="26"/>
      <c r="P6" s="26"/>
    </row>
    <row r="7" spans="1:17">
      <c r="A7" s="25" t="str">
        <f>ID!A6</f>
        <v>No. Seri</v>
      </c>
      <c r="C7" s="25"/>
      <c r="D7" s="26"/>
      <c r="E7" s="27" t="s">
        <v>14</v>
      </c>
      <c r="F7" s="369" t="str">
        <f>ID!E6</f>
        <v>BDH10736</v>
      </c>
      <c r="G7" s="27"/>
      <c r="H7" s="27"/>
      <c r="J7" s="25"/>
      <c r="K7" s="25"/>
      <c r="L7" s="25"/>
      <c r="M7" s="25"/>
      <c r="N7" s="26"/>
      <c r="O7" s="26"/>
      <c r="P7" s="26"/>
    </row>
    <row r="8" spans="1:17">
      <c r="A8" s="25" t="str">
        <f>ID!A7</f>
        <v>Resolusi</v>
      </c>
      <c r="C8" s="25"/>
      <c r="D8" s="26"/>
      <c r="E8" s="27" t="s">
        <v>14</v>
      </c>
      <c r="F8" s="369">
        <f>ID!E7</f>
        <v>1</v>
      </c>
      <c r="G8" s="366" t="s">
        <v>63</v>
      </c>
      <c r="H8" s="366"/>
      <c r="I8" s="366"/>
      <c r="J8" s="366"/>
      <c r="K8" s="25"/>
      <c r="L8" s="25"/>
      <c r="M8" s="25"/>
      <c r="N8" s="26"/>
      <c r="O8" s="26"/>
      <c r="P8" s="26"/>
    </row>
    <row r="9" spans="1:17">
      <c r="A9" s="25" t="str">
        <f>ID!A8</f>
        <v>Tanggal Penerimaan Alat</v>
      </c>
      <c r="C9" s="25"/>
      <c r="D9" s="26"/>
      <c r="E9" s="27" t="s">
        <v>14</v>
      </c>
      <c r="F9" s="957">
        <f>ID!E8</f>
        <v>44624</v>
      </c>
      <c r="G9" s="957"/>
      <c r="H9" s="957"/>
      <c r="I9" s="957"/>
      <c r="J9" s="25"/>
      <c r="K9" s="25"/>
      <c r="L9" s="25"/>
      <c r="M9" s="25"/>
      <c r="N9" s="26"/>
      <c r="O9" s="26"/>
      <c r="P9" s="26"/>
    </row>
    <row r="10" spans="1:17">
      <c r="A10" s="25" t="str">
        <f>ID!A9</f>
        <v>Tanggal Kalibrasi</v>
      </c>
      <c r="C10" s="25"/>
      <c r="D10" s="26"/>
      <c r="E10" s="27" t="s">
        <v>14</v>
      </c>
      <c r="F10" s="957">
        <f>ID!E9</f>
        <v>44625</v>
      </c>
      <c r="G10" s="957"/>
      <c r="H10" s="957"/>
      <c r="I10" s="957"/>
      <c r="J10" s="25"/>
      <c r="K10" s="25"/>
      <c r="L10" s="25"/>
      <c r="M10" s="25"/>
      <c r="N10" s="26"/>
      <c r="O10" s="26"/>
      <c r="P10" s="26"/>
    </row>
    <row r="11" spans="1:17">
      <c r="A11" s="25" t="str">
        <f>ID!A10</f>
        <v>Tempat Kalibrasi</v>
      </c>
      <c r="C11" s="25"/>
      <c r="D11" s="26"/>
      <c r="E11" s="27" t="s">
        <v>14</v>
      </c>
      <c r="F11" s="369" t="str">
        <f>ID!E10</f>
        <v>IGD</v>
      </c>
      <c r="G11" s="27"/>
      <c r="H11" s="27"/>
      <c r="J11" s="25"/>
      <c r="K11" s="25"/>
      <c r="L11" s="25"/>
      <c r="M11" s="25"/>
      <c r="N11" s="26"/>
      <c r="O11" s="26"/>
      <c r="P11" s="26"/>
    </row>
    <row r="12" spans="1:17">
      <c r="A12" s="25" t="str">
        <f>ID!A11</f>
        <v>Nama Ruang</v>
      </c>
      <c r="C12" s="25"/>
      <c r="D12" s="26"/>
      <c r="E12" s="27" t="s">
        <v>14</v>
      </c>
      <c r="F12" s="369" t="str">
        <f>ID!E11</f>
        <v>IGD</v>
      </c>
      <c r="G12" s="27"/>
      <c r="H12" s="27"/>
      <c r="J12" s="25"/>
      <c r="K12" s="25"/>
      <c r="L12" s="25"/>
      <c r="M12" s="25"/>
      <c r="N12" s="26"/>
      <c r="O12" s="26"/>
      <c r="P12" s="26"/>
    </row>
    <row r="13" spans="1:17">
      <c r="A13" s="25" t="str">
        <f>ID!A12</f>
        <v>Metode Kerja</v>
      </c>
      <c r="C13" s="25"/>
      <c r="D13" s="26"/>
      <c r="E13" s="27" t="s">
        <v>14</v>
      </c>
      <c r="F13" s="369" t="str">
        <f>ID!E12</f>
        <v>MK 015 - 18</v>
      </c>
      <c r="G13" s="27"/>
      <c r="H13" s="27"/>
      <c r="J13" s="25"/>
      <c r="K13" s="25"/>
      <c r="L13" s="25"/>
      <c r="M13" s="25"/>
      <c r="N13" s="26"/>
      <c r="O13" s="26"/>
      <c r="P13" s="26"/>
    </row>
    <row r="14" spans="1:17" ht="14.25" customHeight="1">
      <c r="B14" s="25"/>
      <c r="C14" s="25"/>
      <c r="D14" s="26"/>
      <c r="E14" s="25"/>
      <c r="F14" s="369"/>
      <c r="G14" s="25"/>
      <c r="H14" s="25"/>
      <c r="I14" s="25"/>
      <c r="J14" s="25"/>
      <c r="K14" s="25"/>
      <c r="L14" s="25"/>
      <c r="M14" s="25"/>
      <c r="N14" s="26"/>
      <c r="O14" s="26"/>
      <c r="P14" s="26" t="str">
        <f>G18&amp;P15&amp;H18&amp;P15&amp;I18</f>
        <v xml:space="preserve"> ±  1.2 Volt</v>
      </c>
    </row>
    <row r="15" spans="1:17">
      <c r="A15" s="28" t="s">
        <v>6</v>
      </c>
      <c r="B15" s="28" t="s">
        <v>291</v>
      </c>
      <c r="D15" s="26"/>
      <c r="E15" s="28"/>
      <c r="F15" s="368"/>
      <c r="G15" s="28"/>
      <c r="H15" s="28"/>
      <c r="I15" s="28"/>
      <c r="J15" s="28"/>
      <c r="K15" s="28"/>
      <c r="L15" s="28"/>
      <c r="M15" s="28"/>
      <c r="N15" s="26"/>
      <c r="O15" s="26"/>
      <c r="P15" s="776" t="s">
        <v>54</v>
      </c>
    </row>
    <row r="16" spans="1:17" ht="16.5">
      <c r="B16" s="25" t="str">
        <f>ID!B16</f>
        <v xml:space="preserve">1. Suhu </v>
      </c>
      <c r="D16" s="26"/>
      <c r="E16" s="27" t="s">
        <v>14</v>
      </c>
      <c r="F16" s="536">
        <f>'DB Thermohygro'!U377</f>
        <v>24.590990566037739</v>
      </c>
      <c r="G16" s="374" t="str">
        <f>FORECAST!N35</f>
        <v xml:space="preserve"> ± </v>
      </c>
      <c r="H16" s="536">
        <f>'DB Thermohygro'!W377</f>
        <v>0.8</v>
      </c>
      <c r="I16" s="775" t="str">
        <f>FORECAST!P35</f>
        <v xml:space="preserve"> °C</v>
      </c>
      <c r="J16" s="365"/>
      <c r="K16" s="29"/>
      <c r="L16" s="25"/>
      <c r="M16" s="25"/>
      <c r="N16" s="26"/>
      <c r="O16" s="26"/>
      <c r="P16" s="26"/>
    </row>
    <row r="17" spans="1:20">
      <c r="B17" s="25" t="str">
        <f>ID!B17</f>
        <v>2. Kelembaban</v>
      </c>
      <c r="D17" s="26"/>
      <c r="E17" s="27" t="s">
        <v>14</v>
      </c>
      <c r="F17" s="536">
        <f>'DB Thermohygro'!U378</f>
        <v>60.16225</v>
      </c>
      <c r="G17" s="374" t="str">
        <f>FORECAST!N36</f>
        <v xml:space="preserve"> ± </v>
      </c>
      <c r="H17" s="536">
        <f>'DB Thermohygro'!W378</f>
        <v>2.6</v>
      </c>
      <c r="I17" s="364" t="str">
        <f>FORECAST!P36</f>
        <v xml:space="preserve"> %RH</v>
      </c>
      <c r="J17" s="365"/>
      <c r="K17" s="25"/>
      <c r="L17" s="25"/>
      <c r="M17" s="25"/>
      <c r="N17" s="26"/>
      <c r="O17" s="26"/>
      <c r="P17" s="26"/>
    </row>
    <row r="18" spans="1:20">
      <c r="B18" s="25" t="str">
        <f>ID!B18</f>
        <v>3. Tegangan Jala - jala</v>
      </c>
      <c r="D18" s="26"/>
      <c r="E18" s="27" t="s">
        <v>14</v>
      </c>
      <c r="F18" s="536">
        <f>FORECAST!K45</f>
        <v>221.97595855111959</v>
      </c>
      <c r="G18" s="374" t="str">
        <f>FORECAST!N37</f>
        <v xml:space="preserve"> ± </v>
      </c>
      <c r="H18" s="536">
        <f>'DB ESA'!N203</f>
        <v>1.2</v>
      </c>
      <c r="I18" s="253" t="s">
        <v>15</v>
      </c>
      <c r="K18" s="26"/>
      <c r="L18" s="25"/>
      <c r="M18" s="25"/>
      <c r="N18" s="26"/>
      <c r="O18" s="26"/>
      <c r="P18" s="26"/>
    </row>
    <row r="19" spans="1:20" ht="14.25" customHeight="1">
      <c r="B19" s="25"/>
      <c r="C19" s="30"/>
      <c r="D19" s="30"/>
      <c r="E19" s="27"/>
      <c r="F19" s="369"/>
      <c r="G19" s="27"/>
      <c r="H19" s="27"/>
      <c r="I19" s="31"/>
      <c r="J19" s="31"/>
      <c r="K19" s="25"/>
      <c r="L19" s="25"/>
      <c r="M19" s="25"/>
      <c r="N19" s="26"/>
      <c r="O19" s="26"/>
      <c r="P19" s="26"/>
    </row>
    <row r="20" spans="1:20">
      <c r="A20" s="28" t="s">
        <v>16</v>
      </c>
      <c r="B20" s="28" t="s">
        <v>292</v>
      </c>
      <c r="D20" s="26"/>
      <c r="E20" s="28"/>
      <c r="F20" s="368"/>
      <c r="G20" s="28"/>
      <c r="H20" s="28"/>
      <c r="I20" s="28"/>
      <c r="J20" s="28"/>
      <c r="K20" s="28"/>
      <c r="L20" s="28"/>
      <c r="M20" s="28"/>
      <c r="N20" s="26"/>
      <c r="O20" s="26"/>
      <c r="P20" s="65" t="s">
        <v>17</v>
      </c>
    </row>
    <row r="21" spans="1:20">
      <c r="B21" s="25" t="str">
        <f>ID!B21</f>
        <v>1. Fisik</v>
      </c>
      <c r="D21" s="26"/>
      <c r="E21" s="27" t="s">
        <v>14</v>
      </c>
      <c r="F21" s="25" t="str">
        <f>ID!E21</f>
        <v>Baik</v>
      </c>
      <c r="G21" s="27"/>
      <c r="H21" s="27"/>
      <c r="J21" s="25"/>
      <c r="K21" s="25"/>
      <c r="L21" s="25"/>
      <c r="M21" s="25"/>
      <c r="N21" s="26"/>
      <c r="O21" s="25"/>
      <c r="P21" s="737">
        <f>IF(F21="baik",5,IF(F21="Tidak Baik",0))</f>
        <v>5</v>
      </c>
    </row>
    <row r="22" spans="1:20">
      <c r="B22" s="25" t="str">
        <f>ID!B22</f>
        <v>2. Fungsi</v>
      </c>
      <c r="D22" s="26"/>
      <c r="E22" s="27" t="s">
        <v>14</v>
      </c>
      <c r="F22" s="25" t="str">
        <f>ID!E22</f>
        <v>Baik</v>
      </c>
      <c r="G22" s="27"/>
      <c r="H22" s="27"/>
      <c r="J22" s="25"/>
      <c r="K22" s="25"/>
      <c r="L22" s="25"/>
      <c r="M22" s="25"/>
      <c r="N22" s="26"/>
      <c r="O22" s="25"/>
      <c r="P22" s="737">
        <f>IF(F22="baik",5,IF(F22="Tidak Baik",0))</f>
        <v>5</v>
      </c>
    </row>
    <row r="23" spans="1:20" ht="14.25" customHeight="1">
      <c r="B23" s="25"/>
      <c r="C23" s="25"/>
      <c r="D23" s="25"/>
      <c r="E23" s="25"/>
      <c r="F23" s="369"/>
      <c r="G23" s="25"/>
      <c r="H23" s="25"/>
      <c r="I23" s="25"/>
      <c r="J23" s="25"/>
      <c r="K23" s="25"/>
      <c r="L23" s="25"/>
      <c r="M23" s="26"/>
      <c r="N23" s="26"/>
      <c r="O23" s="25"/>
      <c r="P23" s="734"/>
    </row>
    <row r="24" spans="1:20">
      <c r="A24" s="28" t="s">
        <v>22</v>
      </c>
      <c r="B24" s="28" t="s">
        <v>290</v>
      </c>
      <c r="D24" s="28"/>
      <c r="E24" s="28"/>
      <c r="F24" s="368"/>
      <c r="G24" s="28"/>
      <c r="H24" s="28"/>
      <c r="I24" s="28"/>
      <c r="J24" s="24"/>
      <c r="K24" s="32"/>
      <c r="L24" s="33"/>
      <c r="M24" s="26"/>
      <c r="N24" s="26"/>
      <c r="O24" s="25"/>
      <c r="P24" s="734"/>
    </row>
    <row r="25" spans="1:20" ht="12" customHeight="1">
      <c r="B25" s="929" t="s">
        <v>23</v>
      </c>
      <c r="C25" s="861" t="s">
        <v>24</v>
      </c>
      <c r="D25" s="862"/>
      <c r="E25" s="862"/>
      <c r="F25" s="862"/>
      <c r="G25" s="862"/>
      <c r="H25" s="862"/>
      <c r="I25" s="862"/>
      <c r="J25" s="862"/>
      <c r="K25" s="863"/>
      <c r="L25" s="940" t="s">
        <v>25</v>
      </c>
      <c r="M25" s="941"/>
      <c r="N25" s="767" t="s">
        <v>156</v>
      </c>
      <c r="O25" s="66"/>
      <c r="P25" s="735"/>
    </row>
    <row r="26" spans="1:20" ht="19.5" customHeight="1">
      <c r="B26" s="929"/>
      <c r="C26" s="864"/>
      <c r="D26" s="865"/>
      <c r="E26" s="865"/>
      <c r="F26" s="865"/>
      <c r="G26" s="865"/>
      <c r="H26" s="865"/>
      <c r="I26" s="865"/>
      <c r="J26" s="865"/>
      <c r="K26" s="866"/>
      <c r="L26" s="942"/>
      <c r="M26" s="943"/>
      <c r="N26" s="768" t="s">
        <v>157</v>
      </c>
      <c r="O26" s="66"/>
      <c r="P26" s="736" t="s">
        <v>17</v>
      </c>
      <c r="S26" s="552" t="s">
        <v>465</v>
      </c>
      <c r="T26" s="23">
        <v>500</v>
      </c>
    </row>
    <row r="27" spans="1:20" ht="18" customHeight="1">
      <c r="B27" s="55">
        <v>1</v>
      </c>
      <c r="C27" s="1080" t="str">
        <f>ID!C27</f>
        <v xml:space="preserve">Resistansi isolasi </v>
      </c>
      <c r="D27" s="1080"/>
      <c r="E27" s="1080"/>
      <c r="F27" s="1080"/>
      <c r="G27" s="1080"/>
      <c r="H27" s="1080"/>
      <c r="I27" s="1080"/>
      <c r="J27" s="1080"/>
      <c r="K27" s="1080"/>
      <c r="L27" s="1083" t="str">
        <f>FORECAST!K46</f>
        <v>OL</v>
      </c>
      <c r="M27" s="1084"/>
      <c r="N27" s="541" t="str">
        <f>ID!K27</f>
        <v xml:space="preserve">&gt; 2 MΩ
</v>
      </c>
      <c r="O27" s="43"/>
      <c r="P27" s="738">
        <f>IF(ID!I27="OL",10,IF(ID!I27="-",0,IF(L27&gt;2,10,0)))</f>
        <v>10</v>
      </c>
      <c r="S27" s="552" t="s">
        <v>466</v>
      </c>
      <c r="T27" s="23">
        <v>100</v>
      </c>
    </row>
    <row r="28" spans="1:20" ht="18" customHeight="1">
      <c r="B28" s="55">
        <v>2</v>
      </c>
      <c r="C28" s="1080" t="str">
        <f>ID!C28</f>
        <v>Resistansi Pembumian Protektif</v>
      </c>
      <c r="D28" s="1080"/>
      <c r="E28" s="1080"/>
      <c r="F28" s="1080"/>
      <c r="G28" s="1080"/>
      <c r="H28" s="1080"/>
      <c r="I28" s="1080"/>
      <c r="J28" s="1080"/>
      <c r="K28" s="1080"/>
      <c r="L28" s="1078">
        <f>FORECAST!K47</f>
        <v>8.8561738760452535E-2</v>
      </c>
      <c r="M28" s="1079"/>
      <c r="N28" s="541" t="str">
        <f>ID!K28</f>
        <v>≤ 0.2 Ω</v>
      </c>
      <c r="O28" s="43"/>
      <c r="P28" s="738">
        <f>IF(ID!I28="OL",10,IF(ID!I28="-",0,IF(L28&lt;=0.2,10,0)))</f>
        <v>10</v>
      </c>
      <c r="R28" s="244"/>
      <c r="S28" s="67" t="s">
        <v>28</v>
      </c>
      <c r="T28" s="23">
        <f>VLOOKUP(C29,S26:T27,2,FALSE)</f>
        <v>500</v>
      </c>
    </row>
    <row r="29" spans="1:20" ht="18" customHeight="1">
      <c r="B29" s="55">
        <v>3</v>
      </c>
      <c r="C29" s="1080" t="str">
        <f>ID!C29</f>
        <v>Arus bocor peralatan untuk perangkat elektromedik kelas I</v>
      </c>
      <c r="D29" s="1080"/>
      <c r="E29" s="1080"/>
      <c r="F29" s="1080"/>
      <c r="G29" s="1080"/>
      <c r="H29" s="1080"/>
      <c r="I29" s="1080"/>
      <c r="J29" s="1080"/>
      <c r="K29" s="1080"/>
      <c r="L29" s="1081">
        <f>FORECAST!K48</f>
        <v>57.443753250448466</v>
      </c>
      <c r="M29" s="1082"/>
      <c r="N29" s="541" t="str">
        <f>ID!K29</f>
        <v>≤ 500 µA</v>
      </c>
      <c r="O29" s="43"/>
      <c r="P29" s="738">
        <f>IF(ID!I29="OL",20,IF(ID!I29="-",0,IF(L29&lt;=T28,20,0)))</f>
        <v>20</v>
      </c>
      <c r="R29" s="67"/>
      <c r="S29" s="67" t="s">
        <v>31</v>
      </c>
    </row>
    <row r="30" spans="1:20" ht="14.25" customHeight="1">
      <c r="B30" s="37"/>
      <c r="C30" s="369"/>
      <c r="D30" s="369"/>
      <c r="E30" s="369"/>
      <c r="F30" s="369"/>
      <c r="G30" s="369"/>
      <c r="H30" s="369"/>
      <c r="I30" s="369"/>
      <c r="J30" s="369"/>
      <c r="K30" s="38"/>
      <c r="L30" s="37"/>
      <c r="M30" s="26"/>
      <c r="N30" s="26"/>
      <c r="O30" s="25"/>
      <c r="P30" s="734"/>
      <c r="Q30" s="246"/>
      <c r="R30" s="67"/>
      <c r="S30" s="67" t="s">
        <v>34</v>
      </c>
      <c r="T30" s="262"/>
    </row>
    <row r="31" spans="1:20">
      <c r="A31" s="28" t="s">
        <v>37</v>
      </c>
      <c r="B31" s="28" t="str">
        <f>ID!B31</f>
        <v>Kalibrasi Akurasi Frekuensi Heart Rate</v>
      </c>
      <c r="D31" s="28"/>
      <c r="E31" s="28"/>
      <c r="F31" s="368"/>
      <c r="G31" s="28"/>
      <c r="H31" s="28"/>
      <c r="I31" s="28"/>
      <c r="J31" s="28"/>
      <c r="K31" s="37"/>
      <c r="L31" s="25"/>
      <c r="M31" s="26"/>
      <c r="N31" s="26"/>
      <c r="O31" s="25"/>
      <c r="P31" s="734"/>
      <c r="R31" s="67"/>
      <c r="S31" s="67"/>
    </row>
    <row r="32" spans="1:20" ht="36.75" customHeight="1">
      <c r="B32" s="547" t="s">
        <v>158</v>
      </c>
      <c r="C32" s="545" t="s">
        <v>24</v>
      </c>
      <c r="D32" s="962" t="s">
        <v>159</v>
      </c>
      <c r="E32" s="962"/>
      <c r="F32" s="1068" t="s">
        <v>160</v>
      </c>
      <c r="G32" s="1069"/>
      <c r="H32" s="1069"/>
      <c r="I32" s="1070"/>
      <c r="J32" s="39" t="s">
        <v>87</v>
      </c>
      <c r="K32" s="39" t="s">
        <v>40</v>
      </c>
      <c r="L32" s="547" t="s">
        <v>161</v>
      </c>
      <c r="N32" s="26"/>
      <c r="O32" s="68" t="s">
        <v>162</v>
      </c>
      <c r="P32" s="165" t="s">
        <v>17</v>
      </c>
    </row>
    <row r="33" spans="1:26" ht="15.75" customHeight="1">
      <c r="B33" s="56">
        <f>ID!B34</f>
        <v>1</v>
      </c>
      <c r="C33" s="953" t="s">
        <v>47</v>
      </c>
      <c r="D33" s="956">
        <f>ID!D34</f>
        <v>30</v>
      </c>
      <c r="E33" s="956"/>
      <c r="F33" s="1071">
        <f>IFERROR(ID!J74,"-")</f>
        <v>29.000001000000001</v>
      </c>
      <c r="G33" s="1072"/>
      <c r="H33" s="1072"/>
      <c r="I33" s="1073"/>
      <c r="J33" s="534">
        <f>FORECAST!M13</f>
        <v>-0.99999899999999897</v>
      </c>
      <c r="K33" s="1074">
        <v>0.05</v>
      </c>
      <c r="L33" s="40">
        <f>IFERROR(ID!N74,"-")</f>
        <v>0.5798270973387214</v>
      </c>
      <c r="N33" s="26"/>
      <c r="O33" s="23">
        <f>IFERROR(ID!M74,"-")</f>
        <v>5.2660869911290682</v>
      </c>
      <c r="P33" s="738">
        <f>IF(O33="-",S33,IF(O33&lt;=5,S33,IF(P34&gt;5,0)))</f>
        <v>0</v>
      </c>
      <c r="Q33" s="23">
        <f>IF($L$29="-",R33,S33)</f>
        <v>14.2857143</v>
      </c>
      <c r="R33" s="259">
        <v>2.5</v>
      </c>
      <c r="S33" s="245">
        <v>14.2857143</v>
      </c>
      <c r="T33" s="23">
        <v>14.2857143</v>
      </c>
      <c r="U33" s="262">
        <f>SUM(P33:P39)</f>
        <v>85.714285799999999</v>
      </c>
      <c r="V33" s="262">
        <f>SUM(T33:T39)</f>
        <v>100.00000009999999</v>
      </c>
      <c r="W33" s="737">
        <f>IF(U33&lt;70,0,IF(U33&gt;70,50))</f>
        <v>50</v>
      </c>
    </row>
    <row r="34" spans="1:26">
      <c r="B34" s="56">
        <f>ID!B35</f>
        <v>2</v>
      </c>
      <c r="C34" s="954"/>
      <c r="D34" s="956">
        <f>ID!D35</f>
        <v>60</v>
      </c>
      <c r="E34" s="956"/>
      <c r="F34" s="1071">
        <f>IFERROR(ID!J75,"-")</f>
        <v>60.000000999999997</v>
      </c>
      <c r="G34" s="1072"/>
      <c r="H34" s="1072"/>
      <c r="I34" s="1073"/>
      <c r="J34" s="534">
        <f>FORECAST!M14</f>
        <v>9.9999999747524271E-7</v>
      </c>
      <c r="K34" s="1075"/>
      <c r="L34" s="40">
        <f>IFERROR(ID!N75,"-")</f>
        <v>0.57982731350748251</v>
      </c>
      <c r="N34" s="26"/>
      <c r="O34" s="23">
        <f>IFERROR(ID!M75,"-")</f>
        <v>0.96638052251246664</v>
      </c>
      <c r="P34" s="738">
        <f t="shared" ref="P34:P39" si="0">IF(O34="-",S34,IF(O34&lt;=5,S34,IF(P35&gt;5,0)))</f>
        <v>14.2857143</v>
      </c>
      <c r="Q34" s="23">
        <f t="shared" ref="Q34:Q39" si="1">IF($L$29="-",R34,S34)</f>
        <v>14.2857143</v>
      </c>
      <c r="R34" s="259">
        <v>5</v>
      </c>
      <c r="S34" s="245">
        <v>14.2857143</v>
      </c>
      <c r="T34" s="23">
        <v>14.2857143</v>
      </c>
    </row>
    <row r="35" spans="1:26">
      <c r="B35" s="56" t="str">
        <f>ID!B36</f>
        <v>3</v>
      </c>
      <c r="C35" s="954"/>
      <c r="D35" s="956">
        <f>ID!D36</f>
        <v>90</v>
      </c>
      <c r="E35" s="956"/>
      <c r="F35" s="1071">
        <f>IFERROR(ID!J76,"-")</f>
        <v>91.000000999999997</v>
      </c>
      <c r="G35" s="1072"/>
      <c r="H35" s="1072"/>
      <c r="I35" s="1073"/>
      <c r="J35" s="534">
        <f>FORECAST!M15</f>
        <v>1.0000009999999975</v>
      </c>
      <c r="K35" s="1075"/>
      <c r="L35" s="40">
        <f>IFERROR(ID!N76,"-")</f>
        <v>0.57982768026562981</v>
      </c>
      <c r="N35" s="26"/>
      <c r="O35" s="23">
        <f>IFERROR(ID!M76,"-")</f>
        <v>1.7553652002951416</v>
      </c>
      <c r="P35" s="738">
        <f t="shared" si="0"/>
        <v>14.2857143</v>
      </c>
      <c r="Q35" s="23">
        <f t="shared" si="1"/>
        <v>14.2857143</v>
      </c>
      <c r="R35" s="259">
        <v>20</v>
      </c>
      <c r="S35" s="245">
        <v>14.2857143</v>
      </c>
      <c r="T35" s="23">
        <v>14.2857143</v>
      </c>
    </row>
    <row r="36" spans="1:26">
      <c r="B36" s="56" t="str">
        <f>ID!B37</f>
        <v>4</v>
      </c>
      <c r="C36" s="954"/>
      <c r="D36" s="956">
        <f>ID!D37</f>
        <v>120</v>
      </c>
      <c r="E36" s="956"/>
      <c r="F36" s="1071">
        <f>IFERROR(ID!J77,"-")</f>
        <v>120.000001</v>
      </c>
      <c r="G36" s="1072"/>
      <c r="H36" s="1072"/>
      <c r="I36" s="1073"/>
      <c r="J36" s="534">
        <f>FORECAST!M16</f>
        <v>9.9999999747524271E-7</v>
      </c>
      <c r="K36" s="1075"/>
      <c r="L36" s="40">
        <f>IFERROR(ID!N77,"-")</f>
        <v>0.57982815969146284</v>
      </c>
      <c r="N36" s="26"/>
      <c r="O36" s="23">
        <f>IFERROR(ID!M77,"-")</f>
        <v>0.48319096640955023</v>
      </c>
      <c r="P36" s="738">
        <f t="shared" si="0"/>
        <v>14.2857143</v>
      </c>
      <c r="Q36" s="23">
        <f t="shared" si="1"/>
        <v>14.2857143</v>
      </c>
      <c r="R36" s="259">
        <v>20</v>
      </c>
      <c r="S36" s="245">
        <v>14.2857143</v>
      </c>
      <c r="T36" s="23">
        <v>14.2857143</v>
      </c>
    </row>
    <row r="37" spans="1:26">
      <c r="B37" s="56" t="str">
        <f>ID!B38</f>
        <v>5</v>
      </c>
      <c r="C37" s="954"/>
      <c r="D37" s="956">
        <f>ID!D38</f>
        <v>150</v>
      </c>
      <c r="E37" s="956"/>
      <c r="F37" s="1071">
        <f>IFERROR(ID!J78,"-")</f>
        <v>150.000001</v>
      </c>
      <c r="G37" s="1072"/>
      <c r="H37" s="1072"/>
      <c r="I37" s="1073"/>
      <c r="J37" s="534">
        <f>FORECAST!M17</f>
        <v>9.9999999747524271E-7</v>
      </c>
      <c r="K37" s="1075"/>
      <c r="L37" s="40">
        <f>IFERROR(ID!N78,"-")</f>
        <v>0.57982879432906254</v>
      </c>
      <c r="N37" s="26"/>
      <c r="O37" s="23">
        <f>IFERROR(ID!M78,"-")</f>
        <v>0.38655319621937334</v>
      </c>
      <c r="P37" s="738">
        <f t="shared" si="0"/>
        <v>14.2857143</v>
      </c>
      <c r="Q37" s="23">
        <f t="shared" si="1"/>
        <v>14.2857143</v>
      </c>
      <c r="R37" s="259">
        <v>20</v>
      </c>
      <c r="S37" s="245">
        <v>14.2857143</v>
      </c>
      <c r="T37" s="23">
        <v>14.2857143</v>
      </c>
      <c r="Z37" s="243">
        <f>IFERROR(ID!M74,"-")</f>
        <v>5.2660869911290682</v>
      </c>
    </row>
    <row r="38" spans="1:26">
      <c r="B38" s="56" t="str">
        <f>ID!B39</f>
        <v>6</v>
      </c>
      <c r="C38" s="954"/>
      <c r="D38" s="956">
        <f>ID!D39</f>
        <v>180</v>
      </c>
      <c r="E38" s="956"/>
      <c r="F38" s="1071">
        <f>IFERROR(ID!J79,"-")</f>
        <v>180.000001</v>
      </c>
      <c r="G38" s="1072"/>
      <c r="H38" s="1072"/>
      <c r="I38" s="1073"/>
      <c r="J38" s="534">
        <f>FORECAST!M18</f>
        <v>9.9999999747524271E-7</v>
      </c>
      <c r="K38" s="1075"/>
      <c r="L38" s="40">
        <f>IFERROR(ID!N79,"-")</f>
        <v>0.57982956999679125</v>
      </c>
      <c r="N38" s="26"/>
      <c r="O38" s="23">
        <f>IFERROR(ID!M79,"-")</f>
        <v>0.32212809444266044</v>
      </c>
      <c r="P38" s="738">
        <f t="shared" si="0"/>
        <v>14.2857143</v>
      </c>
      <c r="Q38" s="23">
        <f t="shared" si="1"/>
        <v>14.2857143</v>
      </c>
      <c r="R38" s="259">
        <v>20</v>
      </c>
      <c r="S38" s="245">
        <v>14.2857143</v>
      </c>
      <c r="T38" s="23">
        <v>14.2857143</v>
      </c>
      <c r="Z38" s="243">
        <f>ID!M75</f>
        <v>0.96638052251246664</v>
      </c>
    </row>
    <row r="39" spans="1:26" ht="12.75" customHeight="1">
      <c r="B39" s="56" t="str">
        <f>ID!B40</f>
        <v>7</v>
      </c>
      <c r="C39" s="955"/>
      <c r="D39" s="956">
        <f>ID!D40</f>
        <v>240</v>
      </c>
      <c r="E39" s="956"/>
      <c r="F39" s="1071">
        <f>IFERROR(ID!J80,"-")</f>
        <v>240.000001</v>
      </c>
      <c r="G39" s="1072"/>
      <c r="H39" s="1072"/>
      <c r="I39" s="1073"/>
      <c r="J39" s="534">
        <f>FORECAST!M19</f>
        <v>9.9999999747524271E-7</v>
      </c>
      <c r="K39" s="1076"/>
      <c r="L39" s="40">
        <f>IFERROR(ID!N80,"-")</f>
        <v>0.57983196971540518</v>
      </c>
      <c r="N39" s="26"/>
      <c r="O39" s="23">
        <f>IFERROR(ID!M80,"-")</f>
        <v>0.24159707071475112</v>
      </c>
      <c r="P39" s="738">
        <f t="shared" si="0"/>
        <v>14.2857143</v>
      </c>
      <c r="Q39" s="23">
        <f t="shared" si="1"/>
        <v>14.2857143</v>
      </c>
      <c r="R39" s="259">
        <v>2.5</v>
      </c>
      <c r="S39" s="245">
        <v>14.2857143</v>
      </c>
      <c r="T39" s="23">
        <v>14.2857143</v>
      </c>
      <c r="Z39" s="243">
        <f>ID!M76</f>
        <v>1.7553652002951416</v>
      </c>
    </row>
    <row r="40" spans="1:26" ht="14.25" customHeight="1">
      <c r="B40" s="37"/>
      <c r="C40" s="37"/>
      <c r="D40" s="41"/>
      <c r="E40" s="42"/>
      <c r="F40" s="369"/>
      <c r="G40" s="37"/>
      <c r="H40" s="37"/>
      <c r="I40" s="37"/>
      <c r="J40" s="37"/>
      <c r="K40" s="37"/>
      <c r="L40" s="37"/>
      <c r="M40" s="26"/>
      <c r="N40" s="26"/>
      <c r="O40" s="26"/>
      <c r="P40" s="26"/>
      <c r="Z40" s="243">
        <f>ID!M77</f>
        <v>0.48319096640955023</v>
      </c>
    </row>
    <row r="41" spans="1:26">
      <c r="A41" s="28" t="s">
        <v>51</v>
      </c>
      <c r="B41" s="28" t="s">
        <v>52</v>
      </c>
      <c r="D41" s="25"/>
      <c r="E41" s="25"/>
      <c r="F41" s="369"/>
      <c r="G41" s="25"/>
      <c r="H41" s="25"/>
      <c r="I41" s="25"/>
      <c r="J41" s="25"/>
      <c r="K41" s="25"/>
      <c r="L41" s="25"/>
      <c r="M41" s="26"/>
      <c r="N41" s="26"/>
      <c r="O41" s="26"/>
      <c r="P41" s="26"/>
      <c r="Z41" s="243">
        <f>ID!M78</f>
        <v>0.38655319621937334</v>
      </c>
    </row>
    <row r="42" spans="1:26">
      <c r="B42" s="369" t="str">
        <f>ID!B43</f>
        <v>Ketidakpastian pengukuran dilaporkan pada tingkat kepercayaan 95% dengan faktor cakupan k= 2</v>
      </c>
      <c r="D42" s="25"/>
      <c r="E42" s="25"/>
      <c r="F42" s="369"/>
      <c r="G42" s="25"/>
      <c r="H42" s="25"/>
      <c r="I42" s="25"/>
      <c r="J42" s="25"/>
      <c r="K42" s="25"/>
      <c r="L42" s="25"/>
      <c r="M42" s="26"/>
      <c r="N42" s="26"/>
      <c r="O42" s="26"/>
      <c r="P42" s="26"/>
      <c r="Z42" s="243">
        <f>ID!M79</f>
        <v>0.32212809444266044</v>
      </c>
    </row>
    <row r="43" spans="1:26" ht="15.75" customHeight="1">
      <c r="B43" s="369" t="str">
        <f>ID!B44</f>
        <v>Hasil pengujian Keselamatan Listrik tertelusur ke Satuan Internasional ( SI ) melalui PT. Kaliman (LK-032-IDN)</v>
      </c>
      <c r="D43" s="25"/>
      <c r="E43" s="25"/>
      <c r="F43" s="369"/>
      <c r="G43" s="25"/>
      <c r="H43" s="25"/>
      <c r="I43" s="25"/>
      <c r="J43" s="25"/>
      <c r="K43" s="25"/>
      <c r="L43" s="25"/>
      <c r="M43" s="26"/>
      <c r="N43" s="26"/>
      <c r="O43" s="26"/>
      <c r="P43" s="26"/>
      <c r="R43" s="260" t="s">
        <v>322</v>
      </c>
      <c r="S43" s="737">
        <f>SUM(P21:P22)</f>
        <v>10</v>
      </c>
      <c r="Z43" s="243">
        <f>IFERROR(ID!M80,"-")</f>
        <v>0.24159707071475112</v>
      </c>
    </row>
    <row r="44" spans="1:26">
      <c r="B44" s="369" t="str">
        <f>ID!B45</f>
        <v>Hasil Kalibrasi Frekuensi Heart Rate (BPM) tertelusur ke Satuan Internasional ( SI ) melalui PT.KALIMAN</v>
      </c>
      <c r="D44" s="43"/>
      <c r="E44" s="43"/>
      <c r="F44" s="370"/>
      <c r="G44" s="43"/>
      <c r="H44" s="43"/>
      <c r="I44" s="43"/>
      <c r="J44" s="43"/>
      <c r="K44" s="43"/>
      <c r="L44" s="43"/>
      <c r="R44" s="23" t="s">
        <v>323</v>
      </c>
      <c r="S44" s="737">
        <f>ID!Q60</f>
        <v>40</v>
      </c>
    </row>
    <row r="45" spans="1:26">
      <c r="B45" s="369" t="str">
        <f>ID!B46</f>
        <v>-</v>
      </c>
      <c r="D45" s="43"/>
      <c r="E45" s="43"/>
      <c r="F45" s="370"/>
      <c r="G45" s="43"/>
      <c r="H45" s="43"/>
      <c r="I45" s="43"/>
      <c r="J45" s="43"/>
      <c r="K45" s="43"/>
      <c r="L45" s="43"/>
      <c r="R45" s="23" t="s">
        <v>324</v>
      </c>
      <c r="S45" s="737">
        <f>W33</f>
        <v>50</v>
      </c>
    </row>
    <row r="46" spans="1:26">
      <c r="B46" s="369">
        <f>ID!B47</f>
        <v>0</v>
      </c>
      <c r="D46" s="43"/>
      <c r="E46" s="43"/>
      <c r="F46" s="370"/>
      <c r="G46" s="43"/>
      <c r="H46" s="43"/>
      <c r="I46" s="43"/>
      <c r="J46" s="43"/>
      <c r="K46" s="43"/>
      <c r="L46" s="43"/>
      <c r="S46" s="277"/>
    </row>
    <row r="47" spans="1:26" ht="14.25" customHeight="1">
      <c r="B47" s="369"/>
      <c r="C47" s="369"/>
      <c r="D47" s="43"/>
      <c r="E47" s="43"/>
      <c r="F47" s="370"/>
      <c r="G47" s="43"/>
      <c r="H47" s="43"/>
      <c r="I47" s="43"/>
      <c r="J47" s="43"/>
      <c r="K47" s="43"/>
      <c r="L47" s="43"/>
    </row>
    <row r="48" spans="1:26">
      <c r="A48" s="28" t="s">
        <v>55</v>
      </c>
      <c r="B48" s="28" t="s">
        <v>299</v>
      </c>
      <c r="D48" s="28"/>
      <c r="E48" s="25"/>
      <c r="F48" s="369"/>
      <c r="G48" s="25"/>
      <c r="H48" s="25"/>
      <c r="I48" s="25"/>
      <c r="J48" s="25"/>
      <c r="K48" s="25"/>
      <c r="L48" s="25"/>
      <c r="M48" s="26"/>
      <c r="N48" s="26"/>
      <c r="O48" s="26"/>
      <c r="P48" s="26"/>
    </row>
    <row r="49" spans="1:19">
      <c r="B49" s="43" t="str">
        <f>ID!B50</f>
        <v>Fetal Simulator, Merek : Fluke Biomedical, Model : PS 320, SN : 4662033</v>
      </c>
      <c r="D49" s="43"/>
      <c r="E49" s="43"/>
      <c r="F49" s="370"/>
      <c r="G49" s="43"/>
      <c r="H49" s="43"/>
      <c r="I49" s="43"/>
      <c r="J49" s="43"/>
      <c r="K49" s="43"/>
      <c r="L49" s="43"/>
    </row>
    <row r="50" spans="1:19" ht="14.25" customHeight="1">
      <c r="B50" s="43" t="str">
        <f>IF(F18="-","",ID!B51)</f>
        <v>Electrical Safety Analyzer, Merek : Fluke, Model : ESA 615, SN : 3699030</v>
      </c>
      <c r="D50" s="43"/>
      <c r="E50" s="43"/>
      <c r="F50" s="370"/>
      <c r="G50" s="43"/>
      <c r="H50" s="43"/>
      <c r="I50" s="43"/>
      <c r="J50" s="43"/>
      <c r="K50" s="43"/>
      <c r="L50" s="43"/>
    </row>
    <row r="51" spans="1:19" ht="14.25" customHeight="1">
      <c r="B51" s="766" t="s">
        <v>79</v>
      </c>
      <c r="C51" s="43"/>
      <c r="D51" s="43"/>
      <c r="E51" s="43"/>
      <c r="F51" s="370"/>
      <c r="G51" s="43"/>
      <c r="H51" s="43"/>
      <c r="I51" s="43"/>
      <c r="J51" s="43"/>
      <c r="K51" s="43"/>
      <c r="L51" s="43"/>
    </row>
    <row r="52" spans="1:19">
      <c r="A52" s="44" t="s">
        <v>59</v>
      </c>
      <c r="B52" s="44" t="s">
        <v>60</v>
      </c>
      <c r="D52" s="43"/>
      <c r="E52" s="43"/>
      <c r="F52" s="370"/>
      <c r="G52" s="43"/>
      <c r="H52" s="43"/>
      <c r="I52" s="43"/>
      <c r="J52" s="43"/>
      <c r="K52" s="43"/>
      <c r="L52" s="43"/>
    </row>
    <row r="53" spans="1:19" ht="16.5" customHeight="1">
      <c r="B53" s="959" t="str">
        <f>ID!B55</f>
        <v>Alat yang dikalibrasi dalam batas toleransi dan dinyatakan LAIK PAKAI, dimana hasil atau skor akhir sama dengan atau melampaui 70 % berdasarkan Keputusan Direktur Jenderal Pelayanan Kesehatan No : HK.02.02/V/0412/2020</v>
      </c>
      <c r="C53" s="959"/>
      <c r="D53" s="959"/>
      <c r="E53" s="959"/>
      <c r="F53" s="959"/>
      <c r="G53" s="959"/>
      <c r="H53" s="959"/>
      <c r="I53" s="959"/>
      <c r="J53" s="959"/>
      <c r="K53" s="959"/>
      <c r="L53" s="959"/>
      <c r="M53" s="959"/>
      <c r="N53" s="959"/>
      <c r="O53" s="959"/>
    </row>
    <row r="54" spans="1:19" ht="12.75" customHeight="1">
      <c r="B54" s="959"/>
      <c r="C54" s="959"/>
      <c r="D54" s="959"/>
      <c r="E54" s="959"/>
      <c r="F54" s="959"/>
      <c r="G54" s="959"/>
      <c r="H54" s="959"/>
      <c r="I54" s="959"/>
      <c r="J54" s="959"/>
      <c r="K54" s="959"/>
      <c r="L54" s="959"/>
      <c r="M54" s="959"/>
      <c r="N54" s="959"/>
      <c r="O54" s="959"/>
    </row>
    <row r="55" spans="1:19" ht="12.75" customHeight="1">
      <c r="B55" s="959"/>
      <c r="C55" s="959"/>
      <c r="D55" s="959"/>
      <c r="E55" s="959"/>
      <c r="F55" s="959"/>
      <c r="G55" s="959"/>
      <c r="H55" s="959"/>
      <c r="I55" s="959"/>
      <c r="J55" s="959"/>
      <c r="K55" s="959"/>
      <c r="L55" s="959"/>
      <c r="M55" s="959"/>
      <c r="N55" s="959"/>
      <c r="O55" s="959"/>
    </row>
    <row r="56" spans="1:19" ht="6" customHeight="1">
      <c r="B56" s="44"/>
      <c r="C56" s="43"/>
      <c r="D56" s="43"/>
      <c r="E56" s="43"/>
      <c r="F56" s="370"/>
      <c r="G56" s="43"/>
      <c r="H56" s="43"/>
      <c r="I56" s="43"/>
      <c r="J56" s="43"/>
      <c r="K56" s="43"/>
      <c r="L56" s="43"/>
    </row>
    <row r="57" spans="1:19">
      <c r="A57" s="44" t="s">
        <v>61</v>
      </c>
      <c r="B57" s="44" t="s">
        <v>62</v>
      </c>
      <c r="D57" s="43"/>
      <c r="E57" s="43"/>
      <c r="F57" s="370"/>
      <c r="G57" s="43"/>
      <c r="H57" s="43"/>
      <c r="I57" s="43"/>
      <c r="J57" s="43"/>
      <c r="K57" s="43"/>
      <c r="L57" s="43"/>
    </row>
    <row r="58" spans="1:19">
      <c r="B58" s="43" t="str">
        <f>ID!B59</f>
        <v>Septia Khairunnisa</v>
      </c>
      <c r="D58" s="43"/>
      <c r="E58" s="43"/>
      <c r="F58" s="370"/>
      <c r="G58" s="43"/>
      <c r="H58" s="43"/>
      <c r="I58" s="43"/>
      <c r="J58" s="43"/>
      <c r="K58" s="43"/>
      <c r="L58" s="43"/>
    </row>
    <row r="59" spans="1:19" ht="6.75" customHeight="1">
      <c r="B59" s="43"/>
      <c r="C59" s="43"/>
      <c r="D59" s="43"/>
      <c r="E59" s="45"/>
      <c r="F59" s="371"/>
      <c r="G59" s="45"/>
      <c r="H59" s="45"/>
      <c r="I59" s="45"/>
      <c r="J59" s="43"/>
      <c r="K59" s="43"/>
      <c r="L59" s="43"/>
    </row>
    <row r="60" spans="1:19" ht="15" customHeight="1">
      <c r="B60" s="44"/>
      <c r="C60" s="46"/>
      <c r="D60" s="550"/>
      <c r="E60" s="550"/>
      <c r="F60" s="46"/>
      <c r="G60" s="550"/>
      <c r="H60" s="550"/>
      <c r="I60" s="550"/>
      <c r="K60" s="43"/>
      <c r="L60" s="43"/>
      <c r="R60" s="1088">
        <f>SUM(S43:S45)</f>
        <v>100</v>
      </c>
      <c r="S60" s="1089"/>
    </row>
    <row r="61" spans="1:19" ht="14.25" customHeight="1">
      <c r="B61" s="43"/>
      <c r="C61" s="1092" t="s">
        <v>163</v>
      </c>
      <c r="D61" s="1093"/>
      <c r="E61" s="1093"/>
      <c r="F61" s="1093"/>
      <c r="G61" s="1093"/>
      <c r="H61" s="1093"/>
      <c r="I61" s="1094"/>
      <c r="J61" s="1092" t="s">
        <v>164</v>
      </c>
      <c r="K61" s="1094"/>
      <c r="L61" s="57" t="s">
        <v>165</v>
      </c>
      <c r="M61" s="1095" t="s">
        <v>166</v>
      </c>
      <c r="N61" s="1095"/>
      <c r="R61" s="1090"/>
      <c r="S61" s="1091"/>
    </row>
    <row r="62" spans="1:19" ht="14.25" customHeight="1">
      <c r="B62" s="43"/>
      <c r="C62" s="553" t="s">
        <v>167</v>
      </c>
      <c r="D62" s="1096" t="str">
        <f>ID!B59</f>
        <v>Septia Khairunnisa</v>
      </c>
      <c r="E62" s="1097"/>
      <c r="F62" s="1097"/>
      <c r="G62" s="1097"/>
      <c r="H62" s="1097"/>
      <c r="I62" s="1097"/>
      <c r="J62" s="1098" t="str">
        <f>ID!B63</f>
        <v>11 Maret 2020</v>
      </c>
      <c r="K62" s="1098"/>
      <c r="L62" s="554"/>
      <c r="M62" s="495">
        <f>SUM(S43:S45)</f>
        <v>100</v>
      </c>
    </row>
    <row r="63" spans="1:19" ht="14.25" customHeight="1">
      <c r="B63" s="43"/>
      <c r="C63" s="553" t="s">
        <v>168</v>
      </c>
      <c r="D63" s="58"/>
      <c r="E63" s="58"/>
      <c r="F63" s="372"/>
      <c r="G63" s="58"/>
      <c r="H63" s="58"/>
      <c r="I63" s="59"/>
      <c r="J63" s="1085"/>
      <c r="K63" s="1086"/>
      <c r="L63" s="554"/>
    </row>
    <row r="64" spans="1:19">
      <c r="B64" s="43"/>
      <c r="C64" s="1087"/>
      <c r="D64" s="1087"/>
      <c r="E64" s="958"/>
      <c r="F64" s="958"/>
      <c r="G64" s="958"/>
      <c r="H64" s="958"/>
      <c r="I64" s="958"/>
      <c r="K64" s="43"/>
      <c r="L64" s="43"/>
    </row>
    <row r="65" spans="2:12">
      <c r="B65" s="43"/>
      <c r="C65" s="549"/>
      <c r="D65" s="549"/>
      <c r="E65" s="549"/>
      <c r="F65" s="373"/>
      <c r="G65" s="549"/>
      <c r="H65" s="549"/>
      <c r="I65" s="549"/>
      <c r="K65" s="43"/>
      <c r="L65" s="43"/>
    </row>
    <row r="66" spans="2:12">
      <c r="B66" s="43"/>
      <c r="C66" s="60"/>
      <c r="D66" s="61"/>
      <c r="E66" s="62"/>
      <c r="F66" s="60"/>
      <c r="G66" s="62"/>
      <c r="H66" s="62"/>
      <c r="I66" s="62"/>
      <c r="K66" s="43"/>
      <c r="L66" s="61"/>
    </row>
    <row r="67" spans="2:12">
      <c r="B67" s="43"/>
      <c r="C67" s="60"/>
      <c r="D67" s="62"/>
      <c r="E67" s="62"/>
      <c r="F67" s="60"/>
      <c r="G67" s="62"/>
      <c r="H67" s="62"/>
      <c r="I67" s="62"/>
      <c r="K67" s="43"/>
      <c r="L67" s="69"/>
    </row>
    <row r="68" spans="2:12">
      <c r="B68" s="43"/>
      <c r="C68" s="62"/>
      <c r="D68" s="62"/>
      <c r="E68" s="62"/>
      <c r="F68" s="60"/>
      <c r="G68" s="62"/>
      <c r="H68" s="62"/>
      <c r="I68" s="62"/>
      <c r="K68" s="43"/>
      <c r="L68" s="53"/>
    </row>
  </sheetData>
  <sheetProtection formatCells="0" formatColumns="0" formatRows="0" insertColumns="0" insertRows="0" insertHyperlinks="0" deleteColumns="0" deleteRows="0" sort="0"/>
  <mergeCells count="41">
    <mergeCell ref="F37:I37"/>
    <mergeCell ref="F38:I38"/>
    <mergeCell ref="F39:I39"/>
    <mergeCell ref="M61:N61"/>
    <mergeCell ref="D62:I62"/>
    <mergeCell ref="J62:K62"/>
    <mergeCell ref="J63:K63"/>
    <mergeCell ref="C64:D64"/>
    <mergeCell ref="E64:I64"/>
    <mergeCell ref="R60:S61"/>
    <mergeCell ref="C61:I61"/>
    <mergeCell ref="J61:K61"/>
    <mergeCell ref="A1:P1"/>
    <mergeCell ref="A2:P2"/>
    <mergeCell ref="L28:M28"/>
    <mergeCell ref="C29:K29"/>
    <mergeCell ref="L29:M29"/>
    <mergeCell ref="B25:B26"/>
    <mergeCell ref="C25:K26"/>
    <mergeCell ref="L25:M26"/>
    <mergeCell ref="C27:K27"/>
    <mergeCell ref="L27:M27"/>
    <mergeCell ref="C28:K28"/>
    <mergeCell ref="F9:I9"/>
    <mergeCell ref="F10:I10"/>
    <mergeCell ref="F32:I32"/>
    <mergeCell ref="F33:I33"/>
    <mergeCell ref="F34:I34"/>
    <mergeCell ref="F35:I35"/>
    <mergeCell ref="B53:O55"/>
    <mergeCell ref="C33:C39"/>
    <mergeCell ref="K33:K39"/>
    <mergeCell ref="D37:E37"/>
    <mergeCell ref="D38:E38"/>
    <mergeCell ref="D39:E39"/>
    <mergeCell ref="D32:E32"/>
    <mergeCell ref="D33:E33"/>
    <mergeCell ref="D34:E34"/>
    <mergeCell ref="D35:E35"/>
    <mergeCell ref="D36:E36"/>
    <mergeCell ref="F36:I36"/>
  </mergeCells>
  <printOptions horizontalCentered="1"/>
  <pageMargins left="0.5" right="0.5" top="0.5" bottom="0.5" header="0.25" footer="0.25"/>
  <pageSetup paperSize="9" scale="71" orientation="portrait" r:id="rId1"/>
  <headerFooter>
    <oddHeader xml:space="preserve">&amp;R&amp;"-,Regular"&amp;8OA.024-18 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8AF2BA3-1681-41B2-95D1-1318DBA7C02E}">
            <x14:iconSet custom="1">
              <x14:cfvo type="percent">
                <xm:f>0</xm:f>
              </x14:cfvo>
              <x14:cfvo type="num">
                <xm:f>0.2</xm:f>
              </x14:cfvo>
              <x14:cfvo type="formula">
                <xm:f>"OL"</xm:f>
              </x14:cfvo>
              <x14:cfIcon iconSet="3Symbols" iconId="0"/>
              <x14:cfIcon iconSet="3Symbols" iconId="2"/>
              <x14:cfIcon iconSet="3TrafficLights1" iconId="2"/>
            </x14:iconSet>
          </x14:cfRule>
          <xm:sqref>L27</xm:sqref>
        </x14:conditionalFormatting>
        <x14:conditionalFormatting xmlns:xm="http://schemas.microsoft.com/office/excel/2006/main">
          <x14:cfRule type="iconSet" priority="1" id="{8DA5A6E1-48C5-4D5D-9C1A-E4EC8DB151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R60:S61</xm:sqref>
        </x14:conditionalFormatting>
        <x14:conditionalFormatting xmlns:xm="http://schemas.microsoft.com/office/excel/2006/main">
          <x14:cfRule type="iconSet" priority="3" id="{06100BDC-690B-4ECD-910E-434B31572376}">
            <x14:iconSet custom="1">
              <x14:cfvo type="percent">
                <xm:f>0</xm:f>
              </x14:cfvo>
              <x14:cfvo type="num">
                <xm:f>-5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0"/>
            </x14:iconSet>
          </x14:cfRule>
          <xm:sqref>Z37:Z43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SERTIFIKAT</vt:lpstr>
      <vt:lpstr>Lembar Kerja</vt:lpstr>
      <vt:lpstr>Riwayat Revisi</vt:lpstr>
      <vt:lpstr>UB</vt:lpstr>
      <vt:lpstr>ID</vt:lpstr>
      <vt:lpstr>LH</vt:lpstr>
      <vt:lpstr>DB ESA</vt:lpstr>
      <vt:lpstr>DB Thermohygro</vt:lpstr>
      <vt:lpstr>Penyelia</vt:lpstr>
      <vt:lpstr>FORECAST</vt:lpstr>
      <vt:lpstr>DATA SERTIFIKAT PS320</vt:lpstr>
      <vt:lpstr>cetik</vt:lpstr>
      <vt:lpstr>kesimpulan</vt:lpstr>
      <vt:lpstr>'DATA SERTIFIKAT PS320'!Print_Area</vt:lpstr>
      <vt:lpstr>ID!Print_Area</vt:lpstr>
      <vt:lpstr>'Lembar Kerja'!Print_Area</vt:lpstr>
      <vt:lpstr>LH!Print_Area</vt:lpstr>
      <vt:lpstr>Penyelia!Print_Area</vt:lpstr>
      <vt:lpstr>SERTIFIKAT!Print_Area</vt:lpstr>
      <vt:lpstr>UB!Print_Area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creator>Isra Mahensa</dc:creator>
  <cp:lastModifiedBy>isra mahensa</cp:lastModifiedBy>
  <cp:lastPrinted>2022-07-14T08:16:49Z</cp:lastPrinted>
  <dcterms:created xsi:type="dcterms:W3CDTF">2004-10-15T07:18:00Z</dcterms:created>
  <dcterms:modified xsi:type="dcterms:W3CDTF">2023-09-18T15:04:26Z</dcterms:modified>
  <cp:category>Doppler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