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laragon\www\traxel\public\excel\"/>
    </mc:Choice>
  </mc:AlternateContent>
  <xr:revisionPtr revIDLastSave="0" documentId="13_ncr:1_{0E367040-64C8-41AB-A671-52EDECB53C74}" xr6:coauthVersionLast="45" xr6:coauthVersionMax="45" xr10:uidLastSave="{00000000-0000-0000-0000-000000000000}"/>
  <bookViews>
    <workbookView xWindow="-110" yWindow="-110" windowWidth="19420" windowHeight="10300" firstSheet="3" activeTab="9" xr2:uid="{00000000-000D-0000-FFFF-FFFF00000000}"/>
  </bookViews>
  <sheets>
    <sheet name="DB Stopwatch (2)" sheetId="40" r:id="rId1"/>
    <sheet name="SERTIFIKAT" sheetId="43" state="hidden" r:id="rId2"/>
    <sheet name="ESA" sheetId="44" r:id="rId3"/>
    <sheet name="LK" sheetId="8" r:id="rId4"/>
    <sheet name="Riwayat Revisi" sheetId="36" r:id="rId5"/>
    <sheet name="ID" sheetId="13" r:id="rId6"/>
    <sheet name="Budget" sheetId="12" r:id="rId7"/>
    <sheet name="kata-kata" sheetId="35" r:id="rId8"/>
    <sheet name="DB Suhu" sheetId="30" r:id="rId9"/>
    <sheet name="Penyelia" sheetId="4" r:id="rId10"/>
    <sheet name="Input Data Sertifikat Defib" sheetId="37" state="hidden" r:id="rId11"/>
    <sheet name="LH" sheetId="29" r:id="rId12"/>
  </sheets>
  <externalReferences>
    <externalReference r:id="rId13"/>
    <externalReference r:id="rId14"/>
    <externalReference r:id="rId15"/>
  </externalReferences>
  <definedNames>
    <definedName name="_xlnm.Print_Area" localSheetId="6">Budget!$A$1:$W$76</definedName>
    <definedName name="_xlnm.Print_Area" localSheetId="0">'DB Stopwatch (2)'!$A$2:$T$96,'DB Stopwatch (2)'!$A$200:$O$223</definedName>
    <definedName name="_xlnm.Print_Area" localSheetId="8">'DB Suhu'!$A$229:$O$243</definedName>
    <definedName name="_xlnm.Print_Area" localSheetId="2">ESA!$AA$185:$AN$220</definedName>
    <definedName name="_xlnm.Print_Area" localSheetId="5">ID!$A$1:$M$81</definedName>
    <definedName name="_xlnm.Print_Area" localSheetId="10">'Input Data Sertifikat Defib'!$Z$77:$AL$114</definedName>
    <definedName name="_xlnm.Print_Area" localSheetId="11">LH!$A$1:$L$98</definedName>
    <definedName name="_xlnm.Print_Area" localSheetId="3">LK!$A$1:$M$77</definedName>
    <definedName name="_xlnm.Print_Area" localSheetId="9">Penyelia!$A$1:$N$83</definedName>
    <definedName name="_xlnm.Print_Area" localSheetId="1">SERTIFIKAT!$A$1:$F$33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28" i="4" l="1"/>
  <c r="H15" i="13"/>
  <c r="H14" i="13"/>
  <c r="E15" i="29"/>
  <c r="B58" i="29" l="1"/>
  <c r="B59" i="29"/>
  <c r="B60" i="29"/>
  <c r="B61" i="29"/>
  <c r="B62" i="29"/>
  <c r="B57" i="29"/>
  <c r="D20" i="4"/>
  <c r="D19" i="4"/>
  <c r="D5" i="4"/>
  <c r="D6" i="4"/>
  <c r="D7" i="4"/>
  <c r="D8" i="4"/>
  <c r="D9" i="4"/>
  <c r="D10" i="4"/>
  <c r="D11" i="4"/>
  <c r="D4" i="4"/>
  <c r="A1" i="29" l="1"/>
  <c r="AD23" i="4" l="1"/>
  <c r="J49" i="35"/>
  <c r="L26" i="13" s="1"/>
  <c r="K49" i="35"/>
  <c r="L27" i="13" s="1"/>
  <c r="A166" i="44"/>
  <c r="F148" i="44" s="1"/>
  <c r="N142" i="44"/>
  <c r="N139" i="44"/>
  <c r="I139" i="44" s="1"/>
  <c r="N140" i="44"/>
  <c r="N141" i="44"/>
  <c r="I143" i="44" s="1"/>
  <c r="N138" i="44"/>
  <c r="O138" i="44" s="1"/>
  <c r="N137" i="44"/>
  <c r="I135" i="44" s="1"/>
  <c r="K178" i="44"/>
  <c r="J178" i="44"/>
  <c r="I178" i="44"/>
  <c r="K177" i="44"/>
  <c r="J177" i="44"/>
  <c r="I177" i="44"/>
  <c r="K176" i="44"/>
  <c r="J176" i="44"/>
  <c r="I176" i="44"/>
  <c r="K175" i="44"/>
  <c r="J175" i="44"/>
  <c r="I175" i="44"/>
  <c r="K174" i="44"/>
  <c r="J174" i="44"/>
  <c r="I174" i="44"/>
  <c r="K173" i="44"/>
  <c r="J173" i="44"/>
  <c r="I173" i="44"/>
  <c r="K172" i="44"/>
  <c r="J172" i="44"/>
  <c r="I172" i="44"/>
  <c r="K171" i="44"/>
  <c r="J171" i="44"/>
  <c r="I171" i="44"/>
  <c r="K170" i="44"/>
  <c r="J170" i="44"/>
  <c r="I170" i="44"/>
  <c r="K169" i="44"/>
  <c r="J169" i="44"/>
  <c r="I169" i="44"/>
  <c r="K168" i="44"/>
  <c r="J168" i="44"/>
  <c r="I168" i="44"/>
  <c r="K167" i="44"/>
  <c r="J167" i="44"/>
  <c r="I167" i="44"/>
  <c r="V124" i="44"/>
  <c r="N124" i="44"/>
  <c r="F124" i="44"/>
  <c r="V123" i="44"/>
  <c r="N123" i="44"/>
  <c r="F123" i="44"/>
  <c r="V122" i="44"/>
  <c r="N122" i="44"/>
  <c r="F122" i="44"/>
  <c r="V121" i="44"/>
  <c r="N121" i="44"/>
  <c r="F121" i="44"/>
  <c r="U120" i="44"/>
  <c r="T120" i="44"/>
  <c r="S120" i="44"/>
  <c r="M120" i="44"/>
  <c r="L120" i="44"/>
  <c r="K120" i="44"/>
  <c r="E120" i="44"/>
  <c r="D120" i="44"/>
  <c r="C120" i="44"/>
  <c r="R119" i="44"/>
  <c r="V118" i="44"/>
  <c r="N118" i="44"/>
  <c r="F118" i="44"/>
  <c r="V117" i="44"/>
  <c r="N117" i="44"/>
  <c r="F117" i="44"/>
  <c r="V116" i="44"/>
  <c r="N116" i="44"/>
  <c r="F116" i="44"/>
  <c r="V115" i="44"/>
  <c r="N115" i="44"/>
  <c r="F115" i="44"/>
  <c r="U114" i="44"/>
  <c r="T114" i="44"/>
  <c r="S114" i="44"/>
  <c r="M114" i="44"/>
  <c r="L114" i="44"/>
  <c r="K114" i="44"/>
  <c r="V112" i="44"/>
  <c r="N112" i="44"/>
  <c r="F112" i="44"/>
  <c r="V111" i="44"/>
  <c r="N111" i="44"/>
  <c r="F111" i="44"/>
  <c r="V110" i="44"/>
  <c r="N110" i="44"/>
  <c r="F110" i="44"/>
  <c r="V109" i="44"/>
  <c r="N109" i="44"/>
  <c r="F109" i="44"/>
  <c r="V108" i="44"/>
  <c r="N108" i="44"/>
  <c r="F108" i="44"/>
  <c r="V107" i="44"/>
  <c r="N107" i="44"/>
  <c r="F107" i="44"/>
  <c r="U106" i="44"/>
  <c r="T106" i="44"/>
  <c r="S106" i="44"/>
  <c r="M106" i="44"/>
  <c r="L106" i="44"/>
  <c r="K106" i="44"/>
  <c r="E106" i="44"/>
  <c r="D106" i="44"/>
  <c r="C106" i="44"/>
  <c r="V104" i="44"/>
  <c r="N104" i="44"/>
  <c r="F104" i="44"/>
  <c r="V103" i="44"/>
  <c r="N103" i="44"/>
  <c r="F103" i="44"/>
  <c r="V102" i="44"/>
  <c r="N102" i="44"/>
  <c r="F102" i="44"/>
  <c r="V101" i="44"/>
  <c r="N101" i="44"/>
  <c r="F101" i="44"/>
  <c r="V100" i="44"/>
  <c r="N100" i="44"/>
  <c r="F100" i="44"/>
  <c r="V99" i="44"/>
  <c r="N99" i="44"/>
  <c r="F99" i="44"/>
  <c r="R95" i="44"/>
  <c r="J95" i="44"/>
  <c r="B95" i="44"/>
  <c r="W93" i="44"/>
  <c r="V93" i="44"/>
  <c r="O93" i="44"/>
  <c r="N93" i="44"/>
  <c r="F93" i="44"/>
  <c r="V92" i="44"/>
  <c r="O92" i="44"/>
  <c r="N92" i="44"/>
  <c r="F92" i="44"/>
  <c r="V91" i="44"/>
  <c r="O91" i="44"/>
  <c r="N91" i="44"/>
  <c r="F91" i="44"/>
  <c r="X90" i="44"/>
  <c r="V90" i="44"/>
  <c r="P90" i="44"/>
  <c r="O90" i="44"/>
  <c r="N90" i="44"/>
  <c r="H90" i="44"/>
  <c r="G93" i="44" s="1"/>
  <c r="F90" i="44"/>
  <c r="U89" i="44"/>
  <c r="T89" i="44"/>
  <c r="S89" i="44"/>
  <c r="M89" i="44"/>
  <c r="L89" i="44"/>
  <c r="K89" i="44"/>
  <c r="E89" i="44"/>
  <c r="D89" i="44"/>
  <c r="C89" i="44"/>
  <c r="R88" i="44"/>
  <c r="W87" i="44"/>
  <c r="V87" i="44"/>
  <c r="O87" i="44"/>
  <c r="N87" i="44"/>
  <c r="G87" i="44"/>
  <c r="F87" i="44"/>
  <c r="W86" i="44"/>
  <c r="V86" i="44"/>
  <c r="N86" i="44"/>
  <c r="G86" i="44"/>
  <c r="F86" i="44"/>
  <c r="W85" i="44"/>
  <c r="V85" i="44"/>
  <c r="N85" i="44"/>
  <c r="F85" i="44"/>
  <c r="W84" i="44"/>
  <c r="V84" i="44"/>
  <c r="P84" i="44"/>
  <c r="O84" i="44"/>
  <c r="N84" i="44"/>
  <c r="H84" i="44"/>
  <c r="G85" i="44" s="1"/>
  <c r="F84" i="44"/>
  <c r="U83" i="44"/>
  <c r="T83" i="44"/>
  <c r="S83" i="44"/>
  <c r="M83" i="44"/>
  <c r="L83" i="44"/>
  <c r="K83" i="44"/>
  <c r="R82" i="44"/>
  <c r="W81" i="44"/>
  <c r="V81" i="44"/>
  <c r="N81" i="44"/>
  <c r="F81" i="44"/>
  <c r="W80" i="44"/>
  <c r="V80" i="44"/>
  <c r="N80" i="44"/>
  <c r="F80" i="44"/>
  <c r="V79" i="44"/>
  <c r="O79" i="44"/>
  <c r="N79" i="44"/>
  <c r="G79" i="44"/>
  <c r="F79" i="44"/>
  <c r="V78" i="44"/>
  <c r="N78" i="44"/>
  <c r="G78" i="44"/>
  <c r="F78" i="44"/>
  <c r="W77" i="44"/>
  <c r="V77" i="44"/>
  <c r="N77" i="44"/>
  <c r="F77" i="44"/>
  <c r="X76" i="44"/>
  <c r="W76" i="44" s="1"/>
  <c r="V76" i="44"/>
  <c r="P76" i="44"/>
  <c r="N76" i="44"/>
  <c r="H76" i="44"/>
  <c r="G80" i="44" s="1"/>
  <c r="G76" i="44"/>
  <c r="F76" i="44"/>
  <c r="U75" i="44"/>
  <c r="T75" i="44"/>
  <c r="S75" i="44"/>
  <c r="M75" i="44"/>
  <c r="L75" i="44"/>
  <c r="K75" i="44"/>
  <c r="E75" i="44"/>
  <c r="E83" i="44" s="1"/>
  <c r="D75" i="44"/>
  <c r="D83" i="44" s="1"/>
  <c r="C75" i="44"/>
  <c r="C83" i="44" s="1"/>
  <c r="V73" i="44"/>
  <c r="N73" i="44"/>
  <c r="F73" i="44"/>
  <c r="V72" i="44"/>
  <c r="O72" i="44"/>
  <c r="N72" i="44"/>
  <c r="G72" i="44"/>
  <c r="F72" i="44"/>
  <c r="V71" i="44"/>
  <c r="N71" i="44"/>
  <c r="G71" i="44"/>
  <c r="F71" i="44"/>
  <c r="W70" i="44"/>
  <c r="V70" i="44"/>
  <c r="N70" i="44"/>
  <c r="G70" i="44"/>
  <c r="F70" i="44"/>
  <c r="W69" i="44"/>
  <c r="V69" i="44"/>
  <c r="O69" i="44"/>
  <c r="N69" i="44"/>
  <c r="F69" i="44"/>
  <c r="X68" i="44"/>
  <c r="W71" i="44" s="1"/>
  <c r="W68" i="44"/>
  <c r="V68" i="44"/>
  <c r="P68" i="44"/>
  <c r="O73" i="44" s="1"/>
  <c r="O68" i="44"/>
  <c r="N68" i="44"/>
  <c r="H68" i="44"/>
  <c r="G73" i="44" s="1"/>
  <c r="F68" i="44"/>
  <c r="R64" i="44"/>
  <c r="J64" i="44"/>
  <c r="B64" i="44"/>
  <c r="W62" i="44"/>
  <c r="V62" i="44"/>
  <c r="N62" i="44"/>
  <c r="F62" i="44"/>
  <c r="W61" i="44"/>
  <c r="V61" i="44"/>
  <c r="N61" i="44"/>
  <c r="F61" i="44"/>
  <c r="W60" i="44"/>
  <c r="V60" i="44"/>
  <c r="O60" i="44"/>
  <c r="N60" i="44"/>
  <c r="F60" i="44"/>
  <c r="X59" i="44"/>
  <c r="W59" i="44" s="1"/>
  <c r="V59" i="44"/>
  <c r="P59" i="44"/>
  <c r="O62" i="44" s="1"/>
  <c r="O59" i="44"/>
  <c r="N59" i="44"/>
  <c r="H59" i="44"/>
  <c r="F59" i="44"/>
  <c r="U58" i="44"/>
  <c r="T58" i="44"/>
  <c r="S58" i="44"/>
  <c r="M58" i="44"/>
  <c r="L58" i="44"/>
  <c r="K58" i="44"/>
  <c r="E58" i="44"/>
  <c r="D58" i="44"/>
  <c r="C58" i="44"/>
  <c r="B57" i="44"/>
  <c r="J57" i="44" s="1"/>
  <c r="R57" i="44" s="1"/>
  <c r="W56" i="44"/>
  <c r="V56" i="44"/>
  <c r="N56" i="44"/>
  <c r="F56" i="44"/>
  <c r="W55" i="44"/>
  <c r="V55" i="44"/>
  <c r="O55" i="44"/>
  <c r="N55" i="44"/>
  <c r="F55" i="44"/>
  <c r="V54" i="44"/>
  <c r="O54" i="44"/>
  <c r="N54" i="44"/>
  <c r="F54" i="44"/>
  <c r="X53" i="44"/>
  <c r="W54" i="44" s="1"/>
  <c r="W53" i="44"/>
  <c r="V53" i="44"/>
  <c r="P53" i="44"/>
  <c r="O56" i="44" s="1"/>
  <c r="O53" i="44"/>
  <c r="N53" i="44"/>
  <c r="H53" i="44"/>
  <c r="G53" i="44"/>
  <c r="F53" i="44"/>
  <c r="U52" i="44"/>
  <c r="T52" i="44"/>
  <c r="S52" i="44"/>
  <c r="M52" i="44"/>
  <c r="L52" i="44"/>
  <c r="K52" i="44"/>
  <c r="E52" i="44"/>
  <c r="D52" i="44"/>
  <c r="C52" i="44"/>
  <c r="B51" i="44"/>
  <c r="J51" i="44" s="1"/>
  <c r="R51" i="44" s="1"/>
  <c r="W50" i="44"/>
  <c r="V50" i="44"/>
  <c r="O50" i="44"/>
  <c r="N50" i="44"/>
  <c r="F50" i="44"/>
  <c r="V49" i="44"/>
  <c r="O49" i="44"/>
  <c r="N49" i="44"/>
  <c r="G49" i="44"/>
  <c r="F49" i="44"/>
  <c r="V48" i="44"/>
  <c r="N48" i="44"/>
  <c r="G48" i="44"/>
  <c r="F48" i="44"/>
  <c r="W47" i="44"/>
  <c r="V47" i="44"/>
  <c r="N47" i="44"/>
  <c r="G47" i="44"/>
  <c r="F47" i="44"/>
  <c r="W46" i="44"/>
  <c r="V46" i="44"/>
  <c r="O46" i="44"/>
  <c r="N46" i="44"/>
  <c r="F46" i="44"/>
  <c r="X45" i="44"/>
  <c r="W49" i="44" s="1"/>
  <c r="W45" i="44"/>
  <c r="V45" i="44"/>
  <c r="P45" i="44"/>
  <c r="O45" i="44"/>
  <c r="N45" i="44"/>
  <c r="H45" i="44"/>
  <c r="G50" i="44" s="1"/>
  <c r="F45" i="44"/>
  <c r="U44" i="44"/>
  <c r="T44" i="44"/>
  <c r="S44" i="44"/>
  <c r="M44" i="44"/>
  <c r="L44" i="44"/>
  <c r="K44" i="44"/>
  <c r="E44" i="44"/>
  <c r="D44" i="44"/>
  <c r="C44" i="44"/>
  <c r="W42" i="44"/>
  <c r="V42" i="44"/>
  <c r="N42" i="44"/>
  <c r="F42" i="44"/>
  <c r="V41" i="44"/>
  <c r="O41" i="44"/>
  <c r="N41" i="44"/>
  <c r="G41" i="44"/>
  <c r="F41" i="44"/>
  <c r="V40" i="44"/>
  <c r="N40" i="44"/>
  <c r="G40" i="44"/>
  <c r="F40" i="44"/>
  <c r="W39" i="44"/>
  <c r="V39" i="44"/>
  <c r="N39" i="44"/>
  <c r="G39" i="44"/>
  <c r="F39" i="44"/>
  <c r="W38" i="44"/>
  <c r="V38" i="44"/>
  <c r="O38" i="44"/>
  <c r="N38" i="44"/>
  <c r="F38" i="44"/>
  <c r="X37" i="44"/>
  <c r="W41" i="44" s="1"/>
  <c r="W37" i="44"/>
  <c r="V37" i="44"/>
  <c r="P37" i="44"/>
  <c r="O37" i="44"/>
  <c r="N37" i="44"/>
  <c r="H37" i="44"/>
  <c r="G42" i="44" s="1"/>
  <c r="F37" i="44"/>
  <c r="R33" i="44"/>
  <c r="J33" i="44"/>
  <c r="B33" i="44"/>
  <c r="W31" i="44"/>
  <c r="V31" i="44"/>
  <c r="N31" i="44"/>
  <c r="F31" i="44"/>
  <c r="W30" i="44"/>
  <c r="V30" i="44"/>
  <c r="O30" i="44"/>
  <c r="N30" i="44"/>
  <c r="F30" i="44"/>
  <c r="W29" i="44"/>
  <c r="V29" i="44"/>
  <c r="O29" i="44"/>
  <c r="N29" i="44"/>
  <c r="G29" i="44"/>
  <c r="F29" i="44"/>
  <c r="X28" i="44"/>
  <c r="W28" i="44" s="1"/>
  <c r="V28" i="44"/>
  <c r="P28" i="44"/>
  <c r="O31" i="44" s="1"/>
  <c r="O28" i="44"/>
  <c r="N28" i="44"/>
  <c r="H28" i="44"/>
  <c r="F28" i="44"/>
  <c r="U27" i="44"/>
  <c r="T27" i="44"/>
  <c r="S27" i="44"/>
  <c r="M27" i="44"/>
  <c r="L27" i="44"/>
  <c r="K27" i="44"/>
  <c r="E27" i="44"/>
  <c r="D27" i="44"/>
  <c r="C27" i="44"/>
  <c r="R26" i="44"/>
  <c r="J26" i="44"/>
  <c r="V25" i="44"/>
  <c r="O25" i="44"/>
  <c r="N25" i="44"/>
  <c r="F25" i="44"/>
  <c r="V24" i="44"/>
  <c r="N24" i="44"/>
  <c r="F24" i="44"/>
  <c r="V23" i="44"/>
  <c r="N23" i="44"/>
  <c r="F23" i="44"/>
  <c r="X22" i="44"/>
  <c r="W24" i="44" s="1"/>
  <c r="V22" i="44"/>
  <c r="P22" i="44"/>
  <c r="N22" i="44"/>
  <c r="F22" i="44"/>
  <c r="U21" i="44"/>
  <c r="T21" i="44"/>
  <c r="S21" i="44"/>
  <c r="M21" i="44"/>
  <c r="L21" i="44"/>
  <c r="K21" i="44"/>
  <c r="R20" i="44"/>
  <c r="J20" i="44"/>
  <c r="W19" i="44"/>
  <c r="V19" i="44"/>
  <c r="O19" i="44"/>
  <c r="N19" i="44"/>
  <c r="F19" i="44"/>
  <c r="V18" i="44"/>
  <c r="N18" i="44"/>
  <c r="G18" i="44"/>
  <c r="F18" i="44"/>
  <c r="W17" i="44"/>
  <c r="V17" i="44"/>
  <c r="N17" i="44"/>
  <c r="F17" i="44"/>
  <c r="W16" i="44"/>
  <c r="V16" i="44"/>
  <c r="O16" i="44"/>
  <c r="N16" i="44"/>
  <c r="F16" i="44"/>
  <c r="W15" i="44"/>
  <c r="V15" i="44"/>
  <c r="O15" i="44"/>
  <c r="N15" i="44"/>
  <c r="G15" i="44"/>
  <c r="F15" i="44"/>
  <c r="X14" i="44"/>
  <c r="W18" i="44" s="1"/>
  <c r="V14" i="44"/>
  <c r="P14" i="44"/>
  <c r="O14" i="44"/>
  <c r="N14" i="44"/>
  <c r="H14" i="44"/>
  <c r="F14" i="44"/>
  <c r="U13" i="44"/>
  <c r="T13" i="44"/>
  <c r="S13" i="44"/>
  <c r="M13" i="44"/>
  <c r="L13" i="44"/>
  <c r="K13" i="44"/>
  <c r="E13" i="44"/>
  <c r="D13" i="44"/>
  <c r="C13" i="44"/>
  <c r="W11" i="44"/>
  <c r="V11" i="44"/>
  <c r="N11" i="44"/>
  <c r="F11" i="44"/>
  <c r="V10" i="44"/>
  <c r="N10" i="44"/>
  <c r="G10" i="44"/>
  <c r="F10" i="44"/>
  <c r="W9" i="44"/>
  <c r="V9" i="44"/>
  <c r="N9" i="44"/>
  <c r="F9" i="44"/>
  <c r="W8" i="44"/>
  <c r="V8" i="44"/>
  <c r="O8" i="44"/>
  <c r="N8" i="44"/>
  <c r="F8" i="44"/>
  <c r="W7" i="44"/>
  <c r="V7" i="44"/>
  <c r="O7" i="44"/>
  <c r="N7" i="44"/>
  <c r="G7" i="44"/>
  <c r="F7" i="44"/>
  <c r="X6" i="44"/>
  <c r="W10" i="44" s="1"/>
  <c r="V6" i="44"/>
  <c r="P6" i="44"/>
  <c r="O6" i="44"/>
  <c r="N6" i="44"/>
  <c r="H6" i="44"/>
  <c r="F6" i="44"/>
  <c r="R2" i="44"/>
  <c r="J2" i="44"/>
  <c r="B2" i="44"/>
  <c r="C154" i="44" l="1"/>
  <c r="D143" i="44"/>
  <c r="E143" i="44"/>
  <c r="F157" i="44"/>
  <c r="C136" i="44"/>
  <c r="B159" i="44"/>
  <c r="B138" i="44"/>
  <c r="C146" i="44"/>
  <c r="F160" i="44"/>
  <c r="F141" i="44"/>
  <c r="D154" i="44"/>
  <c r="D136" i="44"/>
  <c r="E145" i="44"/>
  <c r="B162" i="44"/>
  <c r="E148" i="44"/>
  <c r="E141" i="44"/>
  <c r="I137" i="44"/>
  <c r="K137" i="44" s="1"/>
  <c r="P138" i="44"/>
  <c r="I25" i="4" s="1"/>
  <c r="O25" i="4" s="1"/>
  <c r="G59" i="44"/>
  <c r="G61" i="44"/>
  <c r="G62" i="44"/>
  <c r="D146" i="44"/>
  <c r="F149" i="44"/>
  <c r="E154" i="44"/>
  <c r="C159" i="44"/>
  <c r="G149" i="44"/>
  <c r="D159" i="44"/>
  <c r="G14" i="44"/>
  <c r="G16" i="44"/>
  <c r="G17" i="44"/>
  <c r="O81" i="44"/>
  <c r="O77" i="44"/>
  <c r="O76" i="44"/>
  <c r="O78" i="44"/>
  <c r="G92" i="44"/>
  <c r="B142" i="44"/>
  <c r="B150" i="44"/>
  <c r="D160" i="44"/>
  <c r="W25" i="44"/>
  <c r="W90" i="44"/>
  <c r="W92" i="44"/>
  <c r="W91" i="44"/>
  <c r="G134" i="44"/>
  <c r="F137" i="44"/>
  <c r="G140" i="44"/>
  <c r="F142" i="44"/>
  <c r="D144" i="44"/>
  <c r="F147" i="44"/>
  <c r="E151" i="44"/>
  <c r="G155" i="44"/>
  <c r="E160" i="44"/>
  <c r="C138" i="44"/>
  <c r="E146" i="44"/>
  <c r="O70" i="44"/>
  <c r="O71" i="44"/>
  <c r="O39" i="44"/>
  <c r="O40" i="44"/>
  <c r="O61" i="44"/>
  <c r="G161" i="44" s="1"/>
  <c r="B135" i="44"/>
  <c r="G137" i="44"/>
  <c r="C145" i="44"/>
  <c r="B153" i="44"/>
  <c r="G156" i="44"/>
  <c r="G28" i="44"/>
  <c r="G30" i="44"/>
  <c r="G31" i="44"/>
  <c r="O85" i="44"/>
  <c r="O86" i="44"/>
  <c r="G162" i="44"/>
  <c r="E161" i="44"/>
  <c r="C160" i="44"/>
  <c r="E158" i="44"/>
  <c r="F156" i="44"/>
  <c r="D155" i="44"/>
  <c r="B154" i="44"/>
  <c r="D151" i="44"/>
  <c r="E149" i="44"/>
  <c r="C148" i="44"/>
  <c r="D147" i="44"/>
  <c r="B146" i="44"/>
  <c r="B145" i="44"/>
  <c r="B143" i="44"/>
  <c r="C141" i="44"/>
  <c r="D140" i="44"/>
  <c r="G139" i="44"/>
  <c r="D137" i="44"/>
  <c r="B136" i="44"/>
  <c r="F134" i="44"/>
  <c r="A179" i="44"/>
  <c r="N166" i="44" s="1"/>
  <c r="O179" i="44" s="1"/>
  <c r="B58" i="13" s="1"/>
  <c r="F162" i="44"/>
  <c r="D161" i="44"/>
  <c r="B160" i="44"/>
  <c r="D158" i="44"/>
  <c r="E156" i="44"/>
  <c r="C155" i="44"/>
  <c r="G153" i="44"/>
  <c r="C151" i="44"/>
  <c r="D149" i="44"/>
  <c r="B148" i="44"/>
  <c r="C147" i="44"/>
  <c r="B141" i="44"/>
  <c r="C140" i="44"/>
  <c r="F139" i="44"/>
  <c r="G138" i="44"/>
  <c r="C137" i="44"/>
  <c r="B134" i="44"/>
  <c r="G142" i="44"/>
  <c r="G141" i="44"/>
  <c r="E162" i="44"/>
  <c r="C161" i="44"/>
  <c r="G159" i="44"/>
  <c r="C158" i="44"/>
  <c r="D156" i="44"/>
  <c r="B155" i="44"/>
  <c r="F153" i="44"/>
  <c r="B151" i="44"/>
  <c r="C149" i="44"/>
  <c r="B147" i="44"/>
  <c r="G144" i="44"/>
  <c r="B140" i="44"/>
  <c r="E139" i="44"/>
  <c r="F138" i="44"/>
  <c r="B137" i="44"/>
  <c r="B133" i="44"/>
  <c r="D162" i="44"/>
  <c r="B161" i="44"/>
  <c r="F159" i="44"/>
  <c r="B158" i="44"/>
  <c r="C156" i="44"/>
  <c r="G154" i="44"/>
  <c r="E153" i="44"/>
  <c r="G150" i="44"/>
  <c r="B149" i="44"/>
  <c r="G145" i="44"/>
  <c r="F144" i="44"/>
  <c r="D139" i="44"/>
  <c r="E138" i="44"/>
  <c r="G136" i="44"/>
  <c r="E135" i="44"/>
  <c r="B132" i="44"/>
  <c r="C162" i="44"/>
  <c r="G160" i="44"/>
  <c r="E159" i="44"/>
  <c r="G157" i="44"/>
  <c r="B156" i="44"/>
  <c r="F154" i="44"/>
  <c r="D153" i="44"/>
  <c r="F150" i="44"/>
  <c r="G148" i="44"/>
  <c r="F146" i="44"/>
  <c r="F145" i="44"/>
  <c r="E144" i="44"/>
  <c r="C139" i="44"/>
  <c r="D138" i="44"/>
  <c r="F136" i="44"/>
  <c r="D135" i="44"/>
  <c r="A132" i="44"/>
  <c r="G6" i="44"/>
  <c r="G8" i="44"/>
  <c r="G9" i="44"/>
  <c r="E136" i="44"/>
  <c r="E140" i="44"/>
  <c r="B144" i="44"/>
  <c r="E155" i="44"/>
  <c r="W23" i="44"/>
  <c r="E137" i="44"/>
  <c r="F140" i="44"/>
  <c r="C144" i="44"/>
  <c r="E147" i="44"/>
  <c r="F155" i="44"/>
  <c r="G11" i="44"/>
  <c r="O22" i="44"/>
  <c r="O23" i="44"/>
  <c r="O9" i="44"/>
  <c r="O10" i="44"/>
  <c r="G19" i="44"/>
  <c r="O11" i="44"/>
  <c r="O17" i="44"/>
  <c r="O18" i="44"/>
  <c r="W22" i="44"/>
  <c r="O24" i="44"/>
  <c r="O42" i="44"/>
  <c r="O47" i="44"/>
  <c r="G146" i="44" s="1"/>
  <c r="O48" i="44"/>
  <c r="G147" i="44" s="1"/>
  <c r="G55" i="44"/>
  <c r="G56" i="44"/>
  <c r="G54" i="44"/>
  <c r="G60" i="44"/>
  <c r="W78" i="44"/>
  <c r="W79" i="44"/>
  <c r="O80" i="44"/>
  <c r="G90" i="44"/>
  <c r="G91" i="44"/>
  <c r="C135" i="44"/>
  <c r="B139" i="44"/>
  <c r="D141" i="44"/>
  <c r="C143" i="44"/>
  <c r="D145" i="44"/>
  <c r="D148" i="44"/>
  <c r="C153" i="44"/>
  <c r="B157" i="44"/>
  <c r="F161" i="44"/>
  <c r="I141" i="44"/>
  <c r="W6" i="44"/>
  <c r="W14" i="44"/>
  <c r="G37" i="44"/>
  <c r="G45" i="44"/>
  <c r="G68" i="44"/>
  <c r="G77" i="44"/>
  <c r="G81" i="44"/>
  <c r="G84" i="44"/>
  <c r="I145" i="44"/>
  <c r="W72" i="44"/>
  <c r="W40" i="44"/>
  <c r="G46" i="44"/>
  <c r="W48" i="44"/>
  <c r="G69" i="44"/>
  <c r="G38" i="44"/>
  <c r="K143" i="44" l="1"/>
  <c r="O141" i="44" s="1"/>
  <c r="P141" i="44" s="1"/>
  <c r="I28" i="4" s="1"/>
  <c r="K141" i="44"/>
  <c r="O140" i="44" s="1"/>
  <c r="P140" i="44" s="1"/>
  <c r="I27" i="4" s="1"/>
  <c r="K139" i="44"/>
  <c r="O139" i="44" s="1"/>
  <c r="P139" i="44" s="1"/>
  <c r="I26" i="4" s="1"/>
  <c r="O26" i="4" s="1"/>
  <c r="K135" i="44"/>
  <c r="O137" i="44" s="1"/>
  <c r="P137" i="44" s="1"/>
  <c r="K145" i="44"/>
  <c r="O142" i="44" s="1"/>
  <c r="P142" i="44" s="1"/>
  <c r="AE23" i="4" s="1"/>
  <c r="O27" i="4" l="1"/>
  <c r="N25" i="4" s="1"/>
  <c r="AB21" i="4"/>
  <c r="O147" i="44"/>
  <c r="N143" i="44"/>
  <c r="Q137" i="44"/>
  <c r="D16" i="29" s="1"/>
  <c r="O143" i="44" l="1"/>
  <c r="Q143" i="44" s="1"/>
  <c r="E16" i="29" s="1"/>
  <c r="N144" i="44" l="1"/>
  <c r="D16" i="4" s="1"/>
  <c r="N147" i="44" l="1"/>
  <c r="P147" i="44" s="1"/>
  <c r="J36" i="13" l="1"/>
  <c r="J37" i="13"/>
  <c r="J38" i="13"/>
  <c r="J39" i="13"/>
  <c r="J40" i="13"/>
  <c r="J41" i="13"/>
  <c r="J42" i="13"/>
  <c r="J43" i="13"/>
  <c r="J35" i="13"/>
  <c r="L48" i="13"/>
  <c r="U73" i="37"/>
  <c r="T73" i="37"/>
  <c r="N73" i="37"/>
  <c r="L73" i="37"/>
  <c r="M73" i="37" s="1"/>
  <c r="G73" i="37"/>
  <c r="F73" i="37"/>
  <c r="U72" i="37"/>
  <c r="T72" i="37"/>
  <c r="N72" i="37"/>
  <c r="L72" i="37"/>
  <c r="M72" i="37" s="1"/>
  <c r="G72" i="37"/>
  <c r="F72" i="37"/>
  <c r="U71" i="37"/>
  <c r="T71" i="37"/>
  <c r="N71" i="37"/>
  <c r="M71" i="37"/>
  <c r="L71" i="37"/>
  <c r="G71" i="37"/>
  <c r="F71" i="37"/>
  <c r="U70" i="37"/>
  <c r="T70" i="37"/>
  <c r="N70" i="37"/>
  <c r="L70" i="37"/>
  <c r="M70" i="37" s="1"/>
  <c r="G70" i="37"/>
  <c r="F70" i="37"/>
  <c r="U69" i="37"/>
  <c r="T69" i="37"/>
  <c r="N69" i="37"/>
  <c r="M69" i="37"/>
  <c r="L69" i="37"/>
  <c r="G69" i="37"/>
  <c r="F69" i="37"/>
  <c r="T68" i="37"/>
  <c r="L68" i="37"/>
  <c r="M68" i="37" s="1"/>
  <c r="F68" i="37"/>
  <c r="U65" i="37"/>
  <c r="T65" i="37"/>
  <c r="N65" i="37"/>
  <c r="L65" i="37"/>
  <c r="M65" i="37" s="1"/>
  <c r="G65" i="37"/>
  <c r="F65" i="37"/>
  <c r="U64" i="37"/>
  <c r="T64" i="37"/>
  <c r="N64" i="37"/>
  <c r="L64" i="37"/>
  <c r="M64" i="37" s="1"/>
  <c r="G64" i="37"/>
  <c r="F64" i="37"/>
  <c r="U63" i="37"/>
  <c r="T63" i="37"/>
  <c r="N63" i="37"/>
  <c r="L63" i="37"/>
  <c r="M63" i="37" s="1"/>
  <c r="G63" i="37"/>
  <c r="F63" i="37"/>
  <c r="U62" i="37"/>
  <c r="T62" i="37"/>
  <c r="N62" i="37"/>
  <c r="M62" i="37"/>
  <c r="L62" i="37"/>
  <c r="G62" i="37"/>
  <c r="F62" i="37"/>
  <c r="U61" i="37"/>
  <c r="T61" i="37"/>
  <c r="N61" i="37"/>
  <c r="L61" i="37"/>
  <c r="M61" i="37" s="1"/>
  <c r="G61" i="37"/>
  <c r="F61" i="37"/>
  <c r="U60" i="37"/>
  <c r="T60" i="37"/>
  <c r="N60" i="37"/>
  <c r="L60" i="37"/>
  <c r="M60" i="37" s="1"/>
  <c r="G60" i="37"/>
  <c r="F60" i="37"/>
  <c r="U59" i="37"/>
  <c r="T59" i="37"/>
  <c r="N59" i="37"/>
  <c r="L59" i="37"/>
  <c r="M59" i="37" s="1"/>
  <c r="G59" i="37"/>
  <c r="F59" i="37"/>
  <c r="U58" i="37"/>
  <c r="T58" i="37"/>
  <c r="N58" i="37"/>
  <c r="L58" i="37"/>
  <c r="M58" i="37" s="1"/>
  <c r="G58" i="37"/>
  <c r="F58" i="37"/>
  <c r="U57" i="37"/>
  <c r="T57" i="37"/>
  <c r="N57" i="37"/>
  <c r="L57" i="37"/>
  <c r="M57" i="37" s="1"/>
  <c r="G57" i="37"/>
  <c r="F57" i="37"/>
  <c r="T56" i="37"/>
  <c r="M56" i="37"/>
  <c r="L56" i="37"/>
  <c r="F56" i="37"/>
  <c r="U48" i="37"/>
  <c r="T48" i="37"/>
  <c r="N48" i="37"/>
  <c r="M48" i="37"/>
  <c r="G48" i="37"/>
  <c r="F48" i="37"/>
  <c r="U47" i="37"/>
  <c r="T47" i="37"/>
  <c r="N47" i="37"/>
  <c r="M47" i="37"/>
  <c r="G47" i="37"/>
  <c r="F47" i="37"/>
  <c r="U46" i="37"/>
  <c r="T46" i="37"/>
  <c r="N46" i="37"/>
  <c r="M46" i="37"/>
  <c r="G46" i="37"/>
  <c r="F46" i="37"/>
  <c r="U45" i="37"/>
  <c r="T45" i="37"/>
  <c r="N45" i="37"/>
  <c r="M45" i="37"/>
  <c r="G45" i="37"/>
  <c r="F45" i="37"/>
  <c r="U44" i="37"/>
  <c r="T44" i="37"/>
  <c r="N44" i="37"/>
  <c r="M44" i="37"/>
  <c r="G44" i="37"/>
  <c r="F44" i="37"/>
  <c r="T43" i="37"/>
  <c r="M43" i="37"/>
  <c r="F43" i="37"/>
  <c r="U40" i="37"/>
  <c r="T40" i="37"/>
  <c r="N40" i="37"/>
  <c r="M40" i="37"/>
  <c r="G40" i="37"/>
  <c r="F40" i="37"/>
  <c r="U39" i="37"/>
  <c r="T39" i="37"/>
  <c r="N39" i="37"/>
  <c r="M39" i="37"/>
  <c r="G39" i="37"/>
  <c r="F39" i="37"/>
  <c r="U38" i="37"/>
  <c r="T38" i="37"/>
  <c r="N38" i="37"/>
  <c r="M38" i="37"/>
  <c r="G38" i="37"/>
  <c r="F38" i="37"/>
  <c r="U37" i="37"/>
  <c r="T37" i="37"/>
  <c r="N37" i="37"/>
  <c r="M37" i="37"/>
  <c r="G37" i="37"/>
  <c r="F37" i="37"/>
  <c r="U36" i="37"/>
  <c r="T36" i="37"/>
  <c r="N36" i="37"/>
  <c r="M36" i="37"/>
  <c r="G36" i="37"/>
  <c r="F36" i="37"/>
  <c r="U35" i="37"/>
  <c r="T35" i="37"/>
  <c r="N35" i="37"/>
  <c r="M35" i="37"/>
  <c r="G35" i="37"/>
  <c r="F35" i="37"/>
  <c r="U34" i="37"/>
  <c r="T34" i="37"/>
  <c r="N34" i="37"/>
  <c r="M34" i="37"/>
  <c r="G34" i="37"/>
  <c r="F34" i="37"/>
  <c r="U33" i="37"/>
  <c r="T33" i="37"/>
  <c r="N33" i="37"/>
  <c r="M33" i="37"/>
  <c r="G33" i="37"/>
  <c r="F33" i="37"/>
  <c r="U32" i="37"/>
  <c r="T32" i="37"/>
  <c r="N32" i="37"/>
  <c r="M32" i="37"/>
  <c r="G32" i="37"/>
  <c r="F32" i="37"/>
  <c r="T31" i="37"/>
  <c r="M31" i="37"/>
  <c r="F31" i="37"/>
  <c r="U23" i="37"/>
  <c r="T23" i="37"/>
  <c r="N23" i="37"/>
  <c r="M23" i="37"/>
  <c r="G23" i="37"/>
  <c r="F23" i="37"/>
  <c r="U22" i="37"/>
  <c r="T22" i="37"/>
  <c r="N22" i="37"/>
  <c r="M22" i="37"/>
  <c r="G22" i="37"/>
  <c r="F22" i="37"/>
  <c r="U21" i="37"/>
  <c r="T21" i="37"/>
  <c r="N21" i="37"/>
  <c r="M21" i="37"/>
  <c r="G21" i="37"/>
  <c r="F21" i="37"/>
  <c r="U20" i="37"/>
  <c r="T20" i="37"/>
  <c r="N20" i="37"/>
  <c r="M20" i="37"/>
  <c r="G20" i="37"/>
  <c r="F20" i="37"/>
  <c r="U19" i="37"/>
  <c r="T19" i="37"/>
  <c r="N19" i="37"/>
  <c r="M19" i="37"/>
  <c r="G19" i="37"/>
  <c r="F19" i="37"/>
  <c r="T18" i="37"/>
  <c r="M18" i="37"/>
  <c r="F18" i="37"/>
  <c r="E17" i="37"/>
  <c r="D17" i="37"/>
  <c r="C17" i="37"/>
  <c r="U15" i="37"/>
  <c r="T15" i="37"/>
  <c r="N15" i="37"/>
  <c r="M15" i="37"/>
  <c r="G15" i="37"/>
  <c r="F15" i="37"/>
  <c r="U14" i="37"/>
  <c r="T14" i="37"/>
  <c r="N14" i="37"/>
  <c r="M14" i="37"/>
  <c r="G14" i="37"/>
  <c r="F14" i="37"/>
  <c r="U13" i="37"/>
  <c r="T13" i="37"/>
  <c r="N13" i="37"/>
  <c r="M13" i="37"/>
  <c r="G13" i="37"/>
  <c r="F13" i="37"/>
  <c r="U12" i="37"/>
  <c r="T12" i="37"/>
  <c r="N12" i="37"/>
  <c r="M12" i="37"/>
  <c r="G12" i="37"/>
  <c r="F12" i="37"/>
  <c r="U11" i="37"/>
  <c r="T11" i="37"/>
  <c r="N11" i="37"/>
  <c r="M11" i="37"/>
  <c r="G11" i="37"/>
  <c r="F11" i="37"/>
  <c r="U10" i="37"/>
  <c r="T10" i="37"/>
  <c r="N10" i="37"/>
  <c r="M10" i="37"/>
  <c r="G10" i="37"/>
  <c r="F10" i="37"/>
  <c r="U9" i="37"/>
  <c r="T9" i="37"/>
  <c r="N9" i="37"/>
  <c r="M9" i="37"/>
  <c r="G9" i="37"/>
  <c r="F9" i="37"/>
  <c r="U8" i="37"/>
  <c r="T8" i="37"/>
  <c r="N8" i="37"/>
  <c r="M8" i="37"/>
  <c r="G8" i="37"/>
  <c r="F8" i="37"/>
  <c r="U7" i="37"/>
  <c r="T7" i="37"/>
  <c r="N7" i="37"/>
  <c r="M7" i="37"/>
  <c r="G7" i="37"/>
  <c r="F7" i="37"/>
  <c r="T6" i="37"/>
  <c r="M6" i="37"/>
  <c r="F6" i="37"/>
  <c r="B50" i="43" l="1"/>
  <c r="A22" i="43" s="1"/>
  <c r="B45" i="43"/>
  <c r="B46" i="43" s="1"/>
  <c r="B43" i="43"/>
  <c r="E26" i="43"/>
  <c r="D21" i="43"/>
  <c r="D20" i="43"/>
  <c r="D19" i="43"/>
  <c r="B54" i="43" s="1"/>
  <c r="B55" i="43" s="1"/>
  <c r="D18" i="43"/>
  <c r="D17" i="43"/>
  <c r="A17" i="43"/>
  <c r="F11" i="43"/>
  <c r="D11" i="43"/>
  <c r="D10" i="43"/>
  <c r="D9" i="43"/>
  <c r="D8" i="43"/>
  <c r="D4" i="43"/>
  <c r="D23" i="43" s="1"/>
  <c r="A3" i="43"/>
  <c r="F6" i="43" s="1"/>
  <c r="A19" i="43" l="1"/>
  <c r="A20" i="43"/>
  <c r="A21" i="43"/>
  <c r="B59" i="43"/>
  <c r="B57" i="43" s="1"/>
  <c r="B58" i="43"/>
  <c r="D7" i="29" l="1"/>
  <c r="A7" i="13"/>
  <c r="A7" i="4" s="1"/>
  <c r="A7" i="29" s="1"/>
  <c r="B59" i="4" l="1"/>
  <c r="B58" i="4"/>
  <c r="A225" i="40" l="1"/>
  <c r="B200" i="40" s="1"/>
  <c r="B222" i="40"/>
  <c r="L241" i="40"/>
  <c r="K241" i="40"/>
  <c r="J241" i="40"/>
  <c r="L240" i="40"/>
  <c r="K240" i="40"/>
  <c r="J240" i="40"/>
  <c r="L239" i="40"/>
  <c r="K239" i="40"/>
  <c r="J239" i="40"/>
  <c r="L238" i="40"/>
  <c r="K238" i="40"/>
  <c r="J238" i="40"/>
  <c r="L237" i="40"/>
  <c r="K237" i="40"/>
  <c r="J237" i="40"/>
  <c r="L236" i="40"/>
  <c r="K236" i="40"/>
  <c r="J236" i="40"/>
  <c r="L235" i="40"/>
  <c r="K235" i="40"/>
  <c r="J235" i="40"/>
  <c r="L234" i="40"/>
  <c r="K234" i="40"/>
  <c r="J234" i="40"/>
  <c r="L233" i="40"/>
  <c r="K233" i="40"/>
  <c r="J233" i="40"/>
  <c r="L232" i="40"/>
  <c r="K232" i="40"/>
  <c r="J232" i="40"/>
  <c r="L231" i="40"/>
  <c r="K231" i="40"/>
  <c r="J231" i="40"/>
  <c r="L230" i="40"/>
  <c r="K230" i="40"/>
  <c r="J230" i="40"/>
  <c r="L229" i="40"/>
  <c r="K229" i="40"/>
  <c r="J229" i="40"/>
  <c r="L228" i="40"/>
  <c r="K228" i="40"/>
  <c r="J228" i="40"/>
  <c r="L227" i="40"/>
  <c r="K227" i="40"/>
  <c r="J227" i="40"/>
  <c r="L226" i="40"/>
  <c r="K226" i="40"/>
  <c r="J226" i="40"/>
  <c r="K222" i="40"/>
  <c r="E222" i="40"/>
  <c r="H197" i="40"/>
  <c r="F197" i="40"/>
  <c r="E197" i="40"/>
  <c r="D197" i="40"/>
  <c r="C197" i="40"/>
  <c r="H196" i="40"/>
  <c r="F196" i="40"/>
  <c r="E196" i="40"/>
  <c r="D196" i="40"/>
  <c r="C196" i="40"/>
  <c r="H195" i="40"/>
  <c r="F195" i="40"/>
  <c r="E195" i="40"/>
  <c r="D195" i="40"/>
  <c r="C195" i="40"/>
  <c r="H194" i="40"/>
  <c r="F194" i="40"/>
  <c r="E194" i="40"/>
  <c r="D194" i="40"/>
  <c r="C194" i="40"/>
  <c r="H193" i="40"/>
  <c r="F193" i="40"/>
  <c r="E193" i="40"/>
  <c r="D193" i="40"/>
  <c r="C193" i="40"/>
  <c r="H192" i="40"/>
  <c r="F192" i="40"/>
  <c r="E192" i="40"/>
  <c r="D192" i="40"/>
  <c r="C192" i="40"/>
  <c r="H191" i="40"/>
  <c r="F191" i="40"/>
  <c r="E191" i="40"/>
  <c r="D191" i="40"/>
  <c r="C191" i="40"/>
  <c r="H190" i="40"/>
  <c r="F190" i="40"/>
  <c r="E190" i="40"/>
  <c r="D190" i="40"/>
  <c r="C190" i="40"/>
  <c r="H189" i="40"/>
  <c r="F189" i="40"/>
  <c r="E189" i="40"/>
  <c r="D189" i="40"/>
  <c r="C189" i="40"/>
  <c r="H188" i="40"/>
  <c r="F188" i="40"/>
  <c r="E188" i="40"/>
  <c r="D188" i="40"/>
  <c r="C188" i="40"/>
  <c r="H187" i="40"/>
  <c r="F187" i="40"/>
  <c r="E187" i="40"/>
  <c r="D187" i="40"/>
  <c r="C187" i="40"/>
  <c r="H186" i="40"/>
  <c r="F186" i="40"/>
  <c r="E186" i="40"/>
  <c r="D186" i="40"/>
  <c r="C186" i="40"/>
  <c r="H185" i="40"/>
  <c r="F185" i="40"/>
  <c r="E185" i="40"/>
  <c r="D185" i="40"/>
  <c r="C185" i="40"/>
  <c r="H184" i="40"/>
  <c r="F184" i="40"/>
  <c r="E184" i="40"/>
  <c r="D184" i="40"/>
  <c r="C184" i="40"/>
  <c r="H183" i="40"/>
  <c r="F183" i="40"/>
  <c r="E183" i="40"/>
  <c r="D183" i="40"/>
  <c r="C183" i="40"/>
  <c r="H182" i="40"/>
  <c r="F182" i="40"/>
  <c r="E182" i="40"/>
  <c r="D182" i="40"/>
  <c r="C182" i="40"/>
  <c r="R181" i="40"/>
  <c r="P181" i="40"/>
  <c r="O181" i="40"/>
  <c r="N181" i="40"/>
  <c r="M181" i="40"/>
  <c r="H181" i="40"/>
  <c r="F181" i="40"/>
  <c r="E181" i="40"/>
  <c r="D181" i="40"/>
  <c r="C181" i="40"/>
  <c r="R180" i="40"/>
  <c r="P180" i="40"/>
  <c r="O180" i="40"/>
  <c r="N180" i="40"/>
  <c r="M180" i="40"/>
  <c r="H180" i="40"/>
  <c r="F180" i="40"/>
  <c r="E180" i="40"/>
  <c r="D180" i="40"/>
  <c r="C180" i="40"/>
  <c r="R179" i="40"/>
  <c r="P179" i="40"/>
  <c r="O179" i="40"/>
  <c r="N179" i="40"/>
  <c r="M179" i="40"/>
  <c r="H179" i="40"/>
  <c r="F179" i="40"/>
  <c r="E179" i="40"/>
  <c r="D179" i="40"/>
  <c r="C179" i="40"/>
  <c r="R178" i="40"/>
  <c r="P178" i="40"/>
  <c r="O178" i="40"/>
  <c r="N178" i="40"/>
  <c r="M178" i="40"/>
  <c r="H178" i="40"/>
  <c r="F178" i="40"/>
  <c r="E178" i="40"/>
  <c r="D178" i="40"/>
  <c r="C178" i="40"/>
  <c r="R177" i="40"/>
  <c r="P177" i="40"/>
  <c r="O177" i="40"/>
  <c r="N177" i="40"/>
  <c r="M177" i="40"/>
  <c r="H177" i="40"/>
  <c r="F177" i="40"/>
  <c r="E177" i="40"/>
  <c r="D177" i="40"/>
  <c r="C177" i="40"/>
  <c r="R176" i="40"/>
  <c r="P176" i="40"/>
  <c r="O176" i="40"/>
  <c r="N176" i="40"/>
  <c r="M176" i="40"/>
  <c r="H176" i="40"/>
  <c r="F176" i="40"/>
  <c r="E176" i="40"/>
  <c r="D176" i="40"/>
  <c r="C176" i="40"/>
  <c r="R175" i="40"/>
  <c r="P175" i="40"/>
  <c r="O175" i="40"/>
  <c r="N175" i="40"/>
  <c r="M175" i="40"/>
  <c r="H175" i="40"/>
  <c r="F175" i="40"/>
  <c r="E175" i="40"/>
  <c r="D175" i="40"/>
  <c r="C175" i="40"/>
  <c r="R174" i="40"/>
  <c r="P174" i="40"/>
  <c r="O174" i="40"/>
  <c r="N174" i="40"/>
  <c r="M174" i="40"/>
  <c r="H174" i="40"/>
  <c r="F174" i="40"/>
  <c r="E174" i="40"/>
  <c r="D174" i="40"/>
  <c r="C174" i="40"/>
  <c r="R173" i="40"/>
  <c r="P173" i="40"/>
  <c r="O173" i="40"/>
  <c r="N173" i="40"/>
  <c r="M173" i="40"/>
  <c r="H173" i="40"/>
  <c r="F173" i="40"/>
  <c r="E173" i="40"/>
  <c r="D173" i="40"/>
  <c r="C173" i="40"/>
  <c r="R172" i="40"/>
  <c r="P172" i="40"/>
  <c r="O172" i="40"/>
  <c r="N172" i="40"/>
  <c r="M172" i="40"/>
  <c r="H172" i="40"/>
  <c r="F172" i="40"/>
  <c r="E172" i="40"/>
  <c r="D172" i="40"/>
  <c r="C172" i="40"/>
  <c r="R171" i="40"/>
  <c r="P171" i="40"/>
  <c r="O171" i="40"/>
  <c r="N171" i="40"/>
  <c r="M171" i="40"/>
  <c r="H171" i="40"/>
  <c r="F171" i="40"/>
  <c r="E171" i="40"/>
  <c r="D171" i="40"/>
  <c r="C171" i="40"/>
  <c r="R170" i="40"/>
  <c r="P170" i="40"/>
  <c r="O170" i="40"/>
  <c r="N170" i="40"/>
  <c r="M170" i="40"/>
  <c r="H170" i="40"/>
  <c r="F170" i="40"/>
  <c r="E170" i="40"/>
  <c r="D170" i="40"/>
  <c r="C170" i="40"/>
  <c r="R169" i="40"/>
  <c r="P169" i="40"/>
  <c r="O169" i="40"/>
  <c r="N169" i="40"/>
  <c r="M169" i="40"/>
  <c r="H169" i="40"/>
  <c r="F169" i="40"/>
  <c r="E169" i="40"/>
  <c r="D169" i="40"/>
  <c r="C169" i="40"/>
  <c r="R168" i="40"/>
  <c r="P168" i="40"/>
  <c r="O168" i="40"/>
  <c r="N168" i="40"/>
  <c r="M168" i="40"/>
  <c r="H168" i="40"/>
  <c r="F168" i="40"/>
  <c r="E168" i="40"/>
  <c r="D168" i="40"/>
  <c r="C168" i="40"/>
  <c r="R167" i="40"/>
  <c r="P167" i="40"/>
  <c r="O167" i="40"/>
  <c r="N167" i="40"/>
  <c r="M167" i="40"/>
  <c r="H167" i="40"/>
  <c r="F167" i="40"/>
  <c r="E167" i="40"/>
  <c r="D167" i="40"/>
  <c r="C167" i="40"/>
  <c r="R166" i="40"/>
  <c r="P166" i="40"/>
  <c r="O166" i="40"/>
  <c r="N166" i="40"/>
  <c r="M166" i="40"/>
  <c r="H166" i="40"/>
  <c r="F166" i="40"/>
  <c r="E166" i="40"/>
  <c r="D166" i="40"/>
  <c r="C166" i="40"/>
  <c r="R165" i="40"/>
  <c r="P165" i="40"/>
  <c r="O165" i="40"/>
  <c r="N165" i="40"/>
  <c r="M165" i="40"/>
  <c r="H165" i="40"/>
  <c r="F165" i="40"/>
  <c r="E165" i="40"/>
  <c r="D165" i="40"/>
  <c r="C165" i="40"/>
  <c r="R164" i="40"/>
  <c r="P164" i="40"/>
  <c r="O164" i="40"/>
  <c r="N164" i="40"/>
  <c r="M164" i="40"/>
  <c r="H164" i="40"/>
  <c r="F164" i="40"/>
  <c r="E164" i="40"/>
  <c r="D164" i="40"/>
  <c r="C164" i="40"/>
  <c r="R163" i="40"/>
  <c r="P163" i="40"/>
  <c r="O163" i="40"/>
  <c r="N163" i="40"/>
  <c r="M163" i="40"/>
  <c r="H163" i="40"/>
  <c r="F163" i="40"/>
  <c r="E163" i="40"/>
  <c r="D163" i="40"/>
  <c r="C163" i="40"/>
  <c r="R162" i="40"/>
  <c r="P162" i="40"/>
  <c r="O162" i="40"/>
  <c r="N162" i="40"/>
  <c r="M162" i="40"/>
  <c r="H162" i="40"/>
  <c r="F162" i="40"/>
  <c r="E162" i="40"/>
  <c r="D162" i="40"/>
  <c r="C162" i="40"/>
  <c r="R161" i="40"/>
  <c r="P161" i="40"/>
  <c r="O161" i="40"/>
  <c r="N161" i="40"/>
  <c r="M161" i="40"/>
  <c r="H161" i="40"/>
  <c r="F161" i="40"/>
  <c r="E161" i="40"/>
  <c r="D161" i="40"/>
  <c r="C161" i="40"/>
  <c r="R160" i="40"/>
  <c r="P160" i="40"/>
  <c r="O160" i="40"/>
  <c r="N160" i="40"/>
  <c r="M160" i="40"/>
  <c r="H160" i="40"/>
  <c r="F160" i="40"/>
  <c r="E160" i="40"/>
  <c r="D160" i="40"/>
  <c r="C160" i="40"/>
  <c r="R159" i="40"/>
  <c r="P159" i="40"/>
  <c r="O159" i="40"/>
  <c r="N159" i="40"/>
  <c r="M159" i="40"/>
  <c r="H159" i="40"/>
  <c r="F159" i="40"/>
  <c r="E159" i="40"/>
  <c r="D159" i="40"/>
  <c r="C159" i="40"/>
  <c r="R158" i="40"/>
  <c r="P158" i="40"/>
  <c r="O158" i="40"/>
  <c r="N158" i="40"/>
  <c r="M158" i="40"/>
  <c r="H158" i="40"/>
  <c r="F158" i="40"/>
  <c r="E158" i="40"/>
  <c r="D158" i="40"/>
  <c r="C158" i="40"/>
  <c r="R157" i="40"/>
  <c r="P157" i="40"/>
  <c r="O157" i="40"/>
  <c r="N157" i="40"/>
  <c r="M157" i="40"/>
  <c r="H157" i="40"/>
  <c r="F157" i="40"/>
  <c r="E157" i="40"/>
  <c r="D157" i="40"/>
  <c r="C157" i="40"/>
  <c r="R156" i="40"/>
  <c r="P156" i="40"/>
  <c r="O156" i="40"/>
  <c r="N156" i="40"/>
  <c r="M156" i="40"/>
  <c r="H156" i="40"/>
  <c r="F156" i="40"/>
  <c r="E156" i="40"/>
  <c r="D156" i="40"/>
  <c r="C156" i="40"/>
  <c r="R155" i="40"/>
  <c r="P155" i="40"/>
  <c r="O155" i="40"/>
  <c r="N155" i="40"/>
  <c r="M155" i="40"/>
  <c r="H155" i="40"/>
  <c r="F155" i="40"/>
  <c r="E155" i="40"/>
  <c r="D155" i="40"/>
  <c r="C155" i="40"/>
  <c r="R154" i="40"/>
  <c r="P154" i="40"/>
  <c r="O154" i="40"/>
  <c r="N154" i="40"/>
  <c r="M154" i="40"/>
  <c r="H154" i="40"/>
  <c r="F154" i="40"/>
  <c r="E154" i="40"/>
  <c r="D154" i="40"/>
  <c r="C154" i="40"/>
  <c r="R153" i="40"/>
  <c r="P153" i="40"/>
  <c r="O153" i="40"/>
  <c r="N153" i="40"/>
  <c r="M153" i="40"/>
  <c r="H153" i="40"/>
  <c r="F153" i="40"/>
  <c r="E153" i="40"/>
  <c r="D153" i="40"/>
  <c r="C153" i="40"/>
  <c r="R152" i="40"/>
  <c r="P152" i="40"/>
  <c r="O152" i="40"/>
  <c r="N152" i="40"/>
  <c r="M152" i="40"/>
  <c r="H152" i="40"/>
  <c r="F152" i="40"/>
  <c r="E152" i="40"/>
  <c r="D152" i="40"/>
  <c r="C152" i="40"/>
  <c r="R151" i="40"/>
  <c r="P151" i="40"/>
  <c r="O151" i="40"/>
  <c r="N151" i="40"/>
  <c r="M151" i="40"/>
  <c r="H151" i="40"/>
  <c r="F151" i="40"/>
  <c r="E151" i="40"/>
  <c r="D151" i="40"/>
  <c r="C151" i="40"/>
  <c r="R150" i="40"/>
  <c r="P150" i="40"/>
  <c r="O150" i="40"/>
  <c r="N150" i="40"/>
  <c r="M150" i="40"/>
  <c r="H150" i="40"/>
  <c r="F150" i="40"/>
  <c r="E150" i="40"/>
  <c r="D150" i="40"/>
  <c r="C150" i="40"/>
  <c r="R149" i="40"/>
  <c r="P149" i="40"/>
  <c r="O149" i="40"/>
  <c r="N149" i="40"/>
  <c r="M149" i="40"/>
  <c r="H149" i="40"/>
  <c r="F149" i="40"/>
  <c r="E149" i="40"/>
  <c r="D149" i="40"/>
  <c r="C149" i="40"/>
  <c r="R148" i="40"/>
  <c r="P148" i="40"/>
  <c r="O148" i="40"/>
  <c r="N148" i="40"/>
  <c r="M148" i="40"/>
  <c r="H148" i="40"/>
  <c r="F148" i="40"/>
  <c r="E148" i="40"/>
  <c r="D148" i="40"/>
  <c r="C148" i="40"/>
  <c r="R147" i="40"/>
  <c r="P147" i="40"/>
  <c r="O147" i="40"/>
  <c r="N147" i="40"/>
  <c r="M147" i="40"/>
  <c r="H147" i="40"/>
  <c r="F147" i="40"/>
  <c r="E147" i="40"/>
  <c r="D147" i="40"/>
  <c r="C147" i="40"/>
  <c r="R146" i="40"/>
  <c r="P146" i="40"/>
  <c r="O146" i="40"/>
  <c r="N146" i="40"/>
  <c r="M146" i="40"/>
  <c r="H146" i="40"/>
  <c r="F146" i="40"/>
  <c r="E146" i="40"/>
  <c r="D146" i="40"/>
  <c r="C146" i="40"/>
  <c r="R145" i="40"/>
  <c r="P145" i="40"/>
  <c r="O145" i="40"/>
  <c r="N145" i="40"/>
  <c r="M145" i="40"/>
  <c r="H145" i="40"/>
  <c r="F145" i="40"/>
  <c r="E145" i="40"/>
  <c r="D145" i="40"/>
  <c r="C145" i="40"/>
  <c r="R144" i="40"/>
  <c r="P144" i="40"/>
  <c r="O144" i="40"/>
  <c r="N144" i="40"/>
  <c r="M144" i="40"/>
  <c r="H144" i="40"/>
  <c r="F144" i="40"/>
  <c r="E144" i="40"/>
  <c r="D144" i="40"/>
  <c r="C144" i="40"/>
  <c r="R143" i="40"/>
  <c r="P143" i="40"/>
  <c r="O143" i="40"/>
  <c r="N143" i="40"/>
  <c r="M143" i="40"/>
  <c r="H143" i="40"/>
  <c r="F143" i="40"/>
  <c r="E143" i="40"/>
  <c r="D143" i="40"/>
  <c r="C143" i="40"/>
  <c r="R142" i="40"/>
  <c r="P142" i="40"/>
  <c r="O142" i="40"/>
  <c r="N142" i="40"/>
  <c r="M142" i="40"/>
  <c r="H142" i="40"/>
  <c r="F142" i="40"/>
  <c r="E142" i="40"/>
  <c r="D142" i="40"/>
  <c r="C142" i="40"/>
  <c r="R141" i="40"/>
  <c r="P141" i="40"/>
  <c r="O141" i="40"/>
  <c r="N141" i="40"/>
  <c r="M141" i="40"/>
  <c r="H141" i="40"/>
  <c r="F141" i="40"/>
  <c r="E141" i="40"/>
  <c r="D141" i="40"/>
  <c r="C141" i="40"/>
  <c r="R140" i="40"/>
  <c r="P140" i="40"/>
  <c r="O140" i="40"/>
  <c r="N140" i="40"/>
  <c r="M140" i="40"/>
  <c r="H140" i="40"/>
  <c r="F140" i="40"/>
  <c r="E140" i="40"/>
  <c r="D140" i="40"/>
  <c r="C140" i="40"/>
  <c r="R139" i="40"/>
  <c r="P139" i="40"/>
  <c r="O139" i="40"/>
  <c r="N139" i="40"/>
  <c r="M139" i="40"/>
  <c r="H139" i="40"/>
  <c r="F139" i="40"/>
  <c r="E139" i="40"/>
  <c r="D139" i="40"/>
  <c r="C139" i="40"/>
  <c r="R138" i="40"/>
  <c r="P138" i="40"/>
  <c r="O138" i="40"/>
  <c r="N138" i="40"/>
  <c r="M138" i="40"/>
  <c r="H138" i="40"/>
  <c r="F138" i="40"/>
  <c r="E138" i="40"/>
  <c r="D138" i="40"/>
  <c r="C138" i="40"/>
  <c r="R137" i="40"/>
  <c r="P137" i="40"/>
  <c r="O137" i="40"/>
  <c r="N137" i="40"/>
  <c r="M137" i="40"/>
  <c r="H137" i="40"/>
  <c r="F137" i="40"/>
  <c r="E137" i="40"/>
  <c r="D137" i="40"/>
  <c r="C137" i="40"/>
  <c r="R136" i="40"/>
  <c r="P136" i="40"/>
  <c r="O136" i="40"/>
  <c r="N136" i="40"/>
  <c r="M136" i="40"/>
  <c r="H136" i="40"/>
  <c r="F136" i="40"/>
  <c r="E136" i="40"/>
  <c r="D136" i="40"/>
  <c r="C136" i="40"/>
  <c r="R135" i="40"/>
  <c r="P135" i="40"/>
  <c r="O135" i="40"/>
  <c r="N135" i="40"/>
  <c r="M135" i="40"/>
  <c r="H135" i="40"/>
  <c r="F135" i="40"/>
  <c r="E135" i="40"/>
  <c r="D135" i="40"/>
  <c r="C135" i="40"/>
  <c r="R134" i="40"/>
  <c r="P134" i="40"/>
  <c r="O134" i="40"/>
  <c r="N134" i="40"/>
  <c r="M134" i="40"/>
  <c r="H134" i="40"/>
  <c r="F134" i="40"/>
  <c r="E134" i="40"/>
  <c r="D134" i="40"/>
  <c r="C134" i="40"/>
  <c r="R133" i="40"/>
  <c r="P133" i="40"/>
  <c r="O133" i="40"/>
  <c r="N133" i="40"/>
  <c r="M133" i="40"/>
  <c r="H133" i="40"/>
  <c r="F133" i="40"/>
  <c r="E133" i="40"/>
  <c r="D133" i="40"/>
  <c r="C133" i="40"/>
  <c r="R132" i="40"/>
  <c r="P132" i="40"/>
  <c r="O132" i="40"/>
  <c r="N132" i="40"/>
  <c r="M132" i="40"/>
  <c r="H132" i="40"/>
  <c r="F132" i="40"/>
  <c r="E132" i="40"/>
  <c r="D132" i="40"/>
  <c r="C132" i="40"/>
  <c r="R131" i="40"/>
  <c r="P131" i="40"/>
  <c r="O131" i="40"/>
  <c r="N131" i="40"/>
  <c r="M131" i="40"/>
  <c r="H131" i="40"/>
  <c r="F131" i="40"/>
  <c r="E131" i="40"/>
  <c r="D131" i="40"/>
  <c r="C131" i="40"/>
  <c r="R130" i="40"/>
  <c r="P130" i="40"/>
  <c r="O130" i="40"/>
  <c r="N130" i="40"/>
  <c r="M130" i="40"/>
  <c r="H130" i="40"/>
  <c r="F130" i="40"/>
  <c r="E130" i="40"/>
  <c r="D130" i="40"/>
  <c r="C130" i="40"/>
  <c r="R129" i="40"/>
  <c r="P129" i="40"/>
  <c r="O129" i="40"/>
  <c r="N129" i="40"/>
  <c r="M129" i="40"/>
  <c r="H129" i="40"/>
  <c r="F129" i="40"/>
  <c r="E129" i="40"/>
  <c r="D129" i="40"/>
  <c r="C129" i="40"/>
  <c r="R128" i="40"/>
  <c r="P128" i="40"/>
  <c r="O128" i="40"/>
  <c r="N128" i="40"/>
  <c r="M128" i="40"/>
  <c r="H128" i="40"/>
  <c r="F128" i="40"/>
  <c r="E128" i="40"/>
  <c r="D128" i="40"/>
  <c r="C128" i="40"/>
  <c r="R127" i="40"/>
  <c r="P127" i="40"/>
  <c r="O127" i="40"/>
  <c r="N127" i="40"/>
  <c r="M127" i="40"/>
  <c r="H127" i="40"/>
  <c r="F127" i="40"/>
  <c r="E127" i="40"/>
  <c r="D127" i="40"/>
  <c r="C127" i="40"/>
  <c r="R126" i="40"/>
  <c r="P126" i="40"/>
  <c r="O126" i="40"/>
  <c r="N126" i="40"/>
  <c r="M126" i="40"/>
  <c r="H126" i="40"/>
  <c r="F126" i="40"/>
  <c r="E126" i="40"/>
  <c r="D126" i="40"/>
  <c r="C126" i="40"/>
  <c r="R125" i="40"/>
  <c r="P125" i="40"/>
  <c r="O125" i="40"/>
  <c r="N125" i="40"/>
  <c r="M125" i="40"/>
  <c r="H125" i="40"/>
  <c r="F125" i="40"/>
  <c r="E125" i="40"/>
  <c r="D125" i="40"/>
  <c r="C125" i="40"/>
  <c r="R124" i="40"/>
  <c r="P124" i="40"/>
  <c r="O124" i="40"/>
  <c r="N124" i="40"/>
  <c r="M124" i="40"/>
  <c r="H124" i="40"/>
  <c r="F124" i="40"/>
  <c r="E124" i="40"/>
  <c r="D124" i="40"/>
  <c r="C124" i="40"/>
  <c r="R123" i="40"/>
  <c r="P123" i="40"/>
  <c r="O123" i="40"/>
  <c r="N123" i="40"/>
  <c r="M123" i="40"/>
  <c r="H123" i="40"/>
  <c r="F123" i="40"/>
  <c r="E123" i="40"/>
  <c r="D123" i="40"/>
  <c r="C123" i="40"/>
  <c r="R122" i="40"/>
  <c r="P122" i="40"/>
  <c r="O122" i="40"/>
  <c r="N122" i="40"/>
  <c r="M122" i="40"/>
  <c r="H122" i="40"/>
  <c r="F122" i="40"/>
  <c r="E122" i="40"/>
  <c r="D122" i="40"/>
  <c r="C122" i="40"/>
  <c r="R121" i="40"/>
  <c r="P121" i="40"/>
  <c r="O121" i="40"/>
  <c r="N121" i="40"/>
  <c r="M121" i="40"/>
  <c r="H121" i="40"/>
  <c r="F121" i="40"/>
  <c r="E121" i="40"/>
  <c r="D121" i="40"/>
  <c r="C121" i="40"/>
  <c r="R120" i="40"/>
  <c r="P120" i="40"/>
  <c r="O120" i="40"/>
  <c r="N120" i="40"/>
  <c r="M120" i="40"/>
  <c r="H120" i="40"/>
  <c r="F120" i="40"/>
  <c r="E120" i="40"/>
  <c r="D120" i="40"/>
  <c r="C120" i="40"/>
  <c r="R119" i="40"/>
  <c r="P119" i="40"/>
  <c r="O119" i="40"/>
  <c r="N119" i="40"/>
  <c r="M119" i="40"/>
  <c r="H119" i="40"/>
  <c r="F119" i="40"/>
  <c r="E119" i="40"/>
  <c r="D119" i="40"/>
  <c r="C119" i="40"/>
  <c r="R118" i="40"/>
  <c r="P118" i="40"/>
  <c r="O118" i="40"/>
  <c r="N118" i="40"/>
  <c r="M118" i="40"/>
  <c r="H118" i="40"/>
  <c r="F118" i="40"/>
  <c r="E118" i="40"/>
  <c r="D118" i="40"/>
  <c r="C118" i="40"/>
  <c r="R117" i="40"/>
  <c r="P117" i="40"/>
  <c r="O117" i="40"/>
  <c r="N117" i="40"/>
  <c r="M117" i="40"/>
  <c r="H117" i="40"/>
  <c r="F117" i="40"/>
  <c r="E117" i="40"/>
  <c r="D117" i="40"/>
  <c r="C117" i="40"/>
  <c r="R116" i="40"/>
  <c r="P116" i="40"/>
  <c r="O116" i="40"/>
  <c r="N116" i="40"/>
  <c r="M116" i="40"/>
  <c r="H116" i="40"/>
  <c r="F116" i="40"/>
  <c r="E116" i="40"/>
  <c r="D116" i="40"/>
  <c r="C116" i="40"/>
  <c r="R115" i="40"/>
  <c r="P115" i="40"/>
  <c r="O115" i="40"/>
  <c r="N115" i="40"/>
  <c r="M115" i="40"/>
  <c r="H115" i="40"/>
  <c r="F115" i="40"/>
  <c r="E115" i="40"/>
  <c r="D115" i="40"/>
  <c r="C115" i="40"/>
  <c r="R114" i="40"/>
  <c r="P114" i="40"/>
  <c r="O114" i="40"/>
  <c r="N114" i="40"/>
  <c r="M114" i="40"/>
  <c r="H114" i="40"/>
  <c r="F114" i="40"/>
  <c r="E114" i="40"/>
  <c r="D114" i="40"/>
  <c r="C114" i="40"/>
  <c r="R113" i="40"/>
  <c r="P113" i="40"/>
  <c r="O113" i="40"/>
  <c r="N113" i="40"/>
  <c r="M113" i="40"/>
  <c r="H113" i="40"/>
  <c r="F113" i="40"/>
  <c r="E113" i="40"/>
  <c r="D113" i="40"/>
  <c r="C113" i="40"/>
  <c r="R112" i="40"/>
  <c r="P112" i="40"/>
  <c r="O112" i="40"/>
  <c r="N112" i="40"/>
  <c r="M112" i="40"/>
  <c r="H112" i="40"/>
  <c r="F112" i="40"/>
  <c r="E112" i="40"/>
  <c r="D112" i="40"/>
  <c r="C112" i="40"/>
  <c r="R111" i="40"/>
  <c r="P111" i="40"/>
  <c r="O111" i="40"/>
  <c r="N111" i="40"/>
  <c r="M111" i="40"/>
  <c r="H111" i="40"/>
  <c r="F111" i="40"/>
  <c r="E111" i="40"/>
  <c r="D111" i="40"/>
  <c r="C111" i="40"/>
  <c r="R110" i="40"/>
  <c r="P110" i="40"/>
  <c r="O110" i="40"/>
  <c r="N110" i="40"/>
  <c r="M110" i="40"/>
  <c r="H110" i="40"/>
  <c r="F110" i="40"/>
  <c r="E110" i="40"/>
  <c r="D110" i="40"/>
  <c r="C110" i="40"/>
  <c r="R109" i="40"/>
  <c r="P109" i="40"/>
  <c r="O109" i="40"/>
  <c r="N109" i="40"/>
  <c r="M109" i="40"/>
  <c r="H109" i="40"/>
  <c r="F109" i="40"/>
  <c r="E109" i="40"/>
  <c r="D109" i="40"/>
  <c r="C109" i="40"/>
  <c r="R108" i="40"/>
  <c r="P108" i="40"/>
  <c r="O108" i="40"/>
  <c r="N108" i="40"/>
  <c r="M108" i="40"/>
  <c r="H108" i="40"/>
  <c r="F108" i="40"/>
  <c r="E108" i="40"/>
  <c r="D108" i="40"/>
  <c r="C108" i="40"/>
  <c r="R107" i="40"/>
  <c r="P107" i="40"/>
  <c r="O107" i="40"/>
  <c r="N107" i="40"/>
  <c r="M107" i="40"/>
  <c r="H107" i="40"/>
  <c r="F107" i="40"/>
  <c r="E107" i="40"/>
  <c r="D107" i="40"/>
  <c r="C107" i="40"/>
  <c r="R106" i="40"/>
  <c r="P106" i="40"/>
  <c r="O106" i="40"/>
  <c r="N106" i="40"/>
  <c r="M106" i="40"/>
  <c r="H106" i="40"/>
  <c r="F106" i="40"/>
  <c r="E106" i="40"/>
  <c r="D106" i="40"/>
  <c r="C106" i="40"/>
  <c r="R105" i="40"/>
  <c r="P105" i="40"/>
  <c r="O105" i="40"/>
  <c r="N105" i="40"/>
  <c r="M105" i="40"/>
  <c r="H105" i="40"/>
  <c r="F105" i="40"/>
  <c r="E105" i="40"/>
  <c r="D105" i="40"/>
  <c r="C105" i="40"/>
  <c r="R104" i="40"/>
  <c r="P104" i="40"/>
  <c r="O104" i="40"/>
  <c r="N104" i="40"/>
  <c r="M104" i="40"/>
  <c r="H104" i="40"/>
  <c r="F104" i="40"/>
  <c r="E104" i="40"/>
  <c r="D104" i="40"/>
  <c r="C104" i="40"/>
  <c r="R103" i="40"/>
  <c r="P103" i="40"/>
  <c r="O103" i="40"/>
  <c r="N103" i="40"/>
  <c r="M103" i="40"/>
  <c r="H103" i="40"/>
  <c r="F103" i="40"/>
  <c r="E103" i="40"/>
  <c r="D103" i="40"/>
  <c r="C103" i="40"/>
  <c r="R102" i="40"/>
  <c r="P102" i="40"/>
  <c r="O102" i="40"/>
  <c r="N102" i="40"/>
  <c r="M102" i="40"/>
  <c r="H102" i="40"/>
  <c r="F102" i="40"/>
  <c r="E102" i="40"/>
  <c r="D102" i="40"/>
  <c r="C102" i="40"/>
  <c r="K99" i="40"/>
  <c r="E92" i="40"/>
  <c r="Q181" i="40" s="1"/>
  <c r="E91" i="40"/>
  <c r="Q165" i="40" s="1"/>
  <c r="E90" i="40"/>
  <c r="Q149" i="40" s="1"/>
  <c r="E89" i="40"/>
  <c r="Q133" i="40" s="1"/>
  <c r="E88" i="40"/>
  <c r="Q117" i="40" s="1"/>
  <c r="E87" i="40"/>
  <c r="G197" i="40" s="1"/>
  <c r="E86" i="40"/>
  <c r="G181" i="40" s="1"/>
  <c r="E85" i="40"/>
  <c r="G165" i="40" s="1"/>
  <c r="E84" i="40"/>
  <c r="G149" i="40" s="1"/>
  <c r="E83" i="40"/>
  <c r="G133" i="40" s="1"/>
  <c r="E82" i="40"/>
  <c r="G117" i="40" s="1"/>
  <c r="S77" i="40"/>
  <c r="Q180" i="40" s="1"/>
  <c r="L77" i="40"/>
  <c r="Q179" i="40" s="1"/>
  <c r="E77" i="40"/>
  <c r="Q178" i="40" s="1"/>
  <c r="S76" i="40"/>
  <c r="Q164" i="40" s="1"/>
  <c r="L76" i="40"/>
  <c r="Q163" i="40" s="1"/>
  <c r="E76" i="40"/>
  <c r="Q162" i="40" s="1"/>
  <c r="S75" i="40"/>
  <c r="Q148" i="40" s="1"/>
  <c r="L75" i="40"/>
  <c r="Q147" i="40" s="1"/>
  <c r="E75" i="40"/>
  <c r="Q146" i="40" s="1"/>
  <c r="S74" i="40"/>
  <c r="Q132" i="40" s="1"/>
  <c r="L74" i="40"/>
  <c r="Q131" i="40" s="1"/>
  <c r="E74" i="40"/>
  <c r="Q130" i="40" s="1"/>
  <c r="S73" i="40"/>
  <c r="Q116" i="40" s="1"/>
  <c r="L73" i="40"/>
  <c r="Q115" i="40" s="1"/>
  <c r="E73" i="40"/>
  <c r="Q114" i="40" s="1"/>
  <c r="S72" i="40"/>
  <c r="G196" i="40" s="1"/>
  <c r="L72" i="40"/>
  <c r="G195" i="40" s="1"/>
  <c r="E72" i="40"/>
  <c r="G194" i="40" s="1"/>
  <c r="S71" i="40"/>
  <c r="G180" i="40" s="1"/>
  <c r="L71" i="40"/>
  <c r="G179" i="40" s="1"/>
  <c r="E71" i="40"/>
  <c r="G178" i="40" s="1"/>
  <c r="S70" i="40"/>
  <c r="G164" i="40" s="1"/>
  <c r="L70" i="40"/>
  <c r="G163" i="40" s="1"/>
  <c r="E70" i="40"/>
  <c r="G162" i="40" s="1"/>
  <c r="S69" i="40"/>
  <c r="G148" i="40" s="1"/>
  <c r="L69" i="40"/>
  <c r="G147" i="40" s="1"/>
  <c r="E69" i="40"/>
  <c r="G146" i="40" s="1"/>
  <c r="S68" i="40"/>
  <c r="G132" i="40" s="1"/>
  <c r="L68" i="40"/>
  <c r="G131" i="40" s="1"/>
  <c r="E68" i="40"/>
  <c r="G130" i="40" s="1"/>
  <c r="S67" i="40"/>
  <c r="G116" i="40" s="1"/>
  <c r="L67" i="40"/>
  <c r="G115" i="40" s="1"/>
  <c r="E67" i="40"/>
  <c r="G114" i="40" s="1"/>
  <c r="S62" i="40"/>
  <c r="Q177" i="40" s="1"/>
  <c r="L62" i="40"/>
  <c r="Q176" i="40" s="1"/>
  <c r="E62" i="40"/>
  <c r="Q175" i="40" s="1"/>
  <c r="S61" i="40"/>
  <c r="Q161" i="40" s="1"/>
  <c r="L61" i="40"/>
  <c r="Q160" i="40" s="1"/>
  <c r="E61" i="40"/>
  <c r="Q159" i="40" s="1"/>
  <c r="S60" i="40"/>
  <c r="Q145" i="40" s="1"/>
  <c r="L60" i="40"/>
  <c r="Q144" i="40" s="1"/>
  <c r="E60" i="40"/>
  <c r="Q143" i="40" s="1"/>
  <c r="S59" i="40"/>
  <c r="Q129" i="40" s="1"/>
  <c r="L59" i="40"/>
  <c r="Q128" i="40" s="1"/>
  <c r="E59" i="40"/>
  <c r="Q127" i="40" s="1"/>
  <c r="S58" i="40"/>
  <c r="Q113" i="40" s="1"/>
  <c r="L58" i="40"/>
  <c r="Q112" i="40" s="1"/>
  <c r="E58" i="40"/>
  <c r="Q111" i="40" s="1"/>
  <c r="S57" i="40"/>
  <c r="G193" i="40" s="1"/>
  <c r="L57" i="40"/>
  <c r="G192" i="40" s="1"/>
  <c r="E57" i="40"/>
  <c r="G191" i="40" s="1"/>
  <c r="S56" i="40"/>
  <c r="G177" i="40" s="1"/>
  <c r="L56" i="40"/>
  <c r="G176" i="40" s="1"/>
  <c r="E56" i="40"/>
  <c r="G175" i="40" s="1"/>
  <c r="S55" i="40"/>
  <c r="G161" i="40" s="1"/>
  <c r="L55" i="40"/>
  <c r="G160" i="40" s="1"/>
  <c r="E55" i="40"/>
  <c r="G159" i="40" s="1"/>
  <c r="S54" i="40"/>
  <c r="G145" i="40" s="1"/>
  <c r="L54" i="40"/>
  <c r="G144" i="40" s="1"/>
  <c r="E54" i="40"/>
  <c r="G143" i="40" s="1"/>
  <c r="S53" i="40"/>
  <c r="G129" i="40" s="1"/>
  <c r="L53" i="40"/>
  <c r="G128" i="40" s="1"/>
  <c r="E53" i="40"/>
  <c r="G127" i="40" s="1"/>
  <c r="S52" i="40"/>
  <c r="G113" i="40" s="1"/>
  <c r="L52" i="40"/>
  <c r="G112" i="40" s="1"/>
  <c r="E52" i="40"/>
  <c r="G111" i="40" s="1"/>
  <c r="S47" i="40"/>
  <c r="Q174" i="40" s="1"/>
  <c r="L47" i="40"/>
  <c r="Q173" i="40" s="1"/>
  <c r="E47" i="40"/>
  <c r="Q172" i="40" s="1"/>
  <c r="S46" i="40"/>
  <c r="Q158" i="40" s="1"/>
  <c r="L46" i="40"/>
  <c r="Q157" i="40" s="1"/>
  <c r="E46" i="40"/>
  <c r="Q156" i="40" s="1"/>
  <c r="S45" i="40"/>
  <c r="Q142" i="40" s="1"/>
  <c r="L45" i="40"/>
  <c r="Q141" i="40" s="1"/>
  <c r="E45" i="40"/>
  <c r="Q140" i="40" s="1"/>
  <c r="S44" i="40"/>
  <c r="Q126" i="40" s="1"/>
  <c r="L44" i="40"/>
  <c r="Q125" i="40" s="1"/>
  <c r="E44" i="40"/>
  <c r="Q124" i="40" s="1"/>
  <c r="S43" i="40"/>
  <c r="Q110" i="40" s="1"/>
  <c r="L43" i="40"/>
  <c r="Q109" i="40" s="1"/>
  <c r="E43" i="40"/>
  <c r="Q108" i="40" s="1"/>
  <c r="S42" i="40"/>
  <c r="G190" i="40" s="1"/>
  <c r="L42" i="40"/>
  <c r="G189" i="40" s="1"/>
  <c r="E42" i="40"/>
  <c r="G188" i="40" s="1"/>
  <c r="S41" i="40"/>
  <c r="G174" i="40" s="1"/>
  <c r="L41" i="40"/>
  <c r="G173" i="40" s="1"/>
  <c r="E41" i="40"/>
  <c r="G172" i="40" s="1"/>
  <c r="S40" i="40"/>
  <c r="G158" i="40" s="1"/>
  <c r="L40" i="40"/>
  <c r="G157" i="40" s="1"/>
  <c r="E40" i="40"/>
  <c r="G156" i="40" s="1"/>
  <c r="S39" i="40"/>
  <c r="G142" i="40" s="1"/>
  <c r="L39" i="40"/>
  <c r="G141" i="40" s="1"/>
  <c r="E39" i="40"/>
  <c r="G140" i="40" s="1"/>
  <c r="S38" i="40"/>
  <c r="G126" i="40" s="1"/>
  <c r="L38" i="40"/>
  <c r="G125" i="40" s="1"/>
  <c r="E38" i="40"/>
  <c r="G124" i="40" s="1"/>
  <c r="S37" i="40"/>
  <c r="G110" i="40" s="1"/>
  <c r="L37" i="40"/>
  <c r="G109" i="40" s="1"/>
  <c r="E37" i="40"/>
  <c r="G108" i="40" s="1"/>
  <c r="S31" i="40"/>
  <c r="Q171" i="40" s="1"/>
  <c r="L31" i="40"/>
  <c r="Q170" i="40" s="1"/>
  <c r="E31" i="40"/>
  <c r="Q169" i="40" s="1"/>
  <c r="S30" i="40"/>
  <c r="Q155" i="40" s="1"/>
  <c r="L30" i="40"/>
  <c r="Q154" i="40" s="1"/>
  <c r="E30" i="40"/>
  <c r="Q153" i="40" s="1"/>
  <c r="S29" i="40"/>
  <c r="Q139" i="40" s="1"/>
  <c r="L29" i="40"/>
  <c r="Q138" i="40" s="1"/>
  <c r="E29" i="40"/>
  <c r="Q137" i="40" s="1"/>
  <c r="S28" i="40"/>
  <c r="Q123" i="40" s="1"/>
  <c r="L28" i="40"/>
  <c r="Q122" i="40" s="1"/>
  <c r="E28" i="40"/>
  <c r="Q121" i="40" s="1"/>
  <c r="S27" i="40"/>
  <c r="Q107" i="40" s="1"/>
  <c r="L27" i="40"/>
  <c r="Q106" i="40" s="1"/>
  <c r="E27" i="40"/>
  <c r="Q105" i="40" s="1"/>
  <c r="S26" i="40"/>
  <c r="G187" i="40" s="1"/>
  <c r="L26" i="40"/>
  <c r="G186" i="40" s="1"/>
  <c r="E26" i="40"/>
  <c r="G185" i="40" s="1"/>
  <c r="S25" i="40"/>
  <c r="G171" i="40" s="1"/>
  <c r="L25" i="40"/>
  <c r="G170" i="40" s="1"/>
  <c r="E25" i="40"/>
  <c r="G169" i="40" s="1"/>
  <c r="S24" i="40"/>
  <c r="G155" i="40" s="1"/>
  <c r="L24" i="40"/>
  <c r="G154" i="40" s="1"/>
  <c r="E24" i="40"/>
  <c r="G153" i="40" s="1"/>
  <c r="S23" i="40"/>
  <c r="G139" i="40" s="1"/>
  <c r="L23" i="40"/>
  <c r="G138" i="40" s="1"/>
  <c r="E23" i="40"/>
  <c r="G137" i="40" s="1"/>
  <c r="S22" i="40"/>
  <c r="G123" i="40" s="1"/>
  <c r="L22" i="40"/>
  <c r="G122" i="40" s="1"/>
  <c r="E22" i="40"/>
  <c r="G121" i="40" s="1"/>
  <c r="S21" i="40"/>
  <c r="G107" i="40" s="1"/>
  <c r="L21" i="40"/>
  <c r="G106" i="40" s="1"/>
  <c r="E21" i="40"/>
  <c r="G105" i="40" s="1"/>
  <c r="A20" i="40"/>
  <c r="A36" i="40" s="1"/>
  <c r="A19" i="40"/>
  <c r="H19" i="40" s="1"/>
  <c r="O19" i="40" s="1"/>
  <c r="F18" i="40"/>
  <c r="F34" i="40" s="1"/>
  <c r="F49" i="40" s="1"/>
  <c r="F64" i="40" s="1"/>
  <c r="F79" i="40" s="1"/>
  <c r="S16" i="40"/>
  <c r="Q168" i="40" s="1"/>
  <c r="L16" i="40"/>
  <c r="Q167" i="40" s="1"/>
  <c r="E16" i="40"/>
  <c r="Q166" i="40" s="1"/>
  <c r="S15" i="40"/>
  <c r="Q152" i="40" s="1"/>
  <c r="L15" i="40"/>
  <c r="Q151" i="40" s="1"/>
  <c r="E15" i="40"/>
  <c r="Q150" i="40" s="1"/>
  <c r="S14" i="40"/>
  <c r="Q136" i="40" s="1"/>
  <c r="L14" i="40"/>
  <c r="Q135" i="40" s="1"/>
  <c r="E14" i="40"/>
  <c r="Q134" i="40" s="1"/>
  <c r="S13" i="40"/>
  <c r="Q120" i="40" s="1"/>
  <c r="L13" i="40"/>
  <c r="Q119" i="40" s="1"/>
  <c r="E13" i="40"/>
  <c r="Q118" i="40" s="1"/>
  <c r="S12" i="40"/>
  <c r="Q104" i="40" s="1"/>
  <c r="L12" i="40"/>
  <c r="Q103" i="40" s="1"/>
  <c r="E12" i="40"/>
  <c r="Q102" i="40" s="1"/>
  <c r="S11" i="40"/>
  <c r="G184" i="40" s="1"/>
  <c r="L11" i="40"/>
  <c r="G183" i="40" s="1"/>
  <c r="E11" i="40"/>
  <c r="G182" i="40" s="1"/>
  <c r="S10" i="40"/>
  <c r="G168" i="40" s="1"/>
  <c r="L10" i="40"/>
  <c r="G167" i="40" s="1"/>
  <c r="E10" i="40"/>
  <c r="G166" i="40" s="1"/>
  <c r="S9" i="40"/>
  <c r="G152" i="40" s="1"/>
  <c r="L9" i="40"/>
  <c r="G151" i="40" s="1"/>
  <c r="E9" i="40"/>
  <c r="G150" i="40" s="1"/>
  <c r="S8" i="40"/>
  <c r="G136" i="40" s="1"/>
  <c r="L8" i="40"/>
  <c r="G135" i="40" s="1"/>
  <c r="E8" i="40"/>
  <c r="G134" i="40" s="1"/>
  <c r="S7" i="40"/>
  <c r="G120" i="40" s="1"/>
  <c r="L7" i="40"/>
  <c r="G119" i="40" s="1"/>
  <c r="E7" i="40"/>
  <c r="G118" i="40" s="1"/>
  <c r="S6" i="40"/>
  <c r="G104" i="40" s="1"/>
  <c r="L6" i="40"/>
  <c r="G103" i="40" s="1"/>
  <c r="E6" i="40"/>
  <c r="G102" i="40" s="1"/>
  <c r="H5" i="40"/>
  <c r="O5" i="40" s="1"/>
  <c r="H4" i="40"/>
  <c r="O4" i="40" s="1"/>
  <c r="M3" i="40"/>
  <c r="T3" i="40" s="1"/>
  <c r="A35" i="40" l="1"/>
  <c r="A50" i="40" s="1"/>
  <c r="A65" i="40" s="1"/>
  <c r="A80" i="40" s="1"/>
  <c r="M18" i="40"/>
  <c r="T18" i="40" s="1"/>
  <c r="A242" i="40"/>
  <c r="O225" i="40" s="1"/>
  <c r="O242" i="40" s="1"/>
  <c r="B60" i="13" s="1"/>
  <c r="B62" i="4" s="1"/>
  <c r="H36" i="40"/>
  <c r="H51" i="40" s="1"/>
  <c r="H66" i="40" s="1"/>
  <c r="A51" i="40"/>
  <c r="A66" i="40" s="1"/>
  <c r="A81" i="40" s="1"/>
  <c r="O36" i="40"/>
  <c r="O51" i="40" s="1"/>
  <c r="O66" i="40" s="1"/>
  <c r="H35" i="40"/>
  <c r="H50" i="40" s="1"/>
  <c r="H65" i="40" s="1"/>
  <c r="D202" i="40"/>
  <c r="C202" i="40"/>
  <c r="B202" i="40"/>
  <c r="H20" i="40"/>
  <c r="O20" i="40" s="1"/>
  <c r="M34" i="40"/>
  <c r="M49" i="40" s="1"/>
  <c r="M64" i="40" s="1"/>
  <c r="O35" i="40"/>
  <c r="O50" i="40" s="1"/>
  <c r="O65" i="40" s="1"/>
  <c r="T34" i="40"/>
  <c r="T49" i="40" s="1"/>
  <c r="T64" i="40" s="1"/>
  <c r="F53" i="29"/>
  <c r="D54" i="29"/>
  <c r="D53" i="29"/>
  <c r="C53" i="29"/>
  <c r="B67" i="4"/>
  <c r="B66" i="29" s="1"/>
  <c r="B66" i="4"/>
  <c r="B65" i="29" s="1"/>
  <c r="C54" i="4"/>
  <c r="C54" i="29" s="1"/>
  <c r="E53" i="4"/>
  <c r="E53" i="29" s="1"/>
  <c r="B52" i="4"/>
  <c r="B52" i="29" s="1"/>
  <c r="B46" i="4"/>
  <c r="B46" i="29" s="1"/>
  <c r="J48" i="13"/>
  <c r="C114" i="37" s="1"/>
  <c r="F114" i="37"/>
  <c r="P54" i="12" s="1"/>
  <c r="E18" i="12"/>
  <c r="C36" i="4"/>
  <c r="C50" i="4" s="1"/>
  <c r="C50" i="29" s="1"/>
  <c r="B32" i="4"/>
  <c r="B32" i="29" s="1"/>
  <c r="C4" i="12"/>
  <c r="O4" i="12"/>
  <c r="E6" i="12"/>
  <c r="Q6" i="12"/>
  <c r="E7" i="12"/>
  <c r="F7" i="12"/>
  <c r="Q7" i="12"/>
  <c r="R7" i="12"/>
  <c r="E8" i="12"/>
  <c r="F8" i="12"/>
  <c r="Q8" i="12"/>
  <c r="R8" i="12"/>
  <c r="F9" i="12"/>
  <c r="R9" i="12"/>
  <c r="C16" i="12"/>
  <c r="O16" i="12"/>
  <c r="Q18" i="12"/>
  <c r="E19" i="12"/>
  <c r="F19" i="12"/>
  <c r="Q19" i="12"/>
  <c r="R19" i="12"/>
  <c r="E20" i="12"/>
  <c r="F20" i="12"/>
  <c r="Q20" i="12"/>
  <c r="R20" i="12"/>
  <c r="F21" i="12"/>
  <c r="R21" i="12"/>
  <c r="C28" i="12"/>
  <c r="O28" i="12"/>
  <c r="E30" i="12"/>
  <c r="Q30" i="12"/>
  <c r="E31" i="12"/>
  <c r="F31" i="12"/>
  <c r="Q31" i="12"/>
  <c r="R31" i="12"/>
  <c r="E32" i="12"/>
  <c r="F32" i="12"/>
  <c r="Q32" i="12"/>
  <c r="R32" i="12"/>
  <c r="F33" i="12"/>
  <c r="R33" i="12"/>
  <c r="C40" i="12"/>
  <c r="O40" i="12"/>
  <c r="E42" i="12"/>
  <c r="Q42" i="12"/>
  <c r="E43" i="12"/>
  <c r="F43" i="12"/>
  <c r="Q43" i="12"/>
  <c r="R43" i="12"/>
  <c r="E44" i="12"/>
  <c r="F44" i="12"/>
  <c r="Q44" i="12"/>
  <c r="R44" i="12"/>
  <c r="F45" i="12"/>
  <c r="R45" i="12"/>
  <c r="C52" i="12"/>
  <c r="E54" i="12"/>
  <c r="Q54" i="12"/>
  <c r="E55" i="12"/>
  <c r="F55" i="12"/>
  <c r="Q55" i="12"/>
  <c r="R55" i="12"/>
  <c r="E56" i="12"/>
  <c r="F56" i="12"/>
  <c r="Q56" i="12"/>
  <c r="R56" i="12"/>
  <c r="F57" i="12"/>
  <c r="R57" i="12"/>
  <c r="E68" i="12"/>
  <c r="E69" i="12"/>
  <c r="B104" i="37"/>
  <c r="B105" i="37"/>
  <c r="B106" i="37"/>
  <c r="B107" i="37"/>
  <c r="B108" i="37"/>
  <c r="B109" i="37"/>
  <c r="B110" i="37"/>
  <c r="B111" i="37"/>
  <c r="B103" i="37"/>
  <c r="B120" i="37"/>
  <c r="B77" i="37" s="1"/>
  <c r="L114" i="37"/>
  <c r="P55" i="12" s="1"/>
  <c r="S55" i="12" s="1"/>
  <c r="U55" i="12" s="1"/>
  <c r="B113" i="37"/>
  <c r="L111" i="37"/>
  <c r="P43" i="12" s="1"/>
  <c r="S43" i="12" s="1"/>
  <c r="U43" i="12" s="1"/>
  <c r="L110" i="37"/>
  <c r="P31" i="12" s="1"/>
  <c r="S31" i="12" s="1"/>
  <c r="U31" i="12" s="1"/>
  <c r="L109" i="37"/>
  <c r="P19" i="12" s="1"/>
  <c r="L108" i="37"/>
  <c r="P7" i="12" s="1"/>
  <c r="S7" i="12" s="1"/>
  <c r="U7" i="12" s="1"/>
  <c r="L107" i="37"/>
  <c r="D55" i="12" s="1"/>
  <c r="L106" i="37"/>
  <c r="D43" i="12" s="1"/>
  <c r="L105" i="37"/>
  <c r="D31" i="12" s="1"/>
  <c r="L104" i="37"/>
  <c r="D19" i="12" s="1"/>
  <c r="G19" i="12" s="1"/>
  <c r="I19" i="12" s="1"/>
  <c r="L103" i="37"/>
  <c r="D7" i="12" s="1"/>
  <c r="F104" i="37"/>
  <c r="D18" i="12" s="1"/>
  <c r="F105" i="37"/>
  <c r="D30" i="12" s="1"/>
  <c r="G30" i="12" s="1"/>
  <c r="I30" i="12" s="1"/>
  <c r="F106" i="37"/>
  <c r="D42" i="12" s="1"/>
  <c r="F107" i="37"/>
  <c r="D54" i="12" s="1"/>
  <c r="G54" i="12" s="1"/>
  <c r="I54" i="12" s="1"/>
  <c r="F108" i="37"/>
  <c r="P6" i="12" s="1"/>
  <c r="S6" i="12" s="1"/>
  <c r="U6" i="12" s="1"/>
  <c r="F109" i="37"/>
  <c r="P18" i="12" s="1"/>
  <c r="S18" i="12" s="1"/>
  <c r="U18" i="12" s="1"/>
  <c r="V18" i="12" s="1"/>
  <c r="F110" i="37"/>
  <c r="P30" i="12" s="1"/>
  <c r="F111" i="37"/>
  <c r="P42" i="12" s="1"/>
  <c r="S42" i="12" s="1"/>
  <c r="U42" i="12" s="1"/>
  <c r="V42" i="12" s="1"/>
  <c r="F103" i="37"/>
  <c r="D6" i="12" s="1"/>
  <c r="H36" i="13"/>
  <c r="C104" i="37" s="1"/>
  <c r="J81" i="37" s="1"/>
  <c r="H37" i="13"/>
  <c r="C105" i="37" s="1"/>
  <c r="J82" i="37" s="1"/>
  <c r="H38" i="13"/>
  <c r="C106" i="37" s="1"/>
  <c r="J83" i="37" s="1"/>
  <c r="H39" i="13"/>
  <c r="C107" i="37" s="1"/>
  <c r="J84" i="37" s="1"/>
  <c r="H40" i="13"/>
  <c r="C108" i="37" s="1"/>
  <c r="J85" i="37" s="1"/>
  <c r="H41" i="13"/>
  <c r="C109" i="37" s="1"/>
  <c r="J86" i="37" s="1"/>
  <c r="H42" i="13"/>
  <c r="C110" i="37" s="1"/>
  <c r="J87" i="37" s="1"/>
  <c r="H43" i="13"/>
  <c r="C111" i="37" s="1"/>
  <c r="J88" i="37" s="1"/>
  <c r="H35" i="13"/>
  <c r="C103" i="37" s="1"/>
  <c r="J80" i="37" s="1"/>
  <c r="G55" i="12" l="1"/>
  <c r="I55" i="12" s="1"/>
  <c r="J55" i="12" s="1"/>
  <c r="J91" i="37"/>
  <c r="G42" i="12"/>
  <c r="I42" i="12" s="1"/>
  <c r="S54" i="12"/>
  <c r="U54" i="12" s="1"/>
  <c r="W54" i="12" s="1"/>
  <c r="C80" i="37"/>
  <c r="G80" i="37"/>
  <c r="F81" i="37"/>
  <c r="E82" i="37"/>
  <c r="D83" i="37"/>
  <c r="C84" i="37"/>
  <c r="G84" i="37"/>
  <c r="F85" i="37"/>
  <c r="E86" i="37"/>
  <c r="D87" i="37"/>
  <c r="C88" i="37"/>
  <c r="G88" i="37"/>
  <c r="F89" i="37"/>
  <c r="E90" i="37"/>
  <c r="C92" i="37"/>
  <c r="G92" i="37"/>
  <c r="F93" i="37"/>
  <c r="E94" i="37"/>
  <c r="D95" i="37"/>
  <c r="C96" i="37"/>
  <c r="G96" i="37"/>
  <c r="F97" i="37"/>
  <c r="E98" i="37"/>
  <c r="B82" i="37"/>
  <c r="B86" i="37"/>
  <c r="B90" i="37"/>
  <c r="B94" i="37"/>
  <c r="B98" i="37"/>
  <c r="D82" i="37"/>
  <c r="G87" i="37"/>
  <c r="G91" i="37"/>
  <c r="D94" i="37"/>
  <c r="F96" i="37"/>
  <c r="B81" i="37"/>
  <c r="B97" i="37"/>
  <c r="D80" i="37"/>
  <c r="C81" i="37"/>
  <c r="G81" i="37"/>
  <c r="F82" i="37"/>
  <c r="E83" i="37"/>
  <c r="D84" i="37"/>
  <c r="C85" i="37"/>
  <c r="G85" i="37"/>
  <c r="F86" i="37"/>
  <c r="E87" i="37"/>
  <c r="D88" i="37"/>
  <c r="C89" i="37"/>
  <c r="G89" i="37"/>
  <c r="F90" i="37"/>
  <c r="D92" i="37"/>
  <c r="C93" i="37"/>
  <c r="G93" i="37"/>
  <c r="F94" i="37"/>
  <c r="E95" i="37"/>
  <c r="D96" i="37"/>
  <c r="C97" i="37"/>
  <c r="G97" i="37"/>
  <c r="F98" i="37"/>
  <c r="B83" i="37"/>
  <c r="B87" i="37"/>
  <c r="B91" i="37"/>
  <c r="B95" i="37"/>
  <c r="E81" i="37"/>
  <c r="C83" i="37"/>
  <c r="F84" i="37"/>
  <c r="D86" i="37"/>
  <c r="F88" i="37"/>
  <c r="C91" i="37"/>
  <c r="E93" i="37"/>
  <c r="C95" i="37"/>
  <c r="D98" i="37"/>
  <c r="B89" i="37"/>
  <c r="E80" i="37"/>
  <c r="D81" i="37"/>
  <c r="C82" i="37"/>
  <c r="G82" i="37"/>
  <c r="F83" i="37"/>
  <c r="E84" i="37"/>
  <c r="D85" i="37"/>
  <c r="C86" i="37"/>
  <c r="G86" i="37"/>
  <c r="F87" i="37"/>
  <c r="E88" i="37"/>
  <c r="D89" i="37"/>
  <c r="C90" i="37"/>
  <c r="G90" i="37"/>
  <c r="F91" i="37"/>
  <c r="E92" i="37"/>
  <c r="D93" i="37"/>
  <c r="C94" i="37"/>
  <c r="G94" i="37"/>
  <c r="F95" i="37"/>
  <c r="E96" i="37"/>
  <c r="D97" i="37"/>
  <c r="C98" i="37"/>
  <c r="G98" i="37"/>
  <c r="B84" i="37"/>
  <c r="B88" i="37"/>
  <c r="B92" i="37"/>
  <c r="B96" i="37"/>
  <c r="F80" i="37"/>
  <c r="G83" i="37"/>
  <c r="E85" i="37"/>
  <c r="C87" i="37"/>
  <c r="E89" i="37"/>
  <c r="D90" i="37"/>
  <c r="F92" i="37"/>
  <c r="G95" i="37"/>
  <c r="E97" i="37"/>
  <c r="B85" i="37"/>
  <c r="B93" i="37"/>
  <c r="G7" i="12"/>
  <c r="I7" i="12" s="1"/>
  <c r="G31" i="12"/>
  <c r="I31" i="12" s="1"/>
  <c r="K31" i="12" s="1"/>
  <c r="A200" i="40"/>
  <c r="H212" i="40" s="1"/>
  <c r="G212" i="40" s="1"/>
  <c r="G78" i="37"/>
  <c r="C36" i="29"/>
  <c r="D210" i="40"/>
  <c r="B78" i="37"/>
  <c r="C79" i="37"/>
  <c r="G18" i="12"/>
  <c r="I18" i="12" s="1"/>
  <c r="J18" i="12" s="1"/>
  <c r="S19" i="12"/>
  <c r="U19" i="12" s="1"/>
  <c r="W19" i="12" s="1"/>
  <c r="S30" i="12"/>
  <c r="U30" i="12" s="1"/>
  <c r="V30" i="12" s="1"/>
  <c r="G6" i="12"/>
  <c r="I6" i="12" s="1"/>
  <c r="J6" i="12" s="1"/>
  <c r="G43" i="12"/>
  <c r="I43" i="12" s="1"/>
  <c r="J43" i="12" s="1"/>
  <c r="K42" i="12"/>
  <c r="J42" i="12"/>
  <c r="V55" i="12"/>
  <c r="W55" i="12"/>
  <c r="K55" i="12"/>
  <c r="J54" i="12"/>
  <c r="K54" i="12"/>
  <c r="J30" i="12"/>
  <c r="K30" i="12"/>
  <c r="V31" i="12"/>
  <c r="W31" i="12"/>
  <c r="K19" i="12"/>
  <c r="J19" i="12"/>
  <c r="V7" i="12"/>
  <c r="W7" i="12"/>
  <c r="K7" i="12"/>
  <c r="J7" i="12"/>
  <c r="V43" i="12"/>
  <c r="W43" i="12"/>
  <c r="V6" i="12"/>
  <c r="W6" i="12"/>
  <c r="W42" i="12"/>
  <c r="W18" i="12"/>
  <c r="B80" i="37"/>
  <c r="F78" i="37"/>
  <c r="B130" i="37"/>
  <c r="N120" i="37" s="1"/>
  <c r="N130" i="37" s="1"/>
  <c r="B59" i="13" s="1"/>
  <c r="B61" i="4" s="1"/>
  <c r="B79" i="37"/>
  <c r="J31" i="12" l="1"/>
  <c r="A205" i="40"/>
  <c r="A203" i="40"/>
  <c r="A207" i="40"/>
  <c r="B213" i="40"/>
  <c r="C203" i="40"/>
  <c r="B205" i="40"/>
  <c r="B212" i="40"/>
  <c r="V54" i="12"/>
  <c r="C210" i="40"/>
  <c r="H205" i="40"/>
  <c r="G205" i="40" s="1"/>
  <c r="D205" i="40"/>
  <c r="D206" i="40"/>
  <c r="A210" i="40"/>
  <c r="B211" i="40"/>
  <c r="D204" i="40"/>
  <c r="H213" i="40"/>
  <c r="G213" i="40" s="1"/>
  <c r="K87" i="37"/>
  <c r="L87" i="37" s="1"/>
  <c r="M87" i="37" s="1"/>
  <c r="K81" i="37"/>
  <c r="L81" i="37" s="1"/>
  <c r="M81" i="37" s="1"/>
  <c r="B203" i="40"/>
  <c r="C208" i="40"/>
  <c r="D209" i="40"/>
  <c r="B204" i="40"/>
  <c r="C209" i="40"/>
  <c r="H209" i="40"/>
  <c r="G209" i="40" s="1"/>
  <c r="K86" i="37"/>
  <c r="L86" i="37" s="1"/>
  <c r="M86" i="37" s="1"/>
  <c r="B206" i="40"/>
  <c r="C211" i="40"/>
  <c r="H210" i="40"/>
  <c r="G210" i="40" s="1"/>
  <c r="K88" i="37"/>
  <c r="L88" i="37" s="1"/>
  <c r="B207" i="40"/>
  <c r="C212" i="40"/>
  <c r="E212" i="40" s="1"/>
  <c r="H206" i="40"/>
  <c r="G206" i="40" s="1"/>
  <c r="D211" i="40"/>
  <c r="K85" i="37"/>
  <c r="L85" i="37" s="1"/>
  <c r="A211" i="40"/>
  <c r="C205" i="40"/>
  <c r="C213" i="40"/>
  <c r="E213" i="40" s="1"/>
  <c r="H211" i="40"/>
  <c r="G211" i="40" s="1"/>
  <c r="K80" i="37"/>
  <c r="L80" i="37" s="1"/>
  <c r="A208" i="40"/>
  <c r="A213" i="40"/>
  <c r="B209" i="40"/>
  <c r="C206" i="40"/>
  <c r="D203" i="40"/>
  <c r="H207" i="40"/>
  <c r="G207" i="40" s="1"/>
  <c r="D212" i="40"/>
  <c r="K82" i="37"/>
  <c r="L82" i="37" s="1"/>
  <c r="A209" i="40"/>
  <c r="C204" i="40"/>
  <c r="A204" i="40"/>
  <c r="B208" i="40"/>
  <c r="D207" i="40"/>
  <c r="A206" i="40"/>
  <c r="A212" i="40"/>
  <c r="B210" i="40"/>
  <c r="E210" i="40" s="1"/>
  <c r="C207" i="40"/>
  <c r="H203" i="40"/>
  <c r="G203" i="40" s="1"/>
  <c r="D208" i="40"/>
  <c r="D213" i="40"/>
  <c r="K91" i="37"/>
  <c r="L91" i="37" s="1"/>
  <c r="K83" i="37"/>
  <c r="L83" i="37" s="1"/>
  <c r="K84" i="37"/>
  <c r="L84" i="37" s="1"/>
  <c r="H204" i="40"/>
  <c r="G204" i="40" s="1"/>
  <c r="H208" i="40"/>
  <c r="G208" i="40" s="1"/>
  <c r="K43" i="12"/>
  <c r="V19" i="12"/>
  <c r="E211" i="40"/>
  <c r="E203" i="40"/>
  <c r="W30" i="12"/>
  <c r="K18" i="12"/>
  <c r="K6" i="12"/>
  <c r="F203" i="40" l="1"/>
  <c r="F205" i="40"/>
  <c r="F211" i="40"/>
  <c r="F212" i="40"/>
  <c r="F204" i="40"/>
  <c r="F209" i="40"/>
  <c r="E209" i="40"/>
  <c r="E204" i="40"/>
  <c r="F208" i="40"/>
  <c r="F213" i="40"/>
  <c r="N86" i="37"/>
  <c r="F206" i="40"/>
  <c r="D104" i="37"/>
  <c r="N87" i="37"/>
  <c r="C222" i="40"/>
  <c r="D222" i="40" s="1"/>
  <c r="J222" i="40" s="1"/>
  <c r="F210" i="40"/>
  <c r="E208" i="40"/>
  <c r="E206" i="40"/>
  <c r="N81" i="37"/>
  <c r="F207" i="40"/>
  <c r="N88" i="37"/>
  <c r="M88" i="37"/>
  <c r="N85" i="37"/>
  <c r="M85" i="37"/>
  <c r="M91" i="37"/>
  <c r="N91" i="37"/>
  <c r="E205" i="40"/>
  <c r="E207" i="40"/>
  <c r="D107" i="37"/>
  <c r="N84" i="37"/>
  <c r="M84" i="37"/>
  <c r="M83" i="37"/>
  <c r="N83" i="37"/>
  <c r="N82" i="37"/>
  <c r="M82" i="37"/>
  <c r="N80" i="37"/>
  <c r="D9" i="12" s="1"/>
  <c r="G9" i="12" s="1"/>
  <c r="I9" i="12" s="1"/>
  <c r="J9" i="12" s="1"/>
  <c r="M80" i="37"/>
  <c r="M103" i="37" s="1"/>
  <c r="E114" i="37"/>
  <c r="E103" i="37"/>
  <c r="E107" i="37"/>
  <c r="E104" i="37"/>
  <c r="D103" i="37"/>
  <c r="D114" i="37"/>
  <c r="D110" i="37"/>
  <c r="E110" i="37"/>
  <c r="D111" i="37"/>
  <c r="E111" i="37"/>
  <c r="J111" i="37" s="1"/>
  <c r="D109" i="37"/>
  <c r="D106" i="37"/>
  <c r="E106" i="37"/>
  <c r="D105" i="37"/>
  <c r="E105" i="37"/>
  <c r="J105" i="37" s="1"/>
  <c r="D108" i="37"/>
  <c r="E108" i="37"/>
  <c r="F222" i="40" l="1"/>
  <c r="G222" i="40" s="1"/>
  <c r="I222" i="40"/>
  <c r="H222" i="40"/>
  <c r="E54" i="4"/>
  <c r="L222" i="40"/>
  <c r="J114" i="37"/>
  <c r="G50" i="4" s="1"/>
  <c r="I42" i="13"/>
  <c r="J110" i="37"/>
  <c r="G43" i="4" s="1"/>
  <c r="G43" i="29" s="1"/>
  <c r="I36" i="13"/>
  <c r="J104" i="37"/>
  <c r="G37" i="4" s="1"/>
  <c r="G37" i="29" s="1"/>
  <c r="I40" i="13"/>
  <c r="J108" i="37"/>
  <c r="G41" i="4" s="1"/>
  <c r="G41" i="29" s="1"/>
  <c r="I38" i="13"/>
  <c r="J106" i="37"/>
  <c r="G39" i="4" s="1"/>
  <c r="G39" i="29" s="1"/>
  <c r="I39" i="13"/>
  <c r="J107" i="37"/>
  <c r="G40" i="4" s="1"/>
  <c r="G40" i="29" s="1"/>
  <c r="I103" i="37"/>
  <c r="F36" i="4" s="1"/>
  <c r="F36" i="29" s="1"/>
  <c r="J103" i="37"/>
  <c r="G36" i="4" s="1"/>
  <c r="G36" i="29" s="1"/>
  <c r="K48" i="13"/>
  <c r="E50" i="4" s="1"/>
  <c r="G114" i="37"/>
  <c r="H114" i="37" s="1"/>
  <c r="I114" i="37"/>
  <c r="F50" i="4" s="1"/>
  <c r="F50" i="29" s="1"/>
  <c r="D8" i="12"/>
  <c r="G8" i="12" s="1"/>
  <c r="I8" i="12" s="1"/>
  <c r="J8" i="12" s="1"/>
  <c r="J11" i="12" s="1"/>
  <c r="J12" i="12" s="1"/>
  <c r="I107" i="37"/>
  <c r="F40" i="4" s="1"/>
  <c r="F40" i="29" s="1"/>
  <c r="D57" i="12"/>
  <c r="G57" i="12" s="1"/>
  <c r="I57" i="12" s="1"/>
  <c r="J57" i="12" s="1"/>
  <c r="G107" i="37"/>
  <c r="H107" i="37" s="1"/>
  <c r="I104" i="37"/>
  <c r="F37" i="4" s="1"/>
  <c r="F37" i="29" s="1"/>
  <c r="D21" i="12"/>
  <c r="G21" i="12" s="1"/>
  <c r="I21" i="12" s="1"/>
  <c r="J21" i="12" s="1"/>
  <c r="G104" i="37"/>
  <c r="H104" i="37" s="1"/>
  <c r="K9" i="12"/>
  <c r="E54" i="29"/>
  <c r="I43" i="13"/>
  <c r="G44" i="4"/>
  <c r="G44" i="29" s="1"/>
  <c r="I37" i="13"/>
  <c r="G38" i="4"/>
  <c r="G38" i="29" s="1"/>
  <c r="P9" i="12"/>
  <c r="S9" i="12" s="1"/>
  <c r="U9" i="12" s="1"/>
  <c r="P45" i="12"/>
  <c r="S45" i="12" s="1"/>
  <c r="U45" i="12" s="1"/>
  <c r="I110" i="37"/>
  <c r="F43" i="4" s="1"/>
  <c r="F43" i="29" s="1"/>
  <c r="G110" i="37"/>
  <c r="H110" i="37" s="1"/>
  <c r="G105" i="37"/>
  <c r="H105" i="37" s="1"/>
  <c r="E109" i="37"/>
  <c r="I105" i="37"/>
  <c r="F38" i="4" s="1"/>
  <c r="F38" i="29" s="1"/>
  <c r="I35" i="13"/>
  <c r="G106" i="37"/>
  <c r="H106" i="37" s="1"/>
  <c r="I111" i="37"/>
  <c r="F44" i="4" s="1"/>
  <c r="F44" i="29" s="1"/>
  <c r="G103" i="37"/>
  <c r="H103" i="37" s="1"/>
  <c r="I106" i="37"/>
  <c r="F39" i="4" s="1"/>
  <c r="F39" i="29" s="1"/>
  <c r="G111" i="37"/>
  <c r="H111" i="37" s="1"/>
  <c r="G108" i="37"/>
  <c r="H108" i="37" s="1"/>
  <c r="I108" i="37"/>
  <c r="F41" i="4" s="1"/>
  <c r="F41" i="29" s="1"/>
  <c r="P21" i="12"/>
  <c r="S21" i="12" s="1"/>
  <c r="U21" i="12" s="1"/>
  <c r="D45" i="12"/>
  <c r="G45" i="12" s="1"/>
  <c r="I45" i="12" s="1"/>
  <c r="D33" i="12"/>
  <c r="G33" i="12" s="1"/>
  <c r="I33" i="12" s="1"/>
  <c r="P57" i="12"/>
  <c r="P33" i="12"/>
  <c r="S33" i="12" s="1"/>
  <c r="U33" i="12" s="1"/>
  <c r="E50" i="29" l="1"/>
  <c r="G50" i="29"/>
  <c r="G109" i="37"/>
  <c r="H109" i="37" s="1"/>
  <c r="J109" i="37"/>
  <c r="G42" i="4" s="1"/>
  <c r="G42" i="29" s="1"/>
  <c r="D50" i="4"/>
  <c r="D50" i="29" s="1"/>
  <c r="H50" i="4"/>
  <c r="H50" i="29" s="1"/>
  <c r="K8" i="12"/>
  <c r="K11" i="12" s="1"/>
  <c r="J13" i="12" s="1"/>
  <c r="J14" i="12" s="1"/>
  <c r="J15" i="12" s="1"/>
  <c r="J16" i="12" s="1"/>
  <c r="N103" i="37" s="1"/>
  <c r="I36" i="4" s="1"/>
  <c r="P56" i="12"/>
  <c r="M114" i="37"/>
  <c r="D44" i="12"/>
  <c r="G44" i="12" s="1"/>
  <c r="I44" i="12" s="1"/>
  <c r="K44" i="12" s="1"/>
  <c r="M106" i="37"/>
  <c r="P8" i="12"/>
  <c r="S8" i="12" s="1"/>
  <c r="U8" i="12" s="1"/>
  <c r="W8" i="12" s="1"/>
  <c r="M108" i="37"/>
  <c r="P32" i="12"/>
  <c r="S32" i="12" s="1"/>
  <c r="U32" i="12" s="1"/>
  <c r="W32" i="12" s="1"/>
  <c r="M110" i="37"/>
  <c r="D32" i="12"/>
  <c r="G32" i="12" s="1"/>
  <c r="I32" i="12" s="1"/>
  <c r="K32" i="12" s="1"/>
  <c r="M105" i="37"/>
  <c r="P20" i="12"/>
  <c r="S20" i="12" s="1"/>
  <c r="U20" i="12" s="1"/>
  <c r="V20" i="12" s="1"/>
  <c r="M109" i="37"/>
  <c r="P44" i="12"/>
  <c r="S44" i="12" s="1"/>
  <c r="U44" i="12" s="1"/>
  <c r="V44" i="12" s="1"/>
  <c r="M111" i="37"/>
  <c r="D20" i="12"/>
  <c r="G20" i="12" s="1"/>
  <c r="I20" i="12" s="1"/>
  <c r="J20" i="12" s="1"/>
  <c r="J23" i="12" s="1"/>
  <c r="J24" i="12" s="1"/>
  <c r="M104" i="37"/>
  <c r="D56" i="12"/>
  <c r="G56" i="12" s="1"/>
  <c r="I56" i="12" s="1"/>
  <c r="K56" i="12" s="1"/>
  <c r="M107" i="37"/>
  <c r="K57" i="12"/>
  <c r="K21" i="12"/>
  <c r="L54" i="4"/>
  <c r="Z54" i="4" s="1"/>
  <c r="N54" i="4" s="1"/>
  <c r="G54" i="4"/>
  <c r="F54" i="29" s="1"/>
  <c r="V45" i="12"/>
  <c r="W45" i="12"/>
  <c r="V33" i="12"/>
  <c r="W33" i="12"/>
  <c r="V21" i="12"/>
  <c r="W21" i="12"/>
  <c r="V9" i="12"/>
  <c r="W9" i="12"/>
  <c r="J45" i="12"/>
  <c r="K45" i="12"/>
  <c r="K33" i="12"/>
  <c r="J33" i="12"/>
  <c r="I109" i="37"/>
  <c r="F42" i="4" s="1"/>
  <c r="F42" i="29" s="1"/>
  <c r="I41" i="13"/>
  <c r="V8" i="12" l="1"/>
  <c r="V11" i="12" s="1"/>
  <c r="V12" i="12" s="1"/>
  <c r="J32" i="12"/>
  <c r="J35" i="12" s="1"/>
  <c r="J36" i="12" s="1"/>
  <c r="J44" i="12"/>
  <c r="J47" i="12" s="1"/>
  <c r="J48" i="12" s="1"/>
  <c r="V32" i="12"/>
  <c r="V35" i="12" s="1"/>
  <c r="V36" i="12" s="1"/>
  <c r="W20" i="12"/>
  <c r="W23" i="12" s="1"/>
  <c r="W44" i="12"/>
  <c r="W47" i="12" s="1"/>
  <c r="J56" i="12"/>
  <c r="J59" i="12" s="1"/>
  <c r="J60" i="12" s="1"/>
  <c r="K20" i="12"/>
  <c r="K23" i="12" s="1"/>
  <c r="J25" i="12" s="1"/>
  <c r="J26" i="12" s="1"/>
  <c r="J27" i="12" s="1"/>
  <c r="J28" i="12" s="1"/>
  <c r="N104" i="37" s="1"/>
  <c r="I37" i="4" s="1"/>
  <c r="J37" i="29" s="1"/>
  <c r="K59" i="12"/>
  <c r="E36" i="4"/>
  <c r="D36" i="4" s="1"/>
  <c r="D36" i="29" s="1"/>
  <c r="J36" i="29"/>
  <c r="J54" i="4"/>
  <c r="V47" i="12"/>
  <c r="V48" i="12" s="1"/>
  <c r="V23" i="12"/>
  <c r="V24" i="12" s="1"/>
  <c r="K47" i="12"/>
  <c r="W35" i="12"/>
  <c r="W11" i="12"/>
  <c r="K35" i="12"/>
  <c r="D81" i="4"/>
  <c r="J61" i="12" l="1"/>
  <c r="J62" i="12" s="1"/>
  <c r="J63" i="12" s="1"/>
  <c r="J64" i="12" s="1"/>
  <c r="N107" i="37" s="1"/>
  <c r="I40" i="4" s="1"/>
  <c r="J40" i="29" s="1"/>
  <c r="E37" i="4"/>
  <c r="E37" i="29" s="1"/>
  <c r="E36" i="29"/>
  <c r="L36" i="4"/>
  <c r="Z36" i="4" s="1"/>
  <c r="V25" i="12"/>
  <c r="V26" i="12" s="1"/>
  <c r="V27" i="12" s="1"/>
  <c r="V28" i="12" s="1"/>
  <c r="N109" i="37" s="1"/>
  <c r="I42" i="4" s="1"/>
  <c r="V49" i="12"/>
  <c r="V50" i="12" s="1"/>
  <c r="V51" i="12" s="1"/>
  <c r="V52" i="12" s="1"/>
  <c r="N111" i="37" s="1"/>
  <c r="I44" i="4" s="1"/>
  <c r="J44" i="29" s="1"/>
  <c r="V37" i="12"/>
  <c r="V38" i="12" s="1"/>
  <c r="V39" i="12" s="1"/>
  <c r="V40" i="12" s="1"/>
  <c r="N110" i="37" s="1"/>
  <c r="I43" i="4" s="1"/>
  <c r="J43" i="29" s="1"/>
  <c r="J49" i="12"/>
  <c r="J50" i="12" s="1"/>
  <c r="J51" i="12" s="1"/>
  <c r="J52" i="12" s="1"/>
  <c r="N106" i="37" s="1"/>
  <c r="I39" i="4" s="1"/>
  <c r="J39" i="29" s="1"/>
  <c r="V13" i="12"/>
  <c r="V14" i="12" s="1"/>
  <c r="V15" i="12" s="1"/>
  <c r="V16" i="12" s="1"/>
  <c r="N108" i="37" s="1"/>
  <c r="I41" i="4" s="1"/>
  <c r="J41" i="29" s="1"/>
  <c r="J37" i="12"/>
  <c r="J38" i="12" s="1"/>
  <c r="J39" i="12" s="1"/>
  <c r="J40" i="12" s="1"/>
  <c r="N105" i="37" s="1"/>
  <c r="I38" i="4" s="1"/>
  <c r="J38" i="29" s="1"/>
  <c r="A10" i="4"/>
  <c r="A10" i="29" s="1"/>
  <c r="A11" i="4"/>
  <c r="A11" i="29" s="1"/>
  <c r="E40" i="4" l="1"/>
  <c r="D40" i="4" s="1"/>
  <c r="D40" i="29" s="1"/>
  <c r="D37" i="4"/>
  <c r="D37" i="29" s="1"/>
  <c r="E42" i="4"/>
  <c r="E42" i="29" s="1"/>
  <c r="J42" i="29"/>
  <c r="E39" i="4"/>
  <c r="E43" i="4"/>
  <c r="E41" i="4"/>
  <c r="E38" i="4"/>
  <c r="E44" i="4"/>
  <c r="J27" i="35"/>
  <c r="E40" i="29" l="1"/>
  <c r="D42" i="4"/>
  <c r="D42" i="29" s="1"/>
  <c r="D41" i="4"/>
  <c r="D41" i="29" s="1"/>
  <c r="E41" i="29"/>
  <c r="D38" i="4"/>
  <c r="D38" i="29" s="1"/>
  <c r="E38" i="29"/>
  <c r="D43" i="4"/>
  <c r="D43" i="29" s="1"/>
  <c r="E43" i="29"/>
  <c r="D44" i="4"/>
  <c r="D44" i="29" s="1"/>
  <c r="E44" i="29"/>
  <c r="D39" i="4"/>
  <c r="D39" i="29" s="1"/>
  <c r="E39" i="29"/>
  <c r="B11" i="35" l="1"/>
  <c r="A9" i="13" l="1"/>
  <c r="A8" i="13"/>
  <c r="A8" i="4" l="1"/>
  <c r="A8" i="29" s="1"/>
  <c r="A9" i="4"/>
  <c r="A9" i="29" s="1"/>
  <c r="C26" i="4" l="1"/>
  <c r="C26" i="29" s="1"/>
  <c r="C27" i="4"/>
  <c r="C28" i="4"/>
  <c r="C28" i="29" s="1"/>
  <c r="C25" i="4"/>
  <c r="C25" i="29" s="1"/>
  <c r="AB29" i="4" l="1"/>
  <c r="C27" i="29"/>
  <c r="B75" i="4" l="1"/>
  <c r="B72" i="29" l="1"/>
  <c r="N234" i="30" l="1"/>
  <c r="N233" i="30"/>
  <c r="B60" i="4" l="1"/>
  <c r="A248" i="30"/>
  <c r="B229" i="30" s="1"/>
  <c r="L234" i="30"/>
  <c r="F242" i="30" s="1"/>
  <c r="L233" i="30"/>
  <c r="A242" i="30" s="1"/>
  <c r="H2" i="30"/>
  <c r="J4" i="30"/>
  <c r="K4" i="30"/>
  <c r="F5" i="30"/>
  <c r="F138" i="30" s="1"/>
  <c r="L5" i="30"/>
  <c r="F6" i="30"/>
  <c r="F151" i="30" s="1"/>
  <c r="L6" i="30"/>
  <c r="F7" i="30"/>
  <c r="F164" i="30" s="1"/>
  <c r="L7" i="30"/>
  <c r="M164" i="30" s="1"/>
  <c r="F8" i="30"/>
  <c r="F177" i="30" s="1"/>
  <c r="L8" i="30"/>
  <c r="M177" i="30" s="1"/>
  <c r="F9" i="30"/>
  <c r="F190" i="30" s="1"/>
  <c r="L9" i="30"/>
  <c r="F10" i="30"/>
  <c r="F203" i="30" s="1"/>
  <c r="L10" i="30"/>
  <c r="M203" i="30" s="1"/>
  <c r="F11" i="30"/>
  <c r="L11" i="30"/>
  <c r="M216" i="30" s="1"/>
  <c r="H13" i="30"/>
  <c r="J15" i="30"/>
  <c r="K15" i="30"/>
  <c r="F16" i="30"/>
  <c r="L16" i="30"/>
  <c r="M139" i="30" s="1"/>
  <c r="F17" i="30"/>
  <c r="L17" i="30"/>
  <c r="M152" i="30" s="1"/>
  <c r="F18" i="30"/>
  <c r="F165" i="30" s="1"/>
  <c r="L18" i="30"/>
  <c r="M165" i="30" s="1"/>
  <c r="F19" i="30"/>
  <c r="F178" i="30" s="1"/>
  <c r="L19" i="30"/>
  <c r="M178" i="30" s="1"/>
  <c r="F20" i="30"/>
  <c r="L20" i="30"/>
  <c r="F21" i="30"/>
  <c r="F204" i="30" s="1"/>
  <c r="L21" i="30"/>
  <c r="F22" i="30"/>
  <c r="L22" i="30"/>
  <c r="M217" i="30" s="1"/>
  <c r="H24" i="30"/>
  <c r="J26" i="30"/>
  <c r="K26" i="30"/>
  <c r="F27" i="30"/>
  <c r="F140" i="30" s="1"/>
  <c r="L27" i="30"/>
  <c r="M140" i="30" s="1"/>
  <c r="F28" i="30"/>
  <c r="L28" i="30"/>
  <c r="M153" i="30" s="1"/>
  <c r="F29" i="30"/>
  <c r="F166" i="30" s="1"/>
  <c r="L29" i="30"/>
  <c r="M166" i="30" s="1"/>
  <c r="F30" i="30"/>
  <c r="F179" i="30" s="1"/>
  <c r="L30" i="30"/>
  <c r="F31" i="30"/>
  <c r="F192" i="30" s="1"/>
  <c r="L31" i="30"/>
  <c r="M192" i="30" s="1"/>
  <c r="F32" i="30"/>
  <c r="F205" i="30" s="1"/>
  <c r="L32" i="30"/>
  <c r="F33" i="30"/>
  <c r="F218" i="30" s="1"/>
  <c r="L33" i="30"/>
  <c r="M218" i="30" s="1"/>
  <c r="H35" i="30"/>
  <c r="J37" i="30"/>
  <c r="K37" i="30"/>
  <c r="F38" i="30"/>
  <c r="F141" i="30" s="1"/>
  <c r="L38" i="30"/>
  <c r="F39" i="30"/>
  <c r="F154" i="30" s="1"/>
  <c r="L39" i="30"/>
  <c r="M154" i="30" s="1"/>
  <c r="F40" i="30"/>
  <c r="F167" i="30" s="1"/>
  <c r="L40" i="30"/>
  <c r="M167" i="30" s="1"/>
  <c r="F41" i="30"/>
  <c r="L41" i="30"/>
  <c r="M180" i="30" s="1"/>
  <c r="F42" i="30"/>
  <c r="F193" i="30" s="1"/>
  <c r="L42" i="30"/>
  <c r="M193" i="30" s="1"/>
  <c r="F43" i="30"/>
  <c r="F206" i="30" s="1"/>
  <c r="L43" i="30"/>
  <c r="M206" i="30" s="1"/>
  <c r="F44" i="30"/>
  <c r="F219" i="30" s="1"/>
  <c r="L44" i="30"/>
  <c r="M219" i="30" s="1"/>
  <c r="H46" i="30"/>
  <c r="J48" i="30"/>
  <c r="K48" i="30"/>
  <c r="F49" i="30"/>
  <c r="F142" i="30" s="1"/>
  <c r="L49" i="30"/>
  <c r="F50" i="30"/>
  <c r="F155" i="30" s="1"/>
  <c r="L50" i="30"/>
  <c r="M151" i="30" s="1"/>
  <c r="F51" i="30"/>
  <c r="F168" i="30" s="1"/>
  <c r="L51" i="30"/>
  <c r="F52" i="30"/>
  <c r="F181" i="30" s="1"/>
  <c r="L52" i="30"/>
  <c r="M181" i="30" s="1"/>
  <c r="F53" i="30"/>
  <c r="L53" i="30"/>
  <c r="M194" i="30" s="1"/>
  <c r="F54" i="30"/>
  <c r="F207" i="30" s="1"/>
  <c r="L54" i="30"/>
  <c r="M207" i="30" s="1"/>
  <c r="F55" i="30"/>
  <c r="F220" i="30" s="1"/>
  <c r="L55" i="30"/>
  <c r="H57" i="30"/>
  <c r="J59" i="30"/>
  <c r="K59" i="30"/>
  <c r="F60" i="30"/>
  <c r="F143" i="30" s="1"/>
  <c r="L60" i="30"/>
  <c r="M143" i="30" s="1"/>
  <c r="F61" i="30"/>
  <c r="F156" i="30" s="1"/>
  <c r="L61" i="30"/>
  <c r="M156" i="30" s="1"/>
  <c r="F62" i="30"/>
  <c r="L62" i="30"/>
  <c r="M169" i="30" s="1"/>
  <c r="F63" i="30"/>
  <c r="F182" i="30" s="1"/>
  <c r="L63" i="30"/>
  <c r="F64" i="30"/>
  <c r="L64" i="30"/>
  <c r="M195" i="30" s="1"/>
  <c r="F65" i="30"/>
  <c r="F208" i="30" s="1"/>
  <c r="L65" i="30"/>
  <c r="M208" i="30" s="1"/>
  <c r="F66" i="30"/>
  <c r="L66" i="30"/>
  <c r="M221" i="30" s="1"/>
  <c r="H68" i="30"/>
  <c r="J70" i="30"/>
  <c r="K70" i="30"/>
  <c r="F71" i="30"/>
  <c r="F144" i="30" s="1"/>
  <c r="L71" i="30"/>
  <c r="M144" i="30" s="1"/>
  <c r="F72" i="30"/>
  <c r="F157" i="30" s="1"/>
  <c r="L72" i="30"/>
  <c r="F73" i="30"/>
  <c r="F170" i="30" s="1"/>
  <c r="L73" i="30"/>
  <c r="M170" i="30" s="1"/>
  <c r="F74" i="30"/>
  <c r="F183" i="30" s="1"/>
  <c r="L74" i="30"/>
  <c r="F75" i="30"/>
  <c r="F196" i="30" s="1"/>
  <c r="L75" i="30"/>
  <c r="M196" i="30" s="1"/>
  <c r="F76" i="30"/>
  <c r="F209" i="30" s="1"/>
  <c r="L76" i="30"/>
  <c r="F77" i="30"/>
  <c r="F222" i="30" s="1"/>
  <c r="L77" i="30"/>
  <c r="M222" i="30" s="1"/>
  <c r="H79" i="30"/>
  <c r="J81" i="30"/>
  <c r="K81" i="30"/>
  <c r="F82" i="30"/>
  <c r="F145" i="30" s="1"/>
  <c r="L82" i="30"/>
  <c r="M145" i="30" s="1"/>
  <c r="F83" i="30"/>
  <c r="L83" i="30"/>
  <c r="M158" i="30" s="1"/>
  <c r="F84" i="30"/>
  <c r="F171" i="30" s="1"/>
  <c r="L84" i="30"/>
  <c r="M171" i="30" s="1"/>
  <c r="F85" i="30"/>
  <c r="F184" i="30" s="1"/>
  <c r="L85" i="30"/>
  <c r="M184" i="30" s="1"/>
  <c r="F86" i="30"/>
  <c r="F197" i="30" s="1"/>
  <c r="L86" i="30"/>
  <c r="F87" i="30"/>
  <c r="L87" i="30"/>
  <c r="M210" i="30" s="1"/>
  <c r="F88" i="30"/>
  <c r="F223" i="30" s="1"/>
  <c r="L88" i="30"/>
  <c r="M223" i="30" s="1"/>
  <c r="H90" i="30"/>
  <c r="J92" i="30"/>
  <c r="K92" i="30"/>
  <c r="F93" i="30"/>
  <c r="F146" i="30" s="1"/>
  <c r="L93" i="30"/>
  <c r="F94" i="30"/>
  <c r="F159" i="30" s="1"/>
  <c r="L94" i="30"/>
  <c r="M159" i="30" s="1"/>
  <c r="F95" i="30"/>
  <c r="F172" i="30" s="1"/>
  <c r="L95" i="30"/>
  <c r="F96" i="30"/>
  <c r="F185" i="30" s="1"/>
  <c r="L96" i="30"/>
  <c r="M185" i="30" s="1"/>
  <c r="F97" i="30"/>
  <c r="F198" i="30" s="1"/>
  <c r="L97" i="30"/>
  <c r="F98" i="30"/>
  <c r="F211" i="30" s="1"/>
  <c r="L98" i="30"/>
  <c r="M211" i="30" s="1"/>
  <c r="F99" i="30"/>
  <c r="L99" i="30"/>
  <c r="M224" i="30" s="1"/>
  <c r="H101" i="30"/>
  <c r="J103" i="30"/>
  <c r="K103" i="30"/>
  <c r="F104" i="30"/>
  <c r="L104" i="30"/>
  <c r="M147" i="30" s="1"/>
  <c r="F105" i="30"/>
  <c r="L105" i="30"/>
  <c r="M160" i="30" s="1"/>
  <c r="F106" i="30"/>
  <c r="F173" i="30" s="1"/>
  <c r="L106" i="30"/>
  <c r="M173" i="30" s="1"/>
  <c r="F107" i="30"/>
  <c r="F186" i="30" s="1"/>
  <c r="L107" i="30"/>
  <c r="M186" i="30" s="1"/>
  <c r="F108" i="30"/>
  <c r="F199" i="30" s="1"/>
  <c r="L108" i="30"/>
  <c r="M199" i="30" s="1"/>
  <c r="F109" i="30"/>
  <c r="F212" i="30" s="1"/>
  <c r="L109" i="30"/>
  <c r="F110" i="30"/>
  <c r="F225" i="30" s="1"/>
  <c r="L110" i="30"/>
  <c r="M225" i="30" s="1"/>
  <c r="H112" i="30"/>
  <c r="J114" i="30"/>
  <c r="K114" i="30"/>
  <c r="F115" i="30"/>
  <c r="F148" i="30" s="1"/>
  <c r="L115" i="30"/>
  <c r="M148" i="30" s="1"/>
  <c r="F116" i="30"/>
  <c r="F161" i="30" s="1"/>
  <c r="L116" i="30"/>
  <c r="F117" i="30"/>
  <c r="F174" i="30" s="1"/>
  <c r="L117" i="30"/>
  <c r="M174" i="30" s="1"/>
  <c r="F118" i="30"/>
  <c r="F187" i="30" s="1"/>
  <c r="L118" i="30"/>
  <c r="M187" i="30" s="1"/>
  <c r="F119" i="30"/>
  <c r="F200" i="30" s="1"/>
  <c r="L119" i="30"/>
  <c r="M200" i="30" s="1"/>
  <c r="F120" i="30"/>
  <c r="F213" i="30" s="1"/>
  <c r="L120" i="30"/>
  <c r="M213" i="30" s="1"/>
  <c r="F121" i="30"/>
  <c r="F226" i="30" s="1"/>
  <c r="L121" i="30"/>
  <c r="M226" i="30" s="1"/>
  <c r="H123" i="30"/>
  <c r="J125" i="30"/>
  <c r="K125" i="30"/>
  <c r="F126" i="30"/>
  <c r="F149" i="30" s="1"/>
  <c r="L126" i="30"/>
  <c r="M149" i="30" s="1"/>
  <c r="F127" i="30"/>
  <c r="F162" i="30" s="1"/>
  <c r="L127" i="30"/>
  <c r="M162" i="30" s="1"/>
  <c r="F128" i="30"/>
  <c r="F175" i="30" s="1"/>
  <c r="L128" i="30"/>
  <c r="M175" i="30" s="1"/>
  <c r="F129" i="30"/>
  <c r="F188" i="30" s="1"/>
  <c r="L129" i="30"/>
  <c r="M188" i="30" s="1"/>
  <c r="F130" i="30"/>
  <c r="F201" i="30" s="1"/>
  <c r="L130" i="30"/>
  <c r="F131" i="30"/>
  <c r="F214" i="30" s="1"/>
  <c r="L131" i="30"/>
  <c r="M214" i="30" s="1"/>
  <c r="F132" i="30"/>
  <c r="F227" i="30" s="1"/>
  <c r="L132" i="30"/>
  <c r="M227" i="30" s="1"/>
  <c r="P137" i="30"/>
  <c r="C138" i="30"/>
  <c r="D138" i="30"/>
  <c r="E138" i="30"/>
  <c r="J138" i="30"/>
  <c r="K138" i="30"/>
  <c r="L138" i="30"/>
  <c r="M138" i="30"/>
  <c r="P138" i="30"/>
  <c r="C139" i="30"/>
  <c r="D139" i="30"/>
  <c r="E139" i="30"/>
  <c r="F139" i="30"/>
  <c r="J139" i="30"/>
  <c r="K139" i="30"/>
  <c r="L139" i="30"/>
  <c r="P139" i="30"/>
  <c r="C140" i="30"/>
  <c r="D140" i="30"/>
  <c r="E140" i="30"/>
  <c r="J140" i="30"/>
  <c r="K140" i="30"/>
  <c r="L140" i="30"/>
  <c r="P140" i="30"/>
  <c r="C141" i="30"/>
  <c r="D141" i="30"/>
  <c r="E141" i="30"/>
  <c r="J141" i="30"/>
  <c r="K141" i="30"/>
  <c r="L141" i="30"/>
  <c r="M141" i="30"/>
  <c r="P141" i="30"/>
  <c r="C142" i="30"/>
  <c r="D142" i="30"/>
  <c r="E142" i="30"/>
  <c r="J142" i="30"/>
  <c r="K142" i="30"/>
  <c r="L142" i="30"/>
  <c r="M142" i="30"/>
  <c r="P142" i="30"/>
  <c r="C143" i="30"/>
  <c r="D143" i="30"/>
  <c r="E143" i="30"/>
  <c r="J143" i="30"/>
  <c r="K143" i="30"/>
  <c r="L143" i="30"/>
  <c r="P143" i="30"/>
  <c r="C144" i="30"/>
  <c r="D144" i="30"/>
  <c r="E144" i="30"/>
  <c r="J144" i="30"/>
  <c r="K144" i="30"/>
  <c r="L144" i="30"/>
  <c r="P144" i="30"/>
  <c r="C145" i="30"/>
  <c r="D145" i="30"/>
  <c r="E145" i="30"/>
  <c r="J145" i="30"/>
  <c r="K145" i="30"/>
  <c r="L145" i="30"/>
  <c r="P145" i="30"/>
  <c r="C146" i="30"/>
  <c r="D146" i="30"/>
  <c r="E146" i="30"/>
  <c r="J146" i="30"/>
  <c r="K146" i="30"/>
  <c r="L146" i="30"/>
  <c r="M146" i="30"/>
  <c r="P146" i="30"/>
  <c r="C147" i="30"/>
  <c r="D147" i="30"/>
  <c r="E147" i="30"/>
  <c r="F147" i="30"/>
  <c r="J147" i="30"/>
  <c r="K147" i="30"/>
  <c r="L147" i="30"/>
  <c r="P147" i="30"/>
  <c r="C148" i="30"/>
  <c r="D148" i="30"/>
  <c r="E148" i="30"/>
  <c r="J148" i="30"/>
  <c r="K148" i="30"/>
  <c r="L148" i="30"/>
  <c r="P148" i="30"/>
  <c r="C149" i="30"/>
  <c r="D149" i="30"/>
  <c r="E149" i="30"/>
  <c r="J149" i="30"/>
  <c r="K149" i="30"/>
  <c r="L149" i="30"/>
  <c r="C151" i="30"/>
  <c r="D151" i="30"/>
  <c r="E151" i="30"/>
  <c r="J151" i="30"/>
  <c r="K151" i="30"/>
  <c r="L151" i="30"/>
  <c r="C152" i="30"/>
  <c r="D152" i="30"/>
  <c r="E152" i="30"/>
  <c r="F152" i="30"/>
  <c r="J152" i="30"/>
  <c r="K152" i="30"/>
  <c r="L152" i="30"/>
  <c r="C153" i="30"/>
  <c r="D153" i="30"/>
  <c r="E153" i="30"/>
  <c r="F153" i="30"/>
  <c r="J153" i="30"/>
  <c r="K153" i="30"/>
  <c r="L153" i="30"/>
  <c r="P153" i="30"/>
  <c r="C154" i="30"/>
  <c r="D154" i="30"/>
  <c r="E154" i="30"/>
  <c r="J154" i="30"/>
  <c r="K154" i="30"/>
  <c r="L154" i="30"/>
  <c r="P154" i="30"/>
  <c r="C155" i="30"/>
  <c r="D155" i="30"/>
  <c r="E155" i="30"/>
  <c r="J155" i="30"/>
  <c r="K155" i="30"/>
  <c r="L155" i="30"/>
  <c r="P155" i="30"/>
  <c r="C156" i="30"/>
  <c r="D156" i="30"/>
  <c r="E156" i="30"/>
  <c r="J156" i="30"/>
  <c r="K156" i="30"/>
  <c r="L156" i="30"/>
  <c r="P156" i="30"/>
  <c r="C157" i="30"/>
  <c r="D157" i="30"/>
  <c r="E157" i="30"/>
  <c r="J157" i="30"/>
  <c r="K157" i="30"/>
  <c r="L157" i="30"/>
  <c r="M157" i="30"/>
  <c r="P157" i="30"/>
  <c r="C158" i="30"/>
  <c r="D158" i="30"/>
  <c r="E158" i="30"/>
  <c r="F158" i="30"/>
  <c r="J158" i="30"/>
  <c r="K158" i="30"/>
  <c r="L158" i="30"/>
  <c r="P158" i="30"/>
  <c r="C159" i="30"/>
  <c r="D159" i="30"/>
  <c r="E159" i="30"/>
  <c r="J159" i="30"/>
  <c r="K159" i="30"/>
  <c r="L159" i="30"/>
  <c r="P159" i="30"/>
  <c r="C160" i="30"/>
  <c r="D160" i="30"/>
  <c r="E160" i="30"/>
  <c r="F160" i="30"/>
  <c r="J160" i="30"/>
  <c r="K160" i="30"/>
  <c r="L160" i="30"/>
  <c r="P160" i="30"/>
  <c r="C161" i="30"/>
  <c r="D161" i="30"/>
  <c r="E161" i="30"/>
  <c r="J161" i="30"/>
  <c r="K161" i="30"/>
  <c r="L161" i="30"/>
  <c r="M161" i="30"/>
  <c r="P161" i="30"/>
  <c r="C162" i="30"/>
  <c r="D162" i="30"/>
  <c r="E162" i="30"/>
  <c r="J162" i="30"/>
  <c r="K162" i="30"/>
  <c r="L162" i="30"/>
  <c r="P162" i="30"/>
  <c r="P163" i="30"/>
  <c r="C164" i="30"/>
  <c r="D164" i="30"/>
  <c r="E164" i="30"/>
  <c r="J164" i="30"/>
  <c r="K164" i="30"/>
  <c r="L164" i="30"/>
  <c r="P164" i="30"/>
  <c r="C165" i="30"/>
  <c r="D165" i="30"/>
  <c r="E165" i="30"/>
  <c r="J165" i="30"/>
  <c r="K165" i="30"/>
  <c r="L165" i="30"/>
  <c r="C166" i="30"/>
  <c r="D166" i="30"/>
  <c r="E166" i="30"/>
  <c r="J166" i="30"/>
  <c r="K166" i="30"/>
  <c r="L166" i="30"/>
  <c r="C167" i="30"/>
  <c r="D167" i="30"/>
  <c r="E167" i="30"/>
  <c r="J167" i="30"/>
  <c r="K167" i="30"/>
  <c r="L167" i="30"/>
  <c r="C168" i="30"/>
  <c r="D168" i="30"/>
  <c r="E168" i="30"/>
  <c r="J168" i="30"/>
  <c r="K168" i="30"/>
  <c r="L168" i="30"/>
  <c r="M168" i="30"/>
  <c r="C169" i="30"/>
  <c r="D169" i="30"/>
  <c r="E169" i="30"/>
  <c r="F169" i="30"/>
  <c r="J169" i="30"/>
  <c r="K169" i="30"/>
  <c r="L169" i="30"/>
  <c r="C170" i="30"/>
  <c r="D170" i="30"/>
  <c r="E170" i="30"/>
  <c r="J170" i="30"/>
  <c r="K170" i="30"/>
  <c r="L170" i="30"/>
  <c r="C171" i="30"/>
  <c r="D171" i="30"/>
  <c r="E171" i="30"/>
  <c r="J171" i="30"/>
  <c r="K171" i="30"/>
  <c r="L171" i="30"/>
  <c r="C172" i="30"/>
  <c r="D172" i="30"/>
  <c r="E172" i="30"/>
  <c r="J172" i="30"/>
  <c r="K172" i="30"/>
  <c r="L172" i="30"/>
  <c r="M172" i="30"/>
  <c r="C173" i="30"/>
  <c r="D173" i="30"/>
  <c r="E173" i="30"/>
  <c r="J173" i="30"/>
  <c r="K173" i="30"/>
  <c r="L173" i="30"/>
  <c r="C174" i="30"/>
  <c r="D174" i="30"/>
  <c r="E174" i="30"/>
  <c r="J174" i="30"/>
  <c r="K174" i="30"/>
  <c r="L174" i="30"/>
  <c r="C175" i="30"/>
  <c r="D175" i="30"/>
  <c r="E175" i="30"/>
  <c r="J175" i="30"/>
  <c r="K175" i="30"/>
  <c r="L175" i="30"/>
  <c r="C177" i="30"/>
  <c r="D177" i="30"/>
  <c r="E177" i="30"/>
  <c r="J177" i="30"/>
  <c r="K177" i="30"/>
  <c r="L177" i="30"/>
  <c r="C178" i="30"/>
  <c r="D178" i="30"/>
  <c r="E178" i="30"/>
  <c r="J178" i="30"/>
  <c r="K178" i="30"/>
  <c r="L178" i="30"/>
  <c r="C179" i="30"/>
  <c r="D179" i="30"/>
  <c r="E179" i="30"/>
  <c r="J179" i="30"/>
  <c r="K179" i="30"/>
  <c r="L179" i="30"/>
  <c r="M179" i="30"/>
  <c r="C180" i="30"/>
  <c r="D180" i="30"/>
  <c r="E180" i="30"/>
  <c r="F180" i="30"/>
  <c r="J180" i="30"/>
  <c r="K180" i="30"/>
  <c r="L180" i="30"/>
  <c r="C181" i="30"/>
  <c r="D181" i="30"/>
  <c r="E181" i="30"/>
  <c r="J181" i="30"/>
  <c r="K181" i="30"/>
  <c r="L181" i="30"/>
  <c r="C182" i="30"/>
  <c r="D182" i="30"/>
  <c r="E182" i="30"/>
  <c r="J182" i="30"/>
  <c r="K182" i="30"/>
  <c r="L182" i="30"/>
  <c r="M182" i="30"/>
  <c r="C183" i="30"/>
  <c r="D183" i="30"/>
  <c r="E183" i="30"/>
  <c r="J183" i="30"/>
  <c r="K183" i="30"/>
  <c r="L183" i="30"/>
  <c r="M183" i="30"/>
  <c r="C184" i="30"/>
  <c r="D184" i="30"/>
  <c r="E184" i="30"/>
  <c r="J184" i="30"/>
  <c r="K184" i="30"/>
  <c r="L184" i="30"/>
  <c r="C185" i="30"/>
  <c r="D185" i="30"/>
  <c r="E185" i="30"/>
  <c r="J185" i="30"/>
  <c r="K185" i="30"/>
  <c r="L185" i="30"/>
  <c r="C186" i="30"/>
  <c r="D186" i="30"/>
  <c r="E186" i="30"/>
  <c r="J186" i="30"/>
  <c r="K186" i="30"/>
  <c r="L186" i="30"/>
  <c r="C187" i="30"/>
  <c r="D187" i="30"/>
  <c r="E187" i="30"/>
  <c r="J187" i="30"/>
  <c r="K187" i="30"/>
  <c r="L187" i="30"/>
  <c r="C188" i="30"/>
  <c r="D188" i="30"/>
  <c r="E188" i="30"/>
  <c r="J188" i="30"/>
  <c r="K188" i="30"/>
  <c r="L188" i="30"/>
  <c r="C190" i="30"/>
  <c r="D190" i="30"/>
  <c r="E190" i="30"/>
  <c r="J190" i="30"/>
  <c r="K190" i="30"/>
  <c r="L190" i="30"/>
  <c r="C191" i="30"/>
  <c r="D191" i="30"/>
  <c r="E191" i="30"/>
  <c r="F191" i="30"/>
  <c r="J191" i="30"/>
  <c r="K191" i="30"/>
  <c r="L191" i="30"/>
  <c r="C192" i="30"/>
  <c r="D192" i="30"/>
  <c r="E192" i="30"/>
  <c r="J192" i="30"/>
  <c r="K192" i="30"/>
  <c r="L192" i="30"/>
  <c r="C193" i="30"/>
  <c r="D193" i="30"/>
  <c r="E193" i="30"/>
  <c r="J193" i="30"/>
  <c r="K193" i="30"/>
  <c r="L193" i="30"/>
  <c r="C194" i="30"/>
  <c r="D194" i="30"/>
  <c r="E194" i="30"/>
  <c r="F194" i="30"/>
  <c r="J194" i="30"/>
  <c r="K194" i="30"/>
  <c r="L194" i="30"/>
  <c r="C195" i="30"/>
  <c r="D195" i="30"/>
  <c r="E195" i="30"/>
  <c r="F195" i="30"/>
  <c r="J195" i="30"/>
  <c r="K195" i="30"/>
  <c r="L195" i="30"/>
  <c r="C196" i="30"/>
  <c r="D196" i="30"/>
  <c r="E196" i="30"/>
  <c r="J196" i="30"/>
  <c r="K196" i="30"/>
  <c r="L196" i="30"/>
  <c r="C197" i="30"/>
  <c r="D197" i="30"/>
  <c r="E197" i="30"/>
  <c r="J197" i="30"/>
  <c r="K197" i="30"/>
  <c r="L197" i="30"/>
  <c r="M197" i="30"/>
  <c r="C198" i="30"/>
  <c r="D198" i="30"/>
  <c r="E198" i="30"/>
  <c r="J198" i="30"/>
  <c r="K198" i="30"/>
  <c r="L198" i="30"/>
  <c r="M198" i="30"/>
  <c r="C199" i="30"/>
  <c r="D199" i="30"/>
  <c r="E199" i="30"/>
  <c r="J199" i="30"/>
  <c r="K199" i="30"/>
  <c r="L199" i="30"/>
  <c r="C200" i="30"/>
  <c r="D200" i="30"/>
  <c r="E200" i="30"/>
  <c r="J200" i="30"/>
  <c r="K200" i="30"/>
  <c r="L200" i="30"/>
  <c r="C201" i="30"/>
  <c r="D201" i="30"/>
  <c r="E201" i="30"/>
  <c r="J201" i="30"/>
  <c r="K201" i="30"/>
  <c r="L201" i="30"/>
  <c r="M201" i="30"/>
  <c r="C203" i="30"/>
  <c r="D203" i="30"/>
  <c r="E203" i="30"/>
  <c r="J203" i="30"/>
  <c r="K203" i="30"/>
  <c r="L203" i="30"/>
  <c r="C204" i="30"/>
  <c r="D204" i="30"/>
  <c r="E204" i="30"/>
  <c r="J204" i="30"/>
  <c r="K204" i="30"/>
  <c r="L204" i="30"/>
  <c r="M204" i="30"/>
  <c r="C205" i="30"/>
  <c r="D205" i="30"/>
  <c r="E205" i="30"/>
  <c r="J205" i="30"/>
  <c r="K205" i="30"/>
  <c r="L205" i="30"/>
  <c r="M205" i="30"/>
  <c r="C206" i="30"/>
  <c r="D206" i="30"/>
  <c r="E206" i="30"/>
  <c r="J206" i="30"/>
  <c r="K206" i="30"/>
  <c r="L206" i="30"/>
  <c r="C207" i="30"/>
  <c r="D207" i="30"/>
  <c r="E207" i="30"/>
  <c r="J207" i="30"/>
  <c r="K207" i="30"/>
  <c r="L207" i="30"/>
  <c r="C208" i="30"/>
  <c r="D208" i="30"/>
  <c r="E208" i="30"/>
  <c r="J208" i="30"/>
  <c r="K208" i="30"/>
  <c r="L208" i="30"/>
  <c r="C209" i="30"/>
  <c r="D209" i="30"/>
  <c r="E209" i="30"/>
  <c r="J209" i="30"/>
  <c r="K209" i="30"/>
  <c r="L209" i="30"/>
  <c r="M209" i="30"/>
  <c r="C210" i="30"/>
  <c r="D210" i="30"/>
  <c r="E210" i="30"/>
  <c r="F210" i="30"/>
  <c r="J210" i="30"/>
  <c r="K210" i="30"/>
  <c r="L210" i="30"/>
  <c r="C211" i="30"/>
  <c r="D211" i="30"/>
  <c r="E211" i="30"/>
  <c r="J211" i="30"/>
  <c r="K211" i="30"/>
  <c r="L211" i="30"/>
  <c r="C212" i="30"/>
  <c r="D212" i="30"/>
  <c r="E212" i="30"/>
  <c r="J212" i="30"/>
  <c r="K212" i="30"/>
  <c r="L212" i="30"/>
  <c r="M212" i="30"/>
  <c r="C213" i="30"/>
  <c r="D213" i="30"/>
  <c r="E213" i="30"/>
  <c r="J213" i="30"/>
  <c r="K213" i="30"/>
  <c r="L213" i="30"/>
  <c r="C214" i="30"/>
  <c r="D214" i="30"/>
  <c r="E214" i="30"/>
  <c r="J214" i="30"/>
  <c r="K214" i="30"/>
  <c r="L214" i="30"/>
  <c r="C216" i="30"/>
  <c r="D216" i="30"/>
  <c r="E216" i="30"/>
  <c r="F216" i="30"/>
  <c r="J216" i="30"/>
  <c r="K216" i="30"/>
  <c r="L216" i="30"/>
  <c r="C217" i="30"/>
  <c r="D217" i="30"/>
  <c r="E217" i="30"/>
  <c r="F217" i="30"/>
  <c r="J217" i="30"/>
  <c r="K217" i="30"/>
  <c r="L217" i="30"/>
  <c r="C218" i="30"/>
  <c r="D218" i="30"/>
  <c r="E218" i="30"/>
  <c r="J218" i="30"/>
  <c r="K218" i="30"/>
  <c r="L218" i="30"/>
  <c r="C219" i="30"/>
  <c r="D219" i="30"/>
  <c r="E219" i="30"/>
  <c r="J219" i="30"/>
  <c r="K219" i="30"/>
  <c r="L219" i="30"/>
  <c r="C220" i="30"/>
  <c r="D220" i="30"/>
  <c r="E220" i="30"/>
  <c r="J220" i="30"/>
  <c r="K220" i="30"/>
  <c r="L220" i="30"/>
  <c r="M220" i="30"/>
  <c r="C221" i="30"/>
  <c r="D221" i="30"/>
  <c r="E221" i="30"/>
  <c r="F221" i="30"/>
  <c r="J221" i="30"/>
  <c r="K221" i="30"/>
  <c r="L221" i="30"/>
  <c r="C222" i="30"/>
  <c r="D222" i="30"/>
  <c r="E222" i="30"/>
  <c r="J222" i="30"/>
  <c r="K222" i="30"/>
  <c r="L222" i="30"/>
  <c r="C223" i="30"/>
  <c r="D223" i="30"/>
  <c r="E223" i="30"/>
  <c r="J223" i="30"/>
  <c r="K223" i="30"/>
  <c r="L223" i="30"/>
  <c r="C224" i="30"/>
  <c r="D224" i="30"/>
  <c r="E224" i="30"/>
  <c r="F224" i="30"/>
  <c r="J224" i="30"/>
  <c r="K224" i="30"/>
  <c r="L224" i="30"/>
  <c r="C225" i="30"/>
  <c r="D225" i="30"/>
  <c r="E225" i="30"/>
  <c r="J225" i="30"/>
  <c r="K225" i="30"/>
  <c r="L225" i="30"/>
  <c r="C226" i="30"/>
  <c r="D226" i="30"/>
  <c r="E226" i="30"/>
  <c r="J226" i="30"/>
  <c r="K226" i="30"/>
  <c r="L226" i="30"/>
  <c r="C227" i="30"/>
  <c r="D227" i="30"/>
  <c r="E227" i="30"/>
  <c r="J227" i="30"/>
  <c r="K227" i="30"/>
  <c r="L227" i="30"/>
  <c r="I249" i="30"/>
  <c r="J249" i="30"/>
  <c r="I250" i="30"/>
  <c r="J250" i="30"/>
  <c r="I251" i="30"/>
  <c r="J251" i="30"/>
  <c r="I252" i="30"/>
  <c r="J252" i="30"/>
  <c r="I253" i="30"/>
  <c r="J253" i="30"/>
  <c r="I254" i="30"/>
  <c r="J254" i="30"/>
  <c r="I255" i="30"/>
  <c r="J255" i="30"/>
  <c r="I256" i="30"/>
  <c r="J256" i="30"/>
  <c r="I257" i="30"/>
  <c r="J257" i="30"/>
  <c r="I258" i="30"/>
  <c r="J258" i="30"/>
  <c r="I259" i="30"/>
  <c r="J259" i="30"/>
  <c r="I260" i="30"/>
  <c r="J260" i="30"/>
  <c r="M155" i="30" l="1"/>
  <c r="B231" i="30"/>
  <c r="G231" i="30" s="1"/>
  <c r="M190" i="30"/>
  <c r="M191" i="30"/>
  <c r="A261" i="30"/>
  <c r="A229" i="30" s="1"/>
  <c r="K229" i="30" s="1"/>
  <c r="C231" i="30"/>
  <c r="H231" i="30" s="1"/>
  <c r="G229" i="30"/>
  <c r="L229" i="30" s="1"/>
  <c r="A235" i="30" l="1"/>
  <c r="B235" i="30"/>
  <c r="A238" i="30"/>
  <c r="A234" i="30"/>
  <c r="B238" i="30"/>
  <c r="C236" i="30"/>
  <c r="D238" i="30"/>
  <c r="D237" i="30"/>
  <c r="C234" i="30"/>
  <c r="C238" i="30"/>
  <c r="B236" i="30"/>
  <c r="D234" i="30"/>
  <c r="A232" i="30"/>
  <c r="B232" i="30"/>
  <c r="D233" i="30"/>
  <c r="C233" i="30"/>
  <c r="A236" i="30"/>
  <c r="F229" i="30"/>
  <c r="H234" i="30" s="1"/>
  <c r="B234" i="30"/>
  <c r="D235" i="30"/>
  <c r="C237" i="30"/>
  <c r="C232" i="30"/>
  <c r="A237" i="30"/>
  <c r="A233" i="30"/>
  <c r="B237" i="30"/>
  <c r="B233" i="30"/>
  <c r="D236" i="30"/>
  <c r="D232" i="30"/>
  <c r="C235" i="30"/>
  <c r="H232" i="30"/>
  <c r="O233" i="30"/>
  <c r="M237" i="30" s="1"/>
  <c r="E14" i="29" s="1"/>
  <c r="O234" i="30"/>
  <c r="M238" i="30" s="1"/>
  <c r="D241" i="30" l="1"/>
  <c r="B243" i="30"/>
  <c r="D243" i="30"/>
  <c r="B241" i="30"/>
  <c r="I238" i="30"/>
  <c r="G234" i="30"/>
  <c r="G238" i="30"/>
  <c r="I237" i="30"/>
  <c r="F236" i="30"/>
  <c r="I233" i="30"/>
  <c r="H237" i="30"/>
  <c r="F235" i="30"/>
  <c r="F232" i="30"/>
  <c r="H236" i="30"/>
  <c r="G235" i="30"/>
  <c r="I234" i="30"/>
  <c r="H233" i="30"/>
  <c r="H238" i="30"/>
  <c r="F234" i="30"/>
  <c r="G237" i="30"/>
  <c r="G233" i="30"/>
  <c r="I236" i="30"/>
  <c r="I232" i="30"/>
  <c r="H235" i="30"/>
  <c r="F237" i="30"/>
  <c r="F233" i="30"/>
  <c r="G236" i="30"/>
  <c r="G232" i="30"/>
  <c r="I235" i="30"/>
  <c r="F238" i="30"/>
  <c r="I241" i="30" l="1"/>
  <c r="G243" i="30"/>
  <c r="I243" i="30"/>
  <c r="G241" i="30"/>
  <c r="C242" i="30"/>
  <c r="M233" i="30" s="1"/>
  <c r="L237" i="30" s="1"/>
  <c r="D14" i="4" l="1"/>
  <c r="D14" i="29"/>
  <c r="H242" i="30"/>
  <c r="M234" i="30" s="1"/>
  <c r="L238" i="30" s="1"/>
  <c r="D15" i="4" l="1"/>
  <c r="D15" i="29"/>
  <c r="A74" i="13" l="1"/>
  <c r="A64" i="13"/>
  <c r="A55" i="13"/>
  <c r="A30" i="13"/>
  <c r="B30" i="13"/>
  <c r="B30" i="4" s="1"/>
  <c r="B9" i="35" l="1"/>
  <c r="C8" i="35"/>
  <c r="B30" i="29"/>
  <c r="B73" i="29"/>
  <c r="K28" i="29"/>
  <c r="K25" i="29"/>
  <c r="B68" i="4"/>
  <c r="B67" i="29" l="1"/>
  <c r="A5" i="13" l="1"/>
  <c r="A6" i="13"/>
  <c r="A4" i="13"/>
  <c r="A6" i="4" l="1"/>
  <c r="A6" i="29" s="1"/>
  <c r="A5" i="4"/>
  <c r="A5" i="29" s="1"/>
  <c r="A4" i="4"/>
  <c r="A4" i="29" s="1"/>
  <c r="K28" i="4" l="1"/>
  <c r="K25" i="4"/>
  <c r="B20" i="13"/>
  <c r="B19" i="13"/>
  <c r="K26" i="29" l="1"/>
  <c r="K27" i="29"/>
  <c r="K27" i="4"/>
  <c r="K26" i="4"/>
  <c r="Z20" i="4"/>
  <c r="Z19" i="4"/>
  <c r="D11" i="29"/>
  <c r="B76" i="4"/>
  <c r="G81" i="4"/>
  <c r="AC29" i="4" l="1"/>
  <c r="AH17" i="4"/>
  <c r="B61" i="13" s="1"/>
  <c r="N19" i="4"/>
  <c r="D9" i="29"/>
  <c r="D4" i="29"/>
  <c r="D20" i="29"/>
  <c r="D6" i="29"/>
  <c r="D19" i="29"/>
  <c r="D8" i="29"/>
  <c r="D10" i="29"/>
  <c r="D5" i="29"/>
  <c r="J28" i="4"/>
  <c r="I28" i="29" l="1"/>
  <c r="J28" i="29"/>
  <c r="J26" i="4"/>
  <c r="I26" i="29" l="1"/>
  <c r="J26" i="29"/>
  <c r="J27" i="4"/>
  <c r="I27" i="29" l="1"/>
  <c r="J27" i="29"/>
  <c r="J25" i="4" l="1"/>
  <c r="I25" i="29"/>
  <c r="J25" i="29" l="1"/>
  <c r="L38" i="4" l="1"/>
  <c r="Z38" i="4" s="1"/>
  <c r="L43" i="4" l="1"/>
  <c r="Z43" i="4" s="1"/>
  <c r="S56" i="12" l="1"/>
  <c r="U56" i="12" s="1"/>
  <c r="L41" i="4"/>
  <c r="Z41" i="4" s="1"/>
  <c r="L42" i="4"/>
  <c r="Z42" i="4" s="1"/>
  <c r="L44" i="4"/>
  <c r="Z44" i="4" s="1"/>
  <c r="L40" i="4" l="1"/>
  <c r="Z40" i="4" s="1"/>
  <c r="W56" i="12"/>
  <c r="V56" i="12"/>
  <c r="L39" i="4" l="1"/>
  <c r="Z39" i="4" s="1"/>
  <c r="S57" i="12" l="1"/>
  <c r="U57" i="12" s="1"/>
  <c r="W57" i="12" l="1"/>
  <c r="W59" i="12" s="1"/>
  <c r="V57" i="12"/>
  <c r="V59" i="12" s="1"/>
  <c r="V60" i="12" s="1"/>
  <c r="V61" i="12" l="1"/>
  <c r="V62" i="12" s="1"/>
  <c r="V63" i="12" s="1"/>
  <c r="V64" i="12" s="1"/>
  <c r="N114" i="37" s="1"/>
  <c r="I50" i="4" l="1"/>
  <c r="J50" i="29" l="1"/>
  <c r="L50" i="4"/>
  <c r="Z50" i="4" s="1"/>
  <c r="N50" i="4" s="1"/>
  <c r="L37" i="4" l="1"/>
  <c r="Z37" i="4" s="1"/>
  <c r="AA43" i="4" s="1"/>
  <c r="N36" i="4" s="1"/>
  <c r="AA44" i="4" s="1"/>
  <c r="O36" i="4" s="1"/>
  <c r="K79" i="4" s="1"/>
  <c r="D68" i="12" l="1"/>
  <c r="G68" i="12" s="1"/>
  <c r="I68" i="12" s="1"/>
  <c r="C66" i="12"/>
  <c r="D70" i="12"/>
  <c r="G70" i="12" s="1"/>
  <c r="I70" i="12" s="1"/>
  <c r="D69" i="12"/>
  <c r="G69" i="12" s="1"/>
  <c r="I69" i="12" s="1"/>
  <c r="J69" i="12" l="1"/>
  <c r="K69" i="12"/>
  <c r="K70" i="12"/>
  <c r="J70" i="12"/>
  <c r="J68" i="12"/>
  <c r="K68" i="12"/>
  <c r="K72" i="12" l="1"/>
  <c r="J72" i="12"/>
  <c r="J73" i="12" s="1"/>
  <c r="J74" i="12" l="1"/>
  <c r="J75" i="12" s="1"/>
  <c r="J76" i="12" s="1"/>
  <c r="B63" i="4" l="1"/>
  <c r="H2" i="13" l="1"/>
  <c r="A2" i="4" s="1"/>
  <c r="H1" i="43"/>
  <c r="A2" i="29" l="1"/>
  <c r="B75" i="13"/>
  <c r="B70" i="29" l="1"/>
  <c r="B72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PC-PK</author>
  </authors>
  <commentList>
    <comment ref="D22" authorId="0" shapeId="0" xr:uid="{C461E1FA-3933-46F6-848E-65F0C7512CB4}">
      <text>
        <r>
          <rPr>
            <b/>
            <sz val="9"/>
            <color indexed="81"/>
            <rFont val="Tahoma"/>
            <family val="2"/>
          </rPr>
          <t>PC-PK:</t>
        </r>
        <r>
          <rPr>
            <sz val="9"/>
            <color indexed="81"/>
            <rFont val="Tahoma"/>
            <family val="2"/>
          </rPr>
          <t xml:space="preserve">
CONTOH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PC-Sapras</author>
  </authors>
  <commentList>
    <comment ref="N137" authorId="0" shapeId="0" xr:uid="{7A311F94-BC7C-45E3-BC38-C8FC897B90C5}">
      <text>
        <r>
          <rPr>
            <b/>
            <sz val="16"/>
            <color indexed="81"/>
            <rFont val="Tahoma"/>
            <family val="2"/>
          </rPr>
          <t>INPUT DISINI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New User</author>
    <author>ASUS E402WA</author>
  </authors>
  <commentList>
    <comment ref="O26" authorId="0" shapeId="0" xr:uid="{00000000-0006-0000-0100-000001000000}">
      <text>
        <r>
          <rPr>
            <b/>
            <sz val="10"/>
            <color indexed="81"/>
            <rFont val="Tahoma"/>
            <family val="2"/>
          </rPr>
          <t>PILIH :
"G" untuk instalasi ber grounding
"NG" instalasi yang tidak bergrounding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7" authorId="1" shapeId="0" xr:uid="{00000000-0006-0000-0100-000002000000}">
      <text>
        <r>
          <rPr>
            <sz val="10"/>
            <color indexed="81"/>
            <rFont val="Tahoma"/>
            <family val="2"/>
          </rPr>
          <t>BILA HASILNYA KELUAR, MAKA LAKUKAN PENGUKURAN "</t>
        </r>
        <r>
          <rPr>
            <b/>
            <sz val="10"/>
            <color indexed="81"/>
            <rFont val="Tahoma"/>
            <family val="2"/>
          </rPr>
          <t>NC</t>
        </r>
        <r>
          <rPr>
            <sz val="10"/>
            <color indexed="81"/>
            <rFont val="Tahoma"/>
            <family val="2"/>
          </rPr>
          <t>" DAN HASILNYA INPUT PADA KOLOM "</t>
        </r>
        <r>
          <rPr>
            <b/>
            <sz val="10"/>
            <color indexed="81"/>
            <rFont val="Tahoma"/>
            <family val="2"/>
          </rPr>
          <t>NC</t>
        </r>
        <r>
          <rPr>
            <sz val="10"/>
            <color indexed="81"/>
            <rFont val="Tahoma"/>
            <family val="2"/>
          </rPr>
          <t>"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28" authorId="1" shapeId="0" xr:uid="{00000000-0006-0000-0100-000003000000}">
      <text>
        <r>
          <rPr>
            <b/>
            <sz val="11"/>
            <color indexed="81"/>
            <rFont val="Tahoma"/>
            <family val="2"/>
          </rPr>
          <t>INPUT NILAI "NC" DISINI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<sst xmlns="http://schemas.openxmlformats.org/spreadsheetml/2006/main" count="2150" uniqueCount="443">
  <si>
    <t>INPUT SERTIFIKAT STOPWATCH</t>
  </si>
  <si>
    <t>1. SN. 611Q02R</t>
  </si>
  <si>
    <t>DRIFT</t>
  </si>
  <si>
    <t>U95 STD</t>
  </si>
  <si>
    <t>2. SN. 510Q06R</t>
  </si>
  <si>
    <t>3. SN. 207Q01R</t>
  </si>
  <si>
    <t>Timer</t>
  </si>
  <si>
    <t>Tahun</t>
  </si>
  <si>
    <t>s</t>
  </si>
  <si>
    <t>No.</t>
  </si>
  <si>
    <t>-</t>
  </si>
  <si>
    <t xml:space="preserve">4. SN. 510Q061R </t>
  </si>
  <si>
    <t>5 SN. 001380</t>
  </si>
  <si>
    <t>6 SN. 001381</t>
  </si>
  <si>
    <t>7. SN. 001382</t>
  </si>
  <si>
    <t>8. SN. 001383</t>
  </si>
  <si>
    <t>9. SN. 001384</t>
  </si>
  <si>
    <t>10. SN. 001385</t>
  </si>
  <si>
    <t>11 SN. 001386</t>
  </si>
  <si>
    <t>12 SN. 001387</t>
  </si>
  <si>
    <t>13. SN. 001445</t>
  </si>
  <si>
    <t>14. SN. 001449</t>
  </si>
  <si>
    <t>15. SN. 001452</t>
  </si>
  <si>
    <t>16. SN. 005018</t>
  </si>
  <si>
    <t>No Urut Titik Ukur</t>
  </si>
  <si>
    <t>Waktu</t>
  </si>
  <si>
    <t>U95    STD</t>
  </si>
  <si>
    <t>I</t>
  </si>
  <si>
    <t>VII</t>
  </si>
  <si>
    <t>II</t>
  </si>
  <si>
    <t>VIII</t>
  </si>
  <si>
    <t>III</t>
  </si>
  <si>
    <t>IX</t>
  </si>
  <si>
    <t>IV</t>
  </si>
  <si>
    <t>X</t>
  </si>
  <si>
    <t>V</t>
  </si>
  <si>
    <t>XI</t>
  </si>
  <si>
    <t>VI</t>
  </si>
  <si>
    <t>KOREKSI</t>
  </si>
  <si>
    <t>1 Tahun</t>
  </si>
  <si>
    <t>Setting Alat</t>
  </si>
  <si>
    <t>Rata-rata standar</t>
  </si>
  <si>
    <t>Interpolasi Koreksi</t>
  </si>
  <si>
    <t>Rata-rata Terkoreksi</t>
  </si>
  <si>
    <t>STDEV</t>
  </si>
  <si>
    <t>Kesalahan</t>
  </si>
  <si>
    <t>Kesalahan Relatif (%)</t>
  </si>
  <si>
    <t>Koreksi</t>
  </si>
  <si>
    <t>Koreksi Relatif (%)</t>
  </si>
  <si>
    <t>Interpolasi U95</t>
  </si>
  <si>
    <t>Daya Baca UUT</t>
  </si>
  <si>
    <t>Interpolasi Drift</t>
  </si>
  <si>
    <t>Tahun Kalibrasi</t>
  </si>
  <si>
    <t xml:space="preserve">Stopwatch, Merek : Casio, Model : HS - 3, SN : 611Q02R </t>
  </si>
  <si>
    <t>Hasil pengujian waktu Pengisian tertelusur ke Satuan Internasional ( SI ) melalui PT KALIMAN</t>
  </si>
  <si>
    <t xml:space="preserve">Stopwatch, Merek : Casio, Model : HS - 80TW, SN : 510Q06R </t>
  </si>
  <si>
    <t>Hasil pengujian waktu Pengisian tertelusur ke Satuan Internasional ( SI ) melalui PPM LIPI</t>
  </si>
  <si>
    <t xml:space="preserve">Stopwatch, Merek : Casio, Model : HS - 80TW, SN :510Q061R </t>
  </si>
  <si>
    <t>Stopwatch, Merek : EXTECH, Model : 365535, SN :001380</t>
  </si>
  <si>
    <t>Stopwatch, Merek : EXTECH, Model : 365535, SN :001381</t>
  </si>
  <si>
    <t>Stopwatch, Merek : EXTECH, Model : 365535, SN :001382</t>
  </si>
  <si>
    <t>Stopwatch, Merek : EXTECH, Model : 365535, SN :001383</t>
  </si>
  <si>
    <t>Stopwatch, Merek : EXTECH, Model : 365535, SN :001384</t>
  </si>
  <si>
    <t>Stopwatch, Merek : EXTECH, Model : 365535, SN :001385</t>
  </si>
  <si>
    <t>Stopwatch, Merek : EXTECH, Model : 365535, SN :001386</t>
  </si>
  <si>
    <t>Stopwatch, Merek : EXTECH, Model : 365535, SN :001387</t>
  </si>
  <si>
    <t>Stopwatch, Merek : EXTECH, Model : 365535, SN :001445</t>
  </si>
  <si>
    <t>Stopwatch, Merek : EXTECH, Model : 365535, SN :001449</t>
  </si>
  <si>
    <t>Stopwatch, Merek : EXTECH, Model : 365535, SN :001452</t>
  </si>
  <si>
    <t>Stopwatch, Merek : EXTECH, Model : 365535, SN :005018</t>
  </si>
  <si>
    <t>INPUT SERTIFIKAT THERMOHYGROMETER</t>
  </si>
  <si>
    <t>KOREKSI KIMO THERMOHYGROMETER 15062873</t>
  </si>
  <si>
    <t>Suhu</t>
  </si>
  <si>
    <t>Kelembaban</t>
  </si>
  <si>
    <r>
      <rPr>
        <b/>
        <sz val="11"/>
        <rFont val="Calibri"/>
        <family val="2"/>
      </rPr>
      <t>°</t>
    </r>
    <r>
      <rPr>
        <b/>
        <i/>
        <sz val="11"/>
        <rFont val="Times New Roman"/>
        <family val="1"/>
      </rPr>
      <t>C</t>
    </r>
  </si>
  <si>
    <t>%RH</t>
  </si>
  <si>
    <t>KOREKSI KIMO THERMOHYGROMETER 15062874</t>
  </si>
  <si>
    <t>U95</t>
  </si>
  <si>
    <t>KOREKSI KIMO THERMOHYGROMETER 14082463</t>
  </si>
  <si>
    <t>KOREKSI KIMO THERMOHYGROMETER 15062872</t>
  </si>
  <si>
    <t>KOREKSI KIMO THERMOHYGROMETER 15062875</t>
  </si>
  <si>
    <t>KOREKSI GREISINGER 34903046</t>
  </si>
  <si>
    <t>KOREKSI GREISINGER 34903053</t>
  </si>
  <si>
    <t>KOREKSI GREISINGER 34903051</t>
  </si>
  <si>
    <t>KOREKSI GREISINGER 34904091</t>
  </si>
  <si>
    <t>KOREKSI Sekonic HE-21.000669</t>
  </si>
  <si>
    <t>KOREKSI Sekonic HE-21.000670</t>
  </si>
  <si>
    <t>No</t>
  </si>
  <si>
    <t>No urut alat</t>
  </si>
  <si>
    <t>KOREKSI THERMOHYGROMETER</t>
  </si>
  <si>
    <r>
      <rPr>
        <b/>
        <sz val="11"/>
        <rFont val="Times New Roman"/>
        <family val="1"/>
      </rPr>
      <t>°</t>
    </r>
    <r>
      <rPr>
        <b/>
        <i/>
        <sz val="11"/>
        <rFont val="Times New Roman"/>
        <family val="1"/>
      </rPr>
      <t>C</t>
    </r>
  </si>
  <si>
    <t>INTERPOLASI KOREKSI SUHU</t>
  </si>
  <si>
    <t>INTERPOLASI KOREKSI KELEMBABAN</t>
  </si>
  <si>
    <t>Konversi TEXT</t>
  </si>
  <si>
    <t xml:space="preserve">Thermohygrolight, Merek : KIMO, Model : KH-210-AO, SN : 15062873 </t>
  </si>
  <si>
    <t xml:space="preserve"> °C</t>
  </si>
  <si>
    <t xml:space="preserve">Thermohygrolight, Merek : KIMO, Model : KH-210-AO, SN : 15062874 </t>
  </si>
  <si>
    <t xml:space="preserve"> %RH</t>
  </si>
  <si>
    <t>Thermohygrolight, Merek : KIMO, Model : KH-210-AO, SN : 14082463</t>
  </si>
  <si>
    <t xml:space="preserve">Thermohygrolight, Merek : KIMO, Model : KH-210-AO, SN : 15062872 </t>
  </si>
  <si>
    <t xml:space="preserve">( </t>
  </si>
  <si>
    <t xml:space="preserve"> ± </t>
  </si>
  <si>
    <t xml:space="preserve"> )</t>
  </si>
  <si>
    <t xml:space="preserve">Thermohygrolight, Merek : KIMO, Model : KH-210-AO, SN : 15062875 </t>
  </si>
  <si>
    <t>Thermohygrolight, Merek : Greisinger, Model : GFTB 200, SN : 34903046</t>
  </si>
  <si>
    <t>Thermohygrolight, Merek : Greisinger, Model : GFTB 200, SN : 34903053</t>
  </si>
  <si>
    <t>Thermohygrolight, Merek : Greisinger, Model : GFTB 200, SN : 34903051</t>
  </si>
  <si>
    <t>Thermohygrolight, Merek : Greisinger, Model : GFTB 200, SN : 34904091</t>
  </si>
  <si>
    <t>Thermohygrolight, Merek : Sekonic, Model : ST-50A, SN : HE-21.000669</t>
  </si>
  <si>
    <t>Thermohygrolight, Merek : Sekonic, Model : ST-50A, SN : HE-21.000670</t>
  </si>
  <si>
    <t>III.</t>
  </si>
  <si>
    <t>Pembacaan Standar</t>
  </si>
  <si>
    <t>Pembacaan terkoreksi</t>
  </si>
  <si>
    <t>Hasil</t>
  </si>
  <si>
    <t>Tegangan jala-jala listrik</t>
  </si>
  <si>
    <t>INPUT DATA SERTIFIKAT ESA</t>
  </si>
  <si>
    <t>Parameter</t>
  </si>
  <si>
    <t>Hasil Ukur</t>
  </si>
  <si>
    <t>KOREKSI ESA</t>
  </si>
  <si>
    <t>Setting VAC</t>
  </si>
  <si>
    <t>Driff</t>
  </si>
  <si>
    <t>Tahanan isolasi kabel catu daya</t>
  </si>
  <si>
    <t>( V )</t>
  </si>
  <si>
    <t xml:space="preserve"> </t>
  </si>
  <si>
    <t>Resistansi pembumian protektif</t>
  </si>
  <si>
    <t>Current Leakage</t>
  </si>
  <si>
    <t>Arus bocor</t>
  </si>
  <si>
    <t>( uA )</t>
  </si>
  <si>
    <t xml:space="preserve">Resistansi pembumian protektif </t>
  </si>
  <si>
    <t>Main-PE</t>
  </si>
  <si>
    <r>
      <rPr>
        <b/>
        <i/>
        <sz val="11"/>
        <rFont val="Times New Roman"/>
        <family val="1"/>
      </rPr>
      <t>( M</t>
    </r>
    <r>
      <rPr>
        <b/>
        <sz val="11"/>
        <rFont val="Calibri"/>
        <family val="2"/>
      </rPr>
      <t>Ω</t>
    </r>
    <r>
      <rPr>
        <b/>
        <i/>
        <sz val="11"/>
        <rFont val="Times New Roman"/>
        <family val="1"/>
      </rPr>
      <t xml:space="preserve"> )</t>
    </r>
  </si>
  <si>
    <t>Resistance</t>
  </si>
  <si>
    <r>
      <rPr>
        <b/>
        <i/>
        <sz val="11"/>
        <rFont val="Times New Roman"/>
        <family val="1"/>
      </rPr>
      <t xml:space="preserve">( </t>
    </r>
    <r>
      <rPr>
        <b/>
        <sz val="11"/>
        <rFont val="Calibri"/>
        <family val="2"/>
      </rPr>
      <t>Ω</t>
    </r>
    <r>
      <rPr>
        <b/>
        <i/>
        <sz val="11"/>
        <rFont val="Times New Roman"/>
        <family val="1"/>
      </rPr>
      <t xml:space="preserve"> )</t>
    </r>
  </si>
  <si>
    <t>vi</t>
  </si>
  <si>
    <t>ui</t>
  </si>
  <si>
    <t>ci</t>
  </si>
  <si>
    <t>uici</t>
  </si>
  <si>
    <t>(uici)^2</t>
  </si>
  <si>
    <t>(uici)^4/vi</t>
  </si>
  <si>
    <t xml:space="preserve">1. Repeatability </t>
  </si>
  <si>
    <t>Volt</t>
  </si>
  <si>
    <t>Arus bocor bagian yang diaplikasikan</t>
  </si>
  <si>
    <t>G</t>
  </si>
  <si>
    <t>Jumlah</t>
  </si>
  <si>
    <t>NG</t>
  </si>
  <si>
    <t>Ketidakpastian baku gabungan, Uc</t>
  </si>
  <si>
    <t>Derajat kebebasan efektif, veff</t>
  </si>
  <si>
    <t>Faktor cakupan</t>
  </si>
  <si>
    <t>Ketidakpastian bentangan, U = k.Uc</t>
  </si>
  <si>
    <t>NC</t>
  </si>
  <si>
    <t>Electrical Safety Analyzer, Merek : Fluke, Model : ESA 615, SN : 2853077</t>
  </si>
  <si>
    <t>Keterangan</t>
  </si>
  <si>
    <t>Resolusi</t>
  </si>
  <si>
    <t>Ω</t>
  </si>
  <si>
    <t>Electrical Safety Analyzer, Merek : Fluke, Model : ESA 615, SN : 3148908</t>
  </si>
  <si>
    <t>Electrical Safety Analyzer, Merek : Fluke, Model : ESA 615, SN : 3699030</t>
  </si>
  <si>
    <t>Electrical Safety Analyzer, Merek : Fluke, Model : ESA 615, SN : 4669058</t>
  </si>
  <si>
    <t>Electrical Safety Analyzer, Merek : Fluke, Model : ESA 615, SN : 4670010</t>
  </si>
  <si>
    <t>Catu daya menggunakan baterai</t>
  </si>
  <si>
    <t>Alat tidak boleh digunakan pada ruangan yang tidak dilengkapi instalasi grounding</t>
  </si>
  <si>
    <t>Electrical Safety Analyzer 11</t>
  </si>
  <si>
    <t>Di ruangan tidak terdapat instalasi grounding</t>
  </si>
  <si>
    <t>Electrical Safety Analyzer 12</t>
  </si>
  <si>
    <t>Merek</t>
  </si>
  <si>
    <t>:</t>
  </si>
  <si>
    <t>................................................................</t>
  </si>
  <si>
    <t>Model/Tipe</t>
  </si>
  <si>
    <t>No. Seri</t>
  </si>
  <si>
    <t>Tanggal Penerimaan Alat</t>
  </si>
  <si>
    <t>Tanggal Kalibrasi</t>
  </si>
  <si>
    <t>Tempat Kalibrasi</t>
  </si>
  <si>
    <t>Nama Ruang</t>
  </si>
  <si>
    <t>Metode Kerja</t>
  </si>
  <si>
    <t>MK.087-19</t>
  </si>
  <si>
    <t xml:space="preserve">I.     </t>
  </si>
  <si>
    <t>Kondisi Ruang</t>
  </si>
  <si>
    <t>AWAL</t>
  </si>
  <si>
    <t>AKHIR</t>
  </si>
  <si>
    <t xml:space="preserve">1. Suhu </t>
  </si>
  <si>
    <t xml:space="preserve">: </t>
  </si>
  <si>
    <t>°C</t>
  </si>
  <si>
    <t>2. Kelembaban</t>
  </si>
  <si>
    <t>3. Tegangan Jala-jala</t>
  </si>
  <si>
    <t xml:space="preserve">II.     </t>
  </si>
  <si>
    <t>Pemeriksaan Kondisi Fisik dan Fungsi Alat</t>
  </si>
  <si>
    <t>Skor</t>
  </si>
  <si>
    <t>1. Fisik</t>
  </si>
  <si>
    <t>: Baik / Tidak Baik</t>
  </si>
  <si>
    <t>(Pilih salah satu dan coret yang tidak perlu)</t>
  </si>
  <si>
    <t>2. Fungsi</t>
  </si>
  <si>
    <t xml:space="preserve">Hasil Pengujian Keselamatan Listrik </t>
  </si>
  <si>
    <t xml:space="preserve"> Ambang Batas yang Diijinkan</t>
  </si>
  <si>
    <t>Resistansi Isolasi</t>
  </si>
  <si>
    <t>MΩ</t>
  </si>
  <si>
    <t>&gt; 2</t>
  </si>
  <si>
    <t>Resistansi Pembumian Protektif (kabel dapat dilepas)*</t>
  </si>
  <si>
    <t>≤ 0.2</t>
  </si>
  <si>
    <t>Resistansi Pembumian Protektif (kabel tidak dapat dilepas)*</t>
  </si>
  <si>
    <t>≤ 0.3</t>
  </si>
  <si>
    <t>Arus bocor peralatan untuk peralatan elektromedik kelas I**</t>
  </si>
  <si>
    <t>µA</t>
  </si>
  <si>
    <t>≤ 500</t>
  </si>
  <si>
    <t>Arus bocor peralatan untuk peralatan elektromedik kelas II**</t>
  </si>
  <si>
    <t>≤ 100</t>
  </si>
  <si>
    <t>Arus bocor peralatan yang diaplikasikan</t>
  </si>
  <si>
    <t>≤ 50</t>
  </si>
  <si>
    <t>*</t>
  </si>
  <si>
    <t>pilih salah satu</t>
  </si>
  <si>
    <t>**</t>
  </si>
  <si>
    <t>IV.</t>
  </si>
  <si>
    <t xml:space="preserve">Pengujian Kinerja </t>
  </si>
  <si>
    <t>a. Kalibrasi Akurasi Energi</t>
  </si>
  <si>
    <t>Setting Pada Alat</t>
  </si>
  <si>
    <t xml:space="preserve"> Pembacaan Standar</t>
  </si>
  <si>
    <t>Toleransi</t>
  </si>
  <si>
    <t>Energi ( J )</t>
  </si>
  <si>
    <t>± 15%</t>
  </si>
  <si>
    <t>* maximal keluar 2</t>
  </si>
  <si>
    <t>b. Kalibrasi Energi Maksimum 10 kali Pengisian</t>
  </si>
  <si>
    <t>200 J</t>
  </si>
  <si>
    <t>* Tidak ada yang keluar = hijau</t>
  </si>
  <si>
    <t>c. Waktu Pengisian</t>
  </si>
  <si>
    <t>Setting pada Alat</t>
  </si>
  <si>
    <t>Waktu Charging (s)</t>
  </si>
  <si>
    <t>300 J</t>
  </si>
  <si>
    <t>± 15s</t>
  </si>
  <si>
    <t>d. Kalibrasi Heart Rate</t>
  </si>
  <si>
    <t>V.</t>
  </si>
  <si>
    <t>1. ..............................................................................................</t>
  </si>
  <si>
    <t>2. ..............................................................................................</t>
  </si>
  <si>
    <t>VI.</t>
  </si>
  <si>
    <t>Alat Yang Digunakan</t>
  </si>
  <si>
    <t>□  1. Defibrillator Analyzer, Merek : Fluke, Model : Impulse 7000 DP (1837053) / (3732537)</t>
  </si>
  <si>
    <t>□  1. Defibrillator Analyzer, Merek : Fluke, Model : Impulse 6000 D (3100070) / (4766663) / (4796071)</t>
  </si>
  <si>
    <t>□  2. Stopwatch, Merek : Casio , Model : HS - 3 / HS - 80TW, SN : (611Q02R) / (510Q06R) / (207Q01R) / (001380) / (001381) / (001382)</t>
  </si>
  <si>
    <t xml:space="preserve"> / (001383) / (001384) / (001385) / (001386) / (001387) / (001445) / (001449) / (001452) / (005018)</t>
  </si>
  <si>
    <t>□  3. Multiparameter Simulator, Merek : Fluke, Model : PS410 (21033) ; PS420 (1826055) / (1827060) ; MPS450 (184633) / (184635)</t>
  </si>
  <si>
    <t>□  3. Vital Signs Simulator, Merek : Fluke, Model : Prosim8 (3217028) / (3188428)</t>
  </si>
  <si>
    <t>□  3. Vital Signs Simulator, Merek : Fluke, Model : Prosim4 (-------) / (-------) / (-------)</t>
  </si>
  <si>
    <t>□  3. Vital Signs Simulator, Merek : RIGEL Model : UNi-SiM (05J-0804) / (11L-0293)</t>
  </si>
  <si>
    <t>□  7. Thermohygrometer, Merek : KIMO, KH-210-AO (14082463) / (15062872) /(15062873) / (15062874) / (15062875)</t>
  </si>
  <si>
    <t>□  7. Thermohygrometer, Merek : SEKONIC, ST-50A (HE 21-000669) / (HE 21-000670)</t>
  </si>
  <si>
    <t>□  7. Thermohygrobarometer, Merek : GHM - GREISINGER, Model : GFTB.200 (34903053) / (34904091) / (34903051) / (34903046)</t>
  </si>
  <si>
    <t>VII.</t>
  </si>
  <si>
    <t>Petugas Kalibrasi</t>
  </si>
  <si>
    <t>.................................</t>
  </si>
  <si>
    <t>Tanggal</t>
  </si>
  <si>
    <t>Revisi</t>
  </si>
  <si>
    <t>Pelaksana</t>
  </si>
  <si>
    <t>Penanggung jawab</t>
  </si>
  <si>
    <t>Awal</t>
  </si>
  <si>
    <t>Akhir</t>
  </si>
  <si>
    <t>Rev 2 : 17 Mei 2021</t>
  </si>
  <si>
    <t>23 / XI - 34 / E  - 001.34 DL</t>
  </si>
  <si>
    <t>Philips</t>
  </si>
  <si>
    <t>xxx</t>
  </si>
  <si>
    <t>x1</t>
  </si>
  <si>
    <t>x2</t>
  </si>
  <si>
    <t>x3</t>
  </si>
  <si>
    <t>Baik</t>
  </si>
  <si>
    <t xml:space="preserve">Hasil Pengukuran Keselamatan Listrik </t>
  </si>
  <si>
    <t>OL</t>
  </si>
  <si>
    <t>M Ω</t>
  </si>
  <si>
    <t>Ω</t>
  </si>
  <si>
    <t>Terukur Rata-Rata</t>
  </si>
  <si>
    <t>Rata-Rata Terkoreksi</t>
  </si>
  <si>
    <t>Rata-Rata Standar</t>
  </si>
  <si>
    <t>Rata - Rata Terkoreksi</t>
  </si>
  <si>
    <t>Heart Rate (BPM)</t>
  </si>
  <si>
    <t>Keterangan :</t>
  </si>
  <si>
    <t>Ketidakpastian Pengukuran Energi dilaporkan pada tingkat kepercayaan 95 % dengan faktor cakupan k = 2</t>
  </si>
  <si>
    <t>Ketidakpastian Waktu Pengisian dilaporkan pada tingkat kepercayaan 95 % dengan faktor cakupan k = 2</t>
  </si>
  <si>
    <t/>
  </si>
  <si>
    <t>Alat Yang Digunakan :</t>
  </si>
  <si>
    <t>1. Pengukuran Akurasi Energi dan Energi Maksimum 10 kali Pengisian</t>
  </si>
  <si>
    <t>Defibrillator Analyzer, Merek : Fluke, Model : Impulse 7000 D, SN : 1837053</t>
  </si>
  <si>
    <t>2. Waktu Pengisian</t>
  </si>
  <si>
    <t>Kesimpulan</t>
  </si>
  <si>
    <t>VIII.</t>
  </si>
  <si>
    <t>Muhammad Iqbal Saiful Rahman</t>
  </si>
  <si>
    <t>IX.</t>
  </si>
  <si>
    <t>Tanggal Pembuatan laporan</t>
  </si>
  <si>
    <t>26 September 2019</t>
  </si>
  <si>
    <t>( BPM )</t>
  </si>
  <si>
    <t>KL.UB - 087-19 / REV : 0</t>
  </si>
  <si>
    <t>UNCERTAINTY BUDGET</t>
  </si>
  <si>
    <t>Komponen</t>
  </si>
  <si>
    <t>Satuan</t>
  </si>
  <si>
    <t>Distribusi</t>
  </si>
  <si>
    <t>U</t>
  </si>
  <si>
    <t>Pembagi</t>
  </si>
  <si>
    <t>normal</t>
  </si>
  <si>
    <t>rect.</t>
  </si>
  <si>
    <t xml:space="preserve">3. Drift standar </t>
  </si>
  <si>
    <t>4. Sertifikat Standar</t>
  </si>
  <si>
    <r>
      <t>Uc</t>
    </r>
    <r>
      <rPr>
        <sz val="11"/>
        <rFont val="Times New Roman"/>
        <family val="1"/>
      </rPr>
      <t xml:space="preserve"> = </t>
    </r>
    <r>
      <rPr>
        <sz val="11"/>
        <rFont val="Symbol"/>
        <family val="1"/>
        <charset val="2"/>
      </rPr>
      <t>Ö</t>
    </r>
    <r>
      <rPr>
        <sz val="11"/>
        <rFont val="Times New Roman"/>
        <family val="1"/>
      </rPr>
      <t xml:space="preserve"> [</t>
    </r>
    <r>
      <rPr>
        <sz val="11"/>
        <rFont val="Symbol"/>
        <family val="1"/>
        <charset val="2"/>
      </rPr>
      <t>S</t>
    </r>
    <r>
      <rPr>
        <sz val="11"/>
        <rFont val="Times New Roman"/>
        <family val="1"/>
      </rPr>
      <t>(u</t>
    </r>
    <r>
      <rPr>
        <vertAlign val="subscript"/>
        <sz val="11"/>
        <rFont val="Times New Roman"/>
        <family val="1"/>
      </rPr>
      <t>i</t>
    </r>
    <r>
      <rPr>
        <sz val="11"/>
        <rFont val="Times New Roman"/>
        <family val="1"/>
      </rPr>
      <t xml:space="preserve"> c</t>
    </r>
    <r>
      <rPr>
        <vertAlign val="subscript"/>
        <sz val="11"/>
        <rFont val="Times New Roman"/>
        <family val="1"/>
      </rPr>
      <t>i</t>
    </r>
    <r>
      <rPr>
        <sz val="11"/>
        <rFont val="Times New Roman"/>
        <family val="1"/>
      </rPr>
      <t>)²]</t>
    </r>
  </si>
  <si>
    <r>
      <t>n</t>
    </r>
    <r>
      <rPr>
        <vertAlign val="subscript"/>
        <sz val="11"/>
        <rFont val="Times New Roman"/>
        <family val="1"/>
      </rPr>
      <t>eff</t>
    </r>
    <r>
      <rPr>
        <sz val="11"/>
        <rFont val="Times New Roman"/>
        <family val="1"/>
      </rPr>
      <t xml:space="preserve"> = u</t>
    </r>
    <r>
      <rPr>
        <vertAlign val="subscript"/>
        <sz val="11"/>
        <rFont val="Times New Roman"/>
        <family val="1"/>
      </rPr>
      <t>c</t>
    </r>
    <r>
      <rPr>
        <vertAlign val="superscript"/>
        <sz val="11"/>
        <rFont val="Times New Roman"/>
        <family val="1"/>
      </rPr>
      <t>4</t>
    </r>
    <r>
      <rPr>
        <sz val="11"/>
        <rFont val="Times New Roman"/>
        <family val="1"/>
      </rPr>
      <t xml:space="preserve"> / [</t>
    </r>
    <r>
      <rPr>
        <sz val="11"/>
        <rFont val="Symbol"/>
        <family val="1"/>
        <charset val="2"/>
      </rPr>
      <t>S</t>
    </r>
    <r>
      <rPr>
        <sz val="11"/>
        <rFont val="Times New Roman"/>
        <family val="1"/>
      </rPr>
      <t>(u</t>
    </r>
    <r>
      <rPr>
        <vertAlign val="subscript"/>
        <sz val="11"/>
        <rFont val="Times New Roman"/>
        <family val="1"/>
      </rPr>
      <t>i</t>
    </r>
    <r>
      <rPr>
        <sz val="11"/>
        <rFont val="Times New Roman"/>
        <family val="1"/>
      </rPr>
      <t xml:space="preserve"> c</t>
    </r>
    <r>
      <rPr>
        <vertAlign val="subscript"/>
        <sz val="11"/>
        <rFont val="Times New Roman"/>
        <family val="1"/>
      </rPr>
      <t>i</t>
    </r>
    <r>
      <rPr>
        <sz val="11"/>
        <rFont val="Times New Roman"/>
        <family val="1"/>
      </rPr>
      <t>)</t>
    </r>
    <r>
      <rPr>
        <vertAlign val="superscript"/>
        <sz val="11"/>
        <rFont val="Times New Roman"/>
        <family val="1"/>
      </rPr>
      <t xml:space="preserve"> 4</t>
    </r>
    <r>
      <rPr>
        <sz val="11"/>
        <rFont val="Times New Roman"/>
        <family val="1"/>
      </rPr>
      <t>/</t>
    </r>
    <r>
      <rPr>
        <sz val="11"/>
        <rFont val="Symbol"/>
        <family val="1"/>
        <charset val="2"/>
      </rPr>
      <t>n</t>
    </r>
    <r>
      <rPr>
        <vertAlign val="subscript"/>
        <sz val="11"/>
        <rFont val="Times New Roman"/>
        <family val="1"/>
      </rPr>
      <t>i</t>
    </r>
    <r>
      <rPr>
        <sz val="11"/>
        <rFont val="Times New Roman"/>
        <family val="1"/>
      </rPr>
      <t>]</t>
    </r>
  </si>
  <si>
    <t>k</t>
  </si>
  <si>
    <t>U = k. Uc</t>
  </si>
  <si>
    <t>%</t>
  </si>
  <si>
    <t>Energi</t>
  </si>
  <si>
    <t>Joule</t>
  </si>
  <si>
    <t>1. Pengukuran Berulang</t>
  </si>
  <si>
    <t>2. Resolusi</t>
  </si>
  <si>
    <t>Energi 10x</t>
  </si>
  <si>
    <t>Waktu Pengisian</t>
  </si>
  <si>
    <t xml:space="preserve">2. Drift standar </t>
  </si>
  <si>
    <t>3. Sertifikat Standar</t>
  </si>
  <si>
    <t>Alat yang dikalibrasi dalam batas toleransi dan dinyatakan LAIK PAKAI, dimana hasil atau skor akhir sama dengan atau melampaui 70 % berdasarkan Keputusan Direktur Jenderal Pelayanan Kesehatan No : HK.02.02/V/0412/2020</t>
  </si>
  <si>
    <t>Alat yang dikalibrasi melebihi batas toleransi dan dinyatakan TIDAK LAIK PAKAI, dimana hasil atau skor akhir dibawah 70 % berdasarkan Keputusan Direktur Jenderal Pelayanan Kesehatan No : HK.02.02/V/0412/2020</t>
  </si>
  <si>
    <t>Resistansi Pembumian Protektif (kabel dapat dilepas)</t>
  </si>
  <si>
    <t>Resistansi Pembumian Protektif (kabel tidak dapat dilepas)</t>
  </si>
  <si>
    <t>Tidak Baik</t>
  </si>
  <si>
    <t>Arus bocor peralatan untuk peralatan elektromedik kelas I</t>
  </si>
  <si>
    <t>Arus bocor peralatan untuk peralatan elektromedik kelas II</t>
  </si>
  <si>
    <t>d. Kalibrasi Pulse Rate</t>
  </si>
  <si>
    <t>Hasil pengujian Keselamatan Listrik tertelusur ke Satuan Internasional ( SI ) melalui PT. CALTEK PTE LTD</t>
  </si>
  <si>
    <t>Hasil pengujian Keselamatan Listrik tertelusur ke Satuan Internasional ( SI ) melalui PT. Kaliman (LK-032-IDN)</t>
  </si>
  <si>
    <t>Pulse Rate (BPM)</t>
  </si>
  <si>
    <t>Hasil kalibrasi Waktu Pengisian tertelusur ke Satuan Internasional melalui PUSKIM - LIPI</t>
  </si>
  <si>
    <t>Hasil kalibrasi Waktu Pengisian tertelusur ke Satuan Internasional melalui PT. KALIMAN (LK-032-IDN)</t>
  </si>
  <si>
    <t>Penyelia</t>
  </si>
  <si>
    <t>Achmad Fauzan Adzim</t>
  </si>
  <si>
    <t>Choirul Huda</t>
  </si>
  <si>
    <t>Donny Martha</t>
  </si>
  <si>
    <t>Fatimah Novrianisa</t>
  </si>
  <si>
    <t>Fikry Faradinna</t>
  </si>
  <si>
    <t>Gusti Arya Dinata</t>
  </si>
  <si>
    <t>Hamdan Syarif</t>
  </si>
  <si>
    <t>Hary Ernanto</t>
  </si>
  <si>
    <t>Isra Mahensa</t>
  </si>
  <si>
    <t>Muhammad Arrizal Septiawan</t>
  </si>
  <si>
    <t>Muhammad Irfan Husnuzhzhan</t>
  </si>
  <si>
    <t>Muhammad Zaenuri Sugiasmoro</t>
  </si>
  <si>
    <t>Rangga Setya Hantoko</t>
  </si>
  <si>
    <t>Septia Khairunnisa</t>
  </si>
  <si>
    <t>Taufik Priawan</t>
  </si>
  <si>
    <t>Venna Filosofia</t>
  </si>
  <si>
    <t>Wardimanul Abrar</t>
  </si>
  <si>
    <t>A</t>
  </si>
  <si>
    <t>B</t>
  </si>
  <si>
    <t>C</t>
  </si>
  <si>
    <t>D</t>
  </si>
  <si>
    <t>E</t>
  </si>
  <si>
    <t>F</t>
  </si>
  <si>
    <t>Setting 
Alat</t>
  </si>
  <si>
    <t xml:space="preserve">Koreksi </t>
  </si>
  <si>
    <t>Koreksi Relatif 
(%)</t>
  </si>
  <si>
    <t>Toleransi
(%)</t>
  </si>
  <si>
    <t>Ketidakpastian Pengukuran 
(%)</t>
  </si>
  <si>
    <t>C + U95 (%)</t>
  </si>
  <si>
    <t>Setting Alat 
( Joule )</t>
  </si>
  <si>
    <t xml:space="preserve">Toleransi
</t>
  </si>
  <si>
    <t xml:space="preserve">C </t>
  </si>
  <si>
    <t>TOTAL SKOR</t>
  </si>
  <si>
    <t>Nama</t>
  </si>
  <si>
    <t>Paraf</t>
  </si>
  <si>
    <t>Dibuat Oleh</t>
  </si>
  <si>
    <t>Defibrillator Analyzer, Merek : Fluke, Model : Impulse 7000 D, SN : 3732537</t>
  </si>
  <si>
    <t>Defibrillator Analyzer, Merek : Fluke, Model : Impulse 6000 D, SN : 3100070</t>
  </si>
  <si>
    <t>KOREKSI DEFIBRILLATOR ANALYZER</t>
  </si>
  <si>
    <t>Setting Energi</t>
  </si>
  <si>
    <t>( Joule )</t>
  </si>
  <si>
    <t>ECG Normal Wave</t>
  </si>
  <si>
    <t>Defibrillator Analyzer, Merek : Fluke, Model : Impulse 6000 D, SN : 4766663</t>
  </si>
  <si>
    <t>Defibrillator Analyzer, Merek : Fluke, Model : Impulse 6000 D, SN : 4796071</t>
  </si>
  <si>
    <t>Impulse 6000 DP ( 5030040 )</t>
  </si>
  <si>
    <t>Impulse 7000 DP ( KOSONG )</t>
  </si>
  <si>
    <t>koreksi</t>
  </si>
  <si>
    <t>10 X Pengisian</t>
  </si>
  <si>
    <t>Drift</t>
  </si>
  <si>
    <t>Hasil kalibrasi Akurasi dan Energi Maksimum tertelusurke Satuan Internasional melalui CALTEK PTE LTD</t>
  </si>
  <si>
    <t>Defibrillator Analyzer, Merek : Fluke, Model : Impulse 6000 D, SN : 5030040</t>
  </si>
  <si>
    <t>1. Suhu</t>
  </si>
  <si>
    <t>Menyetujui,</t>
  </si>
  <si>
    <t>Kepala Instalasi Laboratorium</t>
  </si>
  <si>
    <t>Pengujian dan Kalibrasi</t>
  </si>
  <si>
    <t>Choirul Huda, S.Tr.Kes</t>
  </si>
  <si>
    <t>NIP 198008062010121001</t>
  </si>
  <si>
    <t>Halaman 3 dari 3 halaman</t>
  </si>
  <si>
    <t>SERTIFIKAT PENGUJIAN</t>
  </si>
  <si>
    <t xml:space="preserve">                                                                 </t>
  </si>
  <si>
    <t xml:space="preserve">Nama Alat            : </t>
  </si>
  <si>
    <t>Dental Unit</t>
  </si>
  <si>
    <t xml:space="preserve">Nomor Order           : </t>
  </si>
  <si>
    <t>Model / Tipe</t>
  </si>
  <si>
    <t>Nomor Seri</t>
  </si>
  <si>
    <t>Kapasitas</t>
  </si>
  <si>
    <t>Nama Pemilik      :</t>
  </si>
  <si>
    <t xml:space="preserve">Identitas Pemilik     : </t>
  </si>
  <si>
    <t>Alamat Pemilik</t>
  </si>
  <si>
    <t>Jalan ABC</t>
  </si>
  <si>
    <t>Laik Pakai, disarankan untuk dikalibrasi ulang pada tanggal…......</t>
  </si>
  <si>
    <t>Banjarbaru,</t>
  </si>
  <si>
    <t>Kepala Loka Pengamanan</t>
  </si>
  <si>
    <t>Fasilitas Kesehatan Banjarbaru</t>
  </si>
  <si>
    <t>Yuni Irmawati, SKM., MA</t>
  </si>
  <si>
    <t>NIP 197806222002122001</t>
  </si>
  <si>
    <t>NOMOR ORDER</t>
  </si>
  <si>
    <t>KUNCI KOP SERTIFIKAT</t>
  </si>
  <si>
    <t>PENENTU KOP SERTIFIKAT</t>
  </si>
  <si>
    <t>BAHAN</t>
  </si>
  <si>
    <t>SERTIFIKAT KALIBRASI</t>
  </si>
  <si>
    <t>BAHAN RUANGAN &amp; PENANGGUNG JAWAB</t>
  </si>
  <si>
    <t>NAMA RUANGAN PADA INPUT DATA</t>
  </si>
  <si>
    <t>Laboratorium Kalibrasi LPFK Banjarbaru</t>
  </si>
  <si>
    <t>MENAMBAH 1 TAHUN SEBELUMNYA</t>
  </si>
  <si>
    <t>MERUBAH DARI ANGKA KE HURUF</t>
  </si>
  <si>
    <t>HASIL KALIBRASI</t>
  </si>
  <si>
    <t>BAHAN GABUNGAN</t>
  </si>
  <si>
    <t xml:space="preserve">Laik Pakai, disarankan untuk dikalibrasi ulang pada tanggal </t>
  </si>
  <si>
    <t xml:space="preserve">Laik Pakai, disarankan untuk diuji ulang pada tanggal </t>
  </si>
  <si>
    <t>Tegangan U 95</t>
  </si>
  <si>
    <t xml:space="preserve"> ) </t>
  </si>
  <si>
    <t>Electrical Safety Analyzer, Merek : Fluke, Model : ESA 620, SN : 1837056</t>
  </si>
  <si>
    <t>Hasil pengukuran keselamatan listrik tertelusur ke Satuan Internasional ( SI ) melalui PT. Kaliman</t>
  </si>
  <si>
    <t>Electrical Safety Analyzer, Merek : Fluke, Model : ESA 620, SN : 1834020</t>
  </si>
  <si>
    <t>Electrical Safety Analyzer, Merek : Fluke, Model : ESA 615, SN : 2853078</t>
  </si>
  <si>
    <t>Electrical Safety Analyzer, Merek : Fluke, Model : ESA 615, SN : 3148907</t>
  </si>
  <si>
    <t>Electrical Safety Analyzer, Merek : Fluke, Model : ESA 615, SN : 5838068</t>
  </si>
  <si>
    <t>≥ 2</t>
  </si>
  <si>
    <t>M Ω</t>
  </si>
  <si>
    <t>Input NC</t>
  </si>
  <si>
    <t xml:space="preserve">≤ </t>
  </si>
  <si>
    <t>Tidak dilakukan pengukuran kelistrikan dikarenakan alat tidak boleh di matikan</t>
  </si>
  <si>
    <t>Terkoreksi</t>
  </si>
  <si>
    <t>Tidak terdapat grounding di ruangan</t>
  </si>
  <si>
    <t>Kelas I</t>
  </si>
  <si>
    <t>Alat tidak boleh digunakan pada instalasi tanpa dilengkapi grounding</t>
  </si>
  <si>
    <t>Arus Bocor</t>
  </si>
  <si>
    <t>Instalasi</t>
  </si>
  <si>
    <t xml:space="preserve"> (kabel dapat dilepas)</t>
  </si>
  <si>
    <t>(kabel tidak dapat dilepas)</t>
  </si>
  <si>
    <t>□  4. Electrical Safety Analyzer, Merek : Fluke, Model : ESA 620 (1837056) / (1834020)</t>
  </si>
  <si>
    <t>□  4. Electrical Safety Analyzer, Merek : Fluke, Model : ESA 615 (2853077) / (2853078) / (3148907) / (3148908) / (3699030)</t>
  </si>
  <si>
    <t>LEMBAR KERJA KALIBRASI DEFIBRILLATOR WITH ECG</t>
  </si>
  <si>
    <t>INPUT DATA KALIBRASI DEFIBRILLATOR WITH ECG</t>
  </si>
  <si>
    <t>HASIL KALIBRASI DEFIBRILLATOR WITH ECG</t>
  </si>
  <si>
    <t xml:space="preserve">Nomor Sertifikat / No. Surat Keterangan : 14 / ......  / ...... - ...... / E - ........ </t>
  </si>
  <si>
    <t>Nomor Sertifikat : 14 /</t>
  </si>
  <si>
    <t xml:space="preserve">Nomor Surat Keterangan : 14 / </t>
  </si>
  <si>
    <t>3. Pengukuran Keselamatan Kelistrikan :</t>
  </si>
  <si>
    <t>4. Pengukuran Suhu &amp; Kelembaban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</si>
</sst>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164" formatCode="0.0"/>
    <numFmt numFmtId="165" formatCode="0.000"/>
    <numFmt numFmtId="166" formatCode="0.0000"/>
    <numFmt numFmtId="167" formatCode="0.00000"/>
    <numFmt numFmtId="168" formatCode="0\ &quot;µA&quot;"/>
    <numFmt numFmtId="169" formatCode="@\ * &quot; : &quot;"/>
    <numFmt numFmtId="170" formatCode="[$-421]dd\ mmmm\ yyyy;@"/>
    <numFmt numFmtId="171" formatCode="&quot;±&quot;\ 0.0"/>
    <numFmt numFmtId="172" formatCode="\ \≤\ 0.0\ \Ω"/>
    <numFmt numFmtId="173" formatCode="0\ &quot;BPM&quot;"/>
    <numFmt numFmtId="174" formatCode="[$-C09]d\ mmmm\ yyyy;@"/>
    <numFmt numFmtId="175" formatCode="0.0\ \Ω"/>
    <numFmt numFmtId="176" formatCode="0\ \µ\A"/>
  </numFmts>
  <fonts count="13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vertAlign val="superscript"/>
      <sz val="11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sz val="11"/>
      <name val="Times New Roman"/>
      <family val="1"/>
    </font>
    <font>
      <sz val="9"/>
      <name val="Times New Roman"/>
      <family val="1"/>
    </font>
    <font>
      <b/>
      <sz val="8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sz val="10"/>
      <name val="Arial"/>
      <family val="2"/>
    </font>
    <font>
      <b/>
      <sz val="10"/>
      <name val="Arial"/>
      <family val="2"/>
    </font>
    <font>
      <b/>
      <i/>
      <sz val="11"/>
      <name val="Times New Roman"/>
      <family val="1"/>
    </font>
    <font>
      <vertAlign val="subscript"/>
      <sz val="11"/>
      <name val="Times New Roman"/>
      <family val="1"/>
    </font>
    <font>
      <sz val="11"/>
      <name val="Symbol"/>
      <family val="1"/>
      <charset val="2"/>
    </font>
    <font>
      <sz val="12"/>
      <name val="Times New Roman"/>
      <family val="1"/>
    </font>
    <font>
      <b/>
      <i/>
      <sz val="10"/>
      <name val="Arial"/>
      <family val="2"/>
    </font>
    <font>
      <i/>
      <sz val="10"/>
      <name val="Arial"/>
      <family val="2"/>
    </font>
    <font>
      <b/>
      <sz val="11"/>
      <name val="Calibri"/>
      <family val="2"/>
    </font>
    <font>
      <b/>
      <i/>
      <u/>
      <sz val="10"/>
      <name val="Arial"/>
      <family val="2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Calibri"/>
      <family val="2"/>
      <scheme val="minor"/>
    </font>
    <font>
      <b/>
      <u/>
      <sz val="14"/>
      <name val="Calibri"/>
      <family val="2"/>
      <scheme val="minor"/>
    </font>
    <font>
      <sz val="13"/>
      <name val="Calibri"/>
      <family val="2"/>
      <scheme val="minor"/>
    </font>
    <font>
      <sz val="11"/>
      <name val="Arial"/>
      <family val="2"/>
    </font>
    <font>
      <b/>
      <i/>
      <sz val="11"/>
      <name val="Arial"/>
      <family val="2"/>
    </font>
    <font>
      <b/>
      <sz val="20"/>
      <name val="Times New Roman"/>
      <family val="1"/>
    </font>
    <font>
      <sz val="20"/>
      <name val="Calibri"/>
      <family val="2"/>
      <scheme val="minor"/>
    </font>
    <font>
      <b/>
      <u/>
      <sz val="14"/>
      <name val="Arial"/>
      <family val="2"/>
    </font>
    <font>
      <b/>
      <sz val="11"/>
      <name val="Arial"/>
      <family val="2"/>
    </font>
    <font>
      <u/>
      <sz val="10"/>
      <name val="Arial"/>
      <family val="2"/>
    </font>
    <font>
      <u/>
      <sz val="11"/>
      <name val="Arial"/>
      <family val="2"/>
    </font>
    <font>
      <sz val="20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i/>
      <u/>
      <sz val="11"/>
      <name val="Arial"/>
      <family val="2"/>
    </font>
    <font>
      <sz val="11"/>
      <name val="Wingdings"/>
      <charset val="2"/>
    </font>
    <font>
      <sz val="8"/>
      <name val="Calibri"/>
      <family val="2"/>
      <scheme val="minor"/>
    </font>
    <font>
      <sz val="8"/>
      <name val="Arial"/>
      <family val="2"/>
    </font>
    <font>
      <sz val="12"/>
      <color indexed="8"/>
      <name val="Calibri"/>
      <family val="2"/>
      <scheme val="minor"/>
    </font>
    <font>
      <b/>
      <sz val="14"/>
      <name val="Times New Roman"/>
      <family val="1"/>
    </font>
    <font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i/>
      <sz val="10"/>
      <name val="Times New Roman"/>
      <family val="1"/>
    </font>
    <font>
      <sz val="8"/>
      <name val="Times New Roman"/>
      <family val="1"/>
    </font>
    <font>
      <b/>
      <sz val="9"/>
      <name val="Arial"/>
      <family val="2"/>
    </font>
    <font>
      <b/>
      <sz val="12"/>
      <name val="Arial"/>
      <family val="2"/>
    </font>
    <font>
      <sz val="10"/>
      <color theme="0"/>
      <name val="Arial"/>
      <family val="2"/>
    </font>
    <font>
      <sz val="10"/>
      <color theme="0"/>
      <name val="Times New Roman"/>
      <family val="1"/>
    </font>
    <font>
      <sz val="8"/>
      <color theme="0"/>
      <name val="Times New Roman"/>
      <family val="1"/>
    </font>
    <font>
      <b/>
      <sz val="8"/>
      <color theme="0"/>
      <name val="Times New Roman"/>
      <family val="1"/>
    </font>
    <font>
      <sz val="10"/>
      <name val="Calibri"/>
      <family val="2"/>
    </font>
    <font>
      <sz val="9"/>
      <name val="Arial"/>
      <family val="2"/>
    </font>
    <font>
      <sz val="11"/>
      <color rgb="FFFF0000"/>
      <name val="Arial"/>
      <family val="2"/>
    </font>
    <font>
      <sz val="10"/>
      <color rgb="FFFF0000"/>
      <name val="Arial"/>
      <family val="2"/>
    </font>
    <font>
      <b/>
      <sz val="11"/>
      <color rgb="FFFF0000"/>
      <name val="Arial"/>
      <family val="2"/>
    </font>
    <font>
      <sz val="10"/>
      <color indexed="81"/>
      <name val="Tahoma"/>
      <family val="2"/>
    </font>
    <font>
      <b/>
      <sz val="10"/>
      <color indexed="81"/>
      <name val="Tahoma"/>
      <family val="2"/>
    </font>
    <font>
      <b/>
      <sz val="11"/>
      <color indexed="81"/>
      <name val="Tahoma"/>
      <family val="2"/>
    </font>
    <font>
      <sz val="11"/>
      <color theme="1"/>
      <name val="Arial"/>
      <family val="2"/>
    </font>
    <font>
      <sz val="10"/>
      <name val="Arial"/>
      <family val="2"/>
    </font>
    <font>
      <b/>
      <sz val="10"/>
      <name val="Calibri"/>
      <family val="2"/>
    </font>
    <font>
      <b/>
      <sz val="18"/>
      <name val="Arial"/>
      <family val="2"/>
    </font>
    <font>
      <sz val="8"/>
      <color theme="1"/>
      <name val="Arial"/>
      <family val="2"/>
    </font>
    <font>
      <sz val="8"/>
      <name val="Calibri"/>
      <family val="2"/>
    </font>
    <font>
      <sz val="10"/>
      <color theme="1"/>
      <name val="Times New Roman"/>
      <family val="1"/>
    </font>
    <font>
      <sz val="9"/>
      <name val="Calibri"/>
      <family val="2"/>
      <scheme val="minor"/>
    </font>
    <font>
      <b/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0" tint="-0.34998626667073579"/>
      <name val="Times New Roman"/>
      <family val="1"/>
    </font>
    <font>
      <sz val="11"/>
      <color theme="0" tint="-0.34998626667073579"/>
      <name val="Arial"/>
      <family val="2"/>
    </font>
    <font>
      <b/>
      <sz val="11"/>
      <color theme="0" tint="-0.34998626667073579"/>
      <name val="Arial"/>
      <family val="2"/>
    </font>
    <font>
      <sz val="10"/>
      <color theme="0" tint="-0.34998626667073579"/>
      <name val="Arial"/>
      <family val="2"/>
    </font>
    <font>
      <i/>
      <u/>
      <sz val="8"/>
      <name val="Arial"/>
      <family val="2"/>
    </font>
    <font>
      <i/>
      <sz val="8"/>
      <name val="Arial"/>
      <family val="2"/>
    </font>
    <font>
      <sz val="8"/>
      <color rgb="FFFF0000"/>
      <name val="Arial"/>
      <family val="2"/>
    </font>
    <font>
      <b/>
      <sz val="8"/>
      <color theme="1"/>
      <name val="Arial"/>
      <family val="2"/>
    </font>
    <font>
      <sz val="8"/>
      <name val="Wingdings"/>
      <charset val="2"/>
    </font>
    <font>
      <b/>
      <sz val="9"/>
      <color rgb="FFFF0000"/>
      <name val="Arial"/>
      <family val="2"/>
    </font>
    <font>
      <sz val="9"/>
      <color rgb="FFFF0000"/>
      <name val="Arial"/>
      <family val="2"/>
    </font>
    <font>
      <b/>
      <sz val="16"/>
      <color indexed="81"/>
      <name val="Tahoma"/>
      <family val="2"/>
    </font>
    <font>
      <sz val="10"/>
      <color theme="0" tint="-0.249977111117893"/>
      <name val="Arial"/>
      <family val="2"/>
    </font>
    <font>
      <i/>
      <sz val="9"/>
      <name val="Calibri"/>
      <family val="2"/>
      <scheme val="minor"/>
    </font>
    <font>
      <sz val="5"/>
      <name val="Arial"/>
      <family val="2"/>
    </font>
    <font>
      <b/>
      <sz val="11"/>
      <color theme="1"/>
      <name val="Arial"/>
      <family val="2"/>
    </font>
    <font>
      <sz val="11"/>
      <color theme="0"/>
      <name val="Arial"/>
      <family val="2"/>
    </font>
    <font>
      <sz val="11"/>
      <color theme="0"/>
      <name val="Wingdings"/>
      <charset val="2"/>
    </font>
    <font>
      <sz val="48"/>
      <name val="Arial"/>
      <family val="2"/>
    </font>
    <font>
      <sz val="48"/>
      <name val="Times New Roman"/>
      <family val="1"/>
    </font>
    <font>
      <i/>
      <sz val="8"/>
      <name val="Calibri"/>
      <family val="2"/>
      <scheme val="minor"/>
    </font>
    <font>
      <sz val="10"/>
      <name val="Arial"/>
      <family val="2"/>
    </font>
    <font>
      <sz val="8"/>
      <color theme="1"/>
      <name val="Calibri"/>
      <family val="2"/>
      <scheme val="minor"/>
    </font>
    <font>
      <b/>
      <sz val="9"/>
      <color indexed="81"/>
      <name val="Tahoma"/>
      <family val="2"/>
    </font>
    <font>
      <b/>
      <sz val="11"/>
      <color theme="0"/>
      <name val="Calibri"/>
      <family val="2"/>
      <scheme val="minor"/>
    </font>
    <font>
      <b/>
      <u/>
      <sz val="24"/>
      <name val="Times New Roman"/>
      <family val="1"/>
    </font>
    <font>
      <sz val="10"/>
      <color theme="1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b/>
      <sz val="11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theme="5" tint="-0.249977111117893"/>
      <name val="Arial"/>
      <family val="2"/>
    </font>
    <font>
      <sz val="11"/>
      <color theme="1"/>
      <name val="Times New Roman"/>
      <family val="1"/>
    </font>
    <font>
      <sz val="11"/>
      <color theme="5" tint="-0.249977111117893"/>
      <name val="Times New Roman"/>
      <family val="1"/>
    </font>
    <font>
      <sz val="12"/>
      <color theme="1"/>
      <name val="Arial"/>
      <family val="2"/>
    </font>
    <font>
      <b/>
      <u/>
      <sz val="14"/>
      <color theme="1"/>
      <name val="Arial"/>
      <family val="2"/>
    </font>
    <font>
      <b/>
      <u/>
      <sz val="14"/>
      <color theme="1"/>
      <name val="Times New Roman"/>
      <family val="1"/>
    </font>
    <font>
      <b/>
      <sz val="10"/>
      <color theme="1"/>
      <name val="Arial"/>
      <family val="2"/>
    </font>
    <font>
      <b/>
      <sz val="12"/>
      <color theme="1"/>
      <name val="Calibri"/>
      <family val="2"/>
      <scheme val="minor"/>
    </font>
    <font>
      <u/>
      <sz val="10"/>
      <color theme="1"/>
      <name val="Arial"/>
      <family val="2"/>
    </font>
    <font>
      <u/>
      <sz val="11"/>
      <color theme="1"/>
      <name val="Arial"/>
      <family val="2"/>
    </font>
    <font>
      <b/>
      <u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0"/>
      <color theme="1"/>
      <name val="Calibri"/>
      <family val="2"/>
      <scheme val="minor"/>
    </font>
    <font>
      <sz val="10"/>
      <color theme="1"/>
      <name val="+Mn-Ea"/>
      <charset val="1"/>
    </font>
    <font>
      <sz val="11"/>
      <color theme="1"/>
      <name val="Wingdings"/>
      <charset val="2"/>
    </font>
    <font>
      <sz val="20"/>
      <color theme="1"/>
      <name val="Calibri"/>
      <family val="2"/>
      <scheme val="minor"/>
    </font>
    <font>
      <b/>
      <u/>
      <sz val="18"/>
      <color rgb="FFFF0000"/>
      <name val="Arial"/>
      <family val="2"/>
    </font>
    <font>
      <sz val="12"/>
      <name val="Calibri"/>
      <family val="2"/>
    </font>
    <font>
      <b/>
      <i/>
      <sz val="18"/>
      <name val="Arial"/>
      <family val="2"/>
    </font>
    <font>
      <b/>
      <sz val="8"/>
      <color theme="1"/>
      <name val="Times New Roman"/>
      <family val="1"/>
    </font>
    <font>
      <sz val="8"/>
      <color theme="1"/>
      <name val="Times New Roman"/>
      <family val="1"/>
    </font>
    <font>
      <b/>
      <u/>
      <sz val="10"/>
      <color rgb="FFFF0000"/>
      <name val="Arial"/>
      <family val="2"/>
    </font>
    <font>
      <sz val="11"/>
      <color theme="1"/>
      <name val="Calibri"/>
      <family val="2"/>
    </font>
    <font>
      <b/>
      <sz val="12"/>
      <color rgb="FFFF0000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7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2">
    <xf numFmtId="0" fontId="0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7" fillId="0" borderId="0"/>
    <xf numFmtId="0" fontId="5" fillId="0" borderId="0"/>
    <xf numFmtId="0" fontId="4" fillId="0" borderId="0"/>
    <xf numFmtId="0" fontId="97" fillId="0" borderId="0"/>
    <xf numFmtId="0" fontId="5" fillId="0" borderId="0"/>
    <xf numFmtId="0" fontId="5" fillId="0" borderId="0"/>
  </cellStyleXfs>
  <cellXfs count="1732">
    <xf numFmtId="0" fontId="0" fillId="0" borderId="0" xfId="0"/>
    <xf numFmtId="0" fontId="10" fillId="0" borderId="0" xfId="2" applyFont="1" applyAlignment="1">
      <alignment horizontal="right"/>
    </xf>
    <xf numFmtId="0" fontId="10" fillId="0" borderId="0" xfId="2" applyFont="1" applyAlignment="1">
      <alignment horizontal="center"/>
    </xf>
    <xf numFmtId="0" fontId="9" fillId="0" borderId="0" xfId="2" applyFont="1"/>
    <xf numFmtId="0" fontId="8" fillId="0" borderId="0" xfId="2" applyFont="1"/>
    <xf numFmtId="0" fontId="16" fillId="0" borderId="6" xfId="1" applyFont="1" applyBorder="1"/>
    <xf numFmtId="0" fontId="13" fillId="0" borderId="0" xfId="1" applyFont="1"/>
    <xf numFmtId="2" fontId="13" fillId="0" borderId="0" xfId="1" applyNumberFormat="1" applyFont="1"/>
    <xf numFmtId="0" fontId="8" fillId="0" borderId="0" xfId="2" applyFont="1" applyProtection="1">
      <protection locked="0"/>
    </xf>
    <xf numFmtId="0" fontId="5" fillId="0" borderId="0" xfId="0" applyFont="1"/>
    <xf numFmtId="0" fontId="20" fillId="0" borderId="0" xfId="0" applyFont="1" applyAlignment="1">
      <alignment horizontal="center" vertical="center"/>
    </xf>
    <xf numFmtId="164" fontId="9" fillId="0" borderId="0" xfId="0" applyNumberFormat="1" applyFont="1"/>
    <xf numFmtId="0" fontId="24" fillId="0" borderId="0" xfId="2" applyFont="1"/>
    <xf numFmtId="2" fontId="25" fillId="0" borderId="0" xfId="0" applyNumberFormat="1" applyFont="1" applyAlignment="1">
      <alignment horizontal="center"/>
    </xf>
    <xf numFmtId="165" fontId="25" fillId="0" borderId="0" xfId="0" applyNumberFormat="1" applyFont="1" applyAlignment="1">
      <alignment horizontal="center"/>
    </xf>
    <xf numFmtId="0" fontId="25" fillId="0" borderId="0" xfId="2" applyFont="1" applyProtection="1">
      <protection locked="0"/>
    </xf>
    <xf numFmtId="165" fontId="25" fillId="0" borderId="0" xfId="0" applyNumberFormat="1" applyFont="1" applyAlignment="1" applyProtection="1">
      <alignment horizontal="center" vertical="center"/>
      <protection locked="0"/>
    </xf>
    <xf numFmtId="165" fontId="25" fillId="0" borderId="0" xfId="2" applyNumberFormat="1" applyFont="1" applyAlignment="1" applyProtection="1">
      <alignment horizontal="center"/>
      <protection locked="0"/>
    </xf>
    <xf numFmtId="0" fontId="28" fillId="0" borderId="0" xfId="2" applyFont="1" applyAlignment="1">
      <alignment horizontal="center"/>
    </xf>
    <xf numFmtId="0" fontId="29" fillId="0" borderId="0" xfId="2" applyFont="1" applyAlignment="1">
      <alignment horizontal="center"/>
    </xf>
    <xf numFmtId="0" fontId="5" fillId="0" borderId="0" xfId="0" applyFont="1" applyAlignment="1">
      <alignment horizontal="center" vertical="center"/>
    </xf>
    <xf numFmtId="2" fontId="8" fillId="0" borderId="0" xfId="2" applyNumberFormat="1" applyFont="1"/>
    <xf numFmtId="164" fontId="8" fillId="0" borderId="0" xfId="2" applyNumberFormat="1" applyFont="1"/>
    <xf numFmtId="0" fontId="8" fillId="0" borderId="0" xfId="2" applyFont="1" applyAlignment="1">
      <alignment horizontal="center" vertical="center"/>
    </xf>
    <xf numFmtId="0" fontId="8" fillId="0" borderId="0" xfId="2" applyFont="1" applyAlignment="1">
      <alignment vertical="center"/>
    </xf>
    <xf numFmtId="2" fontId="8" fillId="0" borderId="0" xfId="2" applyNumberFormat="1" applyFont="1" applyAlignment="1">
      <alignment vertical="center"/>
    </xf>
    <xf numFmtId="164" fontId="8" fillId="0" borderId="0" xfId="2" applyNumberFormat="1" applyFont="1" applyAlignment="1">
      <alignment vertical="center"/>
    </xf>
    <xf numFmtId="0" fontId="5" fillId="0" borderId="0" xfId="2"/>
    <xf numFmtId="0" fontId="30" fillId="0" borderId="0" xfId="2" applyFont="1"/>
    <xf numFmtId="0" fontId="35" fillId="0" borderId="0" xfId="2" applyFont="1"/>
    <xf numFmtId="0" fontId="35" fillId="0" borderId="0" xfId="0" applyFont="1"/>
    <xf numFmtId="0" fontId="30" fillId="0" borderId="0" xfId="0" applyFont="1"/>
    <xf numFmtId="0" fontId="30" fillId="0" borderId="0" xfId="0" applyFont="1" applyAlignment="1">
      <alignment horizontal="center" vertical="center" wrapText="1"/>
    </xf>
    <xf numFmtId="0" fontId="30" fillId="0" borderId="0" xfId="0" applyFont="1" applyAlignment="1">
      <alignment horizontal="right"/>
    </xf>
    <xf numFmtId="164" fontId="30" fillId="0" borderId="0" xfId="0" applyNumberFormat="1" applyFont="1" applyAlignment="1">
      <alignment horizontal="center" vertical="center"/>
    </xf>
    <xf numFmtId="0" fontId="35" fillId="0" borderId="0" xfId="2" applyFont="1" applyAlignment="1">
      <alignment horizontal="center"/>
    </xf>
    <xf numFmtId="0" fontId="35" fillId="0" borderId="0" xfId="2" applyFont="1" applyAlignment="1" applyProtection="1">
      <alignment horizontal="left"/>
      <protection locked="0"/>
    </xf>
    <xf numFmtId="0" fontId="35" fillId="0" borderId="0" xfId="2" applyFont="1" applyProtection="1">
      <protection locked="0"/>
    </xf>
    <xf numFmtId="0" fontId="5" fillId="0" borderId="0" xfId="2" applyAlignment="1">
      <alignment horizontal="right"/>
    </xf>
    <xf numFmtId="0" fontId="30" fillId="0" borderId="2" xfId="2" quotePrefix="1" applyFont="1" applyBorder="1" applyAlignment="1">
      <alignment horizontal="center" vertical="center"/>
    </xf>
    <xf numFmtId="0" fontId="30" fillId="0" borderId="0" xfId="0" applyFont="1" applyProtection="1">
      <protection locked="0"/>
    </xf>
    <xf numFmtId="0" fontId="30" fillId="0" borderId="0" xfId="0" applyFont="1" applyAlignment="1" applyProtection="1">
      <alignment horizontal="left"/>
      <protection locked="0"/>
    </xf>
    <xf numFmtId="0" fontId="30" fillId="0" borderId="0" xfId="0" applyFont="1" applyAlignment="1">
      <alignment horizontal="left"/>
    </xf>
    <xf numFmtId="0" fontId="30" fillId="0" borderId="0" xfId="2" applyFont="1" applyAlignment="1">
      <alignment horizontal="right"/>
    </xf>
    <xf numFmtId="0" fontId="30" fillId="0" borderId="7" xfId="2" applyFont="1" applyBorder="1"/>
    <xf numFmtId="0" fontId="30" fillId="0" borderId="5" xfId="2" applyFont="1" applyBorder="1"/>
    <xf numFmtId="0" fontId="30" fillId="0" borderId="12" xfId="2" applyFont="1" applyBorder="1"/>
    <xf numFmtId="0" fontId="30" fillId="0" borderId="2" xfId="2" quotePrefix="1" applyFont="1" applyBorder="1" applyAlignment="1">
      <alignment horizontal="center"/>
    </xf>
    <xf numFmtId="0" fontId="30" fillId="0" borderId="12" xfId="0" applyFont="1" applyBorder="1" applyAlignment="1">
      <alignment horizontal="left" vertical="center"/>
    </xf>
    <xf numFmtId="0" fontId="30" fillId="0" borderId="0" xfId="2" quotePrefix="1" applyFont="1" applyAlignment="1">
      <alignment horizontal="center"/>
    </xf>
    <xf numFmtId="0" fontId="30" fillId="0" borderId="0" xfId="2" applyFont="1" applyAlignment="1">
      <alignment horizontal="right" vertical="center"/>
    </xf>
    <xf numFmtId="164" fontId="30" fillId="0" borderId="0" xfId="2" applyNumberFormat="1" applyFont="1" applyAlignment="1">
      <alignment horizontal="left" vertical="center"/>
    </xf>
    <xf numFmtId="0" fontId="30" fillId="0" borderId="0" xfId="0" applyFont="1" applyAlignment="1">
      <alignment horizontal="center" vertical="top" wrapText="1"/>
    </xf>
    <xf numFmtId="2" fontId="30" fillId="0" borderId="0" xfId="0" applyNumberFormat="1" applyFont="1" applyAlignment="1">
      <alignment horizontal="center"/>
    </xf>
    <xf numFmtId="165" fontId="30" fillId="0" borderId="0" xfId="2" applyNumberFormat="1" applyFont="1" applyAlignment="1">
      <alignment horizontal="center"/>
    </xf>
    <xf numFmtId="0" fontId="9" fillId="0" borderId="0" xfId="1" applyFont="1"/>
    <xf numFmtId="164" fontId="30" fillId="0" borderId="2" xfId="0" applyNumberFormat="1" applyFont="1" applyBorder="1" applyAlignment="1">
      <alignment horizontal="center"/>
    </xf>
    <xf numFmtId="0" fontId="42" fillId="0" borderId="0" xfId="2" applyFont="1" applyAlignment="1">
      <alignment horizontal="center" vertical="center"/>
    </xf>
    <xf numFmtId="0" fontId="32" fillId="0" borderId="0" xfId="2" applyFont="1" applyAlignment="1">
      <alignment vertical="center"/>
    </xf>
    <xf numFmtId="0" fontId="43" fillId="0" borderId="0" xfId="0" applyFont="1" applyAlignment="1">
      <alignment horizontal="right"/>
    </xf>
    <xf numFmtId="0" fontId="30" fillId="0" borderId="5" xfId="0" applyFont="1" applyBorder="1" applyAlignment="1">
      <alignment horizontal="right" vertical="center"/>
    </xf>
    <xf numFmtId="0" fontId="16" fillId="0" borderId="4" xfId="4" applyFont="1" applyBorder="1" applyAlignment="1">
      <alignment horizontal="center" vertical="center"/>
    </xf>
    <xf numFmtId="0" fontId="5" fillId="0" borderId="0" xfId="4"/>
    <xf numFmtId="0" fontId="20" fillId="0" borderId="2" xfId="4" applyFont="1" applyBorder="1" applyAlignment="1">
      <alignment horizontal="center" vertical="center"/>
    </xf>
    <xf numFmtId="0" fontId="5" fillId="0" borderId="1" xfId="4" applyBorder="1" applyAlignment="1">
      <alignment horizontal="center"/>
    </xf>
    <xf numFmtId="0" fontId="5" fillId="0" borderId="2" xfId="4" applyBorder="1" applyAlignment="1">
      <alignment horizontal="center"/>
    </xf>
    <xf numFmtId="2" fontId="5" fillId="0" borderId="2" xfId="4" applyNumberFormat="1" applyBorder="1" applyAlignment="1">
      <alignment horizontal="center"/>
    </xf>
    <xf numFmtId="0" fontId="5" fillId="0" borderId="14" xfId="4" applyBorder="1" applyAlignment="1">
      <alignment horizontal="center"/>
    </xf>
    <xf numFmtId="0" fontId="5" fillId="0" borderId="17" xfId="4" applyBorder="1" applyAlignment="1">
      <alignment horizontal="center"/>
    </xf>
    <xf numFmtId="166" fontId="13" fillId="0" borderId="0" xfId="1" applyNumberFormat="1" applyFont="1" applyAlignment="1">
      <alignment horizontal="center"/>
    </xf>
    <xf numFmtId="165" fontId="13" fillId="0" borderId="0" xfId="1" applyNumberFormat="1" applyFont="1" applyAlignment="1">
      <alignment horizontal="center"/>
    </xf>
    <xf numFmtId="164" fontId="30" fillId="0" borderId="2" xfId="0" applyNumberFormat="1" applyFont="1" applyBorder="1" applyAlignment="1">
      <alignment horizontal="center" vertical="center" wrapText="1"/>
    </xf>
    <xf numFmtId="164" fontId="30" fillId="0" borderId="2" xfId="0" applyNumberFormat="1" applyFont="1" applyBorder="1" applyAlignment="1">
      <alignment horizontal="center" vertical="center"/>
    </xf>
    <xf numFmtId="2" fontId="30" fillId="0" borderId="2" xfId="0" applyNumberFormat="1" applyFont="1" applyBorder="1" applyAlignment="1">
      <alignment horizontal="center"/>
    </xf>
    <xf numFmtId="164" fontId="30" fillId="0" borderId="0" xfId="2" applyNumberFormat="1" applyFont="1" applyAlignment="1">
      <alignment horizontal="center" vertical="center"/>
    </xf>
    <xf numFmtId="2" fontId="30" fillId="0" borderId="0" xfId="2" applyNumberFormat="1" applyFont="1" applyAlignment="1">
      <alignment horizontal="center" vertical="center"/>
    </xf>
    <xf numFmtId="0" fontId="30" fillId="0" borderId="0" xfId="0" applyFont="1" applyAlignment="1">
      <alignment horizontal="right" vertical="center"/>
    </xf>
    <xf numFmtId="2" fontId="5" fillId="0" borderId="0" xfId="2" applyNumberFormat="1" applyAlignment="1">
      <alignment horizontal="center" vertical="center"/>
    </xf>
    <xf numFmtId="0" fontId="35" fillId="0" borderId="0" xfId="0" applyFont="1" applyAlignment="1">
      <alignment horizontal="center"/>
    </xf>
    <xf numFmtId="0" fontId="30" fillId="0" borderId="0" xfId="0" applyFont="1" applyAlignment="1">
      <alignment horizontal="center" vertical="top"/>
    </xf>
    <xf numFmtId="0" fontId="15" fillId="0" borderId="0" xfId="0" applyFont="1"/>
    <xf numFmtId="0" fontId="5" fillId="0" borderId="0" xfId="0" applyFont="1" applyAlignment="1">
      <alignment horizontal="left"/>
    </xf>
    <xf numFmtId="0" fontId="30" fillId="0" borderId="0" xfId="0" applyFont="1" applyAlignment="1">
      <alignment horizontal="center" vertical="center"/>
    </xf>
    <xf numFmtId="9" fontId="37" fillId="0" borderId="0" xfId="0" quotePrefix="1" applyNumberFormat="1" applyFont="1" applyAlignment="1">
      <alignment vertical="center"/>
    </xf>
    <xf numFmtId="0" fontId="35" fillId="0" borderId="0" xfId="0" applyFont="1" applyAlignment="1">
      <alignment horizontal="left"/>
    </xf>
    <xf numFmtId="0" fontId="8" fillId="0" borderId="2" xfId="4" applyFont="1" applyBorder="1" applyAlignment="1">
      <alignment horizontal="center"/>
    </xf>
    <xf numFmtId="0" fontId="15" fillId="0" borderId="4" xfId="4" applyFont="1" applyBorder="1"/>
    <xf numFmtId="0" fontId="5" fillId="0" borderId="5" xfId="4" applyBorder="1"/>
    <xf numFmtId="0" fontId="15" fillId="0" borderId="12" xfId="4" applyFont="1" applyBorder="1" applyAlignment="1">
      <alignment horizontal="center"/>
    </xf>
    <xf numFmtId="1" fontId="5" fillId="0" borderId="5" xfId="4" applyNumberFormat="1" applyBorder="1"/>
    <xf numFmtId="2" fontId="8" fillId="0" borderId="0" xfId="2" applyNumberFormat="1" applyFont="1" applyAlignment="1">
      <alignment horizontal="center" vertical="center"/>
    </xf>
    <xf numFmtId="164" fontId="8" fillId="0" borderId="0" xfId="2" applyNumberFormat="1" applyFont="1" applyAlignment="1">
      <alignment horizontal="center" vertical="center"/>
    </xf>
    <xf numFmtId="164" fontId="8" fillId="7" borderId="2" xfId="2" applyNumberFormat="1" applyFont="1" applyFill="1" applyBorder="1" applyAlignment="1" applyProtection="1">
      <alignment horizontal="center"/>
      <protection locked="0"/>
    </xf>
    <xf numFmtId="0" fontId="15" fillId="0" borderId="0" xfId="2" applyFont="1" applyAlignment="1">
      <alignment vertical="center"/>
    </xf>
    <xf numFmtId="0" fontId="5" fillId="0" borderId="0" xfId="5"/>
    <xf numFmtId="0" fontId="5" fillId="0" borderId="0" xfId="5" applyProtection="1">
      <protection locked="0"/>
    </xf>
    <xf numFmtId="0" fontId="8" fillId="9" borderId="24" xfId="5" applyFont="1" applyFill="1" applyBorder="1" applyAlignment="1" applyProtection="1">
      <alignment horizontal="center" vertical="center"/>
      <protection locked="0"/>
    </xf>
    <xf numFmtId="0" fontId="8" fillId="9" borderId="17" xfId="5" applyFont="1" applyFill="1" applyBorder="1" applyAlignment="1" applyProtection="1">
      <alignment horizontal="center" vertical="center"/>
      <protection locked="0"/>
    </xf>
    <xf numFmtId="0" fontId="8" fillId="9" borderId="15" xfId="5" applyFont="1" applyFill="1" applyBorder="1" applyAlignment="1" applyProtection="1">
      <alignment horizontal="center" vertical="center"/>
      <protection locked="0"/>
    </xf>
    <xf numFmtId="0" fontId="8" fillId="9" borderId="7" xfId="5" applyFont="1" applyFill="1" applyBorder="1" applyAlignment="1" applyProtection="1">
      <alignment vertical="center"/>
      <protection locked="0"/>
    </xf>
    <xf numFmtId="0" fontId="8" fillId="9" borderId="12" xfId="5" applyFont="1" applyFill="1" applyBorder="1" applyAlignment="1" applyProtection="1">
      <alignment vertical="center"/>
      <protection locked="0"/>
    </xf>
    <xf numFmtId="0" fontId="8" fillId="9" borderId="5" xfId="5" applyFont="1" applyFill="1" applyBorder="1" applyAlignment="1" applyProtection="1">
      <alignment vertical="center"/>
      <protection locked="0"/>
    </xf>
    <xf numFmtId="0" fontId="8" fillId="9" borderId="5" xfId="5" applyFont="1" applyFill="1" applyBorder="1" applyAlignment="1" applyProtection="1">
      <alignment horizontal="center" vertical="center"/>
      <protection locked="0"/>
    </xf>
    <xf numFmtId="0" fontId="8" fillId="9" borderId="4" xfId="5" applyFont="1" applyFill="1" applyBorder="1" applyAlignment="1" applyProtection="1">
      <alignment horizontal="left" vertical="center"/>
      <protection locked="0"/>
    </xf>
    <xf numFmtId="0" fontId="8" fillId="9" borderId="14" xfId="5" applyFont="1" applyFill="1" applyBorder="1" applyAlignment="1" applyProtection="1">
      <alignment horizontal="center" vertical="center"/>
      <protection locked="0"/>
    </xf>
    <xf numFmtId="0" fontId="8" fillId="9" borderId="1" xfId="5" applyFont="1" applyFill="1" applyBorder="1" applyAlignment="1" applyProtection="1">
      <alignment horizontal="center" vertical="center"/>
      <protection locked="0"/>
    </xf>
    <xf numFmtId="0" fontId="8" fillId="9" borderId="4" xfId="5" applyFont="1" applyFill="1" applyBorder="1" applyAlignment="1" applyProtection="1">
      <alignment vertical="center"/>
      <protection locked="0"/>
    </xf>
    <xf numFmtId="0" fontId="8" fillId="9" borderId="38" xfId="5" applyFont="1" applyFill="1" applyBorder="1" applyAlignment="1" applyProtection="1">
      <alignment horizontal="center" vertical="center"/>
      <protection locked="0"/>
    </xf>
    <xf numFmtId="0" fontId="8" fillId="9" borderId="40" xfId="5" applyFont="1" applyFill="1" applyBorder="1" applyAlignment="1" applyProtection="1">
      <alignment horizontal="center" vertical="center"/>
      <protection locked="0"/>
    </xf>
    <xf numFmtId="2" fontId="8" fillId="3" borderId="23" xfId="4" applyNumberFormat="1" applyFont="1" applyFill="1" applyBorder="1" applyAlignment="1">
      <alignment horizontal="center"/>
    </xf>
    <xf numFmtId="0" fontId="8" fillId="3" borderId="23" xfId="5" applyFont="1" applyFill="1" applyBorder="1"/>
    <xf numFmtId="0" fontId="8" fillId="3" borderId="21" xfId="5" applyFont="1" applyFill="1" applyBorder="1"/>
    <xf numFmtId="164" fontId="11" fillId="3" borderId="57" xfId="5" applyNumberFormat="1" applyFont="1" applyFill="1" applyBorder="1" applyAlignment="1">
      <alignment horizontal="center"/>
    </xf>
    <xf numFmtId="164" fontId="11" fillId="3" borderId="16" xfId="5" applyNumberFormat="1" applyFont="1" applyFill="1" applyBorder="1" applyAlignment="1">
      <alignment horizontal="center"/>
    </xf>
    <xf numFmtId="164" fontId="11" fillId="3" borderId="56" xfId="5" applyNumberFormat="1" applyFont="1" applyFill="1" applyBorder="1" applyAlignment="1">
      <alignment horizontal="center"/>
    </xf>
    <xf numFmtId="0" fontId="11" fillId="3" borderId="15" xfId="5" applyFont="1" applyFill="1" applyBorder="1" applyAlignment="1">
      <alignment horizontal="center" vertical="center"/>
    </xf>
    <xf numFmtId="165" fontId="8" fillId="3" borderId="21" xfId="5" applyNumberFormat="1" applyFont="1" applyFill="1" applyBorder="1" applyAlignment="1">
      <alignment horizontal="center"/>
    </xf>
    <xf numFmtId="2" fontId="16" fillId="3" borderId="19" xfId="4" applyNumberFormat="1" applyFont="1" applyFill="1" applyBorder="1" applyAlignment="1">
      <alignment horizontal="center"/>
    </xf>
    <xf numFmtId="0" fontId="8" fillId="3" borderId="19" xfId="5" applyFont="1" applyFill="1" applyBorder="1"/>
    <xf numFmtId="0" fontId="8" fillId="3" borderId="0" xfId="5" applyFont="1" applyFill="1"/>
    <xf numFmtId="164" fontId="11" fillId="3" borderId="14" xfId="5" applyNumberFormat="1" applyFont="1" applyFill="1" applyBorder="1" applyAlignment="1">
      <alignment horizontal="center"/>
    </xf>
    <xf numFmtId="164" fontId="11" fillId="3" borderId="2" xfId="5" applyNumberFormat="1" applyFont="1" applyFill="1" applyBorder="1" applyAlignment="1">
      <alignment horizontal="center"/>
    </xf>
    <xf numFmtId="164" fontId="11" fillId="3" borderId="1" xfId="5" applyNumberFormat="1" applyFont="1" applyFill="1" applyBorder="1" applyAlignment="1">
      <alignment horizontal="center" vertical="center"/>
    </xf>
    <xf numFmtId="0" fontId="50" fillId="3" borderId="0" xfId="5" applyFont="1" applyFill="1" applyAlignment="1">
      <alignment vertical="center"/>
    </xf>
    <xf numFmtId="0" fontId="8" fillId="3" borderId="19" xfId="4" applyFont="1" applyFill="1" applyBorder="1"/>
    <xf numFmtId="164" fontId="11" fillId="3" borderId="38" xfId="5" applyNumberFormat="1" applyFont="1" applyFill="1" applyBorder="1" applyAlignment="1">
      <alignment horizontal="center"/>
    </xf>
    <xf numFmtId="164" fontId="11" fillId="3" borderId="41" xfId="5" applyNumberFormat="1" applyFont="1" applyFill="1" applyBorder="1" applyAlignment="1">
      <alignment horizontal="center"/>
    </xf>
    <xf numFmtId="0" fontId="11" fillId="3" borderId="39" xfId="5" applyFont="1" applyFill="1" applyBorder="1" applyAlignment="1">
      <alignment horizontal="center" vertical="center"/>
    </xf>
    <xf numFmtId="0" fontId="11" fillId="3" borderId="40" xfId="5" applyFont="1" applyFill="1" applyBorder="1" applyAlignment="1">
      <alignment horizontal="center" vertical="center"/>
    </xf>
    <xf numFmtId="166" fontId="13" fillId="3" borderId="19" xfId="4" applyNumberFormat="1" applyFont="1" applyFill="1" applyBorder="1" applyAlignment="1">
      <alignment horizontal="center"/>
    </xf>
    <xf numFmtId="0" fontId="13" fillId="3" borderId="19" xfId="4" applyFont="1" applyFill="1" applyBorder="1"/>
    <xf numFmtId="0" fontId="13" fillId="3" borderId="0" xfId="4" applyFont="1" applyFill="1"/>
    <xf numFmtId="0" fontId="9" fillId="3" borderId="0" xfId="4" applyFont="1" applyFill="1"/>
    <xf numFmtId="0" fontId="11" fillId="3" borderId="0" xfId="4" applyFont="1" applyFill="1" applyAlignment="1">
      <alignment vertical="center"/>
    </xf>
    <xf numFmtId="165" fontId="19" fillId="3" borderId="19" xfId="4" applyNumberFormat="1" applyFont="1" applyFill="1" applyBorder="1" applyAlignment="1">
      <alignment horizontal="center"/>
    </xf>
    <xf numFmtId="2" fontId="27" fillId="0" borderId="2" xfId="5" applyNumberFormat="1" applyFont="1" applyBorder="1" applyAlignment="1">
      <alignment horizontal="center" vertical="center"/>
    </xf>
    <xf numFmtId="0" fontId="8" fillId="3" borderId="2" xfId="5" applyFont="1" applyFill="1" applyBorder="1"/>
    <xf numFmtId="0" fontId="8" fillId="3" borderId="6" xfId="5" applyFont="1" applyFill="1" applyBorder="1"/>
    <xf numFmtId="11" fontId="8" fillId="3" borderId="19" xfId="4" applyNumberFormat="1" applyFont="1" applyFill="1" applyBorder="1" applyAlignment="1">
      <alignment horizontal="center"/>
    </xf>
    <xf numFmtId="0" fontId="27" fillId="0" borderId="2" xfId="5" applyFont="1" applyBorder="1" applyAlignment="1">
      <alignment vertical="center"/>
    </xf>
    <xf numFmtId="0" fontId="9" fillId="3" borderId="2" xfId="4" applyFont="1" applyFill="1" applyBorder="1" applyAlignment="1">
      <alignment horizontal="center" vertical="center"/>
    </xf>
    <xf numFmtId="164" fontId="8" fillId="3" borderId="17" xfId="5" applyNumberFormat="1" applyFont="1" applyFill="1" applyBorder="1" applyAlignment="1">
      <alignment horizontal="center" vertical="center"/>
    </xf>
    <xf numFmtId="164" fontId="8" fillId="3" borderId="16" xfId="5" applyNumberFormat="1" applyFont="1" applyFill="1" applyBorder="1" applyAlignment="1">
      <alignment horizontal="center" vertical="center"/>
    </xf>
    <xf numFmtId="164" fontId="8" fillId="3" borderId="15" xfId="5" applyNumberFormat="1" applyFont="1" applyFill="1" applyBorder="1" applyAlignment="1">
      <alignment horizontal="center" vertical="center"/>
    </xf>
    <xf numFmtId="167" fontId="9" fillId="3" borderId="19" xfId="4" applyNumberFormat="1" applyFont="1" applyFill="1" applyBorder="1" applyAlignment="1">
      <alignment horizontal="center"/>
    </xf>
    <xf numFmtId="164" fontId="8" fillId="3" borderId="14" xfId="5" applyNumberFormat="1" applyFont="1" applyFill="1" applyBorder="1" applyAlignment="1">
      <alignment horizontal="center" vertical="center"/>
    </xf>
    <xf numFmtId="164" fontId="8" fillId="3" borderId="2" xfId="5" applyNumberFormat="1" applyFont="1" applyFill="1" applyBorder="1" applyAlignment="1">
      <alignment horizontal="center" vertical="center"/>
    </xf>
    <xf numFmtId="164" fontId="8" fillId="3" borderId="1" xfId="5" applyNumberFormat="1" applyFont="1" applyFill="1" applyBorder="1" applyAlignment="1">
      <alignment horizontal="center" vertical="center"/>
    </xf>
    <xf numFmtId="0" fontId="7" fillId="3" borderId="19" xfId="4" applyFont="1" applyFill="1" applyBorder="1"/>
    <xf numFmtId="166" fontId="8" fillId="3" borderId="19" xfId="4" applyNumberFormat="1" applyFont="1" applyFill="1" applyBorder="1" applyAlignment="1">
      <alignment horizontal="center"/>
    </xf>
    <xf numFmtId="0" fontId="8" fillId="3" borderId="0" xfId="4" applyFont="1" applyFill="1" applyAlignment="1">
      <alignment horizontal="center"/>
    </xf>
    <xf numFmtId="166" fontId="8" fillId="3" borderId="0" xfId="4" applyNumberFormat="1" applyFont="1" applyFill="1" applyAlignment="1">
      <alignment horizontal="center"/>
    </xf>
    <xf numFmtId="164" fontId="51" fillId="3" borderId="17" xfId="4" applyNumberFormat="1" applyFont="1" applyFill="1" applyBorder="1" applyAlignment="1">
      <alignment horizontal="center"/>
    </xf>
    <xf numFmtId="164" fontId="51" fillId="3" borderId="16" xfId="5" applyNumberFormat="1" applyFont="1" applyFill="1" applyBorder="1" applyAlignment="1">
      <alignment horizontal="center"/>
    </xf>
    <xf numFmtId="1" fontId="51" fillId="3" borderId="15" xfId="5" applyNumberFormat="1" applyFont="1" applyFill="1" applyBorder="1" applyAlignment="1">
      <alignment horizontal="center"/>
    </xf>
    <xf numFmtId="164" fontId="51" fillId="3" borderId="14" xfId="4" applyNumberFormat="1" applyFont="1" applyFill="1" applyBorder="1" applyAlignment="1">
      <alignment horizontal="center"/>
    </xf>
    <xf numFmtId="164" fontId="51" fillId="3" borderId="2" xfId="5" applyNumberFormat="1" applyFont="1" applyFill="1" applyBorder="1" applyAlignment="1">
      <alignment horizontal="center"/>
    </xf>
    <xf numFmtId="1" fontId="51" fillId="3" borderId="1" xfId="5" applyNumberFormat="1" applyFont="1" applyFill="1" applyBorder="1" applyAlignment="1">
      <alignment horizontal="center"/>
    </xf>
    <xf numFmtId="0" fontId="8" fillId="0" borderId="19" xfId="5" applyFont="1" applyBorder="1"/>
    <xf numFmtId="0" fontId="50" fillId="3" borderId="2" xfId="5" applyFont="1" applyFill="1" applyBorder="1" applyAlignment="1">
      <alignment horizontal="center" vertical="center"/>
    </xf>
    <xf numFmtId="0" fontId="13" fillId="3" borderId="1" xfId="4" applyFont="1" applyFill="1" applyBorder="1" applyAlignment="1">
      <alignment horizontal="center" vertical="center"/>
    </xf>
    <xf numFmtId="0" fontId="16" fillId="3" borderId="1" xfId="4" applyFont="1" applyFill="1" applyBorder="1" applyAlignment="1">
      <alignment horizontal="center" vertical="center"/>
    </xf>
    <xf numFmtId="0" fontId="50" fillId="3" borderId="1" xfId="5" applyFont="1" applyFill="1" applyBorder="1" applyAlignment="1">
      <alignment horizontal="center" vertical="center"/>
    </xf>
    <xf numFmtId="0" fontId="11" fillId="3" borderId="40" xfId="4" applyFont="1" applyFill="1" applyBorder="1" applyAlignment="1">
      <alignment horizontal="center" vertical="center"/>
    </xf>
    <xf numFmtId="0" fontId="11" fillId="3" borderId="28" xfId="4" applyFont="1" applyFill="1" applyBorder="1" applyAlignment="1">
      <alignment horizontal="left" vertical="center" wrapText="1"/>
    </xf>
    <xf numFmtId="0" fontId="8" fillId="3" borderId="0" xfId="5" applyFont="1" applyFill="1" applyAlignment="1">
      <alignment horizontal="center" vertical="center"/>
    </xf>
    <xf numFmtId="0" fontId="8" fillId="0" borderId="0" xfId="5" applyFont="1" applyAlignment="1">
      <alignment horizontal="center" vertical="center"/>
    </xf>
    <xf numFmtId="0" fontId="8" fillId="0" borderId="0" xfId="5" applyFont="1"/>
    <xf numFmtId="0" fontId="8" fillId="0" borderId="6" xfId="5" applyFont="1" applyBorder="1" applyAlignment="1">
      <alignment horizontal="center" vertical="center"/>
    </xf>
    <xf numFmtId="2" fontId="8" fillId="9" borderId="2" xfId="5" applyNumberFormat="1" applyFont="1" applyFill="1" applyBorder="1" applyAlignment="1">
      <alignment horizontal="center" vertical="center"/>
    </xf>
    <xf numFmtId="0" fontId="8" fillId="9" borderId="2" xfId="5" applyFont="1" applyFill="1" applyBorder="1" applyAlignment="1">
      <alignment horizontal="center" vertical="center"/>
    </xf>
    <xf numFmtId="2" fontId="8" fillId="3" borderId="25" xfId="5" applyNumberFormat="1" applyFont="1" applyFill="1" applyBorder="1" applyAlignment="1">
      <alignment horizontal="center" vertical="center"/>
    </xf>
    <xf numFmtId="2" fontId="8" fillId="3" borderId="8" xfId="5" applyNumberFormat="1" applyFont="1" applyFill="1" applyBorder="1" applyAlignment="1">
      <alignment horizontal="center" vertical="center"/>
    </xf>
    <xf numFmtId="0" fontId="8" fillId="3" borderId="3" xfId="5" applyFont="1" applyFill="1" applyBorder="1" applyAlignment="1">
      <alignment horizontal="center" vertical="center"/>
    </xf>
    <xf numFmtId="0" fontId="8" fillId="3" borderId="6" xfId="5" applyFont="1" applyFill="1" applyBorder="1" applyAlignment="1">
      <alignment horizontal="center" vertical="center"/>
    </xf>
    <xf numFmtId="0" fontId="8" fillId="3" borderId="51" xfId="5" applyFont="1" applyFill="1" applyBorder="1" applyAlignment="1">
      <alignment horizontal="center" vertical="center"/>
    </xf>
    <xf numFmtId="0" fontId="8" fillId="3" borderId="13" xfId="5" applyFont="1" applyFill="1" applyBorder="1" applyAlignment="1">
      <alignment horizontal="center" vertical="center"/>
    </xf>
    <xf numFmtId="0" fontId="5" fillId="0" borderId="19" xfId="5" applyBorder="1"/>
    <xf numFmtId="164" fontId="52" fillId="6" borderId="14" xfId="5" applyNumberFormat="1" applyFont="1" applyFill="1" applyBorder="1" applyAlignment="1">
      <alignment horizontal="center" vertical="center"/>
    </xf>
    <xf numFmtId="0" fontId="8" fillId="6" borderId="2" xfId="5" applyFont="1" applyFill="1" applyBorder="1" applyAlignment="1">
      <alignment horizontal="center" vertical="center"/>
    </xf>
    <xf numFmtId="164" fontId="7" fillId="6" borderId="14" xfId="5" applyNumberFormat="1" applyFont="1" applyFill="1" applyBorder="1" applyAlignment="1">
      <alignment horizontal="center" vertical="center"/>
    </xf>
    <xf numFmtId="0" fontId="7" fillId="6" borderId="14" xfId="5" applyFont="1" applyFill="1" applyBorder="1" applyAlignment="1">
      <alignment horizontal="center"/>
    </xf>
    <xf numFmtId="0" fontId="8" fillId="6" borderId="2" xfId="5" applyFont="1" applyFill="1" applyBorder="1" applyAlignment="1">
      <alignment horizontal="center"/>
    </xf>
    <xf numFmtId="0" fontId="7" fillId="6" borderId="14" xfId="5" applyFont="1" applyFill="1" applyBorder="1" applyAlignment="1">
      <alignment horizontal="center" vertical="center"/>
    </xf>
    <xf numFmtId="2" fontId="8" fillId="9" borderId="2" xfId="5" applyNumberFormat="1" applyFont="1" applyFill="1" applyBorder="1" applyAlignment="1">
      <alignment horizontal="center"/>
    </xf>
    <xf numFmtId="2" fontId="8" fillId="3" borderId="2" xfId="5" applyNumberFormat="1" applyFont="1" applyFill="1" applyBorder="1" applyAlignment="1">
      <alignment horizontal="center"/>
    </xf>
    <xf numFmtId="0" fontId="8" fillId="3" borderId="2" xfId="5" applyFont="1" applyFill="1" applyBorder="1" applyAlignment="1">
      <alignment horizontal="center" vertical="center"/>
    </xf>
    <xf numFmtId="2" fontId="8" fillId="3" borderId="19" xfId="5" applyNumberFormat="1" applyFont="1" applyFill="1" applyBorder="1" applyAlignment="1">
      <alignment horizontal="center"/>
    </xf>
    <xf numFmtId="2" fontId="8" fillId="3" borderId="13" xfId="5" applyNumberFormat="1" applyFont="1" applyFill="1" applyBorder="1" applyAlignment="1">
      <alignment horizontal="center"/>
    </xf>
    <xf numFmtId="0" fontId="50" fillId="9" borderId="2" xfId="5" applyFont="1" applyFill="1" applyBorder="1" applyAlignment="1">
      <alignment horizontal="center" vertical="center"/>
    </xf>
    <xf numFmtId="0" fontId="16" fillId="9" borderId="2" xfId="4" applyFont="1" applyFill="1" applyBorder="1" applyAlignment="1">
      <alignment horizontal="center" vertical="center"/>
    </xf>
    <xf numFmtId="0" fontId="11" fillId="3" borderId="28" xfId="4" applyFont="1" applyFill="1" applyBorder="1" applyAlignment="1">
      <alignment horizontal="center" vertical="center"/>
    </xf>
    <xf numFmtId="0" fontId="11" fillId="3" borderId="28" xfId="4" applyFont="1" applyFill="1" applyBorder="1" applyAlignment="1">
      <alignment vertical="center"/>
    </xf>
    <xf numFmtId="0" fontId="8" fillId="4" borderId="23" xfId="5" applyFont="1" applyFill="1" applyBorder="1" applyProtection="1">
      <protection locked="0"/>
    </xf>
    <xf numFmtId="0" fontId="8" fillId="4" borderId="21" xfId="5" applyFont="1" applyFill="1" applyBorder="1" applyProtection="1">
      <protection locked="0"/>
    </xf>
    <xf numFmtId="0" fontId="8" fillId="4" borderId="22" xfId="5" applyFont="1" applyFill="1" applyBorder="1" applyProtection="1">
      <protection locked="0"/>
    </xf>
    <xf numFmtId="0" fontId="5" fillId="0" borderId="23" xfId="5" applyBorder="1" applyProtection="1">
      <protection locked="0"/>
    </xf>
    <xf numFmtId="0" fontId="5" fillId="0" borderId="21" xfId="5" applyBorder="1" applyProtection="1">
      <protection locked="0"/>
    </xf>
    <xf numFmtId="2" fontId="5" fillId="10" borderId="17" xfId="5" applyNumberFormat="1" applyFill="1" applyBorder="1" applyAlignment="1" applyProtection="1">
      <alignment horizontal="center"/>
      <protection locked="0"/>
    </xf>
    <xf numFmtId="0" fontId="5" fillId="11" borderId="16" xfId="5" quotePrefix="1" applyFill="1" applyBorder="1" applyAlignment="1" applyProtection="1">
      <alignment horizontal="center"/>
      <protection locked="0"/>
    </xf>
    <xf numFmtId="164" fontId="5" fillId="11" borderId="16" xfId="5" applyNumberFormat="1" applyFill="1" applyBorder="1" applyAlignment="1" applyProtection="1">
      <alignment horizontal="center"/>
      <protection locked="0"/>
    </xf>
    <xf numFmtId="164" fontId="5" fillId="11" borderId="45" xfId="5" applyNumberFormat="1" applyFill="1" applyBorder="1" applyAlignment="1" applyProtection="1">
      <alignment horizontal="center"/>
      <protection locked="0"/>
    </xf>
    <xf numFmtId="0" fontId="5" fillId="0" borderId="22" xfId="5" applyBorder="1" applyProtection="1">
      <protection locked="0"/>
    </xf>
    <xf numFmtId="0" fontId="5" fillId="0" borderId="19" xfId="5" applyBorder="1" applyProtection="1">
      <protection locked="0"/>
    </xf>
    <xf numFmtId="2" fontId="5" fillId="10" borderId="14" xfId="5" applyNumberFormat="1" applyFill="1" applyBorder="1" applyAlignment="1" applyProtection="1">
      <alignment horizontal="center"/>
      <protection locked="0"/>
    </xf>
    <xf numFmtId="0" fontId="5" fillId="11" borderId="2" xfId="5" quotePrefix="1" applyFill="1" applyBorder="1" applyAlignment="1" applyProtection="1">
      <alignment horizontal="center"/>
      <protection locked="0"/>
    </xf>
    <xf numFmtId="164" fontId="5" fillId="11" borderId="2" xfId="5" applyNumberFormat="1" applyFill="1" applyBorder="1" applyAlignment="1" applyProtection="1">
      <alignment horizontal="center"/>
      <protection locked="0"/>
    </xf>
    <xf numFmtId="164" fontId="5" fillId="11" borderId="4" xfId="5" applyNumberFormat="1" applyFill="1" applyBorder="1" applyAlignment="1" applyProtection="1">
      <alignment horizontal="center"/>
      <protection locked="0"/>
    </xf>
    <xf numFmtId="0" fontId="5" fillId="0" borderId="6" xfId="5" applyBorder="1" applyProtection="1">
      <protection locked="0"/>
    </xf>
    <xf numFmtId="165" fontId="5" fillId="11" borderId="2" xfId="5" applyNumberFormat="1" applyFill="1" applyBorder="1" applyAlignment="1" applyProtection="1">
      <alignment horizontal="center" vertical="center"/>
      <protection locked="0"/>
    </xf>
    <xf numFmtId="164" fontId="5" fillId="11" borderId="2" xfId="5" applyNumberFormat="1" applyFill="1" applyBorder="1" applyAlignment="1" applyProtection="1">
      <alignment horizontal="center" vertical="center"/>
      <protection locked="0"/>
    </xf>
    <xf numFmtId="164" fontId="5" fillId="11" borderId="1" xfId="5" applyNumberFormat="1" applyFill="1" applyBorder="1" applyAlignment="1" applyProtection="1">
      <alignment horizontal="center" vertical="center"/>
      <protection locked="0"/>
    </xf>
    <xf numFmtId="2" fontId="5" fillId="10" borderId="20" xfId="5" applyNumberFormat="1" applyFill="1" applyBorder="1" applyAlignment="1" applyProtection="1">
      <alignment horizontal="center"/>
      <protection locked="0"/>
    </xf>
    <xf numFmtId="165" fontId="5" fillId="11" borderId="18" xfId="5" applyNumberFormat="1" applyFill="1" applyBorder="1" applyAlignment="1" applyProtection="1">
      <alignment horizontal="center" vertical="center"/>
      <protection locked="0"/>
    </xf>
    <xf numFmtId="164" fontId="5" fillId="11" borderId="18" xfId="5" applyNumberFormat="1" applyFill="1" applyBorder="1" applyAlignment="1" applyProtection="1">
      <alignment horizontal="center" vertical="center"/>
      <protection locked="0"/>
    </xf>
    <xf numFmtId="164" fontId="5" fillId="11" borderId="39" xfId="5" applyNumberFormat="1" applyFill="1" applyBorder="1" applyAlignment="1" applyProtection="1">
      <alignment horizontal="center" vertical="center"/>
      <protection locked="0"/>
    </xf>
    <xf numFmtId="164" fontId="15" fillId="11" borderId="17" xfId="5" applyNumberFormat="1" applyFont="1" applyFill="1" applyBorder="1" applyAlignment="1" applyProtection="1">
      <alignment horizontal="center" vertical="center"/>
      <protection locked="0"/>
    </xf>
    <xf numFmtId="0" fontId="15" fillId="10" borderId="15" xfId="5" applyFont="1" applyFill="1" applyBorder="1" applyAlignment="1" applyProtection="1">
      <alignment horizontal="center" vertical="center"/>
      <protection locked="0"/>
    </xf>
    <xf numFmtId="0" fontId="20" fillId="10" borderId="54" xfId="5" applyFont="1" applyFill="1" applyBorder="1" applyAlignment="1" applyProtection="1">
      <alignment horizontal="center" vertical="center"/>
      <protection locked="0"/>
    </xf>
    <xf numFmtId="0" fontId="20" fillId="11" borderId="54" xfId="5" quotePrefix="1" applyFont="1" applyFill="1" applyBorder="1" applyAlignment="1" applyProtection="1">
      <alignment horizontal="center" vertical="center"/>
      <protection locked="0"/>
    </xf>
    <xf numFmtId="0" fontId="20" fillId="11" borderId="54" xfId="5" applyFont="1" applyFill="1" applyBorder="1" applyAlignment="1" applyProtection="1">
      <alignment horizontal="center" vertical="center"/>
      <protection locked="0"/>
    </xf>
    <xf numFmtId="164" fontId="15" fillId="11" borderId="38" xfId="5" applyNumberFormat="1" applyFont="1" applyFill="1" applyBorder="1" applyAlignment="1" applyProtection="1">
      <alignment horizontal="center" vertical="center"/>
      <protection locked="0"/>
    </xf>
    <xf numFmtId="0" fontId="15" fillId="10" borderId="40" xfId="5" applyFont="1" applyFill="1" applyBorder="1" applyAlignment="1" applyProtection="1">
      <alignment horizontal="center" vertical="center"/>
      <protection locked="0"/>
    </xf>
    <xf numFmtId="0" fontId="5" fillId="0" borderId="28" xfId="5" applyBorder="1" applyProtection="1">
      <protection locked="0"/>
    </xf>
    <xf numFmtId="2" fontId="5" fillId="3" borderId="0" xfId="5" applyNumberFormat="1" applyFill="1" applyAlignment="1" applyProtection="1">
      <alignment horizontal="center"/>
      <protection locked="0"/>
    </xf>
    <xf numFmtId="0" fontId="5" fillId="3" borderId="0" xfId="5" quotePrefix="1" applyFill="1" applyAlignment="1" applyProtection="1">
      <alignment horizontal="center"/>
      <protection locked="0"/>
    </xf>
    <xf numFmtId="164" fontId="5" fillId="3" borderId="0" xfId="5" applyNumberFormat="1" applyFill="1" applyAlignment="1" applyProtection="1">
      <alignment horizontal="center"/>
      <protection locked="0"/>
    </xf>
    <xf numFmtId="0" fontId="5" fillId="3" borderId="0" xfId="5" applyFill="1" applyProtection="1">
      <protection locked="0"/>
    </xf>
    <xf numFmtId="0" fontId="5" fillId="3" borderId="6" xfId="5" applyFill="1" applyBorder="1" applyAlignment="1" applyProtection="1">
      <alignment horizontal="center" vertical="center"/>
      <protection locked="0"/>
    </xf>
    <xf numFmtId="1" fontId="5" fillId="11" borderId="45" xfId="5" applyNumberFormat="1" applyFill="1" applyBorder="1" applyAlignment="1" applyProtection="1">
      <alignment horizontal="center"/>
      <protection locked="0"/>
    </xf>
    <xf numFmtId="164" fontId="5" fillId="11" borderId="45" xfId="5" applyNumberFormat="1" applyFill="1" applyBorder="1" applyAlignment="1" applyProtection="1">
      <alignment horizontal="center" vertical="center"/>
      <protection locked="0"/>
    </xf>
    <xf numFmtId="1" fontId="5" fillId="11" borderId="4" xfId="5" applyNumberFormat="1" applyFill="1" applyBorder="1" applyAlignment="1" applyProtection="1">
      <alignment horizontal="center"/>
      <protection locked="0"/>
    </xf>
    <xf numFmtId="1" fontId="5" fillId="11" borderId="1" xfId="5" applyNumberFormat="1" applyFill="1" applyBorder="1" applyAlignment="1" applyProtection="1">
      <alignment horizontal="center" vertical="center"/>
      <protection locked="0"/>
    </xf>
    <xf numFmtId="1" fontId="5" fillId="11" borderId="39" xfId="5" applyNumberFormat="1" applyFill="1" applyBorder="1" applyAlignment="1" applyProtection="1">
      <alignment horizontal="center" vertical="center"/>
      <protection locked="0"/>
    </xf>
    <xf numFmtId="164" fontId="5" fillId="11" borderId="56" xfId="5" applyNumberFormat="1" applyFill="1" applyBorder="1" applyAlignment="1" applyProtection="1">
      <alignment horizontal="center" vertical="center"/>
      <protection locked="0"/>
    </xf>
    <xf numFmtId="165" fontId="5" fillId="3" borderId="0" xfId="5" applyNumberFormat="1" applyFill="1" applyAlignment="1" applyProtection="1">
      <alignment horizontal="center"/>
      <protection locked="0"/>
    </xf>
    <xf numFmtId="0" fontId="15" fillId="11" borderId="17" xfId="5" applyFont="1" applyFill="1" applyBorder="1" applyAlignment="1" applyProtection="1">
      <alignment horizontal="center" vertical="center"/>
      <protection locked="0"/>
    </xf>
    <xf numFmtId="0" fontId="15" fillId="11" borderId="38" xfId="5" applyFont="1" applyFill="1" applyBorder="1" applyAlignment="1" applyProtection="1">
      <alignment horizontal="center" vertical="center"/>
      <protection locked="0"/>
    </xf>
    <xf numFmtId="0" fontId="5" fillId="11" borderId="0" xfId="5" applyFill="1" applyAlignment="1" applyProtection="1">
      <alignment horizontal="center"/>
      <protection locked="0"/>
    </xf>
    <xf numFmtId="2" fontId="5" fillId="10" borderId="2" xfId="5" applyNumberFormat="1" applyFill="1" applyBorder="1" applyAlignment="1" applyProtection="1">
      <alignment horizontal="center"/>
      <protection locked="0"/>
    </xf>
    <xf numFmtId="164" fontId="5" fillId="11" borderId="2" xfId="5" quotePrefix="1" applyNumberFormat="1" applyFill="1" applyBorder="1" applyAlignment="1" applyProtection="1">
      <alignment horizontal="center"/>
      <protection locked="0"/>
    </xf>
    <xf numFmtId="0" fontId="5" fillId="0" borderId="2" xfId="5" applyBorder="1" applyProtection="1">
      <protection locked="0"/>
    </xf>
    <xf numFmtId="0" fontId="15" fillId="11" borderId="2" xfId="5" applyFont="1" applyFill="1" applyBorder="1" applyAlignment="1" applyProtection="1">
      <alignment horizontal="center" vertical="center"/>
      <protection locked="0"/>
    </xf>
    <xf numFmtId="0" fontId="15" fillId="10" borderId="2" xfId="5" applyFont="1" applyFill="1" applyBorder="1" applyAlignment="1" applyProtection="1">
      <alignment horizontal="center" vertical="center"/>
      <protection locked="0"/>
    </xf>
    <xf numFmtId="0" fontId="20" fillId="10" borderId="2" xfId="5" applyFont="1" applyFill="1" applyBorder="1" applyAlignment="1" applyProtection="1">
      <alignment horizontal="center" vertical="center"/>
      <protection locked="0"/>
    </xf>
    <xf numFmtId="0" fontId="20" fillId="11" borderId="2" xfId="5" applyFont="1" applyFill="1" applyBorder="1" applyAlignment="1" applyProtection="1">
      <alignment horizontal="center" vertical="center"/>
      <protection locked="0"/>
    </xf>
    <xf numFmtId="164" fontId="15" fillId="11" borderId="2" xfId="5" applyNumberFormat="1" applyFont="1" applyFill="1" applyBorder="1" applyAlignment="1" applyProtection="1">
      <alignment horizontal="center" vertical="center"/>
      <protection locked="0"/>
    </xf>
    <xf numFmtId="0" fontId="5" fillId="0" borderId="6" xfId="4" applyBorder="1"/>
    <xf numFmtId="0" fontId="5" fillId="0" borderId="19" xfId="4" applyBorder="1"/>
    <xf numFmtId="0" fontId="5" fillId="3" borderId="0" xfId="4" applyFill="1"/>
    <xf numFmtId="2" fontId="55" fillId="3" borderId="0" xfId="4" applyNumberFormat="1" applyFont="1" applyFill="1" applyAlignment="1">
      <alignment horizontal="center" vertical="center"/>
    </xf>
    <xf numFmtId="0" fontId="54" fillId="3" borderId="0" xfId="4" applyFont="1" applyFill="1"/>
    <xf numFmtId="0" fontId="7" fillId="0" borderId="0" xfId="4" applyFont="1"/>
    <xf numFmtId="0" fontId="57" fillId="3" borderId="0" xfId="4" applyFont="1" applyFill="1" applyAlignment="1">
      <alignment horizontal="center" vertical="center"/>
    </xf>
    <xf numFmtId="2" fontId="57" fillId="3" borderId="0" xfId="4" applyNumberFormat="1" applyFont="1" applyFill="1" applyAlignment="1">
      <alignment horizontal="center" vertical="center"/>
    </xf>
    <xf numFmtId="0" fontId="5" fillId="3" borderId="6" xfId="4" applyFill="1" applyBorder="1"/>
    <xf numFmtId="0" fontId="49" fillId="0" borderId="0" xfId="0" applyFont="1" applyProtection="1">
      <protection locked="0"/>
    </xf>
    <xf numFmtId="0" fontId="8" fillId="0" borderId="2" xfId="2" applyFont="1" applyBorder="1" applyAlignment="1">
      <alignment horizontal="center"/>
    </xf>
    <xf numFmtId="0" fontId="8" fillId="0" borderId="0" xfId="2" applyFont="1" applyAlignment="1">
      <alignment horizontal="center"/>
    </xf>
    <xf numFmtId="1" fontId="8" fillId="7" borderId="0" xfId="2" applyNumberFormat="1" applyFont="1" applyFill="1" applyAlignment="1">
      <alignment horizontal="center"/>
    </xf>
    <xf numFmtId="2" fontId="8" fillId="0" borderId="0" xfId="2" applyNumberFormat="1" applyFont="1" applyAlignment="1">
      <alignment horizontal="center"/>
    </xf>
    <xf numFmtId="0" fontId="35" fillId="0" borderId="2" xfId="0" applyFont="1" applyBorder="1" applyAlignment="1">
      <alignment horizontal="center" vertical="center"/>
    </xf>
    <xf numFmtId="0" fontId="5" fillId="0" borderId="0" xfId="2" applyAlignment="1">
      <alignment vertical="center"/>
    </xf>
    <xf numFmtId="0" fontId="35" fillId="0" borderId="0" xfId="0" applyFont="1" applyAlignment="1">
      <alignment horizontal="center" vertical="center"/>
    </xf>
    <xf numFmtId="0" fontId="30" fillId="0" borderId="0" xfId="2" applyFont="1" applyAlignment="1">
      <alignment horizontal="center" vertical="center"/>
    </xf>
    <xf numFmtId="0" fontId="30" fillId="0" borderId="0" xfId="2" applyFont="1" applyAlignment="1" applyProtection="1">
      <alignment horizontal="left" vertical="center"/>
      <protection locked="0"/>
    </xf>
    <xf numFmtId="0" fontId="35" fillId="0" borderId="0" xfId="2" applyFont="1" applyAlignment="1" applyProtection="1">
      <alignment horizontal="center" vertical="center"/>
      <protection locked="0"/>
    </xf>
    <xf numFmtId="0" fontId="30" fillId="0" borderId="0" xfId="2" applyFont="1" applyAlignment="1" applyProtection="1">
      <alignment horizontal="center" vertical="center"/>
      <protection locked="0"/>
    </xf>
    <xf numFmtId="2" fontId="30" fillId="0" borderId="0" xfId="2" applyNumberFormat="1" applyFont="1" applyAlignment="1" applyProtection="1">
      <alignment horizontal="center" vertical="center"/>
      <protection locked="0"/>
    </xf>
    <xf numFmtId="0" fontId="30" fillId="0" borderId="0" xfId="2" applyFont="1" applyAlignment="1" applyProtection="1">
      <alignment vertical="center"/>
      <protection locked="0"/>
    </xf>
    <xf numFmtId="0" fontId="8" fillId="0" borderId="0" xfId="2" applyFont="1" applyAlignment="1">
      <alignment vertical="top"/>
    </xf>
    <xf numFmtId="2" fontId="8" fillId="0" borderId="0" xfId="2" applyNumberFormat="1" applyFont="1" applyAlignment="1">
      <alignment vertical="top"/>
    </xf>
    <xf numFmtId="164" fontId="8" fillId="0" borderId="0" xfId="2" applyNumberFormat="1" applyFont="1" applyAlignment="1">
      <alignment vertical="top"/>
    </xf>
    <xf numFmtId="0" fontId="8" fillId="0" borderId="0" xfId="2" applyFont="1" applyAlignment="1">
      <alignment horizontal="center" vertical="top"/>
    </xf>
    <xf numFmtId="0" fontId="24" fillId="0" borderId="0" xfId="2" applyFont="1" applyAlignment="1">
      <alignment vertical="top"/>
    </xf>
    <xf numFmtId="2" fontId="8" fillId="0" borderId="0" xfId="2" applyNumberFormat="1" applyFont="1" applyAlignment="1">
      <alignment horizontal="center" vertical="top"/>
    </xf>
    <xf numFmtId="0" fontId="32" fillId="0" borderId="0" xfId="2" applyFont="1" applyAlignment="1">
      <alignment vertical="top"/>
    </xf>
    <xf numFmtId="0" fontId="9" fillId="0" borderId="0" xfId="2" applyFont="1" applyAlignment="1">
      <alignment vertical="top"/>
    </xf>
    <xf numFmtId="0" fontId="20" fillId="0" borderId="0" xfId="0" applyFont="1" applyAlignment="1">
      <alignment horizontal="center" vertical="center" wrapText="1"/>
    </xf>
    <xf numFmtId="0" fontId="16" fillId="0" borderId="0" xfId="4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0" fontId="0" fillId="0" borderId="5" xfId="0" applyBorder="1"/>
    <xf numFmtId="0" fontId="0" fillId="0" borderId="12" xfId="0" applyBorder="1"/>
    <xf numFmtId="0" fontId="0" fillId="0" borderId="0" xfId="0" applyAlignment="1">
      <alignment horizontal="center"/>
    </xf>
    <xf numFmtId="164" fontId="44" fillId="0" borderId="2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2" fontId="11" fillId="0" borderId="0" xfId="0" applyNumberFormat="1" applyFont="1" applyAlignment="1">
      <alignment horizontal="center" vertical="center"/>
    </xf>
    <xf numFmtId="0" fontId="44" fillId="0" borderId="0" xfId="0" applyFont="1"/>
    <xf numFmtId="0" fontId="51" fillId="3" borderId="8" xfId="0" applyFont="1" applyFill="1" applyBorder="1" applyAlignment="1" applyProtection="1">
      <alignment horizontal="left" vertical="top"/>
      <protection hidden="1"/>
    </xf>
    <xf numFmtId="0" fontId="51" fillId="3" borderId="9" xfId="0" quotePrefix="1" applyFont="1" applyFill="1" applyBorder="1" applyAlignment="1" applyProtection="1">
      <alignment vertical="center"/>
      <protection locked="0"/>
    </xf>
    <xf numFmtId="0" fontId="51" fillId="3" borderId="7" xfId="0" applyFont="1" applyFill="1" applyBorder="1" applyAlignment="1" applyProtection="1">
      <alignment horizontal="left" vertical="top"/>
      <protection hidden="1"/>
    </xf>
    <xf numFmtId="0" fontId="51" fillId="3" borderId="53" xfId="0" quotePrefix="1" applyFont="1" applyFill="1" applyBorder="1" applyAlignment="1" applyProtection="1">
      <alignment vertical="center"/>
      <protection locked="0"/>
    </xf>
    <xf numFmtId="0" fontId="51" fillId="0" borderId="0" xfId="2" applyFont="1"/>
    <xf numFmtId="0" fontId="71" fillId="0" borderId="5" xfId="0" applyFont="1" applyBorder="1" applyAlignment="1">
      <alignment horizontal="right"/>
    </xf>
    <xf numFmtId="0" fontId="43" fillId="0" borderId="7" xfId="2" applyFont="1" applyBorder="1" applyAlignment="1">
      <alignment vertical="center"/>
    </xf>
    <xf numFmtId="0" fontId="43" fillId="0" borderId="0" xfId="2" applyFont="1" applyProtection="1">
      <protection locked="0"/>
    </xf>
    <xf numFmtId="0" fontId="51" fillId="0" borderId="0" xfId="0" applyFont="1"/>
    <xf numFmtId="0" fontId="74" fillId="0" borderId="30" xfId="2" applyFont="1" applyBorder="1" applyAlignment="1">
      <alignment horizontal="center" vertical="center" wrapText="1"/>
    </xf>
    <xf numFmtId="0" fontId="74" fillId="0" borderId="30" xfId="2" applyFont="1" applyBorder="1" applyAlignment="1">
      <alignment horizontal="center" vertical="center"/>
    </xf>
    <xf numFmtId="0" fontId="74" fillId="3" borderId="2" xfId="0" applyFont="1" applyFill="1" applyBorder="1" applyAlignment="1">
      <alignment horizontal="center"/>
    </xf>
    <xf numFmtId="0" fontId="74" fillId="0" borderId="2" xfId="2" applyFont="1" applyBorder="1" applyAlignment="1">
      <alignment horizontal="center"/>
    </xf>
    <xf numFmtId="0" fontId="74" fillId="0" borderId="2" xfId="2" applyFont="1" applyBorder="1" applyAlignment="1">
      <alignment horizontal="center" vertical="center" wrapText="1"/>
    </xf>
    <xf numFmtId="0" fontId="51" fillId="0" borderId="0" xfId="0" applyFont="1" applyAlignment="1" applyProtection="1">
      <alignment horizontal="left"/>
      <protection locked="0"/>
    </xf>
    <xf numFmtId="0" fontId="43" fillId="0" borderId="2" xfId="2" applyFont="1" applyBorder="1" applyAlignment="1">
      <alignment horizontal="center"/>
    </xf>
    <xf numFmtId="0" fontId="11" fillId="0" borderId="2" xfId="2" applyFont="1" applyBorder="1" applyAlignment="1">
      <alignment horizontal="center"/>
    </xf>
    <xf numFmtId="0" fontId="40" fillId="0" borderId="2" xfId="2" applyFont="1" applyBorder="1" applyAlignment="1">
      <alignment horizontal="center" vertical="center" wrapText="1"/>
    </xf>
    <xf numFmtId="0" fontId="77" fillId="0" borderId="0" xfId="2" applyFont="1"/>
    <xf numFmtId="0" fontId="79" fillId="0" borderId="0" xfId="2" applyFont="1"/>
    <xf numFmtId="0" fontId="76" fillId="0" borderId="0" xfId="2" applyFont="1"/>
    <xf numFmtId="0" fontId="30" fillId="0" borderId="7" xfId="2" applyFont="1" applyBorder="1" applyAlignment="1">
      <alignment horizontal="left" vertical="center"/>
    </xf>
    <xf numFmtId="0" fontId="30" fillId="0" borderId="5" xfId="2" applyFont="1" applyBorder="1" applyAlignment="1">
      <alignment horizontal="left" vertical="center"/>
    </xf>
    <xf numFmtId="0" fontId="60" fillId="0" borderId="0" xfId="2" applyFont="1" applyProtection="1">
      <protection locked="0"/>
    </xf>
    <xf numFmtId="0" fontId="41" fillId="0" borderId="0" xfId="0" applyFont="1" applyAlignment="1">
      <alignment vertical="center" wrapText="1"/>
    </xf>
    <xf numFmtId="164" fontId="81" fillId="0" borderId="0" xfId="2" applyNumberFormat="1" applyFont="1" applyAlignment="1">
      <alignment horizontal="left" vertical="center"/>
    </xf>
    <xf numFmtId="0" fontId="34" fillId="0" borderId="0" xfId="2" applyFont="1"/>
    <xf numFmtId="0" fontId="39" fillId="0" borderId="0" xfId="2" applyFont="1"/>
    <xf numFmtId="0" fontId="77" fillId="0" borderId="0" xfId="0" applyFont="1" applyAlignment="1">
      <alignment horizontal="center" vertical="center"/>
    </xf>
    <xf numFmtId="0" fontId="78" fillId="0" borderId="0" xfId="0" applyFont="1" applyAlignment="1">
      <alignment horizontal="center"/>
    </xf>
    <xf numFmtId="0" fontId="78" fillId="0" borderId="0" xfId="0" applyFont="1" applyAlignment="1">
      <alignment horizontal="center" vertical="center"/>
    </xf>
    <xf numFmtId="0" fontId="40" fillId="0" borderId="2" xfId="0" applyFont="1" applyBorder="1" applyAlignment="1">
      <alignment horizontal="center" vertical="top"/>
    </xf>
    <xf numFmtId="0" fontId="40" fillId="0" borderId="2" xfId="2" applyFont="1" applyBorder="1" applyAlignment="1">
      <alignment horizontal="center" vertical="top"/>
    </xf>
    <xf numFmtId="0" fontId="82" fillId="3" borderId="2" xfId="0" applyFont="1" applyFill="1" applyBorder="1" applyAlignment="1" applyProtection="1">
      <alignment horizontal="center"/>
      <protection locked="0"/>
    </xf>
    <xf numFmtId="0" fontId="44" fillId="3" borderId="2" xfId="0" applyFont="1" applyFill="1" applyBorder="1" applyAlignment="1">
      <alignment horizontal="left"/>
    </xf>
    <xf numFmtId="0" fontId="40" fillId="3" borderId="2" xfId="0" applyFont="1" applyFill="1" applyBorder="1" applyAlignment="1">
      <alignment horizontal="center"/>
    </xf>
    <xf numFmtId="164" fontId="44" fillId="0" borderId="2" xfId="2" applyNumberFormat="1" applyFont="1" applyBorder="1" applyAlignment="1">
      <alignment horizontal="center" vertical="center"/>
    </xf>
    <xf numFmtId="2" fontId="44" fillId="0" borderId="2" xfId="2" applyNumberFormat="1" applyFont="1" applyBorder="1" applyAlignment="1">
      <alignment horizontal="center" vertical="center"/>
    </xf>
    <xf numFmtId="0" fontId="83" fillId="3" borderId="2" xfId="0" applyFont="1" applyFill="1" applyBorder="1" applyAlignment="1">
      <alignment horizontal="center"/>
    </xf>
    <xf numFmtId="0" fontId="24" fillId="0" borderId="0" xfId="0" applyFont="1" applyAlignment="1">
      <alignment vertical="center"/>
    </xf>
    <xf numFmtId="0" fontId="24" fillId="0" borderId="0" xfId="2" applyFont="1" applyAlignment="1" applyProtection="1">
      <alignment vertical="center"/>
      <protection locked="0"/>
    </xf>
    <xf numFmtId="0" fontId="24" fillId="6" borderId="2" xfId="0" applyFont="1" applyFill="1" applyBorder="1" applyAlignment="1">
      <alignment vertical="center"/>
    </xf>
    <xf numFmtId="0" fontId="44" fillId="3" borderId="2" xfId="0" applyFont="1" applyFill="1" applyBorder="1" applyAlignment="1">
      <alignment horizontal="left" vertical="center"/>
    </xf>
    <xf numFmtId="0" fontId="40" fillId="3" borderId="2" xfId="0" applyFont="1" applyFill="1" applyBorder="1" applyAlignment="1">
      <alignment horizontal="center" vertical="center"/>
    </xf>
    <xf numFmtId="164" fontId="44" fillId="0" borderId="2" xfId="0" applyNumberFormat="1" applyFont="1" applyBorder="1" applyAlignment="1">
      <alignment horizontal="center" vertical="center" wrapText="1"/>
    </xf>
    <xf numFmtId="164" fontId="44" fillId="0" borderId="3" xfId="0" applyNumberFormat="1" applyFont="1" applyBorder="1" applyAlignment="1">
      <alignment vertical="center" wrapText="1"/>
    </xf>
    <xf numFmtId="0" fontId="44" fillId="0" borderId="5" xfId="0" applyFont="1" applyBorder="1" applyAlignment="1">
      <alignment horizontal="right" vertical="center"/>
    </xf>
    <xf numFmtId="164" fontId="44" fillId="0" borderId="12" xfId="0" applyNumberFormat="1" applyFont="1" applyBorder="1" applyAlignment="1">
      <alignment horizontal="left" vertical="center"/>
    </xf>
    <xf numFmtId="0" fontId="84" fillId="0" borderId="0" xfId="2" applyFont="1" applyAlignment="1">
      <alignment horizontal="center" vertical="center"/>
    </xf>
    <xf numFmtId="0" fontId="44" fillId="0" borderId="0" xfId="2" applyFont="1" applyAlignment="1">
      <alignment vertical="center"/>
    </xf>
    <xf numFmtId="0" fontId="51" fillId="0" borderId="0" xfId="2" applyFont="1" applyAlignment="1">
      <alignment horizontal="center" vertical="center"/>
    </xf>
    <xf numFmtId="0" fontId="51" fillId="0" borderId="2" xfId="2" applyFont="1" applyBorder="1"/>
    <xf numFmtId="1" fontId="51" fillId="5" borderId="2" xfId="2" applyNumberFormat="1" applyFont="1" applyFill="1" applyBorder="1" applyAlignment="1">
      <alignment horizontal="center"/>
    </xf>
    <xf numFmtId="0" fontId="51" fillId="0" borderId="2" xfId="2" applyFont="1" applyBorder="1" applyAlignment="1">
      <alignment horizontal="center"/>
    </xf>
    <xf numFmtId="164" fontId="51" fillId="0" borderId="0" xfId="2" applyNumberFormat="1" applyFont="1"/>
    <xf numFmtId="2" fontId="51" fillId="0" borderId="0" xfId="2" applyNumberFormat="1" applyFont="1"/>
    <xf numFmtId="0" fontId="51" fillId="0" borderId="0" xfId="2" applyFont="1" applyAlignment="1">
      <alignment vertical="center"/>
    </xf>
    <xf numFmtId="164" fontId="51" fillId="0" borderId="0" xfId="2" applyNumberFormat="1" applyFont="1" applyAlignment="1">
      <alignment horizontal="center" vertical="center"/>
    </xf>
    <xf numFmtId="164" fontId="44" fillId="0" borderId="18" xfId="0" applyNumberFormat="1" applyFont="1" applyBorder="1" applyAlignment="1">
      <alignment vertical="center" wrapText="1"/>
    </xf>
    <xf numFmtId="2" fontId="51" fillId="0" borderId="0" xfId="2" applyNumberFormat="1" applyFont="1" applyAlignment="1">
      <alignment vertical="center"/>
    </xf>
    <xf numFmtId="164" fontId="51" fillId="0" borderId="0" xfId="2" applyNumberFormat="1" applyFont="1" applyAlignment="1">
      <alignment vertical="center"/>
    </xf>
    <xf numFmtId="2" fontId="30" fillId="0" borderId="0" xfId="0" applyNumberFormat="1" applyFont="1"/>
    <xf numFmtId="0" fontId="59" fillId="2" borderId="3" xfId="0" applyFont="1" applyFill="1" applyBorder="1" applyAlignment="1">
      <alignment vertical="center"/>
    </xf>
    <xf numFmtId="0" fontId="85" fillId="3" borderId="2" xfId="0" applyFont="1" applyFill="1" applyBorder="1" applyAlignment="1" applyProtection="1">
      <alignment horizontal="center"/>
      <protection locked="0"/>
    </xf>
    <xf numFmtId="164" fontId="86" fillId="3" borderId="2" xfId="0" applyNumberFormat="1" applyFont="1" applyFill="1" applyBorder="1" applyAlignment="1" applyProtection="1">
      <alignment horizontal="center" vertical="center"/>
      <protection locked="0"/>
    </xf>
    <xf numFmtId="164" fontId="59" fillId="0" borderId="2" xfId="0" applyNumberFormat="1" applyFont="1" applyBorder="1" applyAlignment="1">
      <alignment horizontal="center"/>
    </xf>
    <xf numFmtId="164" fontId="59" fillId="0" borderId="2" xfId="0" applyNumberFormat="1" applyFont="1" applyBorder="1" applyAlignment="1">
      <alignment horizontal="center" vertical="center"/>
    </xf>
    <xf numFmtId="2" fontId="59" fillId="0" borderId="2" xfId="0" applyNumberFormat="1" applyFont="1" applyBorder="1" applyAlignment="1">
      <alignment horizontal="center" vertical="center"/>
    </xf>
    <xf numFmtId="0" fontId="59" fillId="2" borderId="18" xfId="0" applyFont="1" applyFill="1" applyBorder="1" applyAlignment="1">
      <alignment vertical="center"/>
    </xf>
    <xf numFmtId="0" fontId="44" fillId="2" borderId="3" xfId="0" applyFont="1" applyFill="1" applyBorder="1" applyAlignment="1">
      <alignment vertical="center"/>
    </xf>
    <xf numFmtId="0" fontId="44" fillId="0" borderId="3" xfId="0" applyFont="1" applyBorder="1" applyAlignment="1">
      <alignment vertical="center" wrapText="1"/>
    </xf>
    <xf numFmtId="164" fontId="44" fillId="0" borderId="7" xfId="0" applyNumberFormat="1" applyFont="1" applyBorder="1" applyAlignment="1">
      <alignment horizontal="center" vertical="center"/>
    </xf>
    <xf numFmtId="165" fontId="44" fillId="0" borderId="2" xfId="0" applyNumberFormat="1" applyFont="1" applyBorder="1" applyAlignment="1">
      <alignment vertical="center" wrapText="1"/>
    </xf>
    <xf numFmtId="1" fontId="11" fillId="3" borderId="3" xfId="2" applyNumberFormat="1" applyFont="1" applyFill="1" applyBorder="1" applyAlignment="1">
      <alignment vertical="center"/>
    </xf>
    <xf numFmtId="0" fontId="44" fillId="2" borderId="18" xfId="0" applyFont="1" applyFill="1" applyBorder="1" applyAlignment="1">
      <alignment vertical="center"/>
    </xf>
    <xf numFmtId="0" fontId="44" fillId="0" borderId="18" xfId="0" applyFont="1" applyBorder="1" applyAlignment="1">
      <alignment vertical="center" wrapText="1"/>
    </xf>
    <xf numFmtId="1" fontId="11" fillId="3" borderId="18" xfId="2" applyNumberFormat="1" applyFont="1" applyFill="1" applyBorder="1" applyAlignment="1">
      <alignment vertical="center"/>
    </xf>
    <xf numFmtId="0" fontId="32" fillId="0" borderId="0" xfId="2" applyFont="1" applyAlignment="1">
      <alignment horizontal="center" vertical="center"/>
    </xf>
    <xf numFmtId="0" fontId="0" fillId="0" borderId="19" xfId="0" applyBorder="1"/>
    <xf numFmtId="0" fontId="49" fillId="0" borderId="2" xfId="4" applyFont="1" applyBorder="1" applyAlignment="1">
      <alignment horizontal="center" vertical="center"/>
    </xf>
    <xf numFmtId="170" fontId="5" fillId="0" borderId="2" xfId="4" applyNumberFormat="1" applyBorder="1" applyAlignment="1">
      <alignment horizontal="center" vertical="center"/>
    </xf>
    <xf numFmtId="0" fontId="66" fillId="0" borderId="2" xfId="4" applyFont="1" applyBorder="1" applyAlignment="1">
      <alignment horizontal="center" vertical="center"/>
    </xf>
    <xf numFmtId="0" fontId="5" fillId="0" borderId="2" xfId="4" applyBorder="1"/>
    <xf numFmtId="170" fontId="49" fillId="0" borderId="2" xfId="4" applyNumberFormat="1" applyFont="1" applyBorder="1" applyAlignment="1">
      <alignment horizontal="center" vertical="center"/>
    </xf>
    <xf numFmtId="0" fontId="5" fillId="3" borderId="0" xfId="4" quotePrefix="1" applyFill="1" applyAlignment="1">
      <alignment horizontal="center" vertical="center" wrapText="1"/>
    </xf>
    <xf numFmtId="0" fontId="5" fillId="3" borderId="2" xfId="4" applyFill="1" applyBorder="1" applyAlignment="1">
      <alignment horizontal="center" vertical="center"/>
    </xf>
    <xf numFmtId="0" fontId="49" fillId="0" borderId="2" xfId="4" applyFont="1" applyBorder="1" applyAlignment="1">
      <alignment horizontal="center" vertical="center" wrapText="1"/>
    </xf>
    <xf numFmtId="0" fontId="88" fillId="0" borderId="0" xfId="4" applyFont="1"/>
    <xf numFmtId="2" fontId="89" fillId="0" borderId="8" xfId="0" applyNumberFormat="1" applyFont="1" applyBorder="1" applyAlignment="1">
      <alignment horizontal="left"/>
    </xf>
    <xf numFmtId="0" fontId="30" fillId="0" borderId="2" xfId="0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/>
    </xf>
    <xf numFmtId="1" fontId="90" fillId="0" borderId="2" xfId="0" applyNumberFormat="1" applyFont="1" applyBorder="1" applyAlignment="1">
      <alignment horizontal="center"/>
    </xf>
    <xf numFmtId="0" fontId="35" fillId="0" borderId="32" xfId="2" applyFont="1" applyBorder="1" applyAlignment="1">
      <alignment vertical="top"/>
    </xf>
    <xf numFmtId="0" fontId="35" fillId="0" borderId="31" xfId="2" applyFont="1" applyBorder="1" applyAlignment="1">
      <alignment vertical="top"/>
    </xf>
    <xf numFmtId="0" fontId="35" fillId="0" borderId="11" xfId="2" applyFont="1" applyBorder="1" applyAlignment="1">
      <alignment vertical="top"/>
    </xf>
    <xf numFmtId="0" fontId="35" fillId="0" borderId="10" xfId="2" applyFont="1" applyBorder="1" applyAlignment="1">
      <alignment vertical="top"/>
    </xf>
    <xf numFmtId="0" fontId="35" fillId="0" borderId="7" xfId="2" applyFont="1" applyBorder="1" applyAlignment="1">
      <alignment horizontal="center" vertical="center"/>
    </xf>
    <xf numFmtId="0" fontId="30" fillId="0" borderId="7" xfId="2" applyFont="1" applyBorder="1" applyAlignment="1">
      <alignment horizontal="center" vertical="center"/>
    </xf>
    <xf numFmtId="0" fontId="30" fillId="0" borderId="0" xfId="2" applyFont="1" applyAlignment="1">
      <alignment horizontal="center" vertical="center" wrapText="1"/>
    </xf>
    <xf numFmtId="0" fontId="30" fillId="0" borderId="0" xfId="0" applyFont="1" applyAlignment="1" applyProtection="1">
      <alignment horizontal="center" vertical="center"/>
      <protection locked="0"/>
    </xf>
    <xf numFmtId="0" fontId="5" fillId="13" borderId="0" xfId="4" applyFill="1"/>
    <xf numFmtId="0" fontId="5" fillId="6" borderId="0" xfId="4" applyFill="1"/>
    <xf numFmtId="0" fontId="5" fillId="0" borderId="1" xfId="4" applyBorder="1" applyAlignment="1">
      <alignment horizontal="center" vertical="center"/>
    </xf>
    <xf numFmtId="0" fontId="5" fillId="0" borderId="2" xfId="4" applyBorder="1" applyAlignment="1">
      <alignment horizontal="center" vertical="center"/>
    </xf>
    <xf numFmtId="164" fontId="5" fillId="0" borderId="2" xfId="4" applyNumberFormat="1" applyBorder="1" applyAlignment="1">
      <alignment horizontal="center" vertical="center"/>
    </xf>
    <xf numFmtId="0" fontId="5" fillId="0" borderId="14" xfId="4" applyBorder="1" applyAlignment="1">
      <alignment horizontal="center" vertical="center"/>
    </xf>
    <xf numFmtId="2" fontId="5" fillId="0" borderId="2" xfId="4" applyNumberFormat="1" applyBorder="1" applyAlignment="1">
      <alignment horizontal="center" vertical="center"/>
    </xf>
    <xf numFmtId="0" fontId="5" fillId="0" borderId="16" xfId="4" applyBorder="1" applyAlignment="1">
      <alignment horizontal="center" vertical="center"/>
    </xf>
    <xf numFmtId="2" fontId="5" fillId="0" borderId="16" xfId="4" applyNumberFormat="1" applyBorder="1" applyAlignment="1">
      <alignment horizontal="center" vertical="center"/>
    </xf>
    <xf numFmtId="0" fontId="5" fillId="0" borderId="15" xfId="4" applyBorder="1" applyAlignment="1">
      <alignment horizontal="center" vertical="center"/>
    </xf>
    <xf numFmtId="0" fontId="11" fillId="3" borderId="43" xfId="4" applyFont="1" applyFill="1" applyBorder="1" applyAlignment="1">
      <alignment horizontal="center" vertical="center" wrapText="1"/>
    </xf>
    <xf numFmtId="0" fontId="11" fillId="3" borderId="44" xfId="4" applyFont="1" applyFill="1" applyBorder="1" applyAlignment="1">
      <alignment horizontal="center" vertical="center" wrapText="1"/>
    </xf>
    <xf numFmtId="0" fontId="5" fillId="0" borderId="3" xfId="4" applyBorder="1"/>
    <xf numFmtId="0" fontId="5" fillId="0" borderId="25" xfId="4" applyBorder="1"/>
    <xf numFmtId="0" fontId="5" fillId="0" borderId="18" xfId="4" applyBorder="1"/>
    <xf numFmtId="0" fontId="5" fillId="0" borderId="20" xfId="4" applyBorder="1"/>
    <xf numFmtId="164" fontId="44" fillId="0" borderId="1" xfId="4" applyNumberFormat="1" applyFont="1" applyBorder="1" applyAlignment="1">
      <alignment horizontal="center"/>
    </xf>
    <xf numFmtId="164" fontId="44" fillId="0" borderId="2" xfId="4" applyNumberFormat="1" applyFont="1" applyBorder="1" applyAlignment="1">
      <alignment horizontal="center"/>
    </xf>
    <xf numFmtId="2" fontId="44" fillId="0" borderId="2" xfId="4" applyNumberFormat="1" applyFont="1" applyBorder="1" applyAlignment="1">
      <alignment horizontal="center"/>
    </xf>
    <xf numFmtId="2" fontId="44" fillId="0" borderId="14" xfId="4" applyNumberFormat="1" applyFont="1" applyBorder="1" applyAlignment="1">
      <alignment horizontal="center"/>
    </xf>
    <xf numFmtId="165" fontId="5" fillId="0" borderId="0" xfId="4" applyNumberFormat="1"/>
    <xf numFmtId="0" fontId="44" fillId="0" borderId="1" xfId="4" applyFont="1" applyBorder="1"/>
    <xf numFmtId="0" fontId="44" fillId="0" borderId="2" xfId="4" applyFont="1" applyBorder="1"/>
    <xf numFmtId="0" fontId="44" fillId="0" borderId="14" xfId="4" applyFont="1" applyBorder="1"/>
    <xf numFmtId="164" fontId="44" fillId="0" borderId="15" xfId="4" applyNumberFormat="1" applyFont="1" applyBorder="1" applyAlignment="1">
      <alignment horizontal="center"/>
    </xf>
    <xf numFmtId="164" fontId="44" fillId="0" borderId="16" xfId="4" applyNumberFormat="1" applyFont="1" applyBorder="1" applyAlignment="1">
      <alignment horizontal="center"/>
    </xf>
    <xf numFmtId="2" fontId="44" fillId="0" borderId="16" xfId="4" applyNumberFormat="1" applyFont="1" applyBorder="1" applyAlignment="1">
      <alignment horizontal="center"/>
    </xf>
    <xf numFmtId="0" fontId="5" fillId="0" borderId="65" xfId="4" applyBorder="1"/>
    <xf numFmtId="0" fontId="40" fillId="3" borderId="68" xfId="4" applyFont="1" applyFill="1" applyBorder="1" applyAlignment="1">
      <alignment horizontal="center" vertical="center" wrapText="1"/>
    </xf>
    <xf numFmtId="0" fontId="40" fillId="3" borderId="69" xfId="4" applyFont="1" applyFill="1" applyBorder="1" applyAlignment="1">
      <alignment horizontal="center" vertical="center" wrapText="1"/>
    </xf>
    <xf numFmtId="0" fontId="11" fillId="3" borderId="69" xfId="4" applyFont="1" applyFill="1" applyBorder="1" applyAlignment="1">
      <alignment horizontal="center" vertical="center" wrapText="1"/>
    </xf>
    <xf numFmtId="0" fontId="11" fillId="3" borderId="69" xfId="2" applyFont="1" applyFill="1" applyBorder="1" applyAlignment="1">
      <alignment horizontal="center" vertical="center" wrapText="1"/>
    </xf>
    <xf numFmtId="0" fontId="5" fillId="0" borderId="69" xfId="4" applyBorder="1"/>
    <xf numFmtId="0" fontId="7" fillId="3" borderId="69" xfId="4" applyFont="1" applyFill="1" applyBorder="1" applyAlignment="1">
      <alignment horizontal="center" vertical="center" wrapText="1"/>
    </xf>
    <xf numFmtId="0" fontId="7" fillId="3" borderId="70" xfId="4" applyFont="1" applyFill="1" applyBorder="1" applyAlignment="1">
      <alignment horizontal="center" vertical="center" wrapText="1"/>
    </xf>
    <xf numFmtId="1" fontId="44" fillId="3" borderId="39" xfId="4" applyNumberFormat="1" applyFont="1" applyFill="1" applyBorder="1" applyAlignment="1">
      <alignment horizontal="center" vertical="center"/>
    </xf>
    <xf numFmtId="164" fontId="44" fillId="3" borderId="18" xfId="4" applyNumberFormat="1" applyFont="1" applyFill="1" applyBorder="1" applyAlignment="1">
      <alignment horizontal="center" vertical="center"/>
    </xf>
    <xf numFmtId="2" fontId="44" fillId="0" borderId="18" xfId="4" applyNumberFormat="1" applyFont="1" applyBorder="1" applyAlignment="1">
      <alignment horizontal="center"/>
    </xf>
    <xf numFmtId="2" fontId="44" fillId="3" borderId="18" xfId="4" applyNumberFormat="1" applyFont="1" applyFill="1" applyBorder="1" applyAlignment="1">
      <alignment horizontal="center" vertical="center"/>
    </xf>
    <xf numFmtId="164" fontId="44" fillId="0" borderId="18" xfId="4" applyNumberFormat="1" applyFont="1" applyBorder="1" applyAlignment="1">
      <alignment horizontal="center" vertical="center"/>
    </xf>
    <xf numFmtId="2" fontId="44" fillId="3" borderId="18" xfId="4" applyNumberFormat="1" applyFont="1" applyFill="1" applyBorder="1" applyAlignment="1">
      <alignment horizontal="center"/>
    </xf>
    <xf numFmtId="0" fontId="44" fillId="0" borderId="18" xfId="4" applyFont="1" applyBorder="1" applyAlignment="1">
      <alignment horizontal="center"/>
    </xf>
    <xf numFmtId="164" fontId="51" fillId="3" borderId="18" xfId="4" applyNumberFormat="1" applyFont="1" applyFill="1" applyBorder="1" applyAlignment="1">
      <alignment horizontal="center" vertical="center"/>
    </xf>
    <xf numFmtId="165" fontId="51" fillId="3" borderId="18" xfId="4" applyNumberFormat="1" applyFont="1" applyFill="1" applyBorder="1" applyAlignment="1">
      <alignment horizontal="center" vertical="center"/>
    </xf>
    <xf numFmtId="164" fontId="51" fillId="3" borderId="20" xfId="4" applyNumberFormat="1" applyFont="1" applyFill="1" applyBorder="1" applyAlignment="1">
      <alignment horizontal="center" vertical="center"/>
    </xf>
    <xf numFmtId="164" fontId="44" fillId="3" borderId="2" xfId="4" applyNumberFormat="1" applyFont="1" applyFill="1" applyBorder="1" applyAlignment="1">
      <alignment horizontal="center" vertical="center"/>
    </xf>
    <xf numFmtId="2" fontId="44" fillId="3" borderId="2" xfId="4" applyNumberFormat="1" applyFont="1" applyFill="1" applyBorder="1" applyAlignment="1">
      <alignment horizontal="center" vertical="center"/>
    </xf>
    <xf numFmtId="164" fontId="44" fillId="0" borderId="2" xfId="4" applyNumberFormat="1" applyFont="1" applyBorder="1" applyAlignment="1">
      <alignment horizontal="center" vertical="center"/>
    </xf>
    <xf numFmtId="0" fontId="44" fillId="0" borderId="2" xfId="4" applyFont="1" applyBorder="1" applyAlignment="1">
      <alignment horizontal="center"/>
    </xf>
    <xf numFmtId="164" fontId="51" fillId="3" borderId="2" xfId="4" applyNumberFormat="1" applyFont="1" applyFill="1" applyBorder="1" applyAlignment="1">
      <alignment horizontal="center" vertical="center"/>
    </xf>
    <xf numFmtId="164" fontId="51" fillId="3" borderId="14" xfId="4" applyNumberFormat="1" applyFont="1" applyFill="1" applyBorder="1" applyAlignment="1">
      <alignment horizontal="center" vertical="center"/>
    </xf>
    <xf numFmtId="1" fontId="44" fillId="3" borderId="42" xfId="4" applyNumberFormat="1" applyFont="1" applyFill="1" applyBorder="1" applyAlignment="1">
      <alignment horizontal="center" vertical="center"/>
    </xf>
    <xf numFmtId="164" fontId="44" fillId="3" borderId="30" xfId="4" applyNumberFormat="1" applyFont="1" applyFill="1" applyBorder="1" applyAlignment="1">
      <alignment horizontal="center" vertical="center"/>
    </xf>
    <xf numFmtId="1" fontId="44" fillId="3" borderId="15" xfId="4" applyNumberFormat="1" applyFont="1" applyFill="1" applyBorder="1" applyAlignment="1">
      <alignment horizontal="center" vertical="center"/>
    </xf>
    <xf numFmtId="164" fontId="44" fillId="3" borderId="16" xfId="4" applyNumberFormat="1" applyFont="1" applyFill="1" applyBorder="1" applyAlignment="1">
      <alignment horizontal="center" vertical="center"/>
    </xf>
    <xf numFmtId="2" fontId="44" fillId="3" borderId="16" xfId="4" applyNumberFormat="1" applyFont="1" applyFill="1" applyBorder="1" applyAlignment="1">
      <alignment horizontal="center" vertical="center"/>
    </xf>
    <xf numFmtId="164" fontId="44" fillId="0" borderId="16" xfId="4" applyNumberFormat="1" applyFont="1" applyBorder="1" applyAlignment="1">
      <alignment horizontal="center" vertical="center"/>
    </xf>
    <xf numFmtId="2" fontId="44" fillId="3" borderId="16" xfId="4" applyNumberFormat="1" applyFont="1" applyFill="1" applyBorder="1" applyAlignment="1">
      <alignment horizontal="center"/>
    </xf>
    <xf numFmtId="0" fontId="44" fillId="0" borderId="16" xfId="4" applyFont="1" applyBorder="1" applyAlignment="1">
      <alignment horizontal="center"/>
    </xf>
    <xf numFmtId="164" fontId="51" fillId="3" borderId="16" xfId="4" applyNumberFormat="1" applyFont="1" applyFill="1" applyBorder="1" applyAlignment="1">
      <alignment horizontal="center" vertical="center"/>
    </xf>
    <xf numFmtId="165" fontId="51" fillId="3" borderId="16" xfId="4" applyNumberFormat="1" applyFont="1" applyFill="1" applyBorder="1" applyAlignment="1">
      <alignment horizontal="center" vertical="center"/>
    </xf>
    <xf numFmtId="164" fontId="51" fillId="3" borderId="17" xfId="4" applyNumberFormat="1" applyFont="1" applyFill="1" applyBorder="1" applyAlignment="1">
      <alignment horizontal="center" vertical="center"/>
    </xf>
    <xf numFmtId="0" fontId="26" fillId="3" borderId="46" xfId="4" applyFont="1" applyFill="1" applyBorder="1" applyAlignment="1">
      <alignment vertical="center"/>
    </xf>
    <xf numFmtId="0" fontId="26" fillId="3" borderId="47" xfId="4" applyFont="1" applyFill="1" applyBorder="1" applyAlignment="1">
      <alignment vertical="center"/>
    </xf>
    <xf numFmtId="0" fontId="26" fillId="3" borderId="58" xfId="4" applyFont="1" applyFill="1" applyBorder="1" applyAlignment="1">
      <alignment vertical="center"/>
    </xf>
    <xf numFmtId="0" fontId="9" fillId="3" borderId="10" xfId="4" applyFont="1" applyFill="1" applyBorder="1" applyAlignment="1">
      <alignment vertical="center"/>
    </xf>
    <xf numFmtId="0" fontId="5" fillId="0" borderId="7" xfId="4" applyBorder="1" applyAlignment="1">
      <alignment horizontal="center" vertical="center"/>
    </xf>
    <xf numFmtId="1" fontId="8" fillId="3" borderId="20" xfId="4" applyNumberFormat="1" applyFont="1" applyFill="1" applyBorder="1" applyAlignment="1">
      <alignment horizontal="center" vertical="center"/>
    </xf>
    <xf numFmtId="0" fontId="58" fillId="0" borderId="4" xfId="4" applyFont="1" applyBorder="1" applyAlignment="1">
      <alignment horizontal="center" vertical="center"/>
    </xf>
    <xf numFmtId="0" fontId="5" fillId="3" borderId="5" xfId="4" applyFill="1" applyBorder="1"/>
    <xf numFmtId="0" fontId="58" fillId="0" borderId="5" xfId="4" applyFont="1" applyBorder="1"/>
    <xf numFmtId="0" fontId="58" fillId="0" borderId="24" xfId="4" applyFont="1" applyBorder="1"/>
    <xf numFmtId="0" fontId="9" fillId="3" borderId="5" xfId="4" applyFont="1" applyFill="1" applyBorder="1" applyAlignment="1">
      <alignment vertical="center"/>
    </xf>
    <xf numFmtId="1" fontId="8" fillId="3" borderId="14" xfId="4" applyNumberFormat="1" applyFont="1" applyFill="1" applyBorder="1" applyAlignment="1">
      <alignment horizontal="center" vertical="center"/>
    </xf>
    <xf numFmtId="0" fontId="9" fillId="3" borderId="31" xfId="4" applyFont="1" applyFill="1" applyBorder="1" applyAlignment="1">
      <alignment vertical="center"/>
    </xf>
    <xf numFmtId="0" fontId="16" fillId="0" borderId="4" xfId="4" applyFont="1" applyBorder="1" applyAlignment="1">
      <alignment horizontal="center"/>
    </xf>
    <xf numFmtId="0" fontId="16" fillId="0" borderId="2" xfId="4" applyFont="1" applyBorder="1" applyAlignment="1">
      <alignment horizontal="center"/>
    </xf>
    <xf numFmtId="0" fontId="16" fillId="0" borderId="5" xfId="4" applyFont="1" applyBorder="1" applyAlignment="1">
      <alignment horizontal="center"/>
    </xf>
    <xf numFmtId="2" fontId="16" fillId="0" borderId="5" xfId="4" applyNumberFormat="1" applyFont="1" applyBorder="1" applyAlignment="1">
      <alignment horizontal="center"/>
    </xf>
    <xf numFmtId="0" fontId="16" fillId="0" borderId="24" xfId="4" applyFont="1" applyBorder="1" applyAlignment="1">
      <alignment horizontal="center"/>
    </xf>
    <xf numFmtId="0" fontId="8" fillId="0" borderId="1" xfId="4" applyFont="1" applyBorder="1" applyAlignment="1">
      <alignment horizontal="left"/>
    </xf>
    <xf numFmtId="0" fontId="8" fillId="0" borderId="0" xfId="4" applyFont="1" applyAlignment="1">
      <alignment horizontal="center"/>
    </xf>
    <xf numFmtId="2" fontId="8" fillId="0" borderId="3" xfId="4" applyNumberFormat="1" applyFont="1" applyBorder="1" applyAlignment="1">
      <alignment horizontal="center"/>
    </xf>
    <xf numFmtId="2" fontId="8" fillId="0" borderId="0" xfId="4" applyNumberFormat="1" applyFont="1" applyAlignment="1">
      <alignment horizontal="center"/>
    </xf>
    <xf numFmtId="166" fontId="8" fillId="0" borderId="0" xfId="4" applyNumberFormat="1" applyFont="1" applyAlignment="1">
      <alignment horizontal="center"/>
    </xf>
    <xf numFmtId="0" fontId="8" fillId="0" borderId="3" xfId="4" applyFont="1" applyBorder="1" applyAlignment="1">
      <alignment horizontal="center"/>
    </xf>
    <xf numFmtId="11" fontId="8" fillId="0" borderId="3" xfId="4" applyNumberFormat="1" applyFont="1" applyBorder="1" applyAlignment="1">
      <alignment horizontal="center"/>
    </xf>
    <xf numFmtId="11" fontId="8" fillId="0" borderId="19" xfId="4" applyNumberFormat="1" applyFont="1" applyBorder="1" applyAlignment="1">
      <alignment horizontal="center"/>
    </xf>
    <xf numFmtId="0" fontId="8" fillId="0" borderId="4" xfId="4" applyFont="1" applyBorder="1" applyAlignment="1">
      <alignment horizontal="left"/>
    </xf>
    <xf numFmtId="0" fontId="8" fillId="0" borderId="5" xfId="4" applyFont="1" applyBorder="1" applyAlignment="1">
      <alignment horizontal="center"/>
    </xf>
    <xf numFmtId="2" fontId="8" fillId="0" borderId="31" xfId="4" applyNumberFormat="1" applyFont="1" applyBorder="1" applyAlignment="1">
      <alignment horizontal="center"/>
    </xf>
    <xf numFmtId="166" fontId="8" fillId="0" borderId="5" xfId="4" applyNumberFormat="1" applyFont="1" applyBorder="1" applyAlignment="1">
      <alignment horizontal="center"/>
    </xf>
    <xf numFmtId="11" fontId="8" fillId="0" borderId="2" xfId="4" applyNumberFormat="1" applyFont="1" applyBorder="1" applyAlignment="1">
      <alignment horizontal="center"/>
    </xf>
    <xf numFmtId="11" fontId="8" fillId="0" borderId="24" xfId="4" applyNumberFormat="1" applyFont="1" applyBorder="1" applyAlignment="1">
      <alignment horizontal="center"/>
    </xf>
    <xf numFmtId="2" fontId="8" fillId="0" borderId="2" xfId="4" applyNumberFormat="1" applyFont="1" applyBorder="1" applyAlignment="1">
      <alignment horizontal="center"/>
    </xf>
    <xf numFmtId="166" fontId="8" fillId="0" borderId="2" xfId="4" applyNumberFormat="1" applyFont="1" applyBorder="1" applyAlignment="1">
      <alignment horizontal="center"/>
    </xf>
    <xf numFmtId="11" fontId="8" fillId="0" borderId="14" xfId="4" applyNumberFormat="1" applyFont="1" applyBorder="1" applyAlignment="1">
      <alignment horizontal="center"/>
    </xf>
    <xf numFmtId="0" fontId="8" fillId="0" borderId="1" xfId="4" applyFont="1" applyBorder="1"/>
    <xf numFmtId="2" fontId="8" fillId="0" borderId="18" xfId="4" applyNumberFormat="1" applyFont="1" applyBorder="1" applyAlignment="1">
      <alignment horizontal="center"/>
    </xf>
    <xf numFmtId="2" fontId="8" fillId="0" borderId="10" xfId="4" applyNumberFormat="1" applyFont="1" applyBorder="1" applyAlignment="1">
      <alignment horizontal="center"/>
    </xf>
    <xf numFmtId="0" fontId="16" fillId="0" borderId="6" xfId="4" applyFont="1" applyBorder="1"/>
    <xf numFmtId="2" fontId="7" fillId="0" borderId="0" xfId="4" applyNumberFormat="1" applyFont="1"/>
    <xf numFmtId="11" fontId="8" fillId="0" borderId="8" xfId="4" applyNumberFormat="1" applyFont="1" applyBorder="1" applyAlignment="1">
      <alignment horizontal="center"/>
    </xf>
    <xf numFmtId="11" fontId="8" fillId="0" borderId="25" xfId="4" applyNumberFormat="1" applyFont="1" applyBorder="1" applyAlignment="1">
      <alignment horizontal="center"/>
    </xf>
    <xf numFmtId="0" fontId="16" fillId="0" borderId="4" xfId="4" applyFont="1" applyBorder="1"/>
    <xf numFmtId="0" fontId="13" fillId="0" borderId="5" xfId="4" applyFont="1" applyBorder="1"/>
    <xf numFmtId="2" fontId="13" fillId="0" borderId="5" xfId="4" applyNumberFormat="1" applyFont="1" applyBorder="1"/>
    <xf numFmtId="0" fontId="17" fillId="0" borderId="5" xfId="4" applyFont="1" applyBorder="1"/>
    <xf numFmtId="167" fontId="9" fillId="0" borderId="7" xfId="4" applyNumberFormat="1" applyFont="1" applyBorder="1" applyAlignment="1">
      <alignment horizontal="center"/>
    </xf>
    <xf numFmtId="0" fontId="9" fillId="0" borderId="24" xfId="4" applyFont="1" applyBorder="1"/>
    <xf numFmtId="0" fontId="13" fillId="0" borderId="0" xfId="4" applyFont="1"/>
    <xf numFmtId="2" fontId="13" fillId="0" borderId="0" xfId="4" applyNumberFormat="1" applyFont="1"/>
    <xf numFmtId="0" fontId="18" fillId="0" borderId="0" xfId="4" applyFont="1"/>
    <xf numFmtId="11" fontId="9" fillId="0" borderId="8" xfId="4" applyNumberFormat="1" applyFont="1" applyBorder="1" applyAlignment="1">
      <alignment horizontal="center"/>
    </xf>
    <xf numFmtId="0" fontId="9" fillId="0" borderId="19" xfId="4" applyFont="1" applyBorder="1"/>
    <xf numFmtId="0" fontId="9" fillId="0" borderId="5" xfId="4" applyFont="1" applyBorder="1"/>
    <xf numFmtId="165" fontId="19" fillId="0" borderId="7" xfId="4" applyNumberFormat="1" applyFont="1" applyBorder="1" applyAlignment="1">
      <alignment horizontal="center"/>
    </xf>
    <xf numFmtId="0" fontId="16" fillId="0" borderId="9" xfId="4" applyFont="1" applyBorder="1"/>
    <xf numFmtId="0" fontId="13" fillId="0" borderId="10" xfId="4" applyFont="1" applyBorder="1"/>
    <xf numFmtId="2" fontId="13" fillId="0" borderId="10" xfId="4" applyNumberFormat="1" applyFont="1" applyBorder="1"/>
    <xf numFmtId="0" fontId="9" fillId="0" borderId="10" xfId="4" applyFont="1" applyBorder="1"/>
    <xf numFmtId="166" fontId="13" fillId="0" borderId="11" xfId="4" applyNumberFormat="1" applyFont="1" applyBorder="1" applyAlignment="1">
      <alignment horizontal="center"/>
    </xf>
    <xf numFmtId="165" fontId="13" fillId="0" borderId="52" xfId="4" applyNumberFormat="1" applyFont="1" applyBorder="1" applyAlignment="1">
      <alignment horizontal="center"/>
    </xf>
    <xf numFmtId="0" fontId="15" fillId="14" borderId="4" xfId="4" applyFont="1" applyFill="1" applyBorder="1"/>
    <xf numFmtId="0" fontId="16" fillId="0" borderId="22" xfId="4" applyFont="1" applyBorder="1"/>
    <xf numFmtId="0" fontId="13" fillId="0" borderId="21" xfId="4" applyFont="1" applyBorder="1"/>
    <xf numFmtId="2" fontId="13" fillId="0" borderId="21" xfId="4" applyNumberFormat="1" applyFont="1" applyBorder="1"/>
    <xf numFmtId="0" fontId="9" fillId="0" borderId="21" xfId="4" applyFont="1" applyBorder="1"/>
    <xf numFmtId="1" fontId="5" fillId="6" borderId="21" xfId="4" applyNumberFormat="1" applyFill="1" applyBorder="1" applyAlignment="1">
      <alignment horizontal="center"/>
    </xf>
    <xf numFmtId="0" fontId="5" fillId="0" borderId="21" xfId="4" applyBorder="1"/>
    <xf numFmtId="0" fontId="9" fillId="0" borderId="0" xfId="4" applyFont="1"/>
    <xf numFmtId="2" fontId="13" fillId="0" borderId="0" xfId="4" applyNumberFormat="1" applyFont="1" applyAlignment="1">
      <alignment horizontal="center"/>
    </xf>
    <xf numFmtId="0" fontId="15" fillId="0" borderId="0" xfId="4" applyFont="1" applyAlignment="1">
      <alignment horizontal="center"/>
    </xf>
    <xf numFmtId="1" fontId="5" fillId="6" borderId="0" xfId="4" applyNumberFormat="1" applyFill="1" applyAlignment="1">
      <alignment horizontal="center"/>
    </xf>
    <xf numFmtId="0" fontId="5" fillId="6" borderId="0" xfId="4" applyFill="1" applyAlignment="1">
      <alignment horizontal="center"/>
    </xf>
    <xf numFmtId="0" fontId="5" fillId="6" borderId="19" xfId="4" applyFill="1" applyBorder="1" applyAlignment="1">
      <alignment horizontal="center"/>
    </xf>
    <xf numFmtId="0" fontId="5" fillId="6" borderId="21" xfId="4" applyFill="1" applyBorder="1" applyAlignment="1">
      <alignment horizontal="center"/>
    </xf>
    <xf numFmtId="165" fontId="13" fillId="0" borderId="10" xfId="4" applyNumberFormat="1" applyFont="1" applyBorder="1" applyAlignment="1">
      <alignment horizontal="center"/>
    </xf>
    <xf numFmtId="11" fontId="8" fillId="0" borderId="0" xfId="4" applyNumberFormat="1" applyFont="1" applyAlignment="1">
      <alignment horizontal="center"/>
    </xf>
    <xf numFmtId="11" fontId="8" fillId="0" borderId="5" xfId="4" applyNumberFormat="1" applyFont="1" applyBorder="1" applyAlignment="1">
      <alignment horizontal="center"/>
    </xf>
    <xf numFmtId="11" fontId="8" fillId="0" borderId="7" xfId="4" applyNumberFormat="1" applyFont="1" applyBorder="1" applyAlignment="1">
      <alignment horizontal="center"/>
    </xf>
    <xf numFmtId="0" fontId="11" fillId="0" borderId="6" xfId="0" applyFont="1" applyBorder="1" applyAlignment="1">
      <alignment horizontal="center" vertical="center"/>
    </xf>
    <xf numFmtId="2" fontId="11" fillId="0" borderId="6" xfId="0" applyNumberFormat="1" applyFont="1" applyBorder="1" applyAlignment="1">
      <alignment horizontal="center" vertical="center"/>
    </xf>
    <xf numFmtId="0" fontId="0" fillId="0" borderId="6" xfId="0" applyBorder="1"/>
    <xf numFmtId="2" fontId="8" fillId="6" borderId="3" xfId="4" applyNumberFormat="1" applyFont="1" applyFill="1" applyBorder="1" applyAlignment="1">
      <alignment horizontal="center"/>
    </xf>
    <xf numFmtId="2" fontId="8" fillId="6" borderId="30" xfId="4" applyNumberFormat="1" applyFont="1" applyFill="1" applyBorder="1" applyAlignment="1">
      <alignment horizontal="center"/>
    </xf>
    <xf numFmtId="2" fontId="8" fillId="6" borderId="2" xfId="4" applyNumberFormat="1" applyFont="1" applyFill="1" applyBorder="1" applyAlignment="1">
      <alignment horizontal="center"/>
    </xf>
    <xf numFmtId="2" fontId="8" fillId="6" borderId="18" xfId="4" applyNumberFormat="1" applyFont="1" applyFill="1" applyBorder="1" applyAlignment="1">
      <alignment horizontal="center"/>
    </xf>
    <xf numFmtId="0" fontId="35" fillId="0" borderId="0" xfId="2" applyFont="1" applyAlignment="1">
      <alignment vertical="top" wrapText="1"/>
    </xf>
    <xf numFmtId="2" fontId="8" fillId="0" borderId="0" xfId="2" applyNumberFormat="1" applyFont="1" applyAlignment="1">
      <alignment horizontal="center" vertical="center" wrapText="1"/>
    </xf>
    <xf numFmtId="0" fontId="10" fillId="0" borderId="2" xfId="2" applyFont="1" applyBorder="1" applyAlignment="1">
      <alignment horizontal="center"/>
    </xf>
    <xf numFmtId="164" fontId="8" fillId="0" borderId="0" xfId="2" applyNumberFormat="1" applyFont="1" applyAlignment="1">
      <alignment horizontal="center" vertical="top"/>
    </xf>
    <xf numFmtId="0" fontId="8" fillId="0" borderId="2" xfId="2" applyFont="1" applyBorder="1" applyAlignment="1">
      <alignment horizontal="center" vertical="center"/>
    </xf>
    <xf numFmtId="2" fontId="30" fillId="0" borderId="0" xfId="0" applyNumberFormat="1" applyFont="1" applyAlignment="1">
      <alignment vertical="center"/>
    </xf>
    <xf numFmtId="0" fontId="8" fillId="0" borderId="0" xfId="2" applyFont="1" applyAlignment="1">
      <alignment horizontal="right" vertical="center"/>
    </xf>
    <xf numFmtId="0" fontId="16" fillId="3" borderId="0" xfId="4" applyFont="1" applyFill="1"/>
    <xf numFmtId="0" fontId="16" fillId="3" borderId="0" xfId="4" applyFont="1" applyFill="1" applyAlignment="1">
      <alignment vertical="center"/>
    </xf>
    <xf numFmtId="0" fontId="16" fillId="3" borderId="2" xfId="4" applyFont="1" applyFill="1" applyBorder="1" applyAlignment="1">
      <alignment horizontal="center" vertical="center"/>
    </xf>
    <xf numFmtId="0" fontId="16" fillId="3" borderId="0" xfId="4" applyFont="1" applyFill="1" applyAlignment="1">
      <alignment horizontal="center" vertical="center"/>
    </xf>
    <xf numFmtId="0" fontId="95" fillId="3" borderId="0" xfId="4" applyFont="1" applyFill="1" applyAlignment="1">
      <alignment vertical="center"/>
    </xf>
    <xf numFmtId="0" fontId="16" fillId="15" borderId="30" xfId="4" applyFont="1" applyFill="1" applyBorder="1" applyAlignment="1">
      <alignment horizontal="center" vertical="center"/>
    </xf>
    <xf numFmtId="0" fontId="16" fillId="15" borderId="2" xfId="4" applyFont="1" applyFill="1" applyBorder="1" applyAlignment="1">
      <alignment horizontal="center" vertical="center"/>
    </xf>
    <xf numFmtId="0" fontId="11" fillId="3" borderId="0" xfId="4" applyFont="1" applyFill="1" applyAlignment="1">
      <alignment horizontal="center" vertical="center" wrapText="1"/>
    </xf>
    <xf numFmtId="0" fontId="11" fillId="3" borderId="2" xfId="4" applyFont="1" applyFill="1" applyBorder="1" applyAlignment="1">
      <alignment horizontal="center" vertical="center" wrapText="1"/>
    </xf>
    <xf numFmtId="0" fontId="11" fillId="3" borderId="0" xfId="4" applyFont="1" applyFill="1" applyAlignment="1">
      <alignment vertical="center" wrapText="1"/>
    </xf>
    <xf numFmtId="0" fontId="11" fillId="0" borderId="0" xfId="4" applyFont="1" applyAlignment="1">
      <alignment horizontal="center" vertical="center"/>
    </xf>
    <xf numFmtId="2" fontId="11" fillId="0" borderId="0" xfId="4" applyNumberFormat="1" applyFont="1" applyAlignment="1">
      <alignment horizontal="center" vertical="center"/>
    </xf>
    <xf numFmtId="2" fontId="96" fillId="0" borderId="8" xfId="0" applyNumberFormat="1" applyFont="1" applyBorder="1" applyAlignment="1">
      <alignment horizontal="left"/>
    </xf>
    <xf numFmtId="0" fontId="8" fillId="3" borderId="0" xfId="0" applyFont="1" applyFill="1" applyAlignment="1">
      <alignment vertical="center"/>
    </xf>
    <xf numFmtId="0" fontId="8" fillId="3" borderId="0" xfId="0" applyFont="1" applyFill="1" applyAlignment="1">
      <alignment horizontal="center" vertical="center"/>
    </xf>
    <xf numFmtId="164" fontId="8" fillId="3" borderId="0" xfId="0" applyNumberFormat="1" applyFont="1" applyFill="1" applyAlignment="1">
      <alignment horizontal="center" vertical="center"/>
    </xf>
    <xf numFmtId="2" fontId="8" fillId="3" borderId="0" xfId="0" applyNumberFormat="1" applyFont="1" applyFill="1" applyAlignment="1">
      <alignment horizontal="center" vertical="center"/>
    </xf>
    <xf numFmtId="0" fontId="8" fillId="3" borderId="0" xfId="0" applyFont="1" applyFill="1"/>
    <xf numFmtId="0" fontId="5" fillId="3" borderId="0" xfId="0" applyFont="1" applyFill="1"/>
    <xf numFmtId="0" fontId="0" fillId="0" borderId="28" xfId="0" applyBorder="1"/>
    <xf numFmtId="0" fontId="12" fillId="3" borderId="0" xfId="0" applyFont="1" applyFill="1" applyAlignment="1">
      <alignment vertical="center"/>
    </xf>
    <xf numFmtId="0" fontId="94" fillId="3" borderId="30" xfId="0" applyFont="1" applyFill="1" applyBorder="1" applyAlignment="1">
      <alignment vertical="center"/>
    </xf>
    <xf numFmtId="0" fontId="0" fillId="3" borderId="0" xfId="0" applyFill="1"/>
    <xf numFmtId="0" fontId="20" fillId="3" borderId="0" xfId="0" applyFont="1" applyFill="1" applyAlignment="1">
      <alignment vertical="center"/>
    </xf>
    <xf numFmtId="0" fontId="20" fillId="3" borderId="0" xfId="0" applyFont="1" applyFill="1" applyAlignment="1">
      <alignment vertical="center" wrapText="1"/>
    </xf>
    <xf numFmtId="0" fontId="94" fillId="3" borderId="0" xfId="0" applyFont="1" applyFill="1" applyAlignment="1">
      <alignment vertical="center"/>
    </xf>
    <xf numFmtId="0" fontId="20" fillId="3" borderId="1" xfId="0" applyFont="1" applyFill="1" applyBorder="1" applyAlignment="1">
      <alignment horizontal="center" vertical="center"/>
    </xf>
    <xf numFmtId="0" fontId="94" fillId="3" borderId="3" xfId="0" applyFont="1" applyFill="1" applyBorder="1" applyAlignment="1">
      <alignment vertical="center"/>
    </xf>
    <xf numFmtId="0" fontId="20" fillId="3" borderId="2" xfId="0" applyFont="1" applyFill="1" applyBorder="1" applyAlignment="1">
      <alignment horizontal="center" vertical="center"/>
    </xf>
    <xf numFmtId="0" fontId="20" fillId="3" borderId="0" xfId="0" applyFont="1" applyFill="1" applyAlignment="1">
      <alignment horizontal="center" vertical="center"/>
    </xf>
    <xf numFmtId="0" fontId="16" fillId="11" borderId="12" xfId="4" applyFont="1" applyFill="1" applyBorder="1" applyAlignment="1">
      <alignment horizontal="center" vertical="center"/>
    </xf>
    <xf numFmtId="0" fontId="20" fillId="11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20" fillId="3" borderId="0" xfId="0" quotePrefix="1" applyFont="1" applyFill="1" applyAlignment="1">
      <alignment horizontal="center" vertical="center"/>
    </xf>
    <xf numFmtId="1" fontId="5" fillId="11" borderId="1" xfId="0" applyNumberFormat="1" applyFont="1" applyFill="1" applyBorder="1" applyAlignment="1">
      <alignment horizontal="center" vertical="center"/>
    </xf>
    <xf numFmtId="1" fontId="5" fillId="11" borderId="12" xfId="0" applyNumberFormat="1" applyFont="1" applyFill="1" applyBorder="1" applyAlignment="1">
      <alignment horizontal="center" vertical="center"/>
    </xf>
    <xf numFmtId="165" fontId="5" fillId="11" borderId="2" xfId="0" quotePrefix="1" applyNumberFormat="1" applyFont="1" applyFill="1" applyBorder="1" applyAlignment="1">
      <alignment horizontal="center" vertical="center"/>
    </xf>
    <xf numFmtId="2" fontId="5" fillId="3" borderId="2" xfId="0" applyNumberFormat="1" applyFont="1" applyFill="1" applyBorder="1" applyAlignment="1">
      <alignment horizontal="center"/>
    </xf>
    <xf numFmtId="2" fontId="5" fillId="3" borderId="2" xfId="0" applyNumberFormat="1" applyFont="1" applyFill="1" applyBorder="1" applyAlignment="1">
      <alignment horizontal="center" vertical="center"/>
    </xf>
    <xf numFmtId="165" fontId="5" fillId="11" borderId="2" xfId="0" applyNumberFormat="1" applyFont="1" applyFill="1" applyBorder="1" applyAlignment="1">
      <alignment horizontal="center" vertical="center"/>
    </xf>
    <xf numFmtId="2" fontId="5" fillId="11" borderId="2" xfId="0" applyNumberFormat="1" applyFont="1" applyFill="1" applyBorder="1" applyAlignment="1">
      <alignment horizontal="center" vertical="center"/>
    </xf>
    <xf numFmtId="1" fontId="5" fillId="11" borderId="2" xfId="0" applyNumberFormat="1" applyFont="1" applyFill="1" applyBorder="1" applyAlignment="1">
      <alignment horizontal="center" vertical="center"/>
    </xf>
    <xf numFmtId="2" fontId="5" fillId="3" borderId="14" xfId="0" applyNumberFormat="1" applyFont="1" applyFill="1" applyBorder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2" fontId="5" fillId="3" borderId="0" xfId="0" quotePrefix="1" applyNumberFormat="1" applyFont="1" applyFill="1" applyAlignment="1">
      <alignment horizontal="center" vertical="center"/>
    </xf>
    <xf numFmtId="2" fontId="5" fillId="3" borderId="0" xfId="0" applyNumberFormat="1" applyFont="1" applyFill="1" applyAlignment="1">
      <alignment horizontal="center"/>
    </xf>
    <xf numFmtId="2" fontId="5" fillId="3" borderId="0" xfId="0" applyNumberFormat="1" applyFont="1" applyFill="1" applyAlignment="1">
      <alignment horizontal="center" vertical="center"/>
    </xf>
    <xf numFmtId="2" fontId="5" fillId="11" borderId="2" xfId="0" quotePrefix="1" applyNumberFormat="1" applyFont="1" applyFill="1" applyBorder="1" applyAlignment="1">
      <alignment horizontal="center" vertical="center"/>
    </xf>
    <xf numFmtId="2" fontId="0" fillId="11" borderId="2" xfId="0" applyNumberFormat="1" applyFill="1" applyBorder="1" applyAlignment="1">
      <alignment horizontal="center" vertical="center"/>
    </xf>
    <xf numFmtId="0" fontId="94" fillId="3" borderId="0" xfId="0" applyFont="1" applyFill="1" applyAlignment="1">
      <alignment horizontal="center" vertical="center"/>
    </xf>
    <xf numFmtId="2" fontId="0" fillId="3" borderId="6" xfId="0" applyNumberFormat="1" applyFill="1" applyBorder="1" applyAlignment="1">
      <alignment horizontal="center" vertical="center"/>
    </xf>
    <xf numFmtId="2" fontId="0" fillId="3" borderId="0" xfId="0" applyNumberFormat="1" applyFill="1" applyAlignment="1">
      <alignment vertical="center"/>
    </xf>
    <xf numFmtId="0" fontId="0" fillId="3" borderId="31" xfId="0" applyFill="1" applyBorder="1"/>
    <xf numFmtId="0" fontId="0" fillId="3" borderId="19" xfId="0" applyFill="1" applyBorder="1"/>
    <xf numFmtId="0" fontId="8" fillId="0" borderId="6" xfId="0" applyFont="1" applyBorder="1"/>
    <xf numFmtId="0" fontId="8" fillId="0" borderId="0" xfId="0" applyFont="1"/>
    <xf numFmtId="0" fontId="8" fillId="0" borderId="19" xfId="0" applyFont="1" applyBorder="1"/>
    <xf numFmtId="0" fontId="20" fillId="11" borderId="2" xfId="0" quotePrefix="1" applyFont="1" applyFill="1" applyBorder="1" applyAlignment="1">
      <alignment horizontal="center" vertical="center"/>
    </xf>
    <xf numFmtId="1" fontId="5" fillId="11" borderId="6" xfId="0" applyNumberFormat="1" applyFont="1" applyFill="1" applyBorder="1" applyAlignment="1">
      <alignment horizontal="center" vertical="center"/>
    </xf>
    <xf numFmtId="1" fontId="5" fillId="11" borderId="0" xfId="0" applyNumberFormat="1" applyFont="1" applyFill="1" applyAlignment="1">
      <alignment horizontal="center" vertical="center"/>
    </xf>
    <xf numFmtId="2" fontId="0" fillId="11" borderId="0" xfId="0" applyNumberFormat="1" applyFill="1" applyAlignment="1">
      <alignment horizontal="center" vertical="center"/>
    </xf>
    <xf numFmtId="2" fontId="5" fillId="11" borderId="0" xfId="0" quotePrefix="1" applyNumberFormat="1" applyFont="1" applyFill="1" applyAlignment="1">
      <alignment horizontal="center" vertical="center"/>
    </xf>
    <xf numFmtId="165" fontId="5" fillId="11" borderId="0" xfId="0" quotePrefix="1" applyNumberFormat="1" applyFont="1" applyFill="1" applyAlignment="1">
      <alignment horizontal="center" vertical="center"/>
    </xf>
    <xf numFmtId="0" fontId="50" fillId="15" borderId="38" xfId="0" applyFont="1" applyFill="1" applyBorder="1" applyAlignment="1">
      <alignment horizontal="center" vertical="center" wrapText="1"/>
    </xf>
    <xf numFmtId="0" fontId="50" fillId="15" borderId="14" xfId="0" applyFont="1" applyFill="1" applyBorder="1" applyAlignment="1">
      <alignment horizontal="center" vertical="center" wrapText="1"/>
    </xf>
    <xf numFmtId="0" fontId="50" fillId="15" borderId="3" xfId="0" applyFont="1" applyFill="1" applyBorder="1" applyAlignment="1">
      <alignment horizontal="center" vertical="center"/>
    </xf>
    <xf numFmtId="0" fontId="50" fillId="15" borderId="63" xfId="0" applyFont="1" applyFill="1" applyBorder="1" applyAlignment="1">
      <alignment horizontal="center" vertical="center" wrapText="1"/>
    </xf>
    <xf numFmtId="0" fontId="50" fillId="15" borderId="2" xfId="0" applyFont="1" applyFill="1" applyBorder="1" applyAlignment="1">
      <alignment horizontal="center" vertical="center"/>
    </xf>
    <xf numFmtId="0" fontId="11" fillId="15" borderId="41" xfId="0" applyFont="1" applyFill="1" applyBorder="1" applyAlignment="1">
      <alignment horizontal="center" vertical="center" wrapText="1"/>
    </xf>
    <xf numFmtId="2" fontId="8" fillId="15" borderId="41" xfId="0" applyNumberFormat="1" applyFont="1" applyFill="1" applyBorder="1" applyAlignment="1">
      <alignment horizontal="center" vertical="center"/>
    </xf>
    <xf numFmtId="2" fontId="8" fillId="15" borderId="38" xfId="0" applyNumberFormat="1" applyFont="1" applyFill="1" applyBorder="1" applyAlignment="1">
      <alignment horizontal="center" vertical="center"/>
    </xf>
    <xf numFmtId="2" fontId="8" fillId="15" borderId="18" xfId="0" applyNumberFormat="1" applyFont="1" applyFill="1" applyBorder="1" applyAlignment="1">
      <alignment horizontal="center" vertical="center"/>
    </xf>
    <xf numFmtId="0" fontId="0" fillId="16" borderId="20" xfId="0" applyFill="1" applyBorder="1" applyAlignment="1">
      <alignment horizontal="center" vertical="center" wrapText="1"/>
    </xf>
    <xf numFmtId="0" fontId="11" fillId="15" borderId="2" xfId="0" applyFont="1" applyFill="1" applyBorder="1" applyAlignment="1">
      <alignment horizontal="center" vertical="center" wrapText="1"/>
    </xf>
    <xf numFmtId="2" fontId="8" fillId="15" borderId="2" xfId="0" applyNumberFormat="1" applyFont="1" applyFill="1" applyBorder="1" applyAlignment="1">
      <alignment horizontal="center" vertical="center"/>
    </xf>
    <xf numFmtId="2" fontId="8" fillId="15" borderId="14" xfId="0" applyNumberFormat="1" applyFont="1" applyFill="1" applyBorder="1" applyAlignment="1">
      <alignment horizontal="center" vertical="center"/>
    </xf>
    <xf numFmtId="0" fontId="0" fillId="16" borderId="14" xfId="0" applyFill="1" applyBorder="1" applyAlignment="1">
      <alignment horizontal="center" vertical="center" wrapText="1"/>
    </xf>
    <xf numFmtId="0" fontId="0" fillId="16" borderId="14" xfId="0" applyFill="1" applyBorder="1" applyAlignment="1">
      <alignment horizontal="center" vertical="center"/>
    </xf>
    <xf numFmtId="2" fontId="8" fillId="15" borderId="20" xfId="0" applyNumberFormat="1" applyFont="1" applyFill="1" applyBorder="1" applyAlignment="1">
      <alignment horizontal="center" vertical="center"/>
    </xf>
    <xf numFmtId="0" fontId="8" fillId="15" borderId="51" xfId="0" applyFont="1" applyFill="1" applyBorder="1" applyAlignment="1">
      <alignment horizontal="center" vertical="center" wrapText="1"/>
    </xf>
    <xf numFmtId="0" fontId="11" fillId="15" borderId="18" xfId="0" applyFont="1" applyFill="1" applyBorder="1" applyAlignment="1">
      <alignment horizontal="center" vertical="center" wrapText="1"/>
    </xf>
    <xf numFmtId="0" fontId="11" fillId="15" borderId="56" xfId="0" applyFont="1" applyFill="1" applyBorder="1" applyAlignment="1">
      <alignment horizontal="center" vertical="center" wrapText="1"/>
    </xf>
    <xf numFmtId="2" fontId="0" fillId="0" borderId="16" xfId="0" applyNumberFormat="1" applyBorder="1" applyAlignment="1">
      <alignment horizontal="center" vertical="center"/>
    </xf>
    <xf numFmtId="2" fontId="0" fillId="0" borderId="57" xfId="0" applyNumberFormat="1" applyBorder="1" applyAlignment="1">
      <alignment horizontal="center" vertical="center"/>
    </xf>
    <xf numFmtId="0" fontId="11" fillId="15" borderId="16" xfId="0" applyFont="1" applyFill="1" applyBorder="1" applyAlignment="1">
      <alignment horizontal="center" vertical="center" wrapText="1"/>
    </xf>
    <xf numFmtId="0" fontId="0" fillId="16" borderId="38" xfId="0" applyFill="1" applyBorder="1" applyAlignment="1">
      <alignment vertical="center" wrapText="1"/>
    </xf>
    <xf numFmtId="0" fontId="0" fillId="16" borderId="14" xfId="0" applyFill="1" applyBorder="1" applyAlignment="1">
      <alignment vertical="center" wrapText="1"/>
    </xf>
    <xf numFmtId="2" fontId="0" fillId="0" borderId="21" xfId="0" applyNumberFormat="1" applyBorder="1" applyAlignment="1">
      <alignment horizontal="center" vertical="center"/>
    </xf>
    <xf numFmtId="2" fontId="0" fillId="0" borderId="23" xfId="0" applyNumberFormat="1" applyBorder="1" applyAlignment="1">
      <alignment horizontal="center" vertical="center"/>
    </xf>
    <xf numFmtId="2" fontId="8" fillId="15" borderId="3" xfId="0" applyNumberFormat="1" applyFont="1" applyFill="1" applyBorder="1" applyAlignment="1">
      <alignment horizontal="center" vertical="center"/>
    </xf>
    <xf numFmtId="0" fontId="0" fillId="16" borderId="25" xfId="0" applyFill="1" applyBorder="1" applyAlignment="1">
      <alignment horizontal="center" vertical="center" wrapText="1"/>
    </xf>
    <xf numFmtId="2" fontId="8" fillId="15" borderId="30" xfId="0" applyNumberFormat="1" applyFont="1" applyFill="1" applyBorder="1" applyAlignment="1">
      <alignment horizontal="center" vertical="center"/>
    </xf>
    <xf numFmtId="0" fontId="0" fillId="16" borderId="63" xfId="0" applyFill="1" applyBorder="1" applyAlignment="1">
      <alignment horizontal="center" vertical="center" wrapText="1"/>
    </xf>
    <xf numFmtId="1" fontId="8" fillId="0" borderId="41" xfId="0" applyNumberFormat="1" applyFont="1" applyBorder="1" applyAlignment="1">
      <alignment horizontal="center" vertical="center"/>
    </xf>
    <xf numFmtId="0" fontId="0" fillId="0" borderId="38" xfId="0" applyBorder="1"/>
    <xf numFmtId="1" fontId="8" fillId="0" borderId="2" xfId="0" applyNumberFormat="1" applyFont="1" applyBorder="1" applyAlignment="1">
      <alignment horizontal="center" vertical="center"/>
    </xf>
    <xf numFmtId="0" fontId="0" fillId="0" borderId="14" xfId="0" applyBorder="1"/>
    <xf numFmtId="1" fontId="8" fillId="0" borderId="16" xfId="0" applyNumberFormat="1" applyFont="1" applyBorder="1" applyAlignment="1">
      <alignment horizontal="center" vertical="center"/>
    </xf>
    <xf numFmtId="0" fontId="0" fillId="0" borderId="17" xfId="0" applyBorder="1"/>
    <xf numFmtId="2" fontId="8" fillId="3" borderId="41" xfId="0" applyNumberFormat="1" applyFont="1" applyFill="1" applyBorder="1" applyAlignment="1">
      <alignment horizontal="center" vertical="center"/>
    </xf>
    <xf numFmtId="0" fontId="0" fillId="3" borderId="38" xfId="0" applyFill="1" applyBorder="1" applyAlignment="1">
      <alignment horizontal="center" vertical="center" wrapText="1"/>
    </xf>
    <xf numFmtId="2" fontId="8" fillId="3" borderId="2" xfId="0" applyNumberFormat="1" applyFont="1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 wrapText="1"/>
    </xf>
    <xf numFmtId="2" fontId="8" fillId="0" borderId="2" xfId="0" applyNumberFormat="1" applyFont="1" applyBorder="1" applyAlignment="1">
      <alignment horizontal="center" vertical="center"/>
    </xf>
    <xf numFmtId="2" fontId="8" fillId="0" borderId="14" xfId="0" applyNumberFormat="1" applyFont="1" applyBorder="1" applyAlignment="1">
      <alignment horizontal="center" vertical="center"/>
    </xf>
    <xf numFmtId="1" fontId="0" fillId="0" borderId="16" xfId="0" applyNumberFormat="1" applyBorder="1" applyAlignment="1">
      <alignment horizontal="center" vertical="center"/>
    </xf>
    <xf numFmtId="1" fontId="0" fillId="0" borderId="17" xfId="0" applyNumberFormat="1" applyBorder="1" applyAlignment="1">
      <alignment horizontal="center" vertical="center"/>
    </xf>
    <xf numFmtId="2" fontId="8" fillId="3" borderId="16" xfId="0" applyNumberFormat="1" applyFont="1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 wrapText="1"/>
    </xf>
    <xf numFmtId="0" fontId="8" fillId="3" borderId="0" xfId="0" applyFont="1" applyFill="1" applyAlignment="1">
      <alignment horizontal="center" vertical="center" wrapText="1"/>
    </xf>
    <xf numFmtId="0" fontId="11" fillId="3" borderId="0" xfId="0" applyFont="1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1" fontId="0" fillId="0" borderId="57" xfId="0" applyNumberFormat="1" applyBorder="1" applyAlignment="1">
      <alignment horizontal="center" vertical="center"/>
    </xf>
    <xf numFmtId="0" fontId="8" fillId="3" borderId="6" xfId="0" applyFont="1" applyFill="1" applyBorder="1" applyAlignment="1">
      <alignment horizontal="center" vertical="center"/>
    </xf>
    <xf numFmtId="165" fontId="8" fillId="3" borderId="0" xfId="0" applyNumberFormat="1" applyFont="1" applyFill="1" applyAlignment="1">
      <alignment horizontal="center" vertical="center"/>
    </xf>
    <xf numFmtId="0" fontId="11" fillId="3" borderId="0" xfId="0" applyFont="1" applyFill="1" applyAlignment="1">
      <alignment horizontal="center" vertical="center"/>
    </xf>
    <xf numFmtId="2" fontId="11" fillId="3" borderId="0" xfId="0" applyNumberFormat="1" applyFont="1" applyFill="1" applyAlignment="1">
      <alignment horizontal="center" vertical="center"/>
    </xf>
    <xf numFmtId="165" fontId="11" fillId="3" borderId="0" xfId="0" applyNumberFormat="1" applyFont="1" applyFill="1" applyAlignment="1">
      <alignment horizontal="center" vertical="center"/>
    </xf>
    <xf numFmtId="0" fontId="0" fillId="11" borderId="0" xfId="0" applyFill="1"/>
    <xf numFmtId="0" fontId="50" fillId="3" borderId="2" xfId="0" applyFont="1" applyFill="1" applyBorder="1" applyAlignment="1">
      <alignment horizontal="center" vertical="center"/>
    </xf>
    <xf numFmtId="0" fontId="50" fillId="3" borderId="2" xfId="0" applyFont="1" applyFill="1" applyBorder="1" applyAlignment="1">
      <alignment vertical="center"/>
    </xf>
    <xf numFmtId="0" fontId="52" fillId="0" borderId="2" xfId="0" applyFont="1" applyBorder="1" applyAlignment="1">
      <alignment horizontal="center" vertical="center"/>
    </xf>
    <xf numFmtId="1" fontId="8" fillId="3" borderId="2" xfId="0" applyNumberFormat="1" applyFont="1" applyFill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165" fontId="0" fillId="3" borderId="2" xfId="0" applyNumberFormat="1" applyFill="1" applyBorder="1" applyAlignment="1">
      <alignment horizontal="center" vertical="center"/>
    </xf>
    <xf numFmtId="165" fontId="0" fillId="3" borderId="0" xfId="0" applyNumberFormat="1" applyFill="1" applyAlignment="1">
      <alignment horizontal="center" vertical="center"/>
    </xf>
    <xf numFmtId="2" fontId="8" fillId="3" borderId="6" xfId="0" applyNumberFormat="1" applyFont="1" applyFill="1" applyBorder="1" applyAlignment="1">
      <alignment horizontal="center" vertical="center"/>
    </xf>
    <xf numFmtId="0" fontId="8" fillId="3" borderId="6" xfId="0" applyFont="1" applyFill="1" applyBorder="1"/>
    <xf numFmtId="0" fontId="11" fillId="3" borderId="0" xfId="0" applyFont="1" applyFill="1" applyAlignment="1">
      <alignment horizontal="center"/>
    </xf>
    <xf numFmtId="2" fontId="11" fillId="3" borderId="0" xfId="0" applyNumberFormat="1" applyFont="1" applyFill="1" applyAlignment="1">
      <alignment horizontal="center"/>
    </xf>
    <xf numFmtId="0" fontId="11" fillId="3" borderId="6" xfId="0" applyFont="1" applyFill="1" applyBorder="1" applyAlignment="1">
      <alignment horizontal="center" vertical="center"/>
    </xf>
    <xf numFmtId="165" fontId="8" fillId="0" borderId="0" xfId="0" applyNumberFormat="1" applyFont="1"/>
    <xf numFmtId="0" fontId="40" fillId="3" borderId="68" xfId="0" applyFont="1" applyFill="1" applyBorder="1" applyAlignment="1">
      <alignment horizontal="center" vertical="center" wrapText="1"/>
    </xf>
    <xf numFmtId="0" fontId="40" fillId="3" borderId="69" xfId="0" applyFont="1" applyFill="1" applyBorder="1" applyAlignment="1">
      <alignment horizontal="center" vertical="center" wrapText="1"/>
    </xf>
    <xf numFmtId="0" fontId="11" fillId="3" borderId="69" xfId="0" applyFont="1" applyFill="1" applyBorder="1" applyAlignment="1">
      <alignment horizontal="center" vertical="center" wrapText="1"/>
    </xf>
    <xf numFmtId="0" fontId="11" fillId="3" borderId="70" xfId="0" applyFont="1" applyFill="1" applyBorder="1" applyAlignment="1">
      <alignment horizontal="center" vertical="center" wrapText="1"/>
    </xf>
    <xf numFmtId="0" fontId="26" fillId="6" borderId="46" xfId="0" applyFont="1" applyFill="1" applyBorder="1" applyAlignment="1">
      <alignment vertical="center"/>
    </xf>
    <xf numFmtId="0" fontId="26" fillId="6" borderId="47" xfId="0" applyFont="1" applyFill="1" applyBorder="1" applyAlignment="1">
      <alignment vertical="center"/>
    </xf>
    <xf numFmtId="0" fontId="26" fillId="3" borderId="58" xfId="0" applyFont="1" applyFill="1" applyBorder="1" applyAlignment="1">
      <alignment vertical="center"/>
    </xf>
    <xf numFmtId="1" fontId="8" fillId="3" borderId="20" xfId="0" applyNumberFormat="1" applyFont="1" applyFill="1" applyBorder="1" applyAlignment="1">
      <alignment horizontal="center" vertical="center"/>
    </xf>
    <xf numFmtId="0" fontId="58" fillId="0" borderId="4" xfId="0" applyFont="1" applyBorder="1" applyAlignment="1">
      <alignment horizontal="center" vertical="center"/>
    </xf>
    <xf numFmtId="0" fontId="58" fillId="0" borderId="5" xfId="0" applyFont="1" applyBorder="1" applyAlignment="1">
      <alignment horizontal="center" vertical="center"/>
    </xf>
    <xf numFmtId="0" fontId="5" fillId="3" borderId="5" xfId="0" applyFont="1" applyFill="1" applyBorder="1"/>
    <xf numFmtId="0" fontId="58" fillId="0" borderId="5" xfId="0" applyFont="1" applyBorder="1"/>
    <xf numFmtId="0" fontId="58" fillId="0" borderId="24" xfId="0" applyFont="1" applyBorder="1"/>
    <xf numFmtId="1" fontId="8" fillId="3" borderId="14" xfId="0" applyNumberFormat="1" applyFont="1" applyFill="1" applyBorder="1" applyAlignment="1">
      <alignment horizontal="center" vertical="center"/>
    </xf>
    <xf numFmtId="0" fontId="30" fillId="3" borderId="0" xfId="0" applyFont="1" applyFill="1" applyAlignment="1" applyProtection="1">
      <alignment horizontal="left" vertical="center"/>
      <protection locked="0"/>
    </xf>
    <xf numFmtId="0" fontId="58" fillId="0" borderId="31" xfId="0" applyFont="1" applyBorder="1"/>
    <xf numFmtId="0" fontId="58" fillId="0" borderId="72" xfId="0" applyFont="1" applyBorder="1"/>
    <xf numFmtId="0" fontId="0" fillId="3" borderId="0" xfId="0" applyFill="1" applyAlignment="1">
      <alignment horizontal="center" vertical="center"/>
    </xf>
    <xf numFmtId="0" fontId="25" fillId="3" borderId="0" xfId="0" quotePrefix="1" applyFont="1" applyFill="1" applyAlignment="1" applyProtection="1">
      <alignment horizontal="left"/>
      <protection locked="0"/>
    </xf>
    <xf numFmtId="1" fontId="43" fillId="6" borderId="68" xfId="0" applyNumberFormat="1" applyFont="1" applyFill="1" applyBorder="1" applyAlignment="1">
      <alignment horizontal="center" vertical="center"/>
    </xf>
    <xf numFmtId="2" fontId="43" fillId="6" borderId="69" xfId="0" applyNumberFormat="1" applyFont="1" applyFill="1" applyBorder="1" applyAlignment="1">
      <alignment horizontal="center" vertical="center"/>
    </xf>
    <xf numFmtId="2" fontId="43" fillId="3" borderId="69" xfId="0" applyNumberFormat="1" applyFont="1" applyFill="1" applyBorder="1" applyAlignment="1">
      <alignment horizontal="center" vertical="center"/>
    </xf>
    <xf numFmtId="2" fontId="43" fillId="3" borderId="69" xfId="0" applyNumberFormat="1" applyFont="1" applyFill="1" applyBorder="1" applyAlignment="1">
      <alignment horizontal="center"/>
    </xf>
    <xf numFmtId="0" fontId="43" fillId="3" borderId="69" xfId="0" applyFont="1" applyFill="1" applyBorder="1" applyAlignment="1">
      <alignment horizontal="center" vertical="center"/>
    </xf>
    <xf numFmtId="2" fontId="43" fillId="0" borderId="21" xfId="0" applyNumberFormat="1" applyFont="1" applyBorder="1" applyAlignment="1">
      <alignment horizontal="center" vertical="center"/>
    </xf>
    <xf numFmtId="2" fontId="43" fillId="0" borderId="69" xfId="0" applyNumberFormat="1" applyFont="1" applyBorder="1" applyAlignment="1">
      <alignment horizontal="center" vertical="center"/>
    </xf>
    <xf numFmtId="165" fontId="43" fillId="0" borderId="70" xfId="0" applyNumberFormat="1" applyFont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8" fillId="3" borderId="10" xfId="0" applyFont="1" applyFill="1" applyBorder="1" applyAlignment="1">
      <alignment vertical="center"/>
    </xf>
    <xf numFmtId="0" fontId="8" fillId="3" borderId="18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vertical="center"/>
    </xf>
    <xf numFmtId="0" fontId="8" fillId="3" borderId="2" xfId="0" applyFont="1" applyFill="1" applyBorder="1" applyAlignment="1">
      <alignment horizontal="center" vertical="center"/>
    </xf>
    <xf numFmtId="0" fontId="8" fillId="3" borderId="31" xfId="0" applyFont="1" applyFill="1" applyBorder="1" applyAlignment="1">
      <alignment vertical="center"/>
    </xf>
    <xf numFmtId="0" fontId="5" fillId="3" borderId="0" xfId="0" applyFont="1" applyFill="1" applyAlignment="1" applyProtection="1">
      <alignment horizontal="left" vertical="center"/>
      <protection locked="0"/>
    </xf>
    <xf numFmtId="165" fontId="8" fillId="3" borderId="2" xfId="0" applyNumberFormat="1" applyFont="1" applyFill="1" applyBorder="1" applyAlignment="1">
      <alignment horizontal="center" vertical="center"/>
    </xf>
    <xf numFmtId="2" fontId="8" fillId="0" borderId="0" xfId="2" applyNumberFormat="1" applyFont="1" applyAlignment="1">
      <alignment vertical="center" wrapText="1"/>
    </xf>
    <xf numFmtId="2" fontId="8" fillId="0" borderId="8" xfId="2" applyNumberFormat="1" applyFont="1" applyBorder="1" applyAlignment="1">
      <alignment vertical="center" wrapText="1"/>
    </xf>
    <xf numFmtId="0" fontId="9" fillId="0" borderId="0" xfId="0" applyFont="1"/>
    <xf numFmtId="0" fontId="53" fillId="0" borderId="0" xfId="4" applyFont="1" applyAlignment="1">
      <alignment horizontal="left" vertical="center"/>
    </xf>
    <xf numFmtId="0" fontId="12" fillId="0" borderId="0" xfId="4" applyFont="1" applyAlignment="1">
      <alignment horizontal="center"/>
    </xf>
    <xf numFmtId="166" fontId="5" fillId="0" borderId="2" xfId="4" applyNumberFormat="1" applyBorder="1" applyAlignment="1">
      <alignment horizontal="center" vertical="center"/>
    </xf>
    <xf numFmtId="0" fontId="5" fillId="6" borderId="2" xfId="4" applyFill="1" applyBorder="1" applyAlignment="1">
      <alignment horizontal="center" vertical="center"/>
    </xf>
    <xf numFmtId="165" fontId="5" fillId="0" borderId="2" xfId="4" applyNumberFormat="1" applyBorder="1" applyAlignment="1">
      <alignment horizontal="center" vertical="center"/>
    </xf>
    <xf numFmtId="0" fontId="5" fillId="6" borderId="2" xfId="4" applyFill="1" applyBorder="1" applyAlignment="1">
      <alignment horizontal="center"/>
    </xf>
    <xf numFmtId="0" fontId="66" fillId="3" borderId="0" xfId="2" applyFont="1" applyFill="1" applyProtection="1">
      <protection locked="0"/>
    </xf>
    <xf numFmtId="0" fontId="5" fillId="3" borderId="0" xfId="4" applyFill="1" applyProtection="1">
      <protection locked="0"/>
    </xf>
    <xf numFmtId="164" fontId="30" fillId="0" borderId="0" xfId="0" applyNumberFormat="1" applyFont="1" applyAlignment="1">
      <alignment horizontal="center"/>
    </xf>
    <xf numFmtId="0" fontId="30" fillId="0" borderId="2" xfId="0" applyFont="1" applyBorder="1" applyAlignment="1">
      <alignment horizontal="center" vertical="center" wrapText="1"/>
    </xf>
    <xf numFmtId="0" fontId="35" fillId="0" borderId="7" xfId="2" applyFont="1" applyBorder="1" applyAlignment="1">
      <alignment horizontal="center" vertical="top"/>
    </xf>
    <xf numFmtId="0" fontId="91" fillId="0" borderId="0" xfId="2" applyFont="1" applyAlignment="1">
      <alignment horizontal="center" vertical="top" wrapText="1"/>
    </xf>
    <xf numFmtId="0" fontId="66" fillId="0" borderId="0" xfId="0" applyFont="1" applyAlignment="1">
      <alignment horizontal="center" vertical="center"/>
    </xf>
    <xf numFmtId="0" fontId="30" fillId="0" borderId="0" xfId="2" applyFont="1" applyAlignment="1">
      <alignment vertical="center"/>
    </xf>
    <xf numFmtId="164" fontId="30" fillId="0" borderId="0" xfId="0" applyNumberFormat="1" applyFont="1" applyAlignment="1">
      <alignment horizontal="center" vertical="center" wrapText="1"/>
    </xf>
    <xf numFmtId="0" fontId="30" fillId="0" borderId="0" xfId="0" applyFont="1" applyAlignment="1">
      <alignment horizontal="left" vertical="center"/>
    </xf>
    <xf numFmtId="0" fontId="35" fillId="0" borderId="0" xfId="2" applyFont="1" applyAlignment="1">
      <alignment vertical="center"/>
    </xf>
    <xf numFmtId="164" fontId="30" fillId="0" borderId="0" xfId="2" applyNumberFormat="1" applyFont="1" applyAlignment="1">
      <alignment vertical="center"/>
    </xf>
    <xf numFmtId="1" fontId="30" fillId="0" borderId="0" xfId="2" applyNumberFormat="1" applyFont="1"/>
    <xf numFmtId="164" fontId="30" fillId="0" borderId="7" xfId="2" applyNumberFormat="1" applyFont="1" applyBorder="1" applyAlignment="1">
      <alignment horizontal="right" vertical="center"/>
    </xf>
    <xf numFmtId="164" fontId="45" fillId="2" borderId="12" xfId="0" applyNumberFormat="1" applyFont="1" applyFill="1" applyBorder="1" applyAlignment="1">
      <alignment vertical="center"/>
    </xf>
    <xf numFmtId="165" fontId="30" fillId="0" borderId="7" xfId="2" applyNumberFormat="1" applyFont="1" applyBorder="1" applyAlignment="1">
      <alignment horizontal="right" vertical="center"/>
    </xf>
    <xf numFmtId="0" fontId="30" fillId="0" borderId="0" xfId="2" quotePrefix="1" applyFont="1" applyAlignment="1">
      <alignment horizontal="center" vertical="center"/>
    </xf>
    <xf numFmtId="0" fontId="30" fillId="0" borderId="0" xfId="2" applyFont="1" applyAlignment="1">
      <alignment horizontal="left" vertical="center"/>
    </xf>
    <xf numFmtId="164" fontId="30" fillId="0" borderId="0" xfId="2" applyNumberFormat="1" applyFont="1" applyAlignment="1">
      <alignment horizontal="right" vertical="center"/>
    </xf>
    <xf numFmtId="164" fontId="45" fillId="2" borderId="0" xfId="0" applyNumberFormat="1" applyFont="1" applyFill="1" applyAlignment="1">
      <alignment vertical="center"/>
    </xf>
    <xf numFmtId="0" fontId="46" fillId="0" borderId="0" xfId="2" applyFont="1" applyAlignment="1">
      <alignment horizontal="center" vertical="center"/>
    </xf>
    <xf numFmtId="164" fontId="5" fillId="0" borderId="0" xfId="2" applyNumberFormat="1" applyAlignment="1">
      <alignment horizontal="center" vertical="center"/>
    </xf>
    <xf numFmtId="0" fontId="36" fillId="0" borderId="0" xfId="2" applyFont="1" applyAlignment="1">
      <alignment horizontal="center" vertical="center"/>
    </xf>
    <xf numFmtId="0" fontId="42" fillId="0" borderId="0" xfId="2" applyFont="1" applyAlignment="1">
      <alignment horizontal="left" vertical="center"/>
    </xf>
    <xf numFmtId="1" fontId="30" fillId="0" borderId="0" xfId="0" applyNumberFormat="1" applyFont="1" applyAlignment="1">
      <alignment horizontal="center" vertical="center" wrapText="1"/>
    </xf>
    <xf numFmtId="171" fontId="30" fillId="0" borderId="0" xfId="0" applyNumberFormat="1" applyFont="1" applyAlignment="1">
      <alignment horizontal="center"/>
    </xf>
    <xf numFmtId="1" fontId="30" fillId="0" borderId="2" xfId="0" applyNumberFormat="1" applyFont="1" applyBorder="1" applyAlignment="1">
      <alignment horizontal="center" vertical="center" wrapText="1"/>
    </xf>
    <xf numFmtId="0" fontId="7" fillId="0" borderId="7" xfId="2" applyFont="1" applyBorder="1" applyAlignment="1">
      <alignment horizontal="center" vertical="center"/>
    </xf>
    <xf numFmtId="0" fontId="35" fillId="0" borderId="2" xfId="2" applyFont="1" applyBorder="1" applyAlignment="1">
      <alignment horizontal="center" vertical="top" wrapText="1"/>
    </xf>
    <xf numFmtId="0" fontId="35" fillId="0" borderId="2" xfId="0" applyFont="1" applyBorder="1" applyAlignment="1">
      <alignment horizontal="center" vertical="top" wrapText="1"/>
    </xf>
    <xf numFmtId="0" fontId="91" fillId="0" borderId="2" xfId="2" applyFont="1" applyBorder="1" applyAlignment="1">
      <alignment horizontal="center" vertical="top" wrapText="1"/>
    </xf>
    <xf numFmtId="0" fontId="91" fillId="0" borderId="0" xfId="2" applyFont="1" applyAlignment="1">
      <alignment vertical="top" wrapText="1"/>
    </xf>
    <xf numFmtId="0" fontId="92" fillId="0" borderId="0" xfId="2" applyFont="1" applyAlignment="1">
      <alignment vertical="top"/>
    </xf>
    <xf numFmtId="0" fontId="30" fillId="0" borderId="2" xfId="2" applyFont="1" applyBorder="1" applyAlignment="1">
      <alignment horizontal="center" vertical="center" wrapText="1"/>
    </xf>
    <xf numFmtId="0" fontId="66" fillId="0" borderId="2" xfId="0" applyFont="1" applyBorder="1" applyAlignment="1">
      <alignment horizontal="center" vertical="center"/>
    </xf>
    <xf numFmtId="2" fontId="92" fillId="0" borderId="0" xfId="2" applyNumberFormat="1" applyFont="1" applyAlignment="1">
      <alignment horizontal="left" vertical="center"/>
    </xf>
    <xf numFmtId="0" fontId="93" fillId="0" borderId="0" xfId="2" applyFont="1" applyAlignment="1">
      <alignment horizontal="center" vertical="center"/>
    </xf>
    <xf numFmtId="0" fontId="54" fillId="0" borderId="0" xfId="2" applyFont="1"/>
    <xf numFmtId="1" fontId="7" fillId="0" borderId="7" xfId="2" applyNumberFormat="1" applyFont="1" applyBorder="1" applyAlignment="1">
      <alignment horizontal="center" vertical="center"/>
    </xf>
    <xf numFmtId="0" fontId="30" fillId="0" borderId="0" xfId="0" applyFont="1" applyAlignment="1">
      <alignment vertical="center"/>
    </xf>
    <xf numFmtId="0" fontId="35" fillId="0" borderId="0" xfId="2" applyFont="1" applyAlignment="1" applyProtection="1">
      <alignment horizontal="left" vertical="center"/>
      <protection locked="0"/>
    </xf>
    <xf numFmtId="0" fontId="8" fillId="0" borderId="0" xfId="2" applyFont="1" applyAlignment="1" applyProtection="1">
      <alignment vertical="center"/>
      <protection locked="0"/>
    </xf>
    <xf numFmtId="0" fontId="35" fillId="0" borderId="0" xfId="2" applyFont="1" applyAlignment="1" applyProtection="1">
      <alignment vertical="center"/>
      <protection locked="0"/>
    </xf>
    <xf numFmtId="0" fontId="5" fillId="0" borderId="0" xfId="2" applyAlignment="1" applyProtection="1">
      <alignment vertical="center"/>
      <protection locked="0"/>
    </xf>
    <xf numFmtId="0" fontId="24" fillId="0" borderId="0" xfId="2" applyFont="1" applyProtection="1">
      <protection locked="0"/>
    </xf>
    <xf numFmtId="0" fontId="30" fillId="0" borderId="0" xfId="0" applyFont="1" applyAlignment="1" applyProtection="1">
      <alignment horizontal="left" vertical="center"/>
      <protection locked="0"/>
    </xf>
    <xf numFmtId="0" fontId="30" fillId="0" borderId="0" xfId="0" applyFont="1" applyAlignment="1" applyProtection="1">
      <alignment vertical="center"/>
      <protection locked="0"/>
    </xf>
    <xf numFmtId="0" fontId="35" fillId="0" borderId="0" xfId="0" applyFont="1" applyAlignment="1" applyProtection="1">
      <alignment vertical="center"/>
      <protection locked="0"/>
    </xf>
    <xf numFmtId="0" fontId="15" fillId="0" borderId="2" xfId="2" applyFont="1" applyBorder="1" applyAlignment="1" applyProtection="1">
      <alignment horizontal="center"/>
      <protection locked="0"/>
    </xf>
    <xf numFmtId="169" fontId="5" fillId="0" borderId="7" xfId="0" applyNumberFormat="1" applyFont="1" applyBorder="1" applyProtection="1">
      <protection locked="0"/>
    </xf>
    <xf numFmtId="0" fontId="5" fillId="0" borderId="2" xfId="2" applyBorder="1" applyProtection="1">
      <protection locked="0"/>
    </xf>
    <xf numFmtId="0" fontId="5" fillId="0" borderId="0" xfId="10"/>
    <xf numFmtId="0" fontId="28" fillId="6" borderId="0" xfId="11" applyFont="1" applyFill="1" applyAlignment="1">
      <alignment horizontal="center"/>
    </xf>
    <xf numFmtId="0" fontId="5" fillId="0" borderId="0" xfId="10" applyProtection="1">
      <protection locked="0"/>
    </xf>
    <xf numFmtId="0" fontId="102" fillId="0" borderId="0" xfId="10" applyFont="1" applyAlignment="1">
      <alignment horizontal="center" vertical="center" wrapText="1"/>
    </xf>
    <xf numFmtId="0" fontId="15" fillId="0" borderId="0" xfId="10" applyFont="1" applyProtection="1">
      <protection locked="0"/>
    </xf>
    <xf numFmtId="0" fontId="13" fillId="0" borderId="7" xfId="10" applyFont="1" applyBorder="1" applyAlignment="1">
      <alignment horizontal="left" vertical="top" wrapText="1"/>
    </xf>
    <xf numFmtId="0" fontId="13" fillId="0" borderId="12" xfId="10" applyFont="1" applyBorder="1" applyAlignment="1">
      <alignment horizontal="left" vertical="top" wrapText="1"/>
    </xf>
    <xf numFmtId="0" fontId="5" fillId="0" borderId="0" xfId="10" applyAlignment="1">
      <alignment horizontal="left" vertical="top"/>
    </xf>
    <xf numFmtId="0" fontId="13" fillId="0" borderId="12" xfId="10" applyFont="1" applyBorder="1" applyAlignment="1">
      <alignment horizontal="left" vertical="top"/>
    </xf>
    <xf numFmtId="0" fontId="13" fillId="0" borderId="0" xfId="10" applyFont="1" applyAlignment="1">
      <alignment vertical="center" wrapText="1"/>
    </xf>
    <xf numFmtId="0" fontId="13" fillId="0" borderId="0" xfId="10" applyFont="1" applyAlignment="1">
      <alignment horizontal="center" vertical="center" wrapText="1"/>
    </xf>
    <xf numFmtId="0" fontId="104" fillId="0" borderId="0" xfId="10" applyFont="1"/>
    <xf numFmtId="0" fontId="13" fillId="0" borderId="0" xfId="10" applyFont="1" applyAlignment="1" applyProtection="1">
      <alignment horizontal="center" vertical="center" wrapText="1"/>
      <protection locked="0"/>
    </xf>
    <xf numFmtId="1" fontId="13" fillId="0" borderId="0" xfId="10" quotePrefix="1" applyNumberFormat="1" applyFont="1" applyAlignment="1" applyProtection="1">
      <alignment horizontal="left"/>
      <protection locked="0"/>
    </xf>
    <xf numFmtId="0" fontId="13" fillId="0" borderId="0" xfId="10" applyFont="1" applyProtection="1">
      <protection locked="0"/>
    </xf>
    <xf numFmtId="1" fontId="103" fillId="0" borderId="0" xfId="10" quotePrefix="1" applyNumberFormat="1" applyFont="1" applyProtection="1">
      <protection locked="0"/>
    </xf>
    <xf numFmtId="0" fontId="104" fillId="0" borderId="0" xfId="10" applyFont="1" applyProtection="1">
      <protection locked="0"/>
    </xf>
    <xf numFmtId="173" fontId="13" fillId="0" borderId="0" xfId="10" quotePrefix="1" applyNumberFormat="1" applyFont="1" applyAlignment="1" applyProtection="1">
      <alignment horizontal="left"/>
      <protection locked="0"/>
    </xf>
    <xf numFmtId="2" fontId="103" fillId="0" borderId="0" xfId="10" quotePrefix="1" applyNumberFormat="1" applyFont="1" applyProtection="1">
      <protection locked="0"/>
    </xf>
    <xf numFmtId="0" fontId="5" fillId="0" borderId="0" xfId="10" applyAlignment="1">
      <alignment vertical="top" wrapText="1"/>
    </xf>
    <xf numFmtId="0" fontId="13" fillId="0" borderId="7" xfId="10" applyFont="1" applyBorder="1" applyAlignment="1">
      <alignment vertical="top"/>
    </xf>
    <xf numFmtId="0" fontId="13" fillId="0" borderId="12" xfId="10" applyFont="1" applyBorder="1" applyAlignment="1" applyProtection="1">
      <alignment vertical="top" wrapText="1"/>
      <protection locked="0"/>
    </xf>
    <xf numFmtId="0" fontId="13" fillId="0" borderId="12" xfId="10" applyFont="1" applyBorder="1" applyAlignment="1" applyProtection="1">
      <alignment vertical="top"/>
      <protection locked="0"/>
    </xf>
    <xf numFmtId="0" fontId="26" fillId="0" borderId="0" xfId="10" applyFont="1" applyAlignment="1">
      <alignment vertical="top"/>
    </xf>
    <xf numFmtId="0" fontId="13" fillId="0" borderId="0" xfId="10" applyFont="1" applyAlignment="1" applyProtection="1">
      <alignment horizontal="center" vertical="top" wrapText="1"/>
      <protection locked="0"/>
    </xf>
    <xf numFmtId="0" fontId="102" fillId="0" borderId="0" xfId="10" applyFont="1" applyAlignment="1">
      <alignment wrapText="1"/>
    </xf>
    <xf numFmtId="0" fontId="100" fillId="0" borderId="0" xfId="10" applyFont="1" applyAlignment="1">
      <alignment horizontal="center"/>
    </xf>
    <xf numFmtId="0" fontId="48" fillId="0" borderId="0" xfId="10" applyFont="1"/>
    <xf numFmtId="0" fontId="13" fillId="0" borderId="0" xfId="10" applyFont="1" applyAlignment="1">
      <alignment horizontal="center" vertical="top" wrapText="1"/>
    </xf>
    <xf numFmtId="0" fontId="13" fillId="0" borderId="0" xfId="10" applyFont="1" applyAlignment="1">
      <alignment vertical="top" wrapText="1"/>
    </xf>
    <xf numFmtId="0" fontId="13" fillId="0" borderId="0" xfId="10" applyFont="1" applyAlignment="1">
      <alignment horizontal="justify" vertical="center" wrapText="1"/>
    </xf>
    <xf numFmtId="0" fontId="105" fillId="0" borderId="0" xfId="10" applyFont="1" applyAlignment="1">
      <alignment vertical="center"/>
    </xf>
    <xf numFmtId="0" fontId="5" fillId="0" borderId="35" xfId="10" applyBorder="1"/>
    <xf numFmtId="0" fontId="106" fillId="0" borderId="29" xfId="10" applyFont="1" applyBorder="1"/>
    <xf numFmtId="0" fontId="5" fillId="0" borderId="6" xfId="10" applyBorder="1"/>
    <xf numFmtId="0" fontId="5" fillId="0" borderId="19" xfId="10" applyBorder="1"/>
    <xf numFmtId="0" fontId="5" fillId="0" borderId="6" xfId="10" applyBorder="1" applyAlignment="1">
      <alignment wrapText="1"/>
    </xf>
    <xf numFmtId="0" fontId="5" fillId="0" borderId="19" xfId="10" applyBorder="1" applyAlignment="1">
      <alignment wrapText="1"/>
    </xf>
    <xf numFmtId="0" fontId="106" fillId="0" borderId="19" xfId="10" applyFont="1" applyBorder="1"/>
    <xf numFmtId="0" fontId="107" fillId="0" borderId="19" xfId="10" applyFont="1" applyBorder="1" applyAlignment="1">
      <alignment horizontal="left" wrapText="1"/>
    </xf>
    <xf numFmtId="0" fontId="5" fillId="0" borderId="0" xfId="10" applyAlignment="1">
      <alignment wrapText="1"/>
    </xf>
    <xf numFmtId="0" fontId="107" fillId="0" borderId="6" xfId="10" applyFont="1" applyBorder="1" applyAlignment="1">
      <alignment wrapText="1"/>
    </xf>
    <xf numFmtId="170" fontId="107" fillId="0" borderId="19" xfId="10" applyNumberFormat="1" applyFont="1" applyBorder="1" applyAlignment="1">
      <alignment horizontal="left"/>
    </xf>
    <xf numFmtId="170" fontId="5" fillId="0" borderId="19" xfId="10" applyNumberFormat="1" applyBorder="1"/>
    <xf numFmtId="0" fontId="108" fillId="0" borderId="19" xfId="10" applyFont="1" applyBorder="1" applyAlignment="1">
      <alignment horizontal="left" wrapText="1"/>
    </xf>
    <xf numFmtId="0" fontId="107" fillId="0" borderId="19" xfId="10" applyFont="1" applyBorder="1" applyAlignment="1">
      <alignment wrapText="1"/>
    </xf>
    <xf numFmtId="0" fontId="107" fillId="0" borderId="6" xfId="10" applyFont="1" applyBorder="1"/>
    <xf numFmtId="0" fontId="107" fillId="0" borderId="22" xfId="10" applyFont="1" applyBorder="1"/>
    <xf numFmtId="0" fontId="107" fillId="0" borderId="23" xfId="10" applyFont="1" applyBorder="1" applyAlignment="1">
      <alignment wrapText="1"/>
    </xf>
    <xf numFmtId="0" fontId="109" fillId="3" borderId="0" xfId="2" applyFont="1" applyFill="1" applyProtection="1">
      <protection locked="0"/>
    </xf>
    <xf numFmtId="0" fontId="66" fillId="3" borderId="0" xfId="0" applyFont="1" applyFill="1" applyAlignment="1" applyProtection="1">
      <alignment horizontal="left"/>
      <protection locked="0"/>
    </xf>
    <xf numFmtId="0" fontId="66" fillId="3" borderId="0" xfId="0" quotePrefix="1" applyFont="1" applyFill="1" applyAlignment="1" applyProtection="1">
      <alignment horizontal="left"/>
      <protection locked="0"/>
    </xf>
    <xf numFmtId="15" fontId="66" fillId="3" borderId="0" xfId="0" quotePrefix="1" applyNumberFormat="1" applyFont="1" applyFill="1" applyAlignment="1" applyProtection="1">
      <alignment horizontal="left"/>
      <protection locked="0"/>
    </xf>
    <xf numFmtId="0" fontId="49" fillId="3" borderId="0" xfId="2" applyFont="1" applyFill="1" applyProtection="1">
      <protection locked="0"/>
    </xf>
    <xf numFmtId="0" fontId="111" fillId="0" borderId="0" xfId="2" applyFont="1"/>
    <xf numFmtId="0" fontId="72" fillId="0" borderId="0" xfId="2" applyFont="1"/>
    <xf numFmtId="0" fontId="109" fillId="0" borderId="0" xfId="2" applyFont="1" applyProtection="1">
      <protection locked="0"/>
    </xf>
    <xf numFmtId="0" fontId="109" fillId="0" borderId="0" xfId="2" applyFont="1" applyAlignment="1" applyProtection="1">
      <alignment horizontal="right"/>
      <protection locked="0"/>
    </xf>
    <xf numFmtId="0" fontId="49" fillId="0" borderId="0" xfId="2" applyFont="1"/>
    <xf numFmtId="0" fontId="66" fillId="0" borderId="0" xfId="2" applyFont="1"/>
    <xf numFmtId="0" fontId="49" fillId="0" borderId="0" xfId="2" applyFont="1" applyAlignment="1">
      <alignment horizontal="right"/>
    </xf>
    <xf numFmtId="0" fontId="66" fillId="0" borderId="0" xfId="0" applyFont="1"/>
    <xf numFmtId="0" fontId="91" fillId="0" borderId="0" xfId="2" applyFont="1"/>
    <xf numFmtId="0" fontId="91" fillId="0" borderId="2" xfId="2" applyFont="1" applyBorder="1" applyAlignment="1">
      <alignment horizontal="center"/>
    </xf>
    <xf numFmtId="0" fontId="72" fillId="0" borderId="0" xfId="0" applyFont="1" applyAlignment="1">
      <alignment vertical="center"/>
    </xf>
    <xf numFmtId="164" fontId="66" fillId="3" borderId="12" xfId="2" applyNumberFormat="1" applyFont="1" applyFill="1" applyBorder="1" applyAlignment="1" applyProtection="1">
      <alignment vertical="center"/>
      <protection locked="0"/>
    </xf>
    <xf numFmtId="0" fontId="112" fillId="0" borderId="0" xfId="2" applyFont="1"/>
    <xf numFmtId="0" fontId="66" fillId="0" borderId="0" xfId="2" applyFont="1" applyProtection="1">
      <protection locked="0"/>
    </xf>
    <xf numFmtId="0" fontId="105" fillId="0" borderId="0" xfId="2" applyFont="1"/>
    <xf numFmtId="0" fontId="49" fillId="0" borderId="0" xfId="4" applyFont="1"/>
    <xf numFmtId="0" fontId="66" fillId="0" borderId="2" xfId="2" quotePrefix="1" applyFont="1" applyBorder="1" applyAlignment="1">
      <alignment horizontal="center" vertical="center"/>
    </xf>
    <xf numFmtId="0" fontId="66" fillId="0" borderId="7" xfId="2" applyFont="1" applyBorder="1" applyAlignment="1">
      <alignment vertical="center"/>
    </xf>
    <xf numFmtId="0" fontId="66" fillId="0" borderId="5" xfId="2" applyFont="1" applyBorder="1" applyAlignment="1">
      <alignment vertical="center"/>
    </xf>
    <xf numFmtId="0" fontId="49" fillId="0" borderId="5" xfId="2" applyFont="1" applyBorder="1" applyAlignment="1">
      <alignment vertical="center"/>
    </xf>
    <xf numFmtId="0" fontId="66" fillId="0" borderId="12" xfId="0" applyFont="1" applyBorder="1" applyAlignment="1">
      <alignment horizontal="left" vertical="center"/>
    </xf>
    <xf numFmtId="0" fontId="72" fillId="0" borderId="0" xfId="2" applyFont="1" applyAlignment="1">
      <alignment horizontal="left"/>
    </xf>
    <xf numFmtId="0" fontId="113" fillId="3" borderId="0" xfId="0" applyFont="1" applyFill="1" applyAlignment="1">
      <alignment vertical="center" wrapText="1"/>
    </xf>
    <xf numFmtId="0" fontId="48" fillId="0" borderId="0" xfId="2" applyFont="1" applyAlignment="1">
      <alignment vertical="center"/>
    </xf>
    <xf numFmtId="0" fontId="49" fillId="0" borderId="0" xfId="2" quotePrefix="1" applyFont="1" applyAlignment="1">
      <alignment horizontal="center"/>
    </xf>
    <xf numFmtId="164" fontId="49" fillId="0" borderId="0" xfId="2" applyNumberFormat="1" applyFont="1" applyAlignment="1">
      <alignment horizontal="center"/>
    </xf>
    <xf numFmtId="0" fontId="114" fillId="0" borderId="0" xfId="2" applyFont="1" applyAlignment="1">
      <alignment horizontal="center"/>
    </xf>
    <xf numFmtId="0" fontId="91" fillId="0" borderId="0" xfId="0" applyFont="1"/>
    <xf numFmtId="0" fontId="91" fillId="0" borderId="0" xfId="0" applyFont="1" applyAlignment="1">
      <alignment vertical="center"/>
    </xf>
    <xf numFmtId="2" fontId="66" fillId="0" borderId="0" xfId="0" applyNumberFormat="1" applyFont="1" applyAlignment="1">
      <alignment horizontal="center"/>
    </xf>
    <xf numFmtId="9" fontId="115" fillId="0" borderId="0" xfId="0" quotePrefix="1" applyNumberFormat="1" applyFont="1" applyAlignment="1">
      <alignment vertical="center"/>
    </xf>
    <xf numFmtId="165" fontId="66" fillId="0" borderId="0" xfId="2" applyNumberFormat="1" applyFont="1" applyAlignment="1">
      <alignment horizontal="center"/>
    </xf>
    <xf numFmtId="164" fontId="66" fillId="0" borderId="2" xfId="0" applyNumberFormat="1" applyFont="1" applyBorder="1" applyAlignment="1">
      <alignment horizontal="center" vertical="center"/>
    </xf>
    <xf numFmtId="164" fontId="66" fillId="0" borderId="2" xfId="0" applyNumberFormat="1" applyFont="1" applyBorder="1" applyAlignment="1">
      <alignment horizontal="center"/>
    </xf>
    <xf numFmtId="2" fontId="66" fillId="0" borderId="2" xfId="0" applyNumberFormat="1" applyFont="1" applyBorder="1" applyAlignment="1">
      <alignment horizontal="center"/>
    </xf>
    <xf numFmtId="0" fontId="66" fillId="0" borderId="0" xfId="0" applyFont="1" applyAlignment="1">
      <alignment horizontal="center" vertical="center" wrapText="1"/>
    </xf>
    <xf numFmtId="0" fontId="91" fillId="0" borderId="0" xfId="0" applyFont="1" applyAlignment="1">
      <alignment horizontal="center"/>
    </xf>
    <xf numFmtId="0" fontId="91" fillId="0" borderId="7" xfId="2" applyFont="1" applyBorder="1" applyAlignment="1">
      <alignment horizontal="center" vertical="center"/>
    </xf>
    <xf numFmtId="0" fontId="72" fillId="0" borderId="0" xfId="2" applyFont="1" applyAlignment="1">
      <alignment vertical="center"/>
    </xf>
    <xf numFmtId="0" fontId="66" fillId="0" borderId="7" xfId="2" applyFont="1" applyBorder="1" applyAlignment="1">
      <alignment horizontal="center" vertical="center"/>
    </xf>
    <xf numFmtId="2" fontId="66" fillId="0" borderId="2" xfId="0" applyNumberFormat="1" applyFont="1" applyBorder="1" applyAlignment="1">
      <alignment horizontal="center" vertical="center"/>
    </xf>
    <xf numFmtId="2" fontId="66" fillId="0" borderId="0" xfId="0" applyNumberFormat="1" applyFont="1" applyAlignment="1">
      <alignment horizontal="center" vertical="center"/>
    </xf>
    <xf numFmtId="165" fontId="66" fillId="0" borderId="0" xfId="2" applyNumberFormat="1" applyFont="1" applyAlignment="1">
      <alignment horizontal="center" vertical="center"/>
    </xf>
    <xf numFmtId="0" fontId="66" fillId="0" borderId="0" xfId="2" applyFont="1" applyAlignment="1">
      <alignment vertical="center"/>
    </xf>
    <xf numFmtId="0" fontId="107" fillId="0" borderId="0" xfId="2" applyFont="1"/>
    <xf numFmtId="164" fontId="66" fillId="0" borderId="0" xfId="2" applyNumberFormat="1" applyFont="1" applyAlignment="1">
      <alignment horizontal="center" vertical="center"/>
    </xf>
    <xf numFmtId="2" fontId="66" fillId="0" borderId="0" xfId="2" applyNumberFormat="1" applyFont="1" applyAlignment="1">
      <alignment horizontal="center" vertical="center"/>
    </xf>
    <xf numFmtId="0" fontId="91" fillId="0" borderId="0" xfId="2" applyFont="1" applyAlignment="1">
      <alignment horizontal="left"/>
    </xf>
    <xf numFmtId="0" fontId="91" fillId="0" borderId="0" xfId="2" applyFont="1" applyAlignment="1">
      <alignment horizontal="center"/>
    </xf>
    <xf numFmtId="0" fontId="66" fillId="0" borderId="0" xfId="2" applyFont="1" applyAlignment="1">
      <alignment horizontal="center"/>
    </xf>
    <xf numFmtId="2" fontId="66" fillId="0" borderId="0" xfId="2" applyNumberFormat="1" applyFont="1" applyAlignment="1">
      <alignment horizontal="center"/>
    </xf>
    <xf numFmtId="0" fontId="66" fillId="0" borderId="0" xfId="0" applyFont="1" applyProtection="1">
      <protection locked="0"/>
    </xf>
    <xf numFmtId="165" fontId="107" fillId="0" borderId="0" xfId="2" applyNumberFormat="1" applyFont="1" applyAlignment="1">
      <alignment horizontal="center"/>
    </xf>
    <xf numFmtId="0" fontId="72" fillId="0" borderId="0" xfId="2" applyFont="1" applyProtection="1">
      <protection locked="0"/>
    </xf>
    <xf numFmtId="2" fontId="66" fillId="0" borderId="0" xfId="2" applyNumberFormat="1" applyFont="1" applyAlignment="1" applyProtection="1">
      <alignment horizontal="center"/>
      <protection locked="0"/>
    </xf>
    <xf numFmtId="0" fontId="66" fillId="3" borderId="0" xfId="0" quotePrefix="1" applyFont="1" applyFill="1" applyAlignment="1" applyProtection="1">
      <alignment vertical="center"/>
      <protection locked="0"/>
    </xf>
    <xf numFmtId="0" fontId="66" fillId="0" borderId="0" xfId="0" quotePrefix="1" applyFont="1" applyAlignment="1" applyProtection="1">
      <alignment horizontal="left"/>
      <protection locked="0"/>
    </xf>
    <xf numFmtId="0" fontId="91" fillId="3" borderId="0" xfId="2" applyFont="1" applyFill="1"/>
    <xf numFmtId="0" fontId="72" fillId="3" borderId="0" xfId="2" applyFont="1" applyFill="1"/>
    <xf numFmtId="0" fontId="66" fillId="3" borderId="0" xfId="2" applyFont="1" applyFill="1"/>
    <xf numFmtId="0" fontId="49" fillId="3" borderId="0" xfId="2" applyFont="1" applyFill="1"/>
    <xf numFmtId="0" fontId="66" fillId="0" borderId="0" xfId="0" applyFont="1" applyAlignment="1">
      <alignment horizontal="left"/>
    </xf>
    <xf numFmtId="0" fontId="72" fillId="0" borderId="0" xfId="2" applyFont="1" applyAlignment="1">
      <alignment wrapText="1"/>
    </xf>
    <xf numFmtId="0" fontId="66" fillId="0" borderId="0" xfId="2" applyFont="1" applyAlignment="1" applyProtection="1">
      <alignment horizontal="left"/>
      <protection locked="0"/>
    </xf>
    <xf numFmtId="0" fontId="66" fillId="0" borderId="0" xfId="2" quotePrefix="1" applyFont="1" applyProtection="1">
      <protection locked="0"/>
    </xf>
    <xf numFmtId="0" fontId="49" fillId="0" borderId="0" xfId="0" applyFont="1"/>
    <xf numFmtId="0" fontId="107" fillId="12" borderId="0" xfId="4" applyFont="1" applyFill="1" applyProtection="1">
      <protection locked="0"/>
    </xf>
    <xf numFmtId="0" fontId="107" fillId="0" borderId="0" xfId="0" applyFont="1" applyProtection="1">
      <protection locked="0"/>
    </xf>
    <xf numFmtId="0" fontId="72" fillId="9" borderId="0" xfId="5" applyFont="1" applyFill="1" applyAlignment="1" applyProtection="1">
      <alignment vertical="center"/>
      <protection locked="0"/>
    </xf>
    <xf numFmtId="0" fontId="72" fillId="9" borderId="0" xfId="5" applyFont="1" applyFill="1" applyAlignment="1" applyProtection="1">
      <alignment horizontal="left" vertical="center"/>
      <protection locked="0"/>
    </xf>
    <xf numFmtId="0" fontId="60" fillId="0" borderId="0" xfId="2" applyFont="1"/>
    <xf numFmtId="164" fontId="60" fillId="0" borderId="0" xfId="2" applyNumberFormat="1" applyFont="1" applyAlignment="1">
      <alignment horizontal="left" vertical="center"/>
    </xf>
    <xf numFmtId="164" fontId="60" fillId="0" borderId="7" xfId="2" applyNumberFormat="1" applyFont="1" applyBorder="1" applyAlignment="1">
      <alignment horizontal="right"/>
    </xf>
    <xf numFmtId="165" fontId="60" fillId="0" borderId="7" xfId="2" applyNumberFormat="1" applyFont="1" applyBorder="1" applyAlignment="1">
      <alignment horizontal="right"/>
    </xf>
    <xf numFmtId="164" fontId="60" fillId="0" borderId="2" xfId="0" applyNumberFormat="1" applyFont="1" applyBorder="1" applyAlignment="1">
      <alignment horizontal="center" vertical="center"/>
    </xf>
    <xf numFmtId="164" fontId="60" fillId="0" borderId="2" xfId="0" applyNumberFormat="1" applyFont="1" applyBorder="1" applyAlignment="1">
      <alignment horizontal="center" vertical="center" wrapText="1"/>
    </xf>
    <xf numFmtId="2" fontId="60" fillId="0" borderId="2" xfId="2" applyNumberFormat="1" applyFont="1" applyBorder="1" applyAlignment="1">
      <alignment horizontal="center" vertical="center" wrapText="1"/>
    </xf>
    <xf numFmtId="0" fontId="60" fillId="0" borderId="0" xfId="2" applyFont="1" applyAlignment="1" applyProtection="1">
      <alignment horizontal="left"/>
      <protection locked="0"/>
    </xf>
    <xf numFmtId="0" fontId="116" fillId="0" borderId="0" xfId="2" applyFont="1" applyAlignment="1">
      <alignment horizontal="center"/>
    </xf>
    <xf numFmtId="0" fontId="111" fillId="0" borderId="0" xfId="2" applyFont="1" applyAlignment="1">
      <alignment horizontal="center"/>
    </xf>
    <xf numFmtId="0" fontId="117" fillId="0" borderId="0" xfId="2" applyFont="1" applyAlignment="1">
      <alignment horizontal="center"/>
    </xf>
    <xf numFmtId="0" fontId="118" fillId="0" borderId="0" xfId="2" applyFont="1" applyAlignment="1">
      <alignment horizontal="center"/>
    </xf>
    <xf numFmtId="0" fontId="119" fillId="0" borderId="0" xfId="2" applyFont="1"/>
    <xf numFmtId="164" fontId="66" fillId="0" borderId="0" xfId="2" applyNumberFormat="1" applyFont="1" applyAlignment="1">
      <alignment horizontal="left"/>
    </xf>
    <xf numFmtId="0" fontId="72" fillId="0" borderId="0" xfId="2" quotePrefix="1" applyFont="1"/>
    <xf numFmtId="0" fontId="120" fillId="0" borderId="0" xfId="0" applyFont="1" applyAlignment="1">
      <alignment wrapText="1"/>
    </xf>
    <xf numFmtId="164" fontId="66" fillId="0" borderId="0" xfId="2" applyNumberFormat="1" applyFont="1" applyAlignment="1">
      <alignment horizontal="left" vertical="center"/>
    </xf>
    <xf numFmtId="164" fontId="66" fillId="0" borderId="0" xfId="2" applyNumberFormat="1" applyFont="1" applyAlignment="1">
      <alignment horizontal="center"/>
    </xf>
    <xf numFmtId="164" fontId="66" fillId="0" borderId="0" xfId="2" applyNumberFormat="1" applyFont="1"/>
    <xf numFmtId="0" fontId="113" fillId="0" borderId="0" xfId="2" applyFont="1"/>
    <xf numFmtId="0" fontId="72" fillId="0" borderId="0" xfId="2" applyFont="1" applyAlignment="1">
      <alignment vertical="top"/>
    </xf>
    <xf numFmtId="0" fontId="66" fillId="0" borderId="2" xfId="2" quotePrefix="1" applyFont="1" applyBorder="1" applyAlignment="1">
      <alignment horizontal="center"/>
    </xf>
    <xf numFmtId="0" fontId="49" fillId="0" borderId="5" xfId="0" applyFont="1" applyBorder="1" applyAlignment="1">
      <alignment horizontal="left"/>
    </xf>
    <xf numFmtId="0" fontId="49" fillId="0" borderId="12" xfId="0" applyFont="1" applyBorder="1" applyAlignment="1">
      <alignment horizontal="left"/>
    </xf>
    <xf numFmtId="0" fontId="66" fillId="0" borderId="12" xfId="0" applyFont="1" applyBorder="1" applyAlignment="1">
      <alignment horizontal="left"/>
    </xf>
    <xf numFmtId="0" fontId="119" fillId="0" borderId="0" xfId="2" applyFont="1" applyAlignment="1">
      <alignment horizontal="left"/>
    </xf>
    <xf numFmtId="1" fontId="66" fillId="0" borderId="2" xfId="0" applyNumberFormat="1" applyFont="1" applyBorder="1" applyAlignment="1">
      <alignment horizontal="center" vertical="center"/>
    </xf>
    <xf numFmtId="0" fontId="49" fillId="0" borderId="31" xfId="2" applyFont="1" applyBorder="1"/>
    <xf numFmtId="2" fontId="66" fillId="0" borderId="0" xfId="0" applyNumberFormat="1" applyFont="1" applyAlignment="1">
      <alignment horizontal="center" vertical="center" wrapText="1"/>
    </xf>
    <xf numFmtId="164" fontId="66" fillId="0" borderId="0" xfId="0" applyNumberFormat="1" applyFont="1" applyAlignment="1">
      <alignment horizontal="center"/>
    </xf>
    <xf numFmtId="0" fontId="66" fillId="0" borderId="0" xfId="0" applyFont="1" applyAlignment="1">
      <alignment horizontal="right"/>
    </xf>
    <xf numFmtId="0" fontId="121" fillId="0" borderId="0" xfId="2" applyFont="1" applyAlignment="1">
      <alignment horizontal="center" vertical="center"/>
    </xf>
    <xf numFmtId="0" fontId="66" fillId="0" borderId="7" xfId="0" applyFont="1" applyBorder="1" applyAlignment="1">
      <alignment horizontal="center" vertical="center" wrapText="1"/>
    </xf>
    <xf numFmtId="0" fontId="66" fillId="2" borderId="0" xfId="0" applyFont="1" applyFill="1" applyAlignment="1">
      <alignment horizontal="center" vertical="top" wrapText="1"/>
    </xf>
    <xf numFmtId="0" fontId="91" fillId="0" borderId="7" xfId="2" applyFont="1" applyBorder="1" applyAlignment="1">
      <alignment horizontal="center" vertical="top"/>
    </xf>
    <xf numFmtId="0" fontId="91" fillId="0" borderId="7" xfId="2" applyFont="1" applyBorder="1" applyAlignment="1">
      <alignment horizontal="center" vertical="top" wrapText="1"/>
    </xf>
    <xf numFmtId="165" fontId="91" fillId="0" borderId="2" xfId="0" applyNumberFormat="1" applyFont="1" applyBorder="1" applyAlignment="1">
      <alignment horizontal="center" vertical="top" wrapText="1"/>
    </xf>
    <xf numFmtId="165" fontId="91" fillId="0" borderId="8" xfId="0" applyNumberFormat="1" applyFont="1" applyBorder="1" applyAlignment="1">
      <alignment vertical="top" wrapText="1"/>
    </xf>
    <xf numFmtId="0" fontId="107" fillId="0" borderId="0" xfId="2" applyFont="1" applyAlignment="1">
      <alignment vertical="top"/>
    </xf>
    <xf numFmtId="0" fontId="91" fillId="0" borderId="0" xfId="2" applyFont="1" applyAlignment="1">
      <alignment vertical="top"/>
    </xf>
    <xf numFmtId="0" fontId="66" fillId="0" borderId="0" xfId="2" applyFont="1" applyAlignment="1">
      <alignment vertical="top"/>
    </xf>
    <xf numFmtId="0" fontId="66" fillId="0" borderId="7" xfId="2" applyFont="1" applyBorder="1" applyAlignment="1">
      <alignment horizontal="center" vertical="top" wrapText="1"/>
    </xf>
    <xf numFmtId="0" fontId="66" fillId="0" borderId="2" xfId="2" applyFont="1" applyBorder="1" applyAlignment="1">
      <alignment horizontal="center" vertical="top" wrapText="1"/>
    </xf>
    <xf numFmtId="165" fontId="66" fillId="0" borderId="2" xfId="0" applyNumberFormat="1" applyFont="1" applyBorder="1" applyAlignment="1">
      <alignment horizontal="center" vertical="center"/>
    </xf>
    <xf numFmtId="165" fontId="66" fillId="0" borderId="8" xfId="0" applyNumberFormat="1" applyFont="1" applyBorder="1" applyAlignment="1">
      <alignment vertical="center"/>
    </xf>
    <xf numFmtId="2" fontId="72" fillId="0" borderId="0" xfId="2" applyNumberFormat="1" applyFont="1"/>
    <xf numFmtId="164" fontId="72" fillId="0" borderId="0" xfId="2" applyNumberFormat="1" applyFont="1"/>
    <xf numFmtId="0" fontId="72" fillId="0" borderId="0" xfId="2" applyFont="1" applyAlignment="1">
      <alignment horizontal="center" vertical="center"/>
    </xf>
    <xf numFmtId="164" fontId="66" fillId="0" borderId="0" xfId="0" applyNumberFormat="1" applyFont="1" applyAlignment="1">
      <alignment horizontal="center" vertical="center"/>
    </xf>
    <xf numFmtId="0" fontId="66" fillId="0" borderId="0" xfId="0" applyFont="1" applyAlignment="1">
      <alignment horizontal="right" vertical="center"/>
    </xf>
    <xf numFmtId="2" fontId="49" fillId="0" borderId="0" xfId="2" applyNumberFormat="1" applyFont="1" applyAlignment="1">
      <alignment horizontal="center" vertical="center"/>
    </xf>
    <xf numFmtId="2" fontId="72" fillId="0" borderId="0" xfId="2" applyNumberFormat="1" applyFont="1" applyAlignment="1">
      <alignment vertical="center"/>
    </xf>
    <xf numFmtId="164" fontId="72" fillId="0" borderId="0" xfId="2" applyNumberFormat="1" applyFont="1" applyAlignment="1">
      <alignment vertical="center"/>
    </xf>
    <xf numFmtId="0" fontId="91" fillId="0" borderId="0" xfId="2" applyFont="1" applyAlignment="1" applyProtection="1">
      <alignment horizontal="left"/>
      <protection locked="0"/>
    </xf>
    <xf numFmtId="0" fontId="91" fillId="0" borderId="0" xfId="2" applyFont="1" applyAlignment="1" applyProtection="1">
      <alignment horizontal="center"/>
      <protection locked="0"/>
    </xf>
    <xf numFmtId="0" fontId="66" fillId="0" borderId="0" xfId="2" applyFont="1" applyAlignment="1" applyProtection="1">
      <alignment horizontal="center"/>
      <protection locked="0"/>
    </xf>
    <xf numFmtId="1" fontId="72" fillId="0" borderId="0" xfId="2" applyNumberFormat="1" applyFont="1" applyAlignment="1">
      <alignment horizontal="center" vertical="center"/>
    </xf>
    <xf numFmtId="0" fontId="91" fillId="0" borderId="0" xfId="2" applyFont="1" applyProtection="1">
      <protection locked="0"/>
    </xf>
    <xf numFmtId="0" fontId="49" fillId="0" borderId="0" xfId="2" applyFont="1" applyProtection="1">
      <protection locked="0"/>
    </xf>
    <xf numFmtId="0" fontId="91" fillId="0" borderId="0" xfId="0" applyFont="1" applyProtection="1">
      <protection locked="0"/>
    </xf>
    <xf numFmtId="0" fontId="107" fillId="0" borderId="0" xfId="2" applyFont="1" applyProtection="1">
      <protection locked="0"/>
    </xf>
    <xf numFmtId="0" fontId="66" fillId="3" borderId="0" xfId="0" applyFont="1" applyFill="1" applyAlignment="1" applyProtection="1">
      <alignment vertical="center"/>
      <protection locked="0"/>
    </xf>
    <xf numFmtId="0" fontId="66" fillId="3" borderId="0" xfId="0" applyFont="1" applyFill="1" applyAlignment="1" applyProtection="1">
      <alignment horizontal="center" vertical="center"/>
      <protection locked="0"/>
    </xf>
    <xf numFmtId="0" fontId="91" fillId="3" borderId="0" xfId="2" applyFont="1" applyFill="1" applyAlignment="1" applyProtection="1">
      <alignment vertical="center"/>
      <protection locked="0"/>
    </xf>
    <xf numFmtId="0" fontId="66" fillId="3" borderId="0" xfId="2" applyFont="1" applyFill="1" applyAlignment="1" applyProtection="1">
      <alignment vertical="center"/>
      <protection locked="0"/>
    </xf>
    <xf numFmtId="0" fontId="70" fillId="0" borderId="0" xfId="0" applyFont="1" applyAlignment="1" applyProtection="1">
      <alignment horizontal="right"/>
      <protection locked="0"/>
    </xf>
    <xf numFmtId="2" fontId="30" fillId="0" borderId="2" xfId="0" applyNumberFormat="1" applyFont="1" applyBorder="1" applyAlignment="1">
      <alignment horizontal="center" vertical="center"/>
    </xf>
    <xf numFmtId="0" fontId="30" fillId="0" borderId="2" xfId="0" applyFont="1" applyBorder="1" applyAlignment="1">
      <alignment horizontal="center" vertical="center" wrapText="1"/>
    </xf>
    <xf numFmtId="0" fontId="30" fillId="0" borderId="2" xfId="0" applyFont="1" applyBorder="1" applyAlignment="1">
      <alignment horizontal="center" vertical="center"/>
    </xf>
    <xf numFmtId="0" fontId="16" fillId="0" borderId="2" xfId="4" applyFont="1" applyBorder="1" applyAlignment="1">
      <alignment horizontal="center" vertical="center"/>
    </xf>
    <xf numFmtId="0" fontId="57" fillId="3" borderId="0" xfId="4" applyFont="1" applyFill="1" applyAlignment="1">
      <alignment horizontal="center" vertical="center" wrapText="1"/>
    </xf>
    <xf numFmtId="0" fontId="53" fillId="3" borderId="0" xfId="4" applyFont="1" applyFill="1" applyAlignment="1" applyProtection="1">
      <alignment horizontal="center" vertical="center" wrapText="1"/>
      <protection locked="0"/>
    </xf>
    <xf numFmtId="0" fontId="20" fillId="0" borderId="7" xfId="4" applyFont="1" applyBorder="1" applyAlignment="1">
      <alignment horizontal="center" vertical="center"/>
    </xf>
    <xf numFmtId="0" fontId="20" fillId="0" borderId="2" xfId="4" applyFont="1" applyBorder="1" applyAlignment="1">
      <alignment horizontal="center" vertical="center"/>
    </xf>
    <xf numFmtId="0" fontId="20" fillId="0" borderId="43" xfId="4" applyFont="1" applyBorder="1" applyAlignment="1">
      <alignment horizontal="center" vertical="center"/>
    </xf>
    <xf numFmtId="0" fontId="20" fillId="0" borderId="3" xfId="4" applyFont="1" applyBorder="1" applyAlignment="1">
      <alignment horizontal="center" vertical="center"/>
    </xf>
    <xf numFmtId="0" fontId="20" fillId="0" borderId="18" xfId="4" applyFont="1" applyBorder="1" applyAlignment="1">
      <alignment horizontal="center" vertical="center"/>
    </xf>
    <xf numFmtId="0" fontId="20" fillId="0" borderId="44" xfId="4" applyFont="1" applyBorder="1" applyAlignment="1">
      <alignment horizontal="center" vertical="center" wrapText="1"/>
    </xf>
    <xf numFmtId="0" fontId="20" fillId="0" borderId="25" xfId="4" applyFont="1" applyBorder="1" applyAlignment="1">
      <alignment horizontal="center" vertical="center" wrapText="1"/>
    </xf>
    <xf numFmtId="0" fontId="20" fillId="0" borderId="20" xfId="4" applyFont="1" applyBorder="1" applyAlignment="1">
      <alignment horizontal="center" vertical="center" wrapText="1"/>
    </xf>
    <xf numFmtId="0" fontId="20" fillId="0" borderId="14" xfId="4" applyFont="1" applyBorder="1" applyAlignment="1">
      <alignment horizontal="center" vertical="center" wrapText="1"/>
    </xf>
    <xf numFmtId="0" fontId="20" fillId="0" borderId="2" xfId="4" applyFont="1" applyBorder="1" applyAlignment="1">
      <alignment horizontal="center" vertical="center" wrapText="1"/>
    </xf>
    <xf numFmtId="164" fontId="5" fillId="0" borderId="2" xfId="4" applyNumberFormat="1" applyBorder="1" applyAlignment="1">
      <alignment horizontal="center"/>
    </xf>
    <xf numFmtId="164" fontId="70" fillId="4" borderId="2" xfId="4" applyNumberFormat="1" applyFont="1" applyFill="1" applyBorder="1" applyAlignment="1">
      <alignment horizontal="center"/>
    </xf>
    <xf numFmtId="164" fontId="44" fillId="4" borderId="2" xfId="4" applyNumberFormat="1" applyFont="1" applyFill="1" applyBorder="1" applyAlignment="1">
      <alignment horizontal="center"/>
    </xf>
    <xf numFmtId="2" fontId="44" fillId="4" borderId="2" xfId="4" applyNumberFormat="1" applyFont="1" applyFill="1" applyBorder="1" applyAlignment="1">
      <alignment horizontal="center"/>
    </xf>
    <xf numFmtId="2" fontId="44" fillId="4" borderId="14" xfId="4" applyNumberFormat="1" applyFont="1" applyFill="1" applyBorder="1" applyAlignment="1">
      <alignment horizontal="center"/>
    </xf>
    <xf numFmtId="0" fontId="5" fillId="0" borderId="0" xfId="4" applyAlignment="1">
      <alignment horizontal="left"/>
    </xf>
    <xf numFmtId="0" fontId="48" fillId="17" borderId="0" xfId="4" applyFont="1" applyFill="1" applyAlignment="1" applyProtection="1">
      <alignment horizontal="left" vertical="center"/>
      <protection locked="0"/>
    </xf>
    <xf numFmtId="0" fontId="16" fillId="17" borderId="2" xfId="4" applyFont="1" applyFill="1" applyBorder="1" applyAlignment="1" applyProtection="1">
      <alignment horizontal="center"/>
      <protection locked="0"/>
    </xf>
    <xf numFmtId="0" fontId="16" fillId="17" borderId="0" xfId="4" applyFont="1" applyFill="1" applyAlignment="1" applyProtection="1">
      <alignment horizontal="left"/>
      <protection locked="0"/>
    </xf>
    <xf numFmtId="0" fontId="16" fillId="17" borderId="2" xfId="4" applyFont="1" applyFill="1" applyBorder="1" applyAlignment="1" applyProtection="1">
      <alignment horizontal="center" vertical="center"/>
      <protection locked="0"/>
    </xf>
    <xf numFmtId="0" fontId="20" fillId="17" borderId="2" xfId="4" applyFont="1" applyFill="1" applyBorder="1" applyAlignment="1" applyProtection="1">
      <alignment horizontal="center" vertical="center"/>
      <protection locked="0"/>
    </xf>
    <xf numFmtId="0" fontId="5" fillId="17" borderId="0" xfId="4" applyFill="1" applyAlignment="1" applyProtection="1">
      <alignment horizontal="left"/>
      <protection locked="0"/>
    </xf>
    <xf numFmtId="2" fontId="20" fillId="0" borderId="2" xfId="3" applyNumberFormat="1" applyFont="1" applyBorder="1" applyAlignment="1">
      <alignment horizontal="center" vertical="center"/>
    </xf>
    <xf numFmtId="2" fontId="20" fillId="0" borderId="2" xfId="3" quotePrefix="1" applyNumberFormat="1" applyFont="1" applyBorder="1" applyAlignment="1">
      <alignment horizontal="center" vertical="center"/>
    </xf>
    <xf numFmtId="1" fontId="5" fillId="17" borderId="2" xfId="4" applyNumberFormat="1" applyFill="1" applyBorder="1" applyAlignment="1" applyProtection="1">
      <alignment horizontal="center" vertical="center"/>
      <protection locked="0"/>
    </xf>
    <xf numFmtId="2" fontId="5" fillId="0" borderId="2" xfId="3" applyNumberFormat="1" applyBorder="1" applyAlignment="1">
      <alignment horizontal="center" vertical="center"/>
    </xf>
    <xf numFmtId="2" fontId="5" fillId="17" borderId="2" xfId="4" applyNumberFormat="1" applyFill="1" applyBorder="1" applyAlignment="1" applyProtection="1">
      <alignment horizontal="center"/>
      <protection locked="0"/>
    </xf>
    <xf numFmtId="2" fontId="21" fillId="17" borderId="2" xfId="4" applyNumberFormat="1" applyFont="1" applyFill="1" applyBorder="1" applyAlignment="1" applyProtection="1">
      <alignment horizontal="center" vertical="center"/>
      <protection locked="0"/>
    </xf>
    <xf numFmtId="2" fontId="5" fillId="0" borderId="2" xfId="3" applyNumberFormat="1" applyBorder="1"/>
    <xf numFmtId="2" fontId="5" fillId="0" borderId="2" xfId="3" quotePrefix="1" applyNumberFormat="1" applyBorder="1" applyAlignment="1">
      <alignment horizontal="center" vertical="center"/>
    </xf>
    <xf numFmtId="0" fontId="9" fillId="17" borderId="2" xfId="4" applyFont="1" applyFill="1" applyBorder="1" applyAlignment="1" applyProtection="1">
      <alignment horizontal="center" vertical="center"/>
      <protection locked="0"/>
    </xf>
    <xf numFmtId="2" fontId="5" fillId="17" borderId="2" xfId="4" applyNumberFormat="1" applyFill="1" applyBorder="1" applyAlignment="1" applyProtection="1">
      <alignment horizontal="center" vertical="center"/>
      <protection locked="0"/>
    </xf>
    <xf numFmtId="164" fontId="21" fillId="17" borderId="2" xfId="4" applyNumberFormat="1" applyFont="1" applyFill="1" applyBorder="1" applyAlignment="1" applyProtection="1">
      <alignment horizontal="center" vertical="center"/>
      <protection locked="0"/>
    </xf>
    <xf numFmtId="0" fontId="5" fillId="17" borderId="2" xfId="4" applyFill="1" applyBorder="1" applyAlignment="1" applyProtection="1">
      <alignment horizontal="center" vertical="center"/>
      <protection locked="0"/>
    </xf>
    <xf numFmtId="165" fontId="5" fillId="17" borderId="2" xfId="4" quotePrefix="1" applyNumberFormat="1" applyFill="1" applyBorder="1" applyAlignment="1" applyProtection="1">
      <alignment horizontal="center" vertical="center"/>
      <protection locked="0"/>
    </xf>
    <xf numFmtId="1" fontId="21" fillId="17" borderId="2" xfId="4" quotePrefix="1" applyNumberFormat="1" applyFont="1" applyFill="1" applyBorder="1" applyAlignment="1" applyProtection="1">
      <alignment horizontal="center" vertical="center"/>
      <protection locked="0"/>
    </xf>
    <xf numFmtId="0" fontId="21" fillId="17" borderId="2" xfId="4" quotePrefix="1" applyFont="1" applyFill="1" applyBorder="1" applyAlignment="1" applyProtection="1">
      <alignment horizontal="center" vertical="center"/>
      <protection locked="0"/>
    </xf>
    <xf numFmtId="0" fontId="21" fillId="17" borderId="2" xfId="4" applyFont="1" applyFill="1" applyBorder="1" applyAlignment="1" applyProtection="1">
      <alignment horizontal="center" vertical="center"/>
      <protection locked="0"/>
    </xf>
    <xf numFmtId="164" fontId="5" fillId="17" borderId="2" xfId="4" applyNumberFormat="1" applyFill="1" applyBorder="1" applyAlignment="1" applyProtection="1">
      <alignment horizontal="center" vertical="center"/>
      <protection locked="0"/>
    </xf>
    <xf numFmtId="2" fontId="5" fillId="17" borderId="2" xfId="4" quotePrefix="1" applyNumberFormat="1" applyFill="1" applyBorder="1" applyAlignment="1" applyProtection="1">
      <alignment horizontal="center" vertical="center"/>
      <protection locked="0"/>
    </xf>
    <xf numFmtId="165" fontId="5" fillId="0" borderId="2" xfId="3" applyNumberFormat="1" applyBorder="1"/>
    <xf numFmtId="165" fontId="5" fillId="0" borderId="2" xfId="3" applyNumberFormat="1" applyBorder="1" applyAlignment="1">
      <alignment horizontal="center" vertical="center"/>
    </xf>
    <xf numFmtId="0" fontId="61" fillId="17" borderId="0" xfId="4" applyFont="1" applyFill="1" applyAlignment="1" applyProtection="1">
      <alignment horizontal="left"/>
      <protection locked="0"/>
    </xf>
    <xf numFmtId="165" fontId="5" fillId="17" borderId="2" xfId="4" applyNumberFormat="1" applyFill="1" applyBorder="1" applyAlignment="1" applyProtection="1">
      <alignment horizontal="center" vertical="center"/>
      <protection locked="0"/>
    </xf>
    <xf numFmtId="166" fontId="5" fillId="17" borderId="2" xfId="4" applyNumberFormat="1" applyFill="1" applyBorder="1" applyAlignment="1" applyProtection="1">
      <alignment horizontal="center" vertical="center"/>
      <protection locked="0"/>
    </xf>
    <xf numFmtId="0" fontId="61" fillId="17" borderId="2" xfId="4" applyFont="1" applyFill="1" applyBorder="1" applyAlignment="1" applyProtection="1">
      <alignment horizontal="center" vertical="center"/>
      <protection locked="0"/>
    </xf>
    <xf numFmtId="0" fontId="5" fillId="3" borderId="6" xfId="4" applyFill="1" applyBorder="1" applyProtection="1">
      <protection locked="0"/>
    </xf>
    <xf numFmtId="0" fontId="5" fillId="3" borderId="0" xfId="4" applyFill="1" applyAlignment="1" applyProtection="1">
      <alignment horizontal="left"/>
      <protection locked="0"/>
    </xf>
    <xf numFmtId="0" fontId="5" fillId="3" borderId="19" xfId="4" applyFill="1" applyBorder="1" applyProtection="1">
      <protection locked="0"/>
    </xf>
    <xf numFmtId="0" fontId="5" fillId="3" borderId="0" xfId="4" applyFill="1" applyAlignment="1">
      <alignment horizontal="left"/>
    </xf>
    <xf numFmtId="0" fontId="15" fillId="17" borderId="0" xfId="4" applyFont="1" applyFill="1" applyAlignment="1" applyProtection="1">
      <alignment horizontal="left" vertical="center"/>
      <protection locked="0"/>
    </xf>
    <xf numFmtId="0" fontId="16" fillId="17" borderId="18" xfId="4" applyFont="1" applyFill="1" applyBorder="1" applyAlignment="1" applyProtection="1">
      <alignment horizontal="center"/>
      <protection locked="0"/>
    </xf>
    <xf numFmtId="0" fontId="16" fillId="17" borderId="18" xfId="4" applyFont="1" applyFill="1" applyBorder="1" applyAlignment="1" applyProtection="1">
      <alignment horizontal="center" vertical="center"/>
      <protection locked="0"/>
    </xf>
    <xf numFmtId="0" fontId="5" fillId="17" borderId="2" xfId="4" applyFill="1" applyBorder="1" applyAlignment="1" applyProtection="1">
      <alignment horizontal="right" vertical="center"/>
      <protection locked="0"/>
    </xf>
    <xf numFmtId="164" fontId="5" fillId="17" borderId="2" xfId="4" applyNumberFormat="1" applyFill="1" applyBorder="1" applyAlignment="1" applyProtection="1">
      <alignment horizontal="right" vertical="center"/>
      <protection locked="0"/>
    </xf>
    <xf numFmtId="165" fontId="5" fillId="0" borderId="2" xfId="3" quotePrefix="1" applyNumberFormat="1" applyBorder="1" applyAlignment="1">
      <alignment horizontal="center" vertical="center"/>
    </xf>
    <xf numFmtId="0" fontId="61" fillId="0" borderId="0" xfId="4" applyFont="1" applyAlignment="1">
      <alignment horizontal="left"/>
    </xf>
    <xf numFmtId="165" fontId="5" fillId="0" borderId="18" xfId="3" quotePrefix="1" applyNumberFormat="1" applyBorder="1" applyAlignment="1">
      <alignment horizontal="center" vertical="center"/>
    </xf>
    <xf numFmtId="0" fontId="53" fillId="3" borderId="6" xfId="4" applyFont="1" applyFill="1" applyBorder="1" applyAlignment="1" applyProtection="1">
      <alignment horizontal="center" vertical="center" wrapText="1"/>
      <protection locked="0"/>
    </xf>
    <xf numFmtId="0" fontId="5" fillId="3" borderId="0" xfId="4" applyFill="1" applyAlignment="1" applyProtection="1">
      <alignment horizontal="center" vertical="center"/>
      <protection locked="0"/>
    </xf>
    <xf numFmtId="165" fontId="5" fillId="3" borderId="0" xfId="4" applyNumberFormat="1" applyFill="1" applyAlignment="1" applyProtection="1">
      <alignment horizontal="center" vertical="center"/>
      <protection locked="0"/>
    </xf>
    <xf numFmtId="0" fontId="5" fillId="3" borderId="0" xfId="4" applyFill="1" applyAlignment="1" applyProtection="1">
      <alignment horizontal="right" vertical="center"/>
      <protection locked="0"/>
    </xf>
    <xf numFmtId="2" fontId="21" fillId="0" borderId="2" xfId="3" applyNumberFormat="1" applyFont="1" applyBorder="1" applyAlignment="1">
      <alignment horizontal="center" vertical="center"/>
    </xf>
    <xf numFmtId="0" fontId="5" fillId="0" borderId="0" xfId="4" applyAlignment="1">
      <alignment horizontal="center"/>
    </xf>
    <xf numFmtId="2" fontId="21" fillId="17" borderId="2" xfId="4" quotePrefix="1" applyNumberFormat="1" applyFont="1" applyFill="1" applyBorder="1" applyAlignment="1" applyProtection="1">
      <alignment horizontal="center" vertical="center"/>
      <protection locked="0"/>
    </xf>
    <xf numFmtId="164" fontId="5" fillId="17" borderId="2" xfId="4" quotePrefix="1" applyNumberFormat="1" applyFill="1" applyBorder="1" applyAlignment="1" applyProtection="1">
      <alignment horizontal="center" vertical="center"/>
      <protection locked="0"/>
    </xf>
    <xf numFmtId="0" fontId="5" fillId="17" borderId="2" xfId="4" quotePrefix="1" applyFill="1" applyBorder="1" applyAlignment="1" applyProtection="1">
      <alignment horizontal="center" vertical="center"/>
      <protection locked="0"/>
    </xf>
    <xf numFmtId="0" fontId="53" fillId="4" borderId="46" xfId="4" applyFont="1" applyFill="1" applyBorder="1" applyAlignment="1" applyProtection="1">
      <alignment horizontal="center" vertical="center" wrapText="1"/>
      <protection locked="0"/>
    </xf>
    <xf numFmtId="0" fontId="53" fillId="4" borderId="47" xfId="4" applyFont="1" applyFill="1" applyBorder="1" applyAlignment="1" applyProtection="1">
      <alignment horizontal="center" vertical="center" wrapText="1"/>
      <protection locked="0"/>
    </xf>
    <xf numFmtId="0" fontId="5" fillId="4" borderId="47" xfId="4" applyFill="1" applyBorder="1"/>
    <xf numFmtId="0" fontId="53" fillId="4" borderId="47" xfId="4" applyFont="1" applyFill="1" applyBorder="1" applyAlignment="1" applyProtection="1">
      <alignment horizontal="left" vertical="center" wrapText="1"/>
      <protection locked="0"/>
    </xf>
    <xf numFmtId="0" fontId="5" fillId="4" borderId="47" xfId="4" applyFill="1" applyBorder="1" applyProtection="1">
      <protection locked="0"/>
    </xf>
    <xf numFmtId="0" fontId="5" fillId="4" borderId="58" xfId="4" applyFill="1" applyBorder="1" applyProtection="1">
      <protection locked="0"/>
    </xf>
    <xf numFmtId="0" fontId="5" fillId="0" borderId="0" xfId="4" applyAlignment="1">
      <alignment horizontal="center" vertical="center"/>
    </xf>
    <xf numFmtId="0" fontId="124" fillId="3" borderId="0" xfId="4" applyFont="1" applyFill="1" applyAlignment="1">
      <alignment vertical="center"/>
    </xf>
    <xf numFmtId="0" fontId="125" fillId="3" borderId="61" xfId="7" applyFont="1" applyFill="1" applyBorder="1" applyAlignment="1">
      <alignment horizontal="center" vertical="center" wrapText="1"/>
    </xf>
    <xf numFmtId="0" fontId="125" fillId="3" borderId="36" xfId="7" applyFont="1" applyFill="1" applyBorder="1" applyAlignment="1">
      <alignment horizontal="center" vertical="center" wrapText="1"/>
    </xf>
    <xf numFmtId="0" fontId="20" fillId="3" borderId="4" xfId="7" applyFont="1" applyFill="1" applyBorder="1" applyAlignment="1">
      <alignment horizontal="center" vertical="center"/>
    </xf>
    <xf numFmtId="0" fontId="20" fillId="3" borderId="5" xfId="7" applyFont="1" applyFill="1" applyBorder="1" applyAlignment="1">
      <alignment horizontal="center" vertical="center"/>
    </xf>
    <xf numFmtId="0" fontId="20" fillId="3" borderId="24" xfId="7" applyFont="1" applyFill="1" applyBorder="1" applyAlignment="1">
      <alignment horizontal="center" vertical="center"/>
    </xf>
    <xf numFmtId="0" fontId="15" fillId="3" borderId="4" xfId="7" applyFont="1" applyFill="1" applyBorder="1" applyAlignment="1">
      <alignment horizontal="center" vertical="center"/>
    </xf>
    <xf numFmtId="0" fontId="15" fillId="3" borderId="5" xfId="7" applyFont="1" applyFill="1" applyBorder="1" applyAlignment="1">
      <alignment horizontal="center" vertical="center"/>
    </xf>
    <xf numFmtId="0" fontId="15" fillId="3" borderId="12" xfId="7" applyFont="1" applyFill="1" applyBorder="1" applyAlignment="1">
      <alignment horizontal="center" vertical="center"/>
    </xf>
    <xf numFmtId="0" fontId="5" fillId="3" borderId="7" xfId="7" applyFill="1" applyBorder="1" applyAlignment="1">
      <alignment horizontal="center" vertical="center"/>
    </xf>
    <xf numFmtId="0" fontId="5" fillId="3" borderId="14" xfId="7" applyFill="1" applyBorder="1" applyAlignment="1">
      <alignment horizontal="center" vertical="center"/>
    </xf>
    <xf numFmtId="0" fontId="5" fillId="3" borderId="28" xfId="4" applyFill="1" applyBorder="1"/>
    <xf numFmtId="0" fontId="40" fillId="18" borderId="67" xfId="4" applyFont="1" applyFill="1" applyBorder="1" applyAlignment="1">
      <alignment horizontal="center" vertical="center" wrapText="1"/>
    </xf>
    <xf numFmtId="0" fontId="40" fillId="18" borderId="43" xfId="4" applyFont="1" applyFill="1" applyBorder="1" applyAlignment="1">
      <alignment horizontal="center" vertical="center" wrapText="1"/>
    </xf>
    <xf numFmtId="0" fontId="15" fillId="18" borderId="44" xfId="4" applyFont="1" applyFill="1" applyBorder="1" applyAlignment="1">
      <alignment horizontal="center" vertical="center" wrapText="1"/>
    </xf>
    <xf numFmtId="0" fontId="5" fillId="3" borderId="4" xfId="7" applyFill="1" applyBorder="1" applyAlignment="1">
      <alignment horizontal="center" vertical="center"/>
    </xf>
    <xf numFmtId="2" fontId="11" fillId="18" borderId="1" xfId="4" applyNumberFormat="1" applyFont="1" applyFill="1" applyBorder="1" applyAlignment="1">
      <alignment horizontal="center" vertical="center"/>
    </xf>
    <xf numFmtId="0" fontId="11" fillId="18" borderId="2" xfId="4" applyFont="1" applyFill="1" applyBorder="1" applyAlignment="1">
      <alignment horizontal="center" vertical="center"/>
    </xf>
    <xf numFmtId="165" fontId="40" fillId="18" borderId="73" xfId="4" applyNumberFormat="1" applyFont="1" applyFill="1" applyBorder="1" applyAlignment="1">
      <alignment horizontal="center"/>
    </xf>
    <xf numFmtId="2" fontId="11" fillId="18" borderId="14" xfId="4" applyNumberFormat="1" applyFont="1" applyFill="1" applyBorder="1" applyAlignment="1">
      <alignment horizontal="center" vertical="center"/>
    </xf>
    <xf numFmtId="0" fontId="40" fillId="18" borderId="51" xfId="4" applyFont="1" applyFill="1" applyBorder="1" applyAlignment="1">
      <alignment horizontal="center" vertical="center" wrapText="1"/>
    </xf>
    <xf numFmtId="0" fontId="40" fillId="18" borderId="3" xfId="4" applyFont="1" applyFill="1" applyBorder="1" applyAlignment="1">
      <alignment horizontal="center" vertical="center" wrapText="1"/>
    </xf>
    <xf numFmtId="0" fontId="15" fillId="18" borderId="25" xfId="4" applyFont="1" applyFill="1" applyBorder="1" applyAlignment="1">
      <alignment horizontal="center" vertical="center" wrapText="1"/>
    </xf>
    <xf numFmtId="2" fontId="5" fillId="3" borderId="7" xfId="7" applyNumberFormat="1" applyFill="1" applyBorder="1" applyAlignment="1">
      <alignment horizontal="center" vertical="center"/>
    </xf>
    <xf numFmtId="0" fontId="40" fillId="18" borderId="71" xfId="4" applyFont="1" applyFill="1" applyBorder="1" applyAlignment="1">
      <alignment horizontal="center" vertical="center" wrapText="1"/>
    </xf>
    <xf numFmtId="0" fontId="15" fillId="18" borderId="57" xfId="4" applyFont="1" applyFill="1" applyBorder="1" applyAlignment="1">
      <alignment horizontal="center" vertical="center" wrapText="1"/>
    </xf>
    <xf numFmtId="164" fontId="61" fillId="3" borderId="40" xfId="4" applyNumberFormat="1" applyFont="1" applyFill="1" applyBorder="1" applyAlignment="1">
      <alignment horizontal="center" vertical="center" wrapText="1"/>
    </xf>
    <xf numFmtId="164" fontId="72" fillId="18" borderId="2" xfId="4" applyNumberFormat="1" applyFont="1" applyFill="1" applyBorder="1" applyAlignment="1">
      <alignment horizontal="center" vertical="center"/>
    </xf>
    <xf numFmtId="164" fontId="126" fillId="18" borderId="37" xfId="4" applyNumberFormat="1" applyFont="1" applyFill="1" applyBorder="1" applyAlignment="1">
      <alignment horizontal="center" vertical="center"/>
    </xf>
    <xf numFmtId="1" fontId="61" fillId="3" borderId="1" xfId="4" applyNumberFormat="1" applyFont="1" applyFill="1" applyBorder="1" applyAlignment="1">
      <alignment horizontal="center" vertical="center" wrapText="1"/>
    </xf>
    <xf numFmtId="0" fontId="72" fillId="18" borderId="2" xfId="4" applyFont="1" applyFill="1" applyBorder="1" applyAlignment="1">
      <alignment horizontal="center" vertical="center"/>
    </xf>
    <xf numFmtId="165" fontId="126" fillId="18" borderId="24" xfId="4" applyNumberFormat="1" applyFont="1" applyFill="1" applyBorder="1" applyAlignment="1">
      <alignment horizontal="center" vertical="center"/>
    </xf>
    <xf numFmtId="165" fontId="11" fillId="18" borderId="1" xfId="4" applyNumberFormat="1" applyFont="1" applyFill="1" applyBorder="1" applyAlignment="1">
      <alignment horizontal="center" vertical="center"/>
    </xf>
    <xf numFmtId="165" fontId="11" fillId="18" borderId="2" xfId="4" applyNumberFormat="1" applyFont="1" applyFill="1" applyBorder="1" applyAlignment="1">
      <alignment horizontal="center" vertical="center"/>
    </xf>
    <xf numFmtId="165" fontId="11" fillId="18" borderId="14" xfId="4" applyNumberFormat="1" applyFont="1" applyFill="1" applyBorder="1" applyAlignment="1">
      <alignment horizontal="center" vertical="center"/>
    </xf>
    <xf numFmtId="165" fontId="72" fillId="18" borderId="2" xfId="4" applyNumberFormat="1" applyFont="1" applyFill="1" applyBorder="1" applyAlignment="1">
      <alignment horizontal="center" vertical="center"/>
    </xf>
    <xf numFmtId="164" fontId="126" fillId="18" borderId="24" xfId="4" applyNumberFormat="1" applyFont="1" applyFill="1" applyBorder="1" applyAlignment="1">
      <alignment horizontal="center" vertical="center"/>
    </xf>
    <xf numFmtId="164" fontId="11" fillId="18" borderId="1" xfId="4" applyNumberFormat="1" applyFont="1" applyFill="1" applyBorder="1" applyAlignment="1">
      <alignment horizontal="center" vertical="center"/>
    </xf>
    <xf numFmtId="2" fontId="11" fillId="18" borderId="2" xfId="4" applyNumberFormat="1" applyFont="1" applyFill="1" applyBorder="1" applyAlignment="1">
      <alignment horizontal="center" vertical="center"/>
    </xf>
    <xf numFmtId="0" fontId="5" fillId="18" borderId="65" xfId="4" applyFill="1" applyBorder="1" applyAlignment="1">
      <alignment horizontal="center"/>
    </xf>
    <xf numFmtId="164" fontId="61" fillId="3" borderId="4" xfId="4" applyNumberFormat="1" applyFont="1" applyFill="1" applyBorder="1" applyAlignment="1">
      <alignment horizontal="center" vertical="center" wrapText="1"/>
    </xf>
    <xf numFmtId="0" fontId="5" fillId="18" borderId="61" xfId="4" applyFill="1" applyBorder="1" applyAlignment="1">
      <alignment horizontal="center" wrapText="1"/>
    </xf>
    <xf numFmtId="164" fontId="127" fillId="18" borderId="12" xfId="4" applyNumberFormat="1" applyFont="1" applyFill="1" applyBorder="1" applyAlignment="1">
      <alignment horizontal="center" vertical="center"/>
    </xf>
    <xf numFmtId="164" fontId="127" fillId="18" borderId="2" xfId="4" applyNumberFormat="1" applyFont="1" applyFill="1" applyBorder="1" applyAlignment="1">
      <alignment horizontal="center" vertical="center"/>
    </xf>
    <xf numFmtId="0" fontId="49" fillId="18" borderId="24" xfId="4" applyFont="1" applyFill="1" applyBorder="1" applyAlignment="1">
      <alignment horizontal="right"/>
    </xf>
    <xf numFmtId="1" fontId="5" fillId="3" borderId="4" xfId="7" applyNumberFormat="1" applyFill="1" applyBorder="1" applyAlignment="1">
      <alignment horizontal="center" vertical="center"/>
    </xf>
    <xf numFmtId="164" fontId="5" fillId="3" borderId="7" xfId="7" applyNumberFormat="1" applyFill="1" applyBorder="1" applyAlignment="1">
      <alignment horizontal="center" vertical="center"/>
    </xf>
    <xf numFmtId="0" fontId="5" fillId="18" borderId="59" xfId="4" applyFill="1" applyBorder="1" applyAlignment="1">
      <alignment horizontal="center" wrapText="1"/>
    </xf>
    <xf numFmtId="0" fontId="112" fillId="18" borderId="0" xfId="4" applyFont="1" applyFill="1"/>
    <xf numFmtId="2" fontId="72" fillId="18" borderId="0" xfId="4" applyNumberFormat="1" applyFont="1" applyFill="1" applyAlignment="1">
      <alignment horizontal="center" vertical="center"/>
    </xf>
    <xf numFmtId="0" fontId="3" fillId="0" borderId="66" xfId="4" applyFont="1" applyBorder="1" applyAlignment="1">
      <alignment horizontal="right"/>
    </xf>
    <xf numFmtId="2" fontId="126" fillId="18" borderId="1" xfId="4" applyNumberFormat="1" applyFont="1" applyFill="1" applyBorder="1" applyAlignment="1">
      <alignment horizontal="center" vertical="center"/>
    </xf>
    <xf numFmtId="0" fontId="126" fillId="18" borderId="2" xfId="4" applyFont="1" applyFill="1" applyBorder="1" applyAlignment="1">
      <alignment horizontal="center" vertical="center"/>
    </xf>
    <xf numFmtId="2" fontId="126" fillId="18" borderId="2" xfId="4" applyNumberFormat="1" applyFont="1" applyFill="1" applyBorder="1" applyAlignment="1">
      <alignment horizontal="center" vertical="center"/>
    </xf>
    <xf numFmtId="2" fontId="54" fillId="3" borderId="0" xfId="4" applyNumberFormat="1" applyFont="1" applyFill="1" applyAlignment="1">
      <alignment horizontal="center" vertical="center" wrapText="1"/>
    </xf>
    <xf numFmtId="0" fontId="5" fillId="0" borderId="66" xfId="4" applyBorder="1" applyAlignment="1">
      <alignment horizontal="right"/>
    </xf>
    <xf numFmtId="0" fontId="5" fillId="0" borderId="6" xfId="4" applyBorder="1" applyAlignment="1">
      <alignment horizontal="left"/>
    </xf>
    <xf numFmtId="0" fontId="5" fillId="0" borderId="74" xfId="4" applyBorder="1" applyAlignment="1">
      <alignment horizontal="right"/>
    </xf>
    <xf numFmtId="0" fontId="5" fillId="0" borderId="19" xfId="4" applyBorder="1" applyAlignment="1">
      <alignment horizontal="left"/>
    </xf>
    <xf numFmtId="0" fontId="11" fillId="3" borderId="22" xfId="4" applyFont="1" applyFill="1" applyBorder="1" applyAlignment="1">
      <alignment horizontal="left" vertical="center"/>
    </xf>
    <xf numFmtId="0" fontId="11" fillId="3" borderId="21" xfId="4" applyFont="1" applyFill="1" applyBorder="1" applyAlignment="1">
      <alignment horizontal="center" vertical="center"/>
    </xf>
    <xf numFmtId="2" fontId="11" fillId="3" borderId="21" xfId="4" applyNumberFormat="1" applyFont="1" applyFill="1" applyBorder="1" applyAlignment="1">
      <alignment horizontal="center" vertical="center"/>
    </xf>
    <xf numFmtId="0" fontId="5" fillId="3" borderId="21" xfId="4" applyFill="1" applyBorder="1"/>
    <xf numFmtId="2" fontId="54" fillId="3" borderId="21" xfId="4" applyNumberFormat="1" applyFont="1" applyFill="1" applyBorder="1" applyAlignment="1">
      <alignment horizontal="center" vertical="center"/>
    </xf>
    <xf numFmtId="2" fontId="56" fillId="3" borderId="23" xfId="4" applyNumberFormat="1" applyFont="1" applyFill="1" applyBorder="1" applyAlignment="1">
      <alignment horizontal="center" vertical="center"/>
    </xf>
    <xf numFmtId="0" fontId="5" fillId="0" borderId="28" xfId="4" applyBorder="1"/>
    <xf numFmtId="0" fontId="11" fillId="3" borderId="0" xfId="4" applyFont="1" applyFill="1" applyAlignment="1">
      <alignment horizontal="left" vertical="center"/>
    </xf>
    <xf numFmtId="0" fontId="11" fillId="3" borderId="0" xfId="4" applyFont="1" applyFill="1" applyAlignment="1">
      <alignment horizontal="center" vertical="center"/>
    </xf>
    <xf numFmtId="2" fontId="11" fillId="3" borderId="0" xfId="4" applyNumberFormat="1" applyFont="1" applyFill="1" applyAlignment="1">
      <alignment horizontal="center" vertical="center"/>
    </xf>
    <xf numFmtId="0" fontId="7" fillId="0" borderId="0" xfId="4" applyFont="1" applyAlignment="1">
      <alignment horizontal="left"/>
    </xf>
    <xf numFmtId="0" fontId="11" fillId="0" borderId="0" xfId="4" applyFont="1" applyAlignment="1">
      <alignment horizontal="left" vertical="center"/>
    </xf>
    <xf numFmtId="2" fontId="11" fillId="0" borderId="0" xfId="4" applyNumberFormat="1" applyFont="1" applyAlignment="1">
      <alignment horizontal="left" vertical="center"/>
    </xf>
    <xf numFmtId="0" fontId="126" fillId="3" borderId="0" xfId="4" applyFont="1" applyFill="1" applyAlignment="1">
      <alignment horizontal="left" vertical="center"/>
    </xf>
    <xf numFmtId="0" fontId="126" fillId="3" borderId="0" xfId="4" applyFont="1" applyFill="1" applyAlignment="1">
      <alignment horizontal="center" vertical="center"/>
    </xf>
    <xf numFmtId="2" fontId="126" fillId="3" borderId="0" xfId="4" applyNumberFormat="1" applyFont="1" applyFill="1" applyAlignment="1">
      <alignment horizontal="center" vertical="center"/>
    </xf>
    <xf numFmtId="0" fontId="128" fillId="3" borderId="0" xfId="4" applyFont="1" applyFill="1" applyAlignment="1">
      <alignment horizontal="left" wrapText="1"/>
    </xf>
    <xf numFmtId="0" fontId="15" fillId="3" borderId="0" xfId="4" applyFont="1" applyFill="1" applyAlignment="1">
      <alignment wrapText="1"/>
    </xf>
    <xf numFmtId="0" fontId="125" fillId="3" borderId="59" xfId="7" applyFont="1" applyFill="1" applyBorder="1" applyAlignment="1">
      <alignment horizontal="center" vertical="center" wrapText="1"/>
    </xf>
    <xf numFmtId="0" fontId="5" fillId="3" borderId="45" xfId="7" applyFill="1" applyBorder="1" applyAlignment="1">
      <alignment horizontal="center" vertical="center"/>
    </xf>
    <xf numFmtId="164" fontId="5" fillId="3" borderId="50" xfId="7" applyNumberFormat="1" applyFill="1" applyBorder="1" applyAlignment="1">
      <alignment horizontal="center" vertical="center"/>
    </xf>
    <xf numFmtId="2" fontId="5" fillId="3" borderId="50" xfId="7" applyNumberFormat="1" applyFill="1" applyBorder="1" applyAlignment="1">
      <alignment horizontal="center" vertical="center"/>
    </xf>
    <xf numFmtId="0" fontId="5" fillId="3" borderId="17" xfId="7" applyFill="1" applyBorder="1" applyAlignment="1">
      <alignment horizontal="center" vertical="center"/>
    </xf>
    <xf numFmtId="0" fontId="9" fillId="6" borderId="4" xfId="7" applyFont="1" applyFill="1" applyBorder="1"/>
    <xf numFmtId="0" fontId="9" fillId="6" borderId="5" xfId="7" applyFont="1" applyFill="1" applyBorder="1"/>
    <xf numFmtId="0" fontId="9" fillId="6" borderId="24" xfId="7" applyFont="1" applyFill="1" applyBorder="1"/>
    <xf numFmtId="0" fontId="9" fillId="16" borderId="4" xfId="7" applyFont="1" applyFill="1" applyBorder="1"/>
    <xf numFmtId="0" fontId="9" fillId="16" borderId="5" xfId="7" applyFont="1" applyFill="1" applyBorder="1" applyAlignment="1">
      <alignment horizontal="center" vertical="center"/>
    </xf>
    <xf numFmtId="0" fontId="8" fillId="16" borderId="5" xfId="7" applyFont="1" applyFill="1" applyBorder="1" applyAlignment="1">
      <alignment horizontal="center" vertical="center"/>
    </xf>
    <xf numFmtId="0" fontId="8" fillId="16" borderId="5" xfId="7" applyFont="1" applyFill="1" applyBorder="1" applyAlignment="1">
      <alignment vertical="center"/>
    </xf>
    <xf numFmtId="0" fontId="8" fillId="16" borderId="12" xfId="7" applyFont="1" applyFill="1" applyBorder="1" applyAlignment="1">
      <alignment horizontal="left" vertical="center"/>
    </xf>
    <xf numFmtId="0" fontId="8" fillId="16" borderId="2" xfId="7" applyFont="1" applyFill="1" applyBorder="1" applyAlignment="1">
      <alignment vertical="center"/>
    </xf>
    <xf numFmtId="0" fontId="8" fillId="16" borderId="14" xfId="7" applyFont="1" applyFill="1" applyBorder="1" applyAlignment="1">
      <alignment horizontal="center" vertical="center"/>
    </xf>
    <xf numFmtId="0" fontId="58" fillId="0" borderId="1" xfId="7" applyFont="1" applyBorder="1" applyAlignment="1">
      <alignment horizontal="center" vertical="center"/>
    </xf>
    <xf numFmtId="0" fontId="58" fillId="0" borderId="7" xfId="7" applyFont="1" applyBorder="1"/>
    <xf numFmtId="0" fontId="58" fillId="0" borderId="5" xfId="7" applyFont="1" applyBorder="1" applyAlignment="1">
      <alignment horizontal="left"/>
    </xf>
    <xf numFmtId="0" fontId="58" fillId="0" borderId="5" xfId="7" applyFont="1" applyBorder="1"/>
    <xf numFmtId="0" fontId="58" fillId="0" borderId="24" xfId="7" applyFont="1" applyBorder="1"/>
    <xf numFmtId="0" fontId="5" fillId="0" borderId="0" xfId="4" applyProtection="1">
      <protection locked="0"/>
    </xf>
    <xf numFmtId="0" fontId="8" fillId="16" borderId="2" xfId="7" applyFont="1" applyFill="1" applyBorder="1" applyAlignment="1">
      <alignment horizontal="right" vertical="center"/>
    </xf>
    <xf numFmtId="0" fontId="68" fillId="3" borderId="45" xfId="7" applyFont="1" applyFill="1" applyBorder="1"/>
    <xf numFmtId="0" fontId="68" fillId="3" borderId="55" xfId="7" applyFont="1" applyFill="1" applyBorder="1"/>
    <xf numFmtId="0" fontId="68" fillId="3" borderId="64" xfId="7" applyFont="1" applyFill="1" applyBorder="1"/>
    <xf numFmtId="0" fontId="9" fillId="3" borderId="0" xfId="7" applyFont="1" applyFill="1"/>
    <xf numFmtId="0" fontId="5" fillId="3" borderId="22" xfId="4" applyFill="1" applyBorder="1"/>
    <xf numFmtId="0" fontId="72" fillId="0" borderId="0" xfId="2" applyFont="1" applyBorder="1"/>
    <xf numFmtId="0" fontId="72" fillId="0" borderId="0" xfId="2" applyFont="1" applyBorder="1" applyAlignment="1">
      <alignment horizontal="right"/>
    </xf>
    <xf numFmtId="0" fontId="72" fillId="0" borderId="0" xfId="2" applyFont="1" applyBorder="1" applyAlignment="1">
      <alignment horizontal="center"/>
    </xf>
    <xf numFmtId="1" fontId="72" fillId="6" borderId="0" xfId="2" applyNumberFormat="1" applyFont="1" applyFill="1" applyBorder="1"/>
    <xf numFmtId="0" fontId="72" fillId="6" borderId="0" xfId="2" applyFont="1" applyFill="1" applyBorder="1" applyAlignment="1">
      <alignment horizontal="center"/>
    </xf>
    <xf numFmtId="1" fontId="72" fillId="0" borderId="0" xfId="2" applyNumberFormat="1" applyFont="1" applyBorder="1"/>
    <xf numFmtId="1" fontId="72" fillId="0" borderId="0" xfId="2" applyNumberFormat="1" applyFont="1" applyBorder="1" applyAlignment="1">
      <alignment horizontal="center"/>
    </xf>
    <xf numFmtId="168" fontId="72" fillId="0" borderId="0" xfId="2" applyNumberFormat="1" applyFont="1" applyBorder="1" applyAlignment="1">
      <alignment horizontal="right"/>
    </xf>
    <xf numFmtId="0" fontId="72" fillId="6" borderId="0" xfId="2" applyFont="1" applyFill="1" applyBorder="1"/>
    <xf numFmtId="0" fontId="129" fillId="0" borderId="5" xfId="0" applyFont="1" applyBorder="1" applyAlignment="1">
      <alignment horizontal="right"/>
    </xf>
    <xf numFmtId="0" fontId="70" fillId="2" borderId="0" xfId="0" applyFont="1" applyFill="1"/>
    <xf numFmtId="0" fontId="98" fillId="0" borderId="7" xfId="2" applyFont="1" applyBorder="1" applyAlignment="1">
      <alignment vertical="center"/>
    </xf>
    <xf numFmtId="164" fontId="61" fillId="0" borderId="0" xfId="2" applyNumberFormat="1" applyFont="1" applyAlignment="1">
      <alignment horizontal="right"/>
    </xf>
    <xf numFmtId="0" fontId="8" fillId="0" borderId="0" xfId="2" applyFont="1" applyBorder="1" applyAlignment="1">
      <alignment horizontal="center"/>
    </xf>
    <xf numFmtId="0" fontId="27" fillId="0" borderId="0" xfId="0" applyFont="1" applyAlignment="1">
      <alignment vertical="center"/>
    </xf>
    <xf numFmtId="0" fontId="5" fillId="0" borderId="7" xfId="2" applyBorder="1" applyAlignment="1">
      <alignment vertical="center"/>
    </xf>
    <xf numFmtId="175" fontId="0" fillId="0" borderId="2" xfId="0" applyNumberFormat="1" applyBorder="1" applyAlignment="1">
      <alignment horizontal="center"/>
    </xf>
    <xf numFmtId="0" fontId="5" fillId="0" borderId="11" xfId="2" applyBorder="1" applyAlignment="1">
      <alignment vertical="center"/>
    </xf>
    <xf numFmtId="0" fontId="0" fillId="0" borderId="10" xfId="0" applyBorder="1"/>
    <xf numFmtId="0" fontId="0" fillId="0" borderId="34" xfId="0" applyBorder="1"/>
    <xf numFmtId="0" fontId="5" fillId="3" borderId="18" xfId="0" applyFont="1" applyFill="1" applyBorder="1" applyAlignment="1">
      <alignment vertical="center"/>
    </xf>
    <xf numFmtId="0" fontId="0" fillId="0" borderId="18" xfId="0" applyBorder="1"/>
    <xf numFmtId="176" fontId="0" fillId="0" borderId="2" xfId="0" applyNumberFormat="1" applyBorder="1" applyAlignment="1">
      <alignment horizontal="center"/>
    </xf>
    <xf numFmtId="0" fontId="66" fillId="0" borderId="2" xfId="0" applyFont="1" applyBorder="1" applyAlignment="1">
      <alignment horizontal="center" vertical="center" wrapText="1"/>
    </xf>
    <xf numFmtId="0" fontId="66" fillId="0" borderId="2" xfId="0" applyFont="1" applyBorder="1" applyAlignment="1">
      <alignment horizontal="center" vertical="center"/>
    </xf>
    <xf numFmtId="0" fontId="60" fillId="0" borderId="0" xfId="0" applyFont="1" applyAlignment="1" applyProtection="1">
      <alignment horizontal="left"/>
      <protection locked="0"/>
    </xf>
    <xf numFmtId="0" fontId="91" fillId="0" borderId="8" xfId="0" applyFont="1" applyBorder="1" applyAlignment="1">
      <alignment horizontal="center" vertical="top"/>
    </xf>
    <xf numFmtId="0" fontId="119" fillId="0" borderId="0" xfId="2" applyFont="1" applyAlignment="1">
      <alignment horizontal="center"/>
    </xf>
    <xf numFmtId="0" fontId="2" fillId="0" borderId="0" xfId="2" applyFont="1"/>
    <xf numFmtId="165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2" applyFont="1" applyProtection="1">
      <protection locked="0"/>
    </xf>
    <xf numFmtId="165" fontId="2" fillId="0" borderId="0" xfId="0" applyNumberFormat="1" applyFont="1" applyAlignment="1" applyProtection="1">
      <alignment horizontal="center" vertical="center"/>
      <protection locked="0"/>
    </xf>
    <xf numFmtId="165" fontId="2" fillId="0" borderId="0" xfId="2" applyNumberFormat="1" applyFont="1" applyAlignment="1" applyProtection="1">
      <alignment horizontal="center"/>
      <protection locked="0"/>
    </xf>
    <xf numFmtId="0" fontId="66" fillId="0" borderId="2" xfId="0" applyFont="1" applyBorder="1" applyAlignment="1">
      <alignment horizontal="center" vertical="center" wrapText="1"/>
    </xf>
    <xf numFmtId="2" fontId="91" fillId="0" borderId="2" xfId="0" applyNumberFormat="1" applyFont="1" applyBorder="1" applyAlignment="1">
      <alignment horizontal="center"/>
    </xf>
    <xf numFmtId="0" fontId="66" fillId="0" borderId="2" xfId="0" applyFont="1" applyBorder="1" applyAlignment="1">
      <alignment horizontal="center" vertical="center"/>
    </xf>
    <xf numFmtId="0" fontId="66" fillId="3" borderId="0" xfId="0" applyFont="1" applyFill="1" applyAlignment="1" applyProtection="1">
      <alignment horizontal="left" vertical="center"/>
      <protection locked="0"/>
    </xf>
    <xf numFmtId="1" fontId="30" fillId="0" borderId="2" xfId="0" applyNumberFormat="1" applyFont="1" applyBorder="1" applyAlignment="1">
      <alignment horizontal="center" vertical="center"/>
    </xf>
    <xf numFmtId="0" fontId="8" fillId="3" borderId="0" xfId="0" applyFont="1" applyFill="1" applyBorder="1"/>
    <xf numFmtId="0" fontId="11" fillId="3" borderId="0" xfId="0" applyFont="1" applyFill="1" applyBorder="1" applyAlignment="1">
      <alignment horizontal="center" vertical="center"/>
    </xf>
    <xf numFmtId="0" fontId="11" fillId="3" borderId="0" xfId="0" applyFont="1" applyFill="1" applyBorder="1" applyAlignment="1">
      <alignment horizontal="center"/>
    </xf>
    <xf numFmtId="2" fontId="11" fillId="3" borderId="0" xfId="0" applyNumberFormat="1" applyFont="1" applyFill="1" applyBorder="1" applyAlignment="1">
      <alignment horizontal="center"/>
    </xf>
    <xf numFmtId="2" fontId="11" fillId="3" borderId="0" xfId="0" applyNumberFormat="1" applyFont="1" applyFill="1" applyBorder="1" applyAlignment="1">
      <alignment horizontal="center" vertical="center"/>
    </xf>
    <xf numFmtId="165" fontId="11" fillId="3" borderId="0" xfId="0" applyNumberFormat="1" applyFont="1" applyFill="1" applyBorder="1" applyAlignment="1">
      <alignment horizontal="center"/>
    </xf>
    <xf numFmtId="164" fontId="62" fillId="3" borderId="2" xfId="2" applyNumberFormat="1" applyFont="1" applyFill="1" applyBorder="1" applyAlignment="1" applyProtection="1">
      <alignment horizontal="center" vertical="center"/>
      <protection locked="0"/>
    </xf>
    <xf numFmtId="164" fontId="62" fillId="3" borderId="30" xfId="2" applyNumberFormat="1" applyFont="1" applyFill="1" applyBorder="1" applyAlignment="1" applyProtection="1">
      <alignment horizontal="center" vertical="center"/>
      <protection locked="0"/>
    </xf>
    <xf numFmtId="164" fontId="62" fillId="3" borderId="7" xfId="2" applyNumberFormat="1" applyFont="1" applyFill="1" applyBorder="1" applyAlignment="1" applyProtection="1">
      <alignment horizontal="center" vertical="center"/>
      <protection locked="0"/>
    </xf>
    <xf numFmtId="164" fontId="62" fillId="0" borderId="7" xfId="2" applyNumberFormat="1" applyFont="1" applyBorder="1" applyAlignment="1" applyProtection="1">
      <alignment horizontal="right" vertical="center"/>
      <protection locked="0"/>
    </xf>
    <xf numFmtId="165" fontId="62" fillId="0" borderId="7" xfId="2" applyNumberFormat="1" applyFont="1" applyBorder="1" applyAlignment="1" applyProtection="1">
      <alignment horizontal="right" vertical="center"/>
      <protection locked="0"/>
    </xf>
    <xf numFmtId="164" fontId="62" fillId="3" borderId="7" xfId="0" quotePrefix="1" applyNumberFormat="1" applyFont="1" applyFill="1" applyBorder="1" applyAlignment="1" applyProtection="1">
      <alignment horizontal="right" vertical="center"/>
      <protection locked="0"/>
    </xf>
    <xf numFmtId="0" fontId="130" fillId="0" borderId="2" xfId="0" quotePrefix="1" applyFont="1" applyBorder="1" applyAlignment="1" applyProtection="1">
      <alignment horizontal="center" vertical="center"/>
      <protection locked="0"/>
    </xf>
    <xf numFmtId="0" fontId="62" fillId="0" borderId="2" xfId="0" applyFont="1" applyBorder="1" applyAlignment="1">
      <alignment horizontal="center" vertical="center"/>
    </xf>
    <xf numFmtId="164" fontId="62" fillId="3" borderId="2" xfId="0" applyNumberFormat="1" applyFont="1" applyFill="1" applyBorder="1" applyAlignment="1" applyProtection="1">
      <alignment horizontal="center"/>
      <protection locked="0"/>
    </xf>
    <xf numFmtId="164" fontId="62" fillId="3" borderId="7" xfId="0" applyNumberFormat="1" applyFont="1" applyFill="1" applyBorder="1" applyAlignment="1" applyProtection="1">
      <alignment horizontal="center"/>
      <protection locked="0"/>
    </xf>
    <xf numFmtId="0" fontId="1" fillId="0" borderId="0" xfId="0" applyFont="1" applyAlignment="1" applyProtection="1">
      <alignment horizontal="left"/>
      <protection locked="0"/>
    </xf>
    <xf numFmtId="0" fontId="1" fillId="0" borderId="12" xfId="0" applyFont="1" applyBorder="1" applyAlignment="1">
      <alignment horizontal="left"/>
    </xf>
    <xf numFmtId="0" fontId="1" fillId="0" borderId="12" xfId="0" applyFont="1" applyBorder="1" applyAlignment="1">
      <alignment horizontal="center"/>
    </xf>
    <xf numFmtId="0" fontId="1" fillId="0" borderId="0" xfId="2" applyFont="1" applyAlignment="1">
      <alignment vertical="center"/>
    </xf>
    <xf numFmtId="0" fontId="66" fillId="2" borderId="0" xfId="0" applyFont="1" applyFill="1" applyAlignment="1">
      <alignment horizontal="left"/>
    </xf>
    <xf numFmtId="0" fontId="66" fillId="0" borderId="0" xfId="0" applyFont="1" applyAlignment="1" applyProtection="1">
      <alignment horizontal="left"/>
      <protection locked="0"/>
    </xf>
    <xf numFmtId="0" fontId="1" fillId="0" borderId="0" xfId="0" applyFont="1" applyProtection="1">
      <protection locked="0"/>
    </xf>
    <xf numFmtId="0" fontId="1" fillId="0" borderId="0" xfId="2" applyFont="1"/>
    <xf numFmtId="0" fontId="30" fillId="0" borderId="2" xfId="0" applyFont="1" applyBorder="1" applyAlignment="1">
      <alignment horizontal="center" vertical="center"/>
    </xf>
    <xf numFmtId="0" fontId="62" fillId="0" borderId="0" xfId="2" applyFont="1" applyProtection="1">
      <protection locked="0"/>
    </xf>
    <xf numFmtId="0" fontId="61" fillId="0" borderId="0" xfId="2" applyFont="1" applyAlignment="1">
      <alignment horizontal="right"/>
    </xf>
    <xf numFmtId="0" fontId="7" fillId="3" borderId="0" xfId="0" applyFont="1" applyFill="1" applyBorder="1" applyAlignment="1">
      <alignment horizontal="center" vertical="center"/>
    </xf>
    <xf numFmtId="0" fontId="12" fillId="3" borderId="0" xfId="0" applyFont="1" applyFill="1" applyBorder="1" applyAlignment="1">
      <alignment horizontal="center" vertical="center"/>
    </xf>
    <xf numFmtId="0" fontId="26" fillId="3" borderId="46" xfId="0" applyFont="1" applyFill="1" applyBorder="1" applyAlignment="1">
      <alignment horizontal="center" vertical="center"/>
    </xf>
    <xf numFmtId="0" fontId="26" fillId="3" borderId="47" xfId="0" applyFont="1" applyFill="1" applyBorder="1" applyAlignment="1">
      <alignment horizontal="center" vertical="center"/>
    </xf>
    <xf numFmtId="0" fontId="26" fillId="3" borderId="58" xfId="0" applyFont="1" applyFill="1" applyBorder="1" applyAlignment="1">
      <alignment horizontal="center" vertical="center"/>
    </xf>
    <xf numFmtId="0" fontId="58" fillId="0" borderId="26" xfId="0" applyFont="1" applyBorder="1" applyAlignment="1">
      <alignment horizontal="center"/>
    </xf>
    <xf numFmtId="0" fontId="58" fillId="0" borderId="27" xfId="0" applyFont="1" applyBorder="1" applyAlignment="1">
      <alignment horizontal="center"/>
    </xf>
    <xf numFmtId="0" fontId="58" fillId="0" borderId="37" xfId="0" applyFont="1" applyBorder="1" applyAlignment="1">
      <alignment horizontal="center"/>
    </xf>
    <xf numFmtId="0" fontId="7" fillId="3" borderId="46" xfId="0" applyFont="1" applyFill="1" applyBorder="1" applyAlignment="1">
      <alignment horizontal="center" vertical="center"/>
    </xf>
    <xf numFmtId="0" fontId="7" fillId="3" borderId="47" xfId="0" applyFont="1" applyFill="1" applyBorder="1" applyAlignment="1">
      <alignment horizontal="center" vertical="center"/>
    </xf>
    <xf numFmtId="0" fontId="7" fillId="3" borderId="58" xfId="0" applyFont="1" applyFill="1" applyBorder="1" applyAlignment="1">
      <alignment horizontal="center" vertical="center"/>
    </xf>
    <xf numFmtId="0" fontId="0" fillId="0" borderId="45" xfId="0" applyBorder="1" applyAlignment="1">
      <alignment horizontal="left" vertical="center"/>
    </xf>
    <xf numFmtId="0" fontId="0" fillId="0" borderId="55" xfId="0" applyBorder="1" applyAlignment="1">
      <alignment horizontal="left" vertical="center"/>
    </xf>
    <xf numFmtId="0" fontId="0" fillId="0" borderId="64" xfId="0" applyBorder="1" applyAlignment="1">
      <alignment horizontal="left" vertical="center"/>
    </xf>
    <xf numFmtId="0" fontId="8" fillId="15" borderId="67" xfId="0" applyFont="1" applyFill="1" applyBorder="1" applyAlignment="1">
      <alignment horizontal="center" vertical="center" wrapText="1"/>
    </xf>
    <xf numFmtId="0" fontId="8" fillId="15" borderId="51" xfId="0" applyFont="1" applyFill="1" applyBorder="1" applyAlignment="1">
      <alignment horizontal="center" vertical="center" wrapText="1"/>
    </xf>
    <xf numFmtId="0" fontId="8" fillId="15" borderId="71" xfId="0" applyFont="1" applyFill="1" applyBorder="1" applyAlignment="1">
      <alignment horizontal="center" vertical="center" wrapText="1"/>
    </xf>
    <xf numFmtId="0" fontId="11" fillId="3" borderId="7" xfId="4" applyFont="1" applyFill="1" applyBorder="1" applyAlignment="1">
      <alignment horizontal="center" vertical="center" wrapText="1"/>
    </xf>
    <xf numFmtId="0" fontId="11" fillId="3" borderId="5" xfId="4" applyFont="1" applyFill="1" applyBorder="1" applyAlignment="1">
      <alignment horizontal="center" vertical="center" wrapText="1"/>
    </xf>
    <xf numFmtId="0" fontId="11" fillId="3" borderId="33" xfId="4" applyFont="1" applyFill="1" applyBorder="1" applyAlignment="1">
      <alignment horizontal="center" vertical="center" wrapText="1"/>
    </xf>
    <xf numFmtId="0" fontId="11" fillId="3" borderId="0" xfId="4" applyFont="1" applyFill="1" applyAlignment="1">
      <alignment horizontal="left" vertical="center" wrapText="1"/>
    </xf>
    <xf numFmtId="0" fontId="50" fillId="3" borderId="7" xfId="0" applyFont="1" applyFill="1" applyBorder="1" applyAlignment="1">
      <alignment horizontal="center" vertical="center"/>
    </xf>
    <xf numFmtId="0" fontId="50" fillId="3" borderId="5" xfId="0" applyFont="1" applyFill="1" applyBorder="1" applyAlignment="1">
      <alignment horizontal="center" vertical="center"/>
    </xf>
    <xf numFmtId="0" fontId="50" fillId="3" borderId="12" xfId="0" applyFont="1" applyFill="1" applyBorder="1" applyAlignment="1">
      <alignment horizontal="center" vertical="center"/>
    </xf>
    <xf numFmtId="0" fontId="50" fillId="3" borderId="30" xfId="0" applyFont="1" applyFill="1" applyBorder="1" applyAlignment="1">
      <alignment horizontal="center" vertical="center"/>
    </xf>
    <xf numFmtId="0" fontId="50" fillId="3" borderId="18" xfId="0" applyFont="1" applyFill="1" applyBorder="1" applyAlignment="1">
      <alignment horizontal="center" vertical="center"/>
    </xf>
    <xf numFmtId="0" fontId="50" fillId="3" borderId="2" xfId="0" applyFont="1" applyFill="1" applyBorder="1" applyAlignment="1">
      <alignment horizontal="center" vertical="center"/>
    </xf>
    <xf numFmtId="0" fontId="50" fillId="3" borderId="2" xfId="0" applyFont="1" applyFill="1" applyBorder="1" applyAlignment="1">
      <alignment horizontal="center" vertical="center" wrapText="1"/>
    </xf>
    <xf numFmtId="0" fontId="20" fillId="3" borderId="0" xfId="0" applyFont="1" applyFill="1" applyAlignment="1">
      <alignment horizontal="center" vertical="center"/>
    </xf>
    <xf numFmtId="0" fontId="20" fillId="3" borderId="0" xfId="0" applyFont="1" applyFill="1" applyAlignment="1">
      <alignment horizontal="center" vertical="center" wrapText="1"/>
    </xf>
    <xf numFmtId="0" fontId="8" fillId="15" borderId="67" xfId="0" applyFont="1" applyFill="1" applyBorder="1" applyAlignment="1">
      <alignment horizontal="center" vertical="center"/>
    </xf>
    <xf numFmtId="0" fontId="8" fillId="15" borderId="51" xfId="0" applyFont="1" applyFill="1" applyBorder="1" applyAlignment="1">
      <alignment horizontal="center" vertical="center"/>
    </xf>
    <xf numFmtId="0" fontId="8" fillId="15" borderId="71" xfId="0" applyFont="1" applyFill="1" applyBorder="1" applyAlignment="1">
      <alignment horizontal="center" vertical="center"/>
    </xf>
    <xf numFmtId="0" fontId="8" fillId="15" borderId="40" xfId="0" applyFont="1" applyFill="1" applyBorder="1" applyAlignment="1">
      <alignment horizontal="center" vertical="center" wrapText="1"/>
    </xf>
    <xf numFmtId="0" fontId="8" fillId="15" borderId="1" xfId="0" applyFont="1" applyFill="1" applyBorder="1" applyAlignment="1">
      <alignment horizontal="center" vertical="center" wrapText="1"/>
    </xf>
    <xf numFmtId="0" fontId="8" fillId="15" borderId="42" xfId="0" applyFont="1" applyFill="1" applyBorder="1" applyAlignment="1">
      <alignment horizontal="center" vertical="center" wrapText="1"/>
    </xf>
    <xf numFmtId="0" fontId="8" fillId="3" borderId="40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8" fillId="3" borderId="15" xfId="0" applyFont="1" applyFill="1" applyBorder="1" applyAlignment="1">
      <alignment horizontal="center" vertical="center" wrapText="1"/>
    </xf>
    <xf numFmtId="0" fontId="8" fillId="15" borderId="15" xfId="0" applyFont="1" applyFill="1" applyBorder="1" applyAlignment="1">
      <alignment horizontal="center" vertical="center" wrapText="1"/>
    </xf>
    <xf numFmtId="0" fontId="5" fillId="0" borderId="40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50" fillId="15" borderId="41" xfId="0" applyFont="1" applyFill="1" applyBorder="1" applyAlignment="1">
      <alignment horizontal="center" vertical="center" wrapText="1"/>
    </xf>
    <xf numFmtId="0" fontId="50" fillId="15" borderId="2" xfId="0" applyFont="1" applyFill="1" applyBorder="1" applyAlignment="1">
      <alignment horizontal="center" vertical="center" wrapText="1"/>
    </xf>
    <xf numFmtId="0" fontId="15" fillId="0" borderId="38" xfId="0" applyFont="1" applyBorder="1" applyAlignment="1">
      <alignment horizontal="center" vertical="center" wrapText="1"/>
    </xf>
    <xf numFmtId="0" fontId="15" fillId="0" borderId="14" xfId="0" applyFont="1" applyBorder="1" applyAlignment="1">
      <alignment horizontal="center" vertical="center" wrapText="1"/>
    </xf>
    <xf numFmtId="0" fontId="50" fillId="15" borderId="30" xfId="0" applyFont="1" applyFill="1" applyBorder="1" applyAlignment="1">
      <alignment horizontal="center" vertical="center" wrapText="1"/>
    </xf>
    <xf numFmtId="0" fontId="7" fillId="15" borderId="40" xfId="0" applyFont="1" applyFill="1" applyBorder="1" applyAlignment="1">
      <alignment horizontal="center" vertical="center" wrapText="1"/>
    </xf>
    <xf numFmtId="0" fontId="7" fillId="15" borderId="1" xfId="0" applyFont="1" applyFill="1" applyBorder="1" applyAlignment="1">
      <alignment horizontal="center" vertical="center" wrapText="1"/>
    </xf>
    <xf numFmtId="0" fontId="7" fillId="15" borderId="41" xfId="0" applyFont="1" applyFill="1" applyBorder="1" applyAlignment="1">
      <alignment horizontal="center" vertical="center" wrapText="1"/>
    </xf>
    <xf numFmtId="0" fontId="7" fillId="15" borderId="2" xfId="0" applyFont="1" applyFill="1" applyBorder="1" applyAlignment="1">
      <alignment horizontal="center" vertical="center" wrapText="1"/>
    </xf>
    <xf numFmtId="0" fontId="50" fillId="15" borderId="41" xfId="0" applyFont="1" applyFill="1" applyBorder="1" applyAlignment="1">
      <alignment horizontal="center" vertical="center"/>
    </xf>
    <xf numFmtId="0" fontId="50" fillId="15" borderId="2" xfId="0" applyFont="1" applyFill="1" applyBorder="1" applyAlignment="1">
      <alignment horizontal="center" vertical="center"/>
    </xf>
    <xf numFmtId="0" fontId="50" fillId="15" borderId="43" xfId="0" applyFont="1" applyFill="1" applyBorder="1" applyAlignment="1">
      <alignment horizontal="center" vertical="center"/>
    </xf>
    <xf numFmtId="0" fontId="50" fillId="15" borderId="3" xfId="0" applyFont="1" applyFill="1" applyBorder="1" applyAlignment="1">
      <alignment horizontal="center" vertical="center"/>
    </xf>
    <xf numFmtId="0" fontId="50" fillId="15" borderId="18" xfId="0" applyFont="1" applyFill="1" applyBorder="1" applyAlignment="1">
      <alignment horizontal="center" vertical="center"/>
    </xf>
    <xf numFmtId="0" fontId="13" fillId="11" borderId="4" xfId="4" applyFont="1" applyFill="1" applyBorder="1" applyAlignment="1">
      <alignment horizontal="center"/>
    </xf>
    <xf numFmtId="0" fontId="13" fillId="11" borderId="5" xfId="4" applyFont="1" applyFill="1" applyBorder="1" applyAlignment="1">
      <alignment horizontal="center"/>
    </xf>
    <xf numFmtId="0" fontId="13" fillId="11" borderId="12" xfId="4" applyFont="1" applyFill="1" applyBorder="1" applyAlignment="1">
      <alignment horizontal="center"/>
    </xf>
    <xf numFmtId="0" fontId="20" fillId="3" borderId="2" xfId="0" applyFont="1" applyFill="1" applyBorder="1" applyAlignment="1">
      <alignment horizontal="center" vertical="center"/>
    </xf>
    <xf numFmtId="0" fontId="20" fillId="3" borderId="2" xfId="0" applyFont="1" applyFill="1" applyBorder="1" applyAlignment="1">
      <alignment horizontal="center" vertical="center" wrapText="1"/>
    </xf>
    <xf numFmtId="0" fontId="20" fillId="3" borderId="7" xfId="0" applyFont="1" applyFill="1" applyBorder="1" applyAlignment="1">
      <alignment horizontal="center" vertical="center"/>
    </xf>
    <xf numFmtId="0" fontId="20" fillId="3" borderId="5" xfId="0" applyFont="1" applyFill="1" applyBorder="1" applyAlignment="1">
      <alignment horizontal="center" vertical="center"/>
    </xf>
    <xf numFmtId="0" fontId="20" fillId="3" borderId="12" xfId="0" applyFont="1" applyFill="1" applyBorder="1" applyAlignment="1">
      <alignment horizontal="center" vertical="center"/>
    </xf>
    <xf numFmtId="2" fontId="0" fillId="4" borderId="22" xfId="0" applyNumberFormat="1" applyFill="1" applyBorder="1" applyAlignment="1">
      <alignment horizontal="center" vertical="center"/>
    </xf>
    <xf numFmtId="2" fontId="0" fillId="4" borderId="21" xfId="0" applyNumberFormat="1" applyFill="1" applyBorder="1" applyAlignment="1">
      <alignment horizontal="center" vertical="center"/>
    </xf>
    <xf numFmtId="2" fontId="0" fillId="4" borderId="23" xfId="0" applyNumberFormat="1" applyFill="1" applyBorder="1" applyAlignment="1">
      <alignment horizontal="center" vertical="center"/>
    </xf>
    <xf numFmtId="0" fontId="7" fillId="15" borderId="42" xfId="0" applyFont="1" applyFill="1" applyBorder="1" applyAlignment="1">
      <alignment horizontal="center" vertical="center" wrapText="1"/>
    </xf>
    <xf numFmtId="0" fontId="7" fillId="15" borderId="43" xfId="0" applyFont="1" applyFill="1" applyBorder="1" applyAlignment="1">
      <alignment horizontal="center" vertical="center" wrapText="1"/>
    </xf>
    <xf numFmtId="0" fontId="7" fillId="15" borderId="3" xfId="0" applyFont="1" applyFill="1" applyBorder="1" applyAlignment="1">
      <alignment horizontal="center" vertical="center" wrapText="1"/>
    </xf>
    <xf numFmtId="0" fontId="7" fillId="15" borderId="56" xfId="0" applyFont="1" applyFill="1" applyBorder="1" applyAlignment="1">
      <alignment horizontal="center" vertical="center" wrapText="1"/>
    </xf>
    <xf numFmtId="0" fontId="50" fillId="15" borderId="56" xfId="0" applyFont="1" applyFill="1" applyBorder="1" applyAlignment="1">
      <alignment horizontal="center" vertical="center"/>
    </xf>
    <xf numFmtId="0" fontId="13" fillId="11" borderId="7" xfId="4" applyFont="1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34" xfId="0" applyFill="1" applyBorder="1" applyAlignment="1">
      <alignment horizontal="center"/>
    </xf>
    <xf numFmtId="0" fontId="8" fillId="3" borderId="11" xfId="0" applyFont="1" applyFill="1" applyBorder="1" applyAlignment="1">
      <alignment horizontal="center"/>
    </xf>
    <xf numFmtId="0" fontId="8" fillId="3" borderId="10" xfId="0" applyFont="1" applyFill="1" applyBorder="1" applyAlignment="1">
      <alignment horizontal="center"/>
    </xf>
    <xf numFmtId="0" fontId="8" fillId="3" borderId="34" xfId="0" applyFont="1" applyFill="1" applyBorder="1" applyAlignment="1">
      <alignment horizontal="center"/>
    </xf>
    <xf numFmtId="0" fontId="20" fillId="3" borderId="14" xfId="0" applyFont="1" applyFill="1" applyBorder="1" applyAlignment="1">
      <alignment horizontal="center" vertical="center" wrapText="1"/>
    </xf>
    <xf numFmtId="0" fontId="31" fillId="11" borderId="1" xfId="4" applyFont="1" applyFill="1" applyBorder="1" applyAlignment="1">
      <alignment horizontal="center"/>
    </xf>
    <xf numFmtId="0" fontId="31" fillId="11" borderId="12" xfId="4" applyFont="1" applyFill="1" applyBorder="1" applyAlignment="1">
      <alignment horizontal="center"/>
    </xf>
    <xf numFmtId="0" fontId="31" fillId="11" borderId="2" xfId="4" applyFont="1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8" fillId="3" borderId="7" xfId="0" applyFont="1" applyFill="1" applyBorder="1" applyAlignment="1">
      <alignment horizontal="center"/>
    </xf>
    <xf numFmtId="0" fontId="8" fillId="3" borderId="5" xfId="0" applyFont="1" applyFill="1" applyBorder="1" applyAlignment="1">
      <alignment horizontal="center"/>
    </xf>
    <xf numFmtId="0" fontId="8" fillId="3" borderId="12" xfId="0" applyFont="1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24" xfId="0" applyFill="1" applyBorder="1" applyAlignment="1">
      <alignment horizontal="center"/>
    </xf>
    <xf numFmtId="0" fontId="12" fillId="4" borderId="35" xfId="0" applyFont="1" applyFill="1" applyBorder="1" applyAlignment="1">
      <alignment horizontal="center" vertical="center"/>
    </xf>
    <xf numFmtId="0" fontId="12" fillId="4" borderId="28" xfId="0" applyFont="1" applyFill="1" applyBorder="1" applyAlignment="1">
      <alignment horizontal="center" vertical="center"/>
    </xf>
    <xf numFmtId="0" fontId="12" fillId="4" borderId="29" xfId="0" applyFont="1" applyFill="1" applyBorder="1" applyAlignment="1">
      <alignment horizontal="center" vertical="center"/>
    </xf>
    <xf numFmtId="0" fontId="31" fillId="11" borderId="1" xfId="4" applyFont="1" applyFill="1" applyBorder="1" applyAlignment="1">
      <alignment horizontal="center" vertical="center"/>
    </xf>
    <xf numFmtId="0" fontId="31" fillId="11" borderId="12" xfId="4" applyFont="1" applyFill="1" applyBorder="1" applyAlignment="1">
      <alignment horizontal="center" vertical="center"/>
    </xf>
    <xf numFmtId="0" fontId="31" fillId="11" borderId="2" xfId="4" applyFont="1" applyFill="1" applyBorder="1" applyAlignment="1">
      <alignment horizontal="center" vertical="center"/>
    </xf>
    <xf numFmtId="0" fontId="13" fillId="0" borderId="7" xfId="10" applyFont="1" applyBorder="1" applyAlignment="1">
      <alignment horizontal="left" vertical="top" wrapText="1"/>
    </xf>
    <xf numFmtId="0" fontId="13" fillId="0" borderId="5" xfId="10" applyFont="1" applyBorder="1" applyAlignment="1">
      <alignment horizontal="left" vertical="top" wrapText="1"/>
    </xf>
    <xf numFmtId="0" fontId="101" fillId="0" borderId="0" xfId="10" applyFont="1" applyAlignment="1" applyProtection="1">
      <alignment horizontal="center" vertical="center"/>
      <protection locked="0"/>
    </xf>
    <xf numFmtId="170" fontId="103" fillId="0" borderId="0" xfId="10" quotePrefix="1" applyNumberFormat="1" applyFont="1" applyAlignment="1" applyProtection="1">
      <alignment horizontal="center" vertical="center"/>
      <protection locked="0"/>
    </xf>
    <xf numFmtId="170" fontId="103" fillId="0" borderId="0" xfId="10" applyNumberFormat="1" applyFont="1" applyAlignment="1" applyProtection="1">
      <alignment horizontal="center" vertical="center"/>
      <protection locked="0"/>
    </xf>
    <xf numFmtId="0" fontId="13" fillId="0" borderId="0" xfId="10" applyFont="1" applyAlignment="1">
      <alignment horizontal="center"/>
    </xf>
    <xf numFmtId="0" fontId="73" fillId="0" borderId="0" xfId="10" applyFont="1" applyAlignment="1">
      <alignment horizontal="right" vertical="center"/>
    </xf>
    <xf numFmtId="0" fontId="75" fillId="0" borderId="0" xfId="10" applyFont="1" applyAlignment="1">
      <alignment horizontal="center"/>
    </xf>
    <xf numFmtId="0" fontId="103" fillId="0" borderId="0" xfId="10" quotePrefix="1" applyFont="1" applyAlignment="1" applyProtection="1">
      <alignment horizontal="left"/>
      <protection locked="0"/>
    </xf>
    <xf numFmtId="0" fontId="13" fillId="0" borderId="0" xfId="10" applyFont="1" applyAlignment="1">
      <alignment horizontal="left" vertical="center" wrapText="1"/>
    </xf>
    <xf numFmtId="1" fontId="13" fillId="0" borderId="0" xfId="10" applyNumberFormat="1" applyFont="1" applyAlignment="1">
      <alignment horizontal="left" vertical="center" wrapText="1"/>
    </xf>
    <xf numFmtId="0" fontId="104" fillId="0" borderId="0" xfId="10" quotePrefix="1" applyFont="1" applyAlignment="1" applyProtection="1">
      <alignment horizontal="left" vertical="center" wrapText="1"/>
      <protection locked="0"/>
    </xf>
    <xf numFmtId="11" fontId="103" fillId="0" borderId="0" xfId="10" quotePrefix="1" applyNumberFormat="1" applyFont="1" applyAlignment="1" applyProtection="1">
      <alignment horizontal="left"/>
      <protection locked="0"/>
    </xf>
    <xf numFmtId="0" fontId="103" fillId="0" borderId="0" xfId="10" applyFont="1" applyAlignment="1" applyProtection="1">
      <alignment horizontal="left"/>
      <protection locked="0"/>
    </xf>
    <xf numFmtId="0" fontId="13" fillId="0" borderId="0" xfId="10" applyFont="1" applyAlignment="1" applyProtection="1">
      <alignment horizontal="left" vertical="center" wrapText="1"/>
      <protection locked="0"/>
    </xf>
    <xf numFmtId="170" fontId="13" fillId="0" borderId="0" xfId="10" applyNumberFormat="1" applyFont="1" applyAlignment="1">
      <alignment horizontal="left" vertical="center" wrapText="1"/>
    </xf>
    <xf numFmtId="0" fontId="104" fillId="0" borderId="0" xfId="10" applyFont="1" applyAlignment="1" applyProtection="1">
      <alignment horizontal="left" vertical="center" wrapText="1"/>
      <protection locked="0"/>
    </xf>
    <xf numFmtId="0" fontId="13" fillId="0" borderId="0" xfId="10" applyFont="1" applyAlignment="1" applyProtection="1">
      <alignment horizontal="left" vertical="top" wrapText="1"/>
      <protection locked="0"/>
    </xf>
    <xf numFmtId="0" fontId="13" fillId="0" borderId="0" xfId="10" applyFont="1" applyAlignment="1" applyProtection="1">
      <alignment horizontal="justify" vertical="top" wrapText="1"/>
      <protection locked="0"/>
    </xf>
    <xf numFmtId="174" fontId="103" fillId="0" borderId="0" xfId="10" quotePrefix="1" applyNumberFormat="1" applyFont="1" applyAlignment="1" applyProtection="1">
      <alignment horizontal="left" vertical="center"/>
      <protection locked="0"/>
    </xf>
    <xf numFmtId="174" fontId="103" fillId="0" borderId="0" xfId="10" applyNumberFormat="1" applyFont="1" applyAlignment="1" applyProtection="1">
      <alignment horizontal="left" vertical="center"/>
      <protection locked="0"/>
    </xf>
    <xf numFmtId="1" fontId="13" fillId="0" borderId="0" xfId="10" applyNumberFormat="1" applyFont="1" applyAlignment="1">
      <alignment horizontal="left" vertical="top" wrapText="1"/>
    </xf>
    <xf numFmtId="0" fontId="13" fillId="0" borderId="0" xfId="10" applyFont="1" applyAlignment="1">
      <alignment horizontal="left" vertical="top" wrapText="1"/>
    </xf>
    <xf numFmtId="0" fontId="100" fillId="0" borderId="0" xfId="10" applyFont="1" applyAlignment="1">
      <alignment horizontal="center"/>
    </xf>
    <xf numFmtId="0" fontId="13" fillId="6" borderId="0" xfId="10" applyFont="1" applyFill="1" applyAlignment="1">
      <alignment horizontal="justify" vertical="center" wrapText="1"/>
    </xf>
    <xf numFmtId="0" fontId="9" fillId="0" borderId="0" xfId="10" applyFont="1" applyAlignment="1">
      <alignment horizontal="left" vertical="center" wrapText="1"/>
    </xf>
    <xf numFmtId="170" fontId="13" fillId="0" borderId="0" xfId="10" applyNumberFormat="1" applyFont="1" applyAlignment="1">
      <alignment horizontal="left" vertical="top" wrapText="1"/>
    </xf>
    <xf numFmtId="0" fontId="123" fillId="3" borderId="6" xfId="4" applyFont="1" applyFill="1" applyBorder="1" applyAlignment="1">
      <alignment horizontal="center" vertical="center"/>
    </xf>
    <xf numFmtId="0" fontId="123" fillId="3" borderId="0" xfId="4" applyFont="1" applyFill="1" applyAlignment="1">
      <alignment horizontal="center" vertical="center"/>
    </xf>
    <xf numFmtId="0" fontId="123" fillId="3" borderId="19" xfId="4" applyFont="1" applyFill="1" applyBorder="1" applyAlignment="1">
      <alignment horizontal="center" vertical="center"/>
    </xf>
    <xf numFmtId="0" fontId="53" fillId="17" borderId="30" xfId="4" applyFont="1" applyFill="1" applyBorder="1" applyAlignment="1" applyProtection="1">
      <alignment horizontal="center" vertical="center" wrapText="1"/>
      <protection locked="0"/>
    </xf>
    <xf numFmtId="0" fontId="53" fillId="17" borderId="3" xfId="4" applyFont="1" applyFill="1" applyBorder="1" applyAlignment="1" applyProtection="1">
      <alignment horizontal="center" vertical="center" wrapText="1"/>
      <protection locked="0"/>
    </xf>
    <xf numFmtId="0" fontId="53" fillId="17" borderId="18" xfId="4" applyFont="1" applyFill="1" applyBorder="1" applyAlignment="1" applyProtection="1">
      <alignment horizontal="center" vertical="center" wrapText="1"/>
      <protection locked="0"/>
    </xf>
    <xf numFmtId="0" fontId="48" fillId="17" borderId="2" xfId="4" applyFont="1" applyFill="1" applyBorder="1" applyAlignment="1" applyProtection="1">
      <alignment horizontal="center" vertical="center" wrapText="1"/>
      <protection locked="0"/>
    </xf>
    <xf numFmtId="0" fontId="16" fillId="17" borderId="2" xfId="4" applyFont="1" applyFill="1" applyBorder="1" applyAlignment="1" applyProtection="1">
      <alignment horizontal="center"/>
      <protection locked="0"/>
    </xf>
    <xf numFmtId="0" fontId="20" fillId="17" borderId="7" xfId="4" applyFont="1" applyFill="1" applyBorder="1" applyAlignment="1" applyProtection="1">
      <alignment horizontal="center" vertical="center"/>
      <protection locked="0"/>
    </xf>
    <xf numFmtId="0" fontId="20" fillId="17" borderId="5" xfId="4" applyFont="1" applyFill="1" applyBorder="1" applyAlignment="1" applyProtection="1">
      <alignment horizontal="center" vertical="center"/>
      <protection locked="0"/>
    </xf>
    <xf numFmtId="0" fontId="20" fillId="17" borderId="12" xfId="4" applyFont="1" applyFill="1" applyBorder="1" applyAlignment="1" applyProtection="1">
      <alignment horizontal="center" vertical="center"/>
      <protection locked="0"/>
    </xf>
    <xf numFmtId="0" fontId="20" fillId="17" borderId="7" xfId="4" applyFont="1" applyFill="1" applyBorder="1" applyAlignment="1" applyProtection="1">
      <alignment horizontal="center" vertical="center" wrapText="1"/>
      <protection locked="0"/>
    </xf>
    <xf numFmtId="0" fontId="20" fillId="17" borderId="5" xfId="4" applyFont="1" applyFill="1" applyBorder="1" applyAlignment="1" applyProtection="1">
      <alignment horizontal="center" vertical="center" wrapText="1"/>
      <protection locked="0"/>
    </xf>
    <xf numFmtId="0" fontId="20" fillId="17" borderId="12" xfId="4" applyFont="1" applyFill="1" applyBorder="1" applyAlignment="1" applyProtection="1">
      <alignment horizontal="center" vertical="center" wrapText="1"/>
      <protection locked="0"/>
    </xf>
    <xf numFmtId="0" fontId="15" fillId="17" borderId="2" xfId="4" applyFont="1" applyFill="1" applyBorder="1" applyAlignment="1" applyProtection="1">
      <alignment horizontal="center" vertical="center" wrapText="1"/>
      <protection locked="0"/>
    </xf>
    <xf numFmtId="0" fontId="16" fillId="17" borderId="18" xfId="4" applyFont="1" applyFill="1" applyBorder="1" applyAlignment="1" applyProtection="1">
      <alignment horizontal="center"/>
      <protection locked="0"/>
    </xf>
    <xf numFmtId="0" fontId="16" fillId="17" borderId="7" xfId="4" applyFont="1" applyFill="1" applyBorder="1" applyAlignment="1" applyProtection="1">
      <alignment horizontal="center" vertical="center"/>
      <protection locked="0"/>
    </xf>
    <xf numFmtId="0" fontId="16" fillId="17" borderId="5" xfId="4" applyFont="1" applyFill="1" applyBorder="1" applyAlignment="1" applyProtection="1">
      <alignment horizontal="center" vertical="center"/>
      <protection locked="0"/>
    </xf>
    <xf numFmtId="0" fontId="16" fillId="17" borderId="12" xfId="4" applyFont="1" applyFill="1" applyBorder="1" applyAlignment="1" applyProtection="1">
      <alignment horizontal="center" vertical="center"/>
      <protection locked="0"/>
    </xf>
    <xf numFmtId="0" fontId="48" fillId="17" borderId="2" xfId="4" applyFont="1" applyFill="1" applyBorder="1" applyAlignment="1" applyProtection="1">
      <alignment horizontal="center" vertical="center"/>
      <protection locked="0"/>
    </xf>
    <xf numFmtId="0" fontId="20" fillId="17" borderId="11" xfId="4" applyFont="1" applyFill="1" applyBorder="1" applyAlignment="1" applyProtection="1">
      <alignment horizontal="center" vertical="center"/>
      <protection locked="0"/>
    </xf>
    <xf numFmtId="0" fontId="20" fillId="17" borderId="10" xfId="4" applyFont="1" applyFill="1" applyBorder="1" applyAlignment="1" applyProtection="1">
      <alignment horizontal="center" vertical="center"/>
      <protection locked="0"/>
    </xf>
    <xf numFmtId="0" fontId="20" fillId="17" borderId="34" xfId="4" applyFont="1" applyFill="1" applyBorder="1" applyAlignment="1" applyProtection="1">
      <alignment horizontal="center" vertical="center"/>
      <protection locked="0"/>
    </xf>
    <xf numFmtId="0" fontId="58" fillId="0" borderId="26" xfId="7" applyFont="1" applyBorder="1" applyAlignment="1">
      <alignment horizontal="center"/>
    </xf>
    <xf numFmtId="0" fontId="58" fillId="0" borderId="27" xfId="7" applyFont="1" applyBorder="1" applyAlignment="1">
      <alignment horizontal="center"/>
    </xf>
    <xf numFmtId="0" fontId="58" fillId="0" borderId="37" xfId="7" applyFont="1" applyBorder="1" applyAlignment="1">
      <alignment horizontal="center"/>
    </xf>
    <xf numFmtId="0" fontId="15" fillId="16" borderId="45" xfId="7" applyFont="1" applyFill="1" applyBorder="1" applyAlignment="1">
      <alignment horizontal="center"/>
    </xf>
    <xf numFmtId="0" fontId="15" fillId="16" borderId="55" xfId="7" applyFont="1" applyFill="1" applyBorder="1" applyAlignment="1">
      <alignment horizontal="center"/>
    </xf>
    <xf numFmtId="0" fontId="15" fillId="16" borderId="64" xfId="7" applyFont="1" applyFill="1" applyBorder="1" applyAlignment="1">
      <alignment horizontal="center"/>
    </xf>
    <xf numFmtId="0" fontId="11" fillId="18" borderId="4" xfId="4" applyFont="1" applyFill="1" applyBorder="1" applyAlignment="1">
      <alignment horizontal="center" vertical="center" wrapText="1"/>
    </xf>
    <xf numFmtId="0" fontId="11" fillId="18" borderId="5" xfId="4" applyFont="1" applyFill="1" applyBorder="1" applyAlignment="1">
      <alignment horizontal="center" vertical="center" wrapText="1"/>
    </xf>
    <xf numFmtId="0" fontId="11" fillId="18" borderId="24" xfId="4" applyFont="1" applyFill="1" applyBorder="1" applyAlignment="1">
      <alignment horizontal="center" vertical="center" wrapText="1"/>
    </xf>
    <xf numFmtId="0" fontId="126" fillId="18" borderId="4" xfId="4" applyFont="1" applyFill="1" applyBorder="1" applyAlignment="1">
      <alignment horizontal="center" vertical="center" wrapText="1"/>
    </xf>
    <xf numFmtId="0" fontId="126" fillId="18" borderId="5" xfId="4" applyFont="1" applyFill="1" applyBorder="1" applyAlignment="1">
      <alignment horizontal="center" vertical="center" wrapText="1"/>
    </xf>
    <xf numFmtId="0" fontId="126" fillId="18" borderId="24" xfId="4" applyFont="1" applyFill="1" applyBorder="1" applyAlignment="1">
      <alignment horizontal="center" vertical="center" wrapText="1"/>
    </xf>
    <xf numFmtId="0" fontId="20" fillId="6" borderId="26" xfId="7" applyFont="1" applyFill="1" applyBorder="1" applyAlignment="1">
      <alignment horizontal="center" vertical="center" wrapText="1"/>
    </xf>
    <xf numFmtId="0" fontId="20" fillId="6" borderId="27" xfId="7" applyFont="1" applyFill="1" applyBorder="1" applyAlignment="1">
      <alignment horizontal="center" vertical="center" wrapText="1"/>
    </xf>
    <xf numFmtId="0" fontId="20" fillId="6" borderId="37" xfId="7" applyFont="1" applyFill="1" applyBorder="1" applyAlignment="1">
      <alignment horizontal="center" vertical="center" wrapText="1"/>
    </xf>
    <xf numFmtId="0" fontId="11" fillId="18" borderId="26" xfId="4" applyFont="1" applyFill="1" applyBorder="1" applyAlignment="1">
      <alignment horizontal="center" vertical="center"/>
    </xf>
    <xf numFmtId="0" fontId="11" fillId="18" borderId="27" xfId="4" applyFont="1" applyFill="1" applyBorder="1" applyAlignment="1">
      <alignment horizontal="center" vertical="center"/>
    </xf>
    <xf numFmtId="0" fontId="11" fillId="18" borderId="37" xfId="4" applyFont="1" applyFill="1" applyBorder="1" applyAlignment="1">
      <alignment horizontal="center" vertical="center"/>
    </xf>
    <xf numFmtId="0" fontId="34" fillId="0" borderId="0" xfId="2" applyFont="1" applyAlignment="1">
      <alignment horizontal="center"/>
    </xf>
    <xf numFmtId="0" fontId="39" fillId="0" borderId="0" xfId="2" applyFont="1" applyAlignment="1">
      <alignment horizontal="center"/>
    </xf>
    <xf numFmtId="0" fontId="80" fillId="0" borderId="0" xfId="0" applyFont="1" applyAlignment="1">
      <alignment horizontal="center" vertical="center" wrapText="1"/>
    </xf>
    <xf numFmtId="0" fontId="35" fillId="0" borderId="30" xfId="2" applyFont="1" applyBorder="1" applyAlignment="1">
      <alignment horizontal="center" vertical="top"/>
    </xf>
    <xf numFmtId="0" fontId="35" fillId="0" borderId="18" xfId="2" applyFont="1" applyBorder="1" applyAlignment="1">
      <alignment horizontal="center" vertical="top"/>
    </xf>
    <xf numFmtId="0" fontId="30" fillId="0" borderId="30" xfId="0" applyFont="1" applyBorder="1" applyAlignment="1">
      <alignment horizontal="center" vertical="center"/>
    </xf>
    <xf numFmtId="0" fontId="30" fillId="0" borderId="18" xfId="0" applyFont="1" applyBorder="1" applyAlignment="1">
      <alignment horizontal="center" vertical="center"/>
    </xf>
    <xf numFmtId="0" fontId="30" fillId="0" borderId="2" xfId="0" applyFont="1" applyBorder="1" applyAlignment="1">
      <alignment horizontal="center" vertical="center" wrapText="1"/>
    </xf>
    <xf numFmtId="0" fontId="30" fillId="0" borderId="2" xfId="0" applyFont="1" applyBorder="1" applyAlignment="1">
      <alignment horizontal="center" vertical="center"/>
    </xf>
    <xf numFmtId="0" fontId="35" fillId="0" borderId="30" xfId="0" applyFont="1" applyBorder="1" applyAlignment="1">
      <alignment horizontal="center" vertical="top" wrapText="1"/>
    </xf>
    <xf numFmtId="0" fontId="35" fillId="0" borderId="3" xfId="0" applyFont="1" applyBorder="1" applyAlignment="1">
      <alignment horizontal="center" vertical="top" wrapText="1"/>
    </xf>
    <xf numFmtId="0" fontId="35" fillId="0" borderId="30" xfId="0" applyFont="1" applyBorder="1" applyAlignment="1">
      <alignment horizontal="center" vertical="top"/>
    </xf>
    <xf numFmtId="0" fontId="35" fillId="0" borderId="3" xfId="0" applyFont="1" applyBorder="1" applyAlignment="1">
      <alignment horizontal="center" vertical="top"/>
    </xf>
    <xf numFmtId="2" fontId="35" fillId="0" borderId="30" xfId="0" applyNumberFormat="1" applyFont="1" applyBorder="1" applyAlignment="1">
      <alignment horizontal="center" vertical="top"/>
    </xf>
    <xf numFmtId="2" fontId="35" fillId="0" borderId="18" xfId="0" applyNumberFormat="1" applyFont="1" applyBorder="1" applyAlignment="1">
      <alignment horizontal="center" vertical="top"/>
    </xf>
    <xf numFmtId="2" fontId="30" fillId="0" borderId="2" xfId="0" applyNumberFormat="1" applyFont="1" applyBorder="1" applyAlignment="1">
      <alignment horizontal="center" vertical="center"/>
    </xf>
    <xf numFmtId="0" fontId="35" fillId="0" borderId="30" xfId="0" applyFont="1" applyBorder="1" applyAlignment="1">
      <alignment horizontal="center" vertical="center" wrapText="1"/>
    </xf>
    <xf numFmtId="0" fontId="35" fillId="0" borderId="3" xfId="0" applyFont="1" applyBorder="1" applyAlignment="1">
      <alignment horizontal="center" vertical="center" wrapText="1"/>
    </xf>
    <xf numFmtId="0" fontId="30" fillId="0" borderId="0" xfId="0" applyFont="1" applyAlignment="1">
      <alignment horizontal="left" vertical="center" wrapText="1"/>
    </xf>
    <xf numFmtId="2" fontId="35" fillId="0" borderId="2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top"/>
    </xf>
    <xf numFmtId="0" fontId="35" fillId="0" borderId="7" xfId="2" applyFont="1" applyBorder="1" applyAlignment="1">
      <alignment horizontal="center"/>
    </xf>
    <xf numFmtId="0" fontId="35" fillId="0" borderId="12" xfId="2" applyFont="1" applyBorder="1" applyAlignment="1">
      <alignment horizontal="center"/>
    </xf>
    <xf numFmtId="0" fontId="30" fillId="0" borderId="7" xfId="2" applyFont="1" applyBorder="1" applyAlignment="1">
      <alignment horizontal="center"/>
    </xf>
    <xf numFmtId="0" fontId="30" fillId="0" borderId="12" xfId="2" applyFont="1" applyBorder="1" applyAlignment="1">
      <alignment horizontal="center"/>
    </xf>
    <xf numFmtId="0" fontId="35" fillId="0" borderId="32" xfId="2" applyFont="1" applyBorder="1" applyAlignment="1">
      <alignment horizontal="center" vertical="top" wrapText="1"/>
    </xf>
    <xf numFmtId="0" fontId="35" fillId="0" borderId="33" xfId="2" applyFont="1" applyBorder="1" applyAlignment="1">
      <alignment horizontal="center" vertical="top" wrapText="1"/>
    </xf>
    <xf numFmtId="0" fontId="35" fillId="0" borderId="11" xfId="2" applyFont="1" applyBorder="1" applyAlignment="1">
      <alignment horizontal="center" vertical="top" wrapText="1"/>
    </xf>
    <xf numFmtId="0" fontId="35" fillId="0" borderId="34" xfId="2" applyFont="1" applyBorder="1" applyAlignment="1">
      <alignment horizontal="center" vertical="top" wrapText="1"/>
    </xf>
    <xf numFmtId="0" fontId="35" fillId="0" borderId="8" xfId="2" applyFont="1" applyBorder="1" applyAlignment="1">
      <alignment horizontal="center" vertical="top" wrapText="1"/>
    </xf>
    <xf numFmtId="0" fontId="35" fillId="0" borderId="13" xfId="2" applyFont="1" applyBorder="1" applyAlignment="1">
      <alignment horizontal="center" vertical="top" wrapText="1"/>
    </xf>
    <xf numFmtId="2" fontId="35" fillId="0" borderId="2" xfId="0" applyNumberFormat="1" applyFont="1" applyBorder="1" applyAlignment="1">
      <alignment horizontal="center"/>
    </xf>
    <xf numFmtId="0" fontId="30" fillId="0" borderId="0" xfId="0" applyFont="1" applyAlignment="1">
      <alignment horizontal="left" vertical="top" wrapText="1"/>
    </xf>
    <xf numFmtId="0" fontId="77" fillId="0" borderId="0" xfId="0" applyFont="1" applyAlignment="1">
      <alignment horizontal="center" vertical="center"/>
    </xf>
    <xf numFmtId="0" fontId="78" fillId="0" borderId="0" xfId="0" applyFont="1" applyAlignment="1">
      <alignment horizontal="center" vertical="center"/>
    </xf>
    <xf numFmtId="0" fontId="78" fillId="0" borderId="0" xfId="2" applyFont="1" applyAlignment="1">
      <alignment horizontal="center" vertical="center"/>
    </xf>
    <xf numFmtId="2" fontId="30" fillId="0" borderId="30" xfId="0" applyNumberFormat="1" applyFont="1" applyBorder="1" applyAlignment="1">
      <alignment horizontal="center" vertical="center"/>
    </xf>
    <xf numFmtId="2" fontId="30" fillId="0" borderId="18" xfId="0" applyNumberFormat="1" applyFont="1" applyBorder="1" applyAlignment="1">
      <alignment horizontal="center" vertical="center"/>
    </xf>
    <xf numFmtId="0" fontId="35" fillId="0" borderId="2" xfId="2" applyFont="1" applyBorder="1" applyAlignment="1">
      <alignment horizontal="center" vertical="center" wrapText="1"/>
    </xf>
    <xf numFmtId="0" fontId="30" fillId="0" borderId="2" xfId="2" applyFont="1" applyBorder="1" applyAlignment="1">
      <alignment horizontal="center" vertical="center" wrapText="1"/>
    </xf>
    <xf numFmtId="0" fontId="35" fillId="0" borderId="2" xfId="0" applyFont="1" applyBorder="1" applyAlignment="1" applyProtection="1">
      <alignment horizontal="center" vertical="center" wrapText="1"/>
      <protection locked="0"/>
    </xf>
    <xf numFmtId="0" fontId="30" fillId="0" borderId="2" xfId="0" applyFont="1" applyBorder="1" applyAlignment="1" applyProtection="1">
      <alignment horizontal="center" vertical="center"/>
      <protection locked="0"/>
    </xf>
    <xf numFmtId="2" fontId="30" fillId="0" borderId="2" xfId="0" applyNumberFormat="1" applyFont="1" applyBorder="1" applyAlignment="1">
      <alignment horizontal="center"/>
    </xf>
    <xf numFmtId="0" fontId="49" fillId="0" borderId="2" xfId="4" applyFont="1" applyBorder="1" applyAlignment="1">
      <alignment horizontal="center" vertical="center"/>
    </xf>
    <xf numFmtId="0" fontId="5" fillId="0" borderId="2" xfId="4" applyBorder="1" applyAlignment="1">
      <alignment horizontal="center" vertical="center" wrapText="1"/>
    </xf>
    <xf numFmtId="0" fontId="110" fillId="0" borderId="0" xfId="2" applyFont="1" applyAlignment="1">
      <alignment horizontal="center"/>
    </xf>
    <xf numFmtId="0" fontId="62" fillId="0" borderId="0" xfId="2" applyFont="1" applyAlignment="1">
      <alignment horizontal="left"/>
    </xf>
    <xf numFmtId="2" fontId="91" fillId="0" borderId="2" xfId="0" applyNumberFormat="1" applyFont="1" applyBorder="1" applyAlignment="1">
      <alignment horizontal="center" vertical="top"/>
    </xf>
    <xf numFmtId="0" fontId="91" fillId="0" borderId="32" xfId="2" applyFont="1" applyBorder="1" applyAlignment="1">
      <alignment horizontal="center" vertical="center" wrapText="1"/>
    </xf>
    <xf numFmtId="0" fontId="91" fillId="0" borderId="33" xfId="2" applyFont="1" applyBorder="1" applyAlignment="1">
      <alignment horizontal="center" vertical="center" wrapText="1"/>
    </xf>
    <xf numFmtId="0" fontId="91" fillId="0" borderId="11" xfId="2" applyFont="1" applyBorder="1" applyAlignment="1">
      <alignment horizontal="center" vertical="center" wrapText="1"/>
    </xf>
    <xf numFmtId="0" fontId="91" fillId="0" borderId="34" xfId="2" applyFont="1" applyBorder="1" applyAlignment="1">
      <alignment horizontal="center" vertical="center" wrapText="1"/>
    </xf>
    <xf numFmtId="2" fontId="66" fillId="0" borderId="30" xfId="0" applyNumberFormat="1" applyFont="1" applyBorder="1" applyAlignment="1">
      <alignment horizontal="center" vertical="center"/>
    </xf>
    <xf numFmtId="2" fontId="66" fillId="0" borderId="18" xfId="0" applyNumberFormat="1" applyFont="1" applyBorder="1" applyAlignment="1">
      <alignment horizontal="center" vertical="center"/>
    </xf>
    <xf numFmtId="2" fontId="91" fillId="0" borderId="2" xfId="0" applyNumberFormat="1" applyFont="1" applyBorder="1" applyAlignment="1">
      <alignment horizontal="center" vertical="top" wrapText="1"/>
    </xf>
    <xf numFmtId="0" fontId="91" fillId="0" borderId="32" xfId="2" applyFont="1" applyBorder="1" applyAlignment="1">
      <alignment horizontal="center" vertical="center"/>
    </xf>
    <xf numFmtId="0" fontId="91" fillId="0" borderId="31" xfId="2" applyFont="1" applyBorder="1" applyAlignment="1">
      <alignment horizontal="center" vertical="center"/>
    </xf>
    <xf numFmtId="0" fontId="91" fillId="0" borderId="11" xfId="2" applyFont="1" applyBorder="1" applyAlignment="1">
      <alignment horizontal="center" vertical="center"/>
    </xf>
    <xf numFmtId="0" fontId="91" fillId="0" borderId="10" xfId="2" applyFont="1" applyBorder="1" applyAlignment="1">
      <alignment horizontal="center" vertical="center"/>
    </xf>
    <xf numFmtId="2" fontId="60" fillId="0" borderId="2" xfId="0" applyNumberFormat="1" applyFont="1" applyBorder="1" applyAlignment="1">
      <alignment horizontal="center" vertical="center"/>
    </xf>
    <xf numFmtId="0" fontId="91" fillId="0" borderId="30" xfId="2" applyFont="1" applyBorder="1" applyAlignment="1">
      <alignment horizontal="center" vertical="center"/>
    </xf>
    <xf numFmtId="0" fontId="91" fillId="0" borderId="18" xfId="2" applyFont="1" applyBorder="1" applyAlignment="1">
      <alignment horizontal="center" vertical="center"/>
    </xf>
    <xf numFmtId="0" fontId="66" fillId="3" borderId="0" xfId="0" applyFont="1" applyFill="1" applyAlignment="1" applyProtection="1">
      <alignment horizontal="left" vertical="center"/>
      <protection locked="0"/>
    </xf>
    <xf numFmtId="0" fontId="91" fillId="0" borderId="7" xfId="2" applyFont="1" applyBorder="1" applyAlignment="1">
      <alignment horizontal="center"/>
    </xf>
    <xf numFmtId="0" fontId="91" fillId="0" borderId="12" xfId="2" applyFont="1" applyBorder="1" applyAlignment="1">
      <alignment horizontal="center"/>
    </xf>
    <xf numFmtId="164" fontId="66" fillId="0" borderId="5" xfId="2" applyNumberFormat="1" applyFont="1" applyBorder="1" applyAlignment="1">
      <alignment horizontal="center" vertical="center"/>
    </xf>
    <xf numFmtId="164" fontId="66" fillId="0" borderId="12" xfId="2" applyNumberFormat="1" applyFont="1" applyBorder="1" applyAlignment="1">
      <alignment horizontal="center" vertical="center"/>
    </xf>
    <xf numFmtId="164" fontId="66" fillId="0" borderId="32" xfId="2" applyNumberFormat="1" applyFont="1" applyBorder="1" applyAlignment="1">
      <alignment horizontal="center" vertical="center"/>
    </xf>
    <xf numFmtId="164" fontId="66" fillId="0" borderId="31" xfId="2" applyNumberFormat="1" applyFont="1" applyBorder="1" applyAlignment="1">
      <alignment horizontal="center" vertical="center"/>
    </xf>
    <xf numFmtId="0" fontId="66" fillId="0" borderId="30" xfId="0" applyFont="1" applyBorder="1" applyAlignment="1">
      <alignment horizontal="center" vertical="center"/>
    </xf>
    <xf numFmtId="0" fontId="66" fillId="0" borderId="18" xfId="0" applyFont="1" applyBorder="1" applyAlignment="1">
      <alignment horizontal="center" vertical="center"/>
    </xf>
    <xf numFmtId="0" fontId="66" fillId="3" borderId="0" xfId="2" applyFont="1" applyFill="1" applyAlignment="1" applyProtection="1">
      <alignment horizontal="left"/>
      <protection locked="0"/>
    </xf>
    <xf numFmtId="0" fontId="62" fillId="3" borderId="7" xfId="2" applyFont="1" applyFill="1" applyBorder="1" applyAlignment="1" applyProtection="1">
      <alignment horizontal="left" vertical="center"/>
      <protection locked="0"/>
    </xf>
    <xf numFmtId="0" fontId="62" fillId="3" borderId="5" xfId="2" applyFont="1" applyFill="1" applyBorder="1" applyAlignment="1" applyProtection="1">
      <alignment horizontal="left" vertical="center"/>
      <protection locked="0"/>
    </xf>
    <xf numFmtId="0" fontId="62" fillId="3" borderId="12" xfId="2" applyFont="1" applyFill="1" applyBorder="1" applyAlignment="1" applyProtection="1">
      <alignment horizontal="left" vertical="center"/>
      <protection locked="0"/>
    </xf>
    <xf numFmtId="2" fontId="91" fillId="0" borderId="2" xfId="0" applyNumberFormat="1" applyFont="1" applyBorder="1" applyAlignment="1">
      <alignment horizontal="center"/>
    </xf>
    <xf numFmtId="2" fontId="91" fillId="0" borderId="30" xfId="0" applyNumberFormat="1" applyFont="1" applyBorder="1" applyAlignment="1">
      <alignment horizontal="center" vertical="top" wrapText="1"/>
    </xf>
    <xf numFmtId="2" fontId="91" fillId="0" borderId="18" xfId="0" applyNumberFormat="1" applyFont="1" applyBorder="1" applyAlignment="1">
      <alignment horizontal="center" vertical="top" wrapText="1"/>
    </xf>
    <xf numFmtId="2" fontId="91" fillId="0" borderId="2" xfId="0" applyNumberFormat="1" applyFont="1" applyBorder="1" applyAlignment="1">
      <alignment horizontal="center" vertical="center"/>
    </xf>
    <xf numFmtId="0" fontId="91" fillId="0" borderId="2" xfId="0" applyFont="1" applyBorder="1" applyAlignment="1" applyProtection="1">
      <alignment horizontal="center" vertical="center" wrapText="1"/>
      <protection locked="0"/>
    </xf>
    <xf numFmtId="0" fontId="66" fillId="0" borderId="2" xfId="0" applyFont="1" applyBorder="1" applyAlignment="1" applyProtection="1">
      <alignment horizontal="center" vertical="center"/>
      <protection locked="0"/>
    </xf>
    <xf numFmtId="0" fontId="66" fillId="0" borderId="2" xfId="0" applyFont="1" applyBorder="1" applyAlignment="1">
      <alignment horizontal="center" vertical="center" wrapText="1"/>
    </xf>
    <xf numFmtId="0" fontId="66" fillId="0" borderId="2" xfId="0" applyFont="1" applyBorder="1" applyAlignment="1">
      <alignment horizontal="center" vertical="center"/>
    </xf>
    <xf numFmtId="0" fontId="91" fillId="0" borderId="2" xfId="2" applyFont="1" applyBorder="1" applyAlignment="1">
      <alignment horizontal="center" vertical="center" wrapText="1"/>
    </xf>
    <xf numFmtId="0" fontId="66" fillId="0" borderId="2" xfId="2" applyFont="1" applyBorder="1" applyAlignment="1">
      <alignment horizontal="center" vertical="center" wrapText="1"/>
    </xf>
    <xf numFmtId="0" fontId="66" fillId="0" borderId="0" xfId="2" applyFont="1" applyAlignment="1">
      <alignment horizontal="left" vertical="center" wrapText="1"/>
    </xf>
    <xf numFmtId="0" fontId="62" fillId="3" borderId="0" xfId="2" applyFont="1" applyFill="1" applyAlignment="1" applyProtection="1">
      <alignment horizontal="left" vertical="center"/>
      <protection locked="0"/>
    </xf>
    <xf numFmtId="0" fontId="66" fillId="0" borderId="7" xfId="2" applyFont="1" applyBorder="1" applyAlignment="1">
      <alignment horizontal="left" vertical="center"/>
    </xf>
    <xf numFmtId="0" fontId="66" fillId="0" borderId="5" xfId="2" applyFont="1" applyBorder="1" applyAlignment="1">
      <alignment horizontal="left" vertical="center"/>
    </xf>
    <xf numFmtId="0" fontId="66" fillId="0" borderId="12" xfId="2" applyFont="1" applyBorder="1" applyAlignment="1">
      <alignment horizontal="left" vertical="center"/>
    </xf>
    <xf numFmtId="0" fontId="91" fillId="0" borderId="30" xfId="0" applyFont="1" applyBorder="1" applyAlignment="1">
      <alignment horizontal="center" vertical="top" wrapText="1"/>
    </xf>
    <xf numFmtId="0" fontId="91" fillId="0" borderId="3" xfId="0" applyFont="1" applyBorder="1" applyAlignment="1">
      <alignment horizontal="center" vertical="top" wrapText="1"/>
    </xf>
    <xf numFmtId="0" fontId="91" fillId="0" borderId="30" xfId="0" applyFont="1" applyBorder="1" applyAlignment="1">
      <alignment horizontal="center" vertical="top"/>
    </xf>
    <xf numFmtId="0" fontId="91" fillId="0" borderId="3" xfId="0" applyFont="1" applyBorder="1" applyAlignment="1">
      <alignment horizontal="center" vertical="top"/>
    </xf>
    <xf numFmtId="0" fontId="91" fillId="0" borderId="30" xfId="0" applyFont="1" applyBorder="1" applyAlignment="1">
      <alignment horizontal="center" vertical="center" wrapText="1"/>
    </xf>
    <xf numFmtId="0" fontId="91" fillId="0" borderId="3" xfId="0" applyFont="1" applyBorder="1" applyAlignment="1">
      <alignment horizontal="center" vertical="center" wrapText="1"/>
    </xf>
    <xf numFmtId="0" fontId="20" fillId="0" borderId="0" xfId="0" applyFont="1" applyAlignment="1">
      <alignment horizontal="center" vertical="center"/>
    </xf>
    <xf numFmtId="0" fontId="23" fillId="0" borderId="35" xfId="4" applyFont="1" applyBorder="1" applyAlignment="1">
      <alignment horizontal="center" vertical="center"/>
    </xf>
    <xf numFmtId="0" fontId="23" fillId="0" borderId="28" xfId="4" applyFont="1" applyBorder="1" applyAlignment="1">
      <alignment horizontal="center" vertical="center"/>
    </xf>
    <xf numFmtId="0" fontId="23" fillId="0" borderId="29" xfId="4" applyFont="1" applyBorder="1" applyAlignment="1">
      <alignment horizontal="center" vertical="center"/>
    </xf>
    <xf numFmtId="0" fontId="15" fillId="0" borderId="6" xfId="4" applyFont="1" applyBorder="1" applyAlignment="1">
      <alignment horizontal="center"/>
    </xf>
    <xf numFmtId="0" fontId="15" fillId="0" borderId="0" xfId="4" applyFont="1" applyAlignment="1">
      <alignment horizontal="center"/>
    </xf>
    <xf numFmtId="0" fontId="15" fillId="0" borderId="19" xfId="4" applyFont="1" applyBorder="1" applyAlignment="1">
      <alignment horizontal="center"/>
    </xf>
    <xf numFmtId="0" fontId="12" fillId="0" borderId="6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16" fillId="0" borderId="0" xfId="4" applyFont="1" applyAlignment="1">
      <alignment horizontal="center"/>
    </xf>
    <xf numFmtId="0" fontId="20" fillId="0" borderId="0" xfId="0" applyFont="1" applyAlignment="1">
      <alignment horizontal="center" vertical="center" wrapText="1"/>
    </xf>
    <xf numFmtId="2" fontId="44" fillId="0" borderId="2" xfId="0" applyNumberFormat="1" applyFont="1" applyBorder="1" applyAlignment="1">
      <alignment horizontal="center" vertical="center"/>
    </xf>
    <xf numFmtId="0" fontId="44" fillId="3" borderId="2" xfId="0" applyFont="1" applyFill="1" applyBorder="1" applyAlignment="1">
      <alignment horizontal="center" vertical="center"/>
    </xf>
    <xf numFmtId="0" fontId="40" fillId="0" borderId="30" xfId="2" applyFont="1" applyBorder="1" applyAlignment="1">
      <alignment horizontal="center" vertical="center" wrapText="1"/>
    </xf>
    <xf numFmtId="0" fontId="40" fillId="0" borderId="18" xfId="2" applyFont="1" applyBorder="1" applyAlignment="1">
      <alignment horizontal="center" vertical="center" wrapText="1"/>
    </xf>
    <xf numFmtId="0" fontId="11" fillId="0" borderId="30" xfId="2" applyFont="1" applyBorder="1" applyAlignment="1">
      <alignment horizontal="center" vertical="center"/>
    </xf>
    <xf numFmtId="0" fontId="11" fillId="0" borderId="18" xfId="2" applyFont="1" applyBorder="1" applyAlignment="1">
      <alignment horizontal="center" vertical="center"/>
    </xf>
    <xf numFmtId="0" fontId="44" fillId="3" borderId="30" xfId="0" applyFont="1" applyFill="1" applyBorder="1" applyAlignment="1">
      <alignment horizontal="center" vertical="center"/>
    </xf>
    <xf numFmtId="0" fontId="44" fillId="3" borderId="18" xfId="0" applyFont="1" applyFill="1" applyBorder="1" applyAlignment="1">
      <alignment horizontal="center" vertical="center"/>
    </xf>
    <xf numFmtId="0" fontId="59" fillId="0" borderId="3" xfId="0" applyFont="1" applyBorder="1" applyAlignment="1">
      <alignment horizontal="center" vertical="center" wrapText="1"/>
    </xf>
    <xf numFmtId="0" fontId="59" fillId="0" borderId="18" xfId="0" applyFont="1" applyBorder="1" applyAlignment="1">
      <alignment horizontal="center" vertical="center" wrapText="1"/>
    </xf>
    <xf numFmtId="164" fontId="44" fillId="0" borderId="2" xfId="0" applyNumberFormat="1" applyFont="1" applyBorder="1" applyAlignment="1">
      <alignment horizontal="center" vertical="center"/>
    </xf>
    <xf numFmtId="0" fontId="51" fillId="0" borderId="13" xfId="2" applyFont="1" applyBorder="1" applyAlignment="1">
      <alignment horizontal="center" vertical="center"/>
    </xf>
    <xf numFmtId="0" fontId="11" fillId="3" borderId="46" xfId="5" applyFont="1" applyFill="1" applyBorder="1" applyAlignment="1">
      <alignment horizontal="center" vertical="center"/>
    </xf>
    <xf numFmtId="0" fontId="11" fillId="3" borderId="47" xfId="5" applyFont="1" applyFill="1" applyBorder="1" applyAlignment="1">
      <alignment horizontal="center" vertical="center"/>
    </xf>
    <xf numFmtId="0" fontId="11" fillId="3" borderId="58" xfId="5" applyFont="1" applyFill="1" applyBorder="1" applyAlignment="1">
      <alignment horizontal="center" vertical="center"/>
    </xf>
    <xf numFmtId="0" fontId="7" fillId="9" borderId="26" xfId="5" applyFont="1" applyFill="1" applyBorder="1" applyAlignment="1" applyProtection="1">
      <alignment horizontal="center" vertical="center"/>
      <protection locked="0"/>
    </xf>
    <xf numFmtId="0" fontId="7" fillId="9" borderId="27" xfId="5" applyFont="1" applyFill="1" applyBorder="1" applyAlignment="1" applyProtection="1">
      <alignment horizontal="center" vertical="center"/>
      <protection locked="0"/>
    </xf>
    <xf numFmtId="0" fontId="7" fillId="9" borderId="28" xfId="5" applyFont="1" applyFill="1" applyBorder="1" applyAlignment="1" applyProtection="1">
      <alignment horizontal="center" vertical="center"/>
      <protection locked="0"/>
    </xf>
    <xf numFmtId="0" fontId="7" fillId="9" borderId="37" xfId="5" applyFont="1" applyFill="1" applyBorder="1" applyAlignment="1" applyProtection="1">
      <alignment horizontal="center" vertical="center"/>
      <protection locked="0"/>
    </xf>
    <xf numFmtId="0" fontId="7" fillId="9" borderId="40" xfId="5" applyFont="1" applyFill="1" applyBorder="1" applyAlignment="1">
      <alignment horizontal="center" vertical="center"/>
    </xf>
    <xf numFmtId="0" fontId="7" fillId="9" borderId="1" xfId="5" applyFont="1" applyFill="1" applyBorder="1" applyAlignment="1">
      <alignment horizontal="center" vertical="center"/>
    </xf>
    <xf numFmtId="0" fontId="7" fillId="9" borderId="41" xfId="5" applyFont="1" applyFill="1" applyBorder="1" applyAlignment="1">
      <alignment horizontal="center" vertical="center" wrapText="1"/>
    </xf>
    <xf numFmtId="0" fontId="7" fillId="9" borderId="2" xfId="5" applyFont="1" applyFill="1" applyBorder="1" applyAlignment="1">
      <alignment horizontal="center" vertical="center" wrapText="1"/>
    </xf>
    <xf numFmtId="0" fontId="11" fillId="9" borderId="41" xfId="4" applyFont="1" applyFill="1" applyBorder="1" applyAlignment="1">
      <alignment horizontal="center" vertical="center"/>
    </xf>
    <xf numFmtId="0" fontId="7" fillId="9" borderId="41" xfId="5" applyFont="1" applyFill="1" applyBorder="1" applyAlignment="1">
      <alignment horizontal="center" vertical="center"/>
    </xf>
    <xf numFmtId="0" fontId="7" fillId="9" borderId="2" xfId="5" applyFont="1" applyFill="1" applyBorder="1" applyAlignment="1">
      <alignment horizontal="center" vertical="center"/>
    </xf>
    <xf numFmtId="0" fontId="7" fillId="9" borderId="15" xfId="5" applyFont="1" applyFill="1" applyBorder="1" applyAlignment="1" applyProtection="1">
      <alignment horizontal="center" vertical="center"/>
      <protection locked="0"/>
    </xf>
    <xf numFmtId="0" fontId="7" fillId="9" borderId="16" xfId="5" applyFont="1" applyFill="1" applyBorder="1" applyAlignment="1" applyProtection="1">
      <alignment horizontal="center" vertical="center"/>
      <protection locked="0"/>
    </xf>
    <xf numFmtId="0" fontId="7" fillId="9" borderId="56" xfId="5" applyFont="1" applyFill="1" applyBorder="1" applyAlignment="1" applyProtection="1">
      <alignment horizontal="center" vertical="center"/>
      <protection locked="0"/>
    </xf>
    <xf numFmtId="0" fontId="7" fillId="9" borderId="17" xfId="5" applyFont="1" applyFill="1" applyBorder="1" applyAlignment="1" applyProtection="1">
      <alignment horizontal="center" vertical="center"/>
      <protection locked="0"/>
    </xf>
    <xf numFmtId="0" fontId="11" fillId="3" borderId="49" xfId="4" applyFont="1" applyFill="1" applyBorder="1" applyAlignment="1">
      <alignment horizontal="left" vertical="center" wrapText="1"/>
    </xf>
    <xf numFmtId="0" fontId="11" fillId="3" borderId="27" xfId="4" applyFont="1" applyFill="1" applyBorder="1" applyAlignment="1">
      <alignment horizontal="left" vertical="center" wrapText="1"/>
    </xf>
    <xf numFmtId="0" fontId="11" fillId="3" borderId="37" xfId="4" applyFont="1" applyFill="1" applyBorder="1" applyAlignment="1">
      <alignment horizontal="left" vertical="center" wrapText="1"/>
    </xf>
    <xf numFmtId="0" fontId="50" fillId="3" borderId="2" xfId="5" applyFont="1" applyFill="1" applyBorder="1" applyAlignment="1">
      <alignment horizontal="center" vertical="center"/>
    </xf>
    <xf numFmtId="0" fontId="50" fillId="3" borderId="14" xfId="5" applyFont="1" applyFill="1" applyBorder="1" applyAlignment="1">
      <alignment horizontal="center" vertical="center"/>
    </xf>
    <xf numFmtId="0" fontId="8" fillId="9" borderId="1" xfId="5" applyFont="1" applyFill="1" applyBorder="1" applyAlignment="1">
      <alignment horizontal="center" vertical="center"/>
    </xf>
    <xf numFmtId="0" fontId="8" fillId="9" borderId="2" xfId="5" applyFont="1" applyFill="1" applyBorder="1" applyAlignment="1">
      <alignment horizontal="center" vertical="center"/>
    </xf>
    <xf numFmtId="0" fontId="11" fillId="3" borderId="41" xfId="4" applyFont="1" applyFill="1" applyBorder="1" applyAlignment="1">
      <alignment horizontal="left" vertical="center" wrapText="1"/>
    </xf>
    <xf numFmtId="0" fontId="11" fillId="3" borderId="38" xfId="4" applyFont="1" applyFill="1" applyBorder="1" applyAlignment="1">
      <alignment horizontal="left" vertical="center" wrapText="1"/>
    </xf>
    <xf numFmtId="0" fontId="11" fillId="3" borderId="42" xfId="5" applyFont="1" applyFill="1" applyBorder="1" applyAlignment="1">
      <alignment horizontal="center" vertical="center" wrapText="1"/>
    </xf>
    <xf numFmtId="0" fontId="11" fillId="3" borderId="51" xfId="5" applyFont="1" applyFill="1" applyBorder="1" applyAlignment="1">
      <alignment horizontal="center" vertical="center" wrapText="1"/>
    </xf>
    <xf numFmtId="0" fontId="11" fillId="3" borderId="39" xfId="5" applyFont="1" applyFill="1" applyBorder="1" applyAlignment="1">
      <alignment horizontal="center" vertical="center" wrapText="1"/>
    </xf>
    <xf numFmtId="0" fontId="11" fillId="3" borderId="2" xfId="5" applyFont="1" applyFill="1" applyBorder="1" applyAlignment="1">
      <alignment horizontal="center" vertical="center" wrapText="1"/>
    </xf>
    <xf numFmtId="0" fontId="7" fillId="3" borderId="14" xfId="4" applyFont="1" applyFill="1" applyBorder="1" applyAlignment="1">
      <alignment horizontal="center" vertical="center" wrapText="1"/>
    </xf>
    <xf numFmtId="0" fontId="7" fillId="3" borderId="2" xfId="4" applyFont="1" applyFill="1" applyBorder="1" applyAlignment="1">
      <alignment horizontal="center" vertical="center"/>
    </xf>
    <xf numFmtId="0" fontId="20" fillId="10" borderId="61" xfId="5" applyFont="1" applyFill="1" applyBorder="1" applyAlignment="1" applyProtection="1">
      <alignment horizontal="center" vertical="center"/>
      <protection locked="0"/>
    </xf>
    <xf numFmtId="0" fontId="20" fillId="10" borderId="59" xfId="5" applyFont="1" applyFill="1" applyBorder="1" applyAlignment="1" applyProtection="1">
      <alignment horizontal="center" vertical="center"/>
      <protection locked="0"/>
    </xf>
    <xf numFmtId="0" fontId="16" fillId="10" borderId="46" xfId="4" applyFont="1" applyFill="1" applyBorder="1" applyAlignment="1" applyProtection="1">
      <alignment horizontal="center" vertical="center"/>
      <protection locked="0"/>
    </xf>
    <xf numFmtId="0" fontId="16" fillId="10" borderId="48" xfId="4" applyFont="1" applyFill="1" applyBorder="1" applyAlignment="1" applyProtection="1">
      <alignment horizontal="center" vertical="center"/>
      <protection locked="0"/>
    </xf>
    <xf numFmtId="0" fontId="22" fillId="10" borderId="22" xfId="4" applyFont="1" applyFill="1" applyBorder="1" applyAlignment="1" applyProtection="1">
      <alignment horizontal="center" vertical="center"/>
      <protection locked="0"/>
    </xf>
    <xf numFmtId="0" fontId="16" fillId="10" borderId="60" xfId="4" applyFont="1" applyFill="1" applyBorder="1" applyAlignment="1" applyProtection="1">
      <alignment horizontal="center" vertical="center"/>
      <protection locked="0"/>
    </xf>
    <xf numFmtId="1" fontId="11" fillId="6" borderId="2" xfId="5" applyNumberFormat="1" applyFont="1" applyFill="1" applyBorder="1" applyAlignment="1">
      <alignment horizontal="center" vertical="center"/>
    </xf>
    <xf numFmtId="1" fontId="11" fillId="6" borderId="14" xfId="5" applyNumberFormat="1" applyFont="1" applyFill="1" applyBorder="1" applyAlignment="1">
      <alignment horizontal="center" vertical="center"/>
    </xf>
    <xf numFmtId="0" fontId="7" fillId="6" borderId="2" xfId="5" applyFont="1" applyFill="1" applyBorder="1" applyAlignment="1">
      <alignment horizontal="center" vertical="center"/>
    </xf>
    <xf numFmtId="0" fontId="7" fillId="6" borderId="14" xfId="5" applyFont="1" applyFill="1" applyBorder="1" applyAlignment="1">
      <alignment horizontal="center" vertical="center"/>
    </xf>
    <xf numFmtId="1" fontId="11" fillId="6" borderId="41" xfId="5" applyNumberFormat="1" applyFont="1" applyFill="1" applyBorder="1" applyAlignment="1">
      <alignment horizontal="center" vertical="center"/>
    </xf>
    <xf numFmtId="1" fontId="11" fillId="6" borderId="38" xfId="5" applyNumberFormat="1" applyFont="1" applyFill="1" applyBorder="1" applyAlignment="1">
      <alignment horizontal="center" vertical="center"/>
    </xf>
    <xf numFmtId="0" fontId="50" fillId="9" borderId="2" xfId="5" applyFont="1" applyFill="1" applyBorder="1" applyAlignment="1">
      <alignment horizontal="center" vertical="center"/>
    </xf>
    <xf numFmtId="0" fontId="5" fillId="0" borderId="61" xfId="5" applyBorder="1" applyAlignment="1" applyProtection="1">
      <alignment horizontal="center" vertical="center"/>
      <protection locked="0"/>
    </xf>
    <xf numFmtId="0" fontId="5" fillId="0" borderId="36" xfId="5" applyBorder="1" applyAlignment="1" applyProtection="1">
      <alignment horizontal="center" vertical="center"/>
      <protection locked="0"/>
    </xf>
    <xf numFmtId="0" fontId="5" fillId="0" borderId="59" xfId="5" applyBorder="1" applyAlignment="1" applyProtection="1">
      <alignment horizontal="center" vertical="center"/>
      <protection locked="0"/>
    </xf>
    <xf numFmtId="0" fontId="11" fillId="10" borderId="35" xfId="4" applyFont="1" applyFill="1" applyBorder="1" applyAlignment="1" applyProtection="1">
      <alignment horizontal="center" vertical="center"/>
      <protection locked="0"/>
    </xf>
    <xf numFmtId="0" fontId="11" fillId="10" borderId="28" xfId="4" applyFont="1" applyFill="1" applyBorder="1" applyAlignment="1" applyProtection="1">
      <alignment horizontal="center" vertical="center"/>
      <protection locked="0"/>
    </xf>
    <xf numFmtId="0" fontId="11" fillId="10" borderId="29" xfId="4" applyFont="1" applyFill="1" applyBorder="1" applyAlignment="1" applyProtection="1">
      <alignment horizontal="center" vertical="center"/>
      <protection locked="0"/>
    </xf>
    <xf numFmtId="0" fontId="20" fillId="10" borderId="46" xfId="5" applyFont="1" applyFill="1" applyBorder="1" applyAlignment="1" applyProtection="1">
      <alignment horizontal="center" vertical="center"/>
      <protection locked="0"/>
    </xf>
    <xf numFmtId="0" fontId="20" fillId="10" borderId="48" xfId="5" applyFont="1" applyFill="1" applyBorder="1" applyAlignment="1" applyProtection="1">
      <alignment horizontal="center" vertical="center"/>
      <protection locked="0"/>
    </xf>
    <xf numFmtId="0" fontId="20" fillId="10" borderId="62" xfId="5" applyFont="1" applyFill="1" applyBorder="1" applyAlignment="1" applyProtection="1">
      <alignment horizontal="center" vertical="center"/>
      <protection locked="0"/>
    </xf>
    <xf numFmtId="0" fontId="20" fillId="10" borderId="47" xfId="5" applyFont="1" applyFill="1" applyBorder="1" applyAlignment="1" applyProtection="1">
      <alignment horizontal="center" vertical="center"/>
      <protection locked="0"/>
    </xf>
    <xf numFmtId="1" fontId="40" fillId="10" borderId="35" xfId="5" applyNumberFormat="1" applyFont="1" applyFill="1" applyBorder="1" applyAlignment="1" applyProtection="1">
      <alignment horizontal="center" vertical="center"/>
      <protection locked="0"/>
    </xf>
    <xf numFmtId="1" fontId="40" fillId="10" borderId="29" xfId="5" applyNumberFormat="1" applyFont="1" applyFill="1" applyBorder="1" applyAlignment="1" applyProtection="1">
      <alignment horizontal="center" vertical="center"/>
      <protection locked="0"/>
    </xf>
    <xf numFmtId="0" fontId="11" fillId="10" borderId="46" xfId="4" applyFont="1" applyFill="1" applyBorder="1" applyAlignment="1" applyProtection="1">
      <alignment horizontal="center" vertical="center"/>
      <protection locked="0"/>
    </xf>
    <xf numFmtId="0" fontId="11" fillId="10" borderId="47" xfId="4" applyFont="1" applyFill="1" applyBorder="1" applyAlignment="1" applyProtection="1">
      <alignment horizontal="center" vertical="center"/>
      <protection locked="0"/>
    </xf>
    <xf numFmtId="0" fontId="11" fillId="10" borderId="58" xfId="4" applyFont="1" applyFill="1" applyBorder="1" applyAlignment="1" applyProtection="1">
      <alignment horizontal="center" vertical="center"/>
      <protection locked="0"/>
    </xf>
    <xf numFmtId="0" fontId="16" fillId="10" borderId="2" xfId="4" applyFont="1" applyFill="1" applyBorder="1" applyAlignment="1" applyProtection="1">
      <alignment horizontal="center" vertical="center"/>
      <protection locked="0"/>
    </xf>
    <xf numFmtId="0" fontId="22" fillId="10" borderId="2" xfId="4" applyFont="1" applyFill="1" applyBorder="1" applyAlignment="1" applyProtection="1">
      <alignment horizontal="center" vertical="center"/>
      <protection locked="0"/>
    </xf>
    <xf numFmtId="0" fontId="5" fillId="0" borderId="35" xfId="5" applyBorder="1" applyAlignment="1" applyProtection="1">
      <alignment horizontal="center" vertical="center"/>
      <protection locked="0"/>
    </xf>
    <xf numFmtId="0" fontId="5" fillId="0" borderId="6" xfId="5" applyBorder="1" applyAlignment="1" applyProtection="1">
      <alignment horizontal="center" vertical="center"/>
      <protection locked="0"/>
    </xf>
    <xf numFmtId="0" fontId="5" fillId="0" borderId="22" xfId="5" applyBorder="1" applyAlignment="1" applyProtection="1">
      <alignment horizontal="center" vertical="center"/>
      <protection locked="0"/>
    </xf>
    <xf numFmtId="0" fontId="11" fillId="10" borderId="2" xfId="4" applyFont="1" applyFill="1" applyBorder="1" applyAlignment="1" applyProtection="1">
      <alignment horizontal="center" vertical="center"/>
      <protection locked="0"/>
    </xf>
    <xf numFmtId="1" fontId="40" fillId="10" borderId="2" xfId="5" applyNumberFormat="1" applyFont="1" applyFill="1" applyBorder="1" applyAlignment="1" applyProtection="1">
      <alignment horizontal="center" vertical="center"/>
      <protection locked="0"/>
    </xf>
    <xf numFmtId="0" fontId="20" fillId="10" borderId="2" xfId="5" applyFont="1" applyFill="1" applyBorder="1" applyAlignment="1" applyProtection="1">
      <alignment horizontal="center" vertical="center"/>
      <protection locked="0"/>
    </xf>
    <xf numFmtId="0" fontId="46" fillId="4" borderId="46" xfId="5" applyFont="1" applyFill="1" applyBorder="1" applyAlignment="1" applyProtection="1">
      <alignment horizontal="center" vertical="center"/>
      <protection locked="0"/>
    </xf>
    <xf numFmtId="0" fontId="46" fillId="4" borderId="28" xfId="5" applyFont="1" applyFill="1" applyBorder="1" applyAlignment="1" applyProtection="1">
      <alignment horizontal="center" vertical="center"/>
      <protection locked="0"/>
    </xf>
    <xf numFmtId="0" fontId="46" fillId="4" borderId="47" xfId="5" applyFont="1" applyFill="1" applyBorder="1" applyAlignment="1" applyProtection="1">
      <alignment horizontal="center" vertical="center"/>
      <protection locked="0"/>
    </xf>
    <xf numFmtId="0" fontId="46" fillId="4" borderId="29" xfId="5" applyFont="1" applyFill="1" applyBorder="1" applyAlignment="1" applyProtection="1">
      <alignment horizontal="center" vertical="center"/>
      <protection locked="0"/>
    </xf>
    <xf numFmtId="0" fontId="39" fillId="0" borderId="0" xfId="2" applyFont="1" applyAlignment="1">
      <alignment horizontal="center" vertical="center"/>
    </xf>
    <xf numFmtId="0" fontId="34" fillId="0" borderId="0" xfId="2" applyFont="1" applyAlignment="1">
      <alignment horizontal="center" vertical="center"/>
    </xf>
    <xf numFmtId="169" fontId="30" fillId="0" borderId="0" xfId="2" applyNumberFormat="1" applyFont="1" applyAlignment="1"/>
    <xf numFmtId="171" fontId="30" fillId="0" borderId="7" xfId="0" applyNumberFormat="1" applyFont="1" applyBorder="1" applyAlignment="1">
      <alignment horizontal="center"/>
    </xf>
    <xf numFmtId="171" fontId="30" fillId="0" borderId="12" xfId="0" applyNumberFormat="1" applyFont="1" applyBorder="1" applyAlignment="1">
      <alignment horizontal="center"/>
    </xf>
    <xf numFmtId="1" fontId="33" fillId="0" borderId="0" xfId="2" applyNumberFormat="1" applyFont="1" applyAlignment="1" applyProtection="1">
      <alignment horizontal="center" vertical="center"/>
      <protection locked="0"/>
    </xf>
    <xf numFmtId="0" fontId="30" fillId="0" borderId="0" xfId="0" applyFont="1" applyAlignment="1" applyProtection="1">
      <alignment horizontal="left" vertical="center" wrapText="1"/>
      <protection locked="0"/>
    </xf>
    <xf numFmtId="0" fontId="5" fillId="0" borderId="0" xfId="2" applyAlignment="1" applyProtection="1">
      <alignment horizontal="center"/>
      <protection locked="0"/>
    </xf>
    <xf numFmtId="0" fontId="5" fillId="0" borderId="7" xfId="2" applyBorder="1" applyAlignment="1" applyProtection="1">
      <alignment horizontal="center"/>
      <protection locked="0"/>
    </xf>
    <xf numFmtId="0" fontId="5" fillId="0" borderId="12" xfId="2" applyBorder="1" applyAlignment="1" applyProtection="1">
      <alignment horizontal="center"/>
      <protection locked="0"/>
    </xf>
    <xf numFmtId="0" fontId="15" fillId="0" borderId="7" xfId="2" applyFont="1" applyBorder="1" applyAlignment="1" applyProtection="1">
      <alignment horizontal="center"/>
      <protection locked="0"/>
    </xf>
    <xf numFmtId="0" fontId="15" fillId="0" borderId="12" xfId="2" applyFont="1" applyBorder="1" applyAlignment="1" applyProtection="1">
      <alignment horizontal="center"/>
      <protection locked="0"/>
    </xf>
    <xf numFmtId="0" fontId="15" fillId="0" borderId="7" xfId="0" applyFont="1" applyBorder="1" applyAlignment="1" applyProtection="1">
      <alignment horizontal="center"/>
      <protection locked="0"/>
    </xf>
    <xf numFmtId="0" fontId="15" fillId="0" borderId="5" xfId="0" applyFont="1" applyBorder="1" applyAlignment="1" applyProtection="1">
      <alignment horizontal="center"/>
      <protection locked="0"/>
    </xf>
    <xf numFmtId="0" fontId="15" fillId="0" borderId="12" xfId="0" applyFont="1" applyBorder="1" applyAlignment="1" applyProtection="1">
      <alignment horizontal="center"/>
      <protection locked="0"/>
    </xf>
    <xf numFmtId="0" fontId="24" fillId="0" borderId="2" xfId="2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5" fillId="0" borderId="12" xfId="0" applyFont="1" applyBorder="1" applyAlignment="1" applyProtection="1">
      <alignment horizontal="left"/>
      <protection locked="0"/>
    </xf>
    <xf numFmtId="0" fontId="5" fillId="0" borderId="5" xfId="0" applyFont="1" applyBorder="1" applyAlignment="1" applyProtection="1">
      <alignment horizontal="center"/>
      <protection locked="0"/>
    </xf>
    <xf numFmtId="0" fontId="5" fillId="0" borderId="12" xfId="0" applyFont="1" applyBorder="1" applyAlignment="1" applyProtection="1">
      <alignment horizontal="center"/>
      <protection locked="0"/>
    </xf>
    <xf numFmtId="1" fontId="38" fillId="0" borderId="0" xfId="2" applyNumberFormat="1" applyFont="1" applyAlignment="1" applyProtection="1">
      <alignment horizontal="center" vertical="center"/>
      <protection locked="0"/>
    </xf>
    <xf numFmtId="0" fontId="38" fillId="0" borderId="0" xfId="2" applyFont="1" applyAlignment="1" applyProtection="1">
      <alignment horizontal="center" vertical="center"/>
      <protection locked="0"/>
    </xf>
    <xf numFmtId="1" fontId="33" fillId="0" borderId="2" xfId="2" applyNumberFormat="1" applyFont="1" applyBorder="1" applyAlignment="1" applyProtection="1">
      <alignment horizontal="center" vertical="center"/>
      <protection locked="0"/>
    </xf>
    <xf numFmtId="0" fontId="33" fillId="0" borderId="2" xfId="2" applyFont="1" applyBorder="1" applyAlignment="1" applyProtection="1">
      <alignment horizontal="center" vertical="center"/>
      <protection locked="0"/>
    </xf>
    <xf numFmtId="169" fontId="30" fillId="0" borderId="0" xfId="2" applyNumberFormat="1" applyFont="1" applyAlignment="1">
      <alignment vertical="center"/>
    </xf>
    <xf numFmtId="169" fontId="30" fillId="0" borderId="0" xfId="2" applyNumberFormat="1" applyFont="1" applyAlignment="1">
      <alignment horizontal="center" vertical="center"/>
    </xf>
    <xf numFmtId="0" fontId="35" fillId="0" borderId="10" xfId="0" applyFont="1" applyBorder="1" applyAlignment="1">
      <alignment horizontal="left"/>
    </xf>
    <xf numFmtId="165" fontId="35" fillId="0" borderId="7" xfId="0" applyNumberFormat="1" applyFont="1" applyBorder="1" applyAlignment="1">
      <alignment horizontal="center" vertical="top" wrapText="1"/>
    </xf>
    <xf numFmtId="165" fontId="35" fillId="0" borderId="12" xfId="0" applyNumberFormat="1" applyFont="1" applyBorder="1" applyAlignment="1">
      <alignment horizontal="center" vertical="top" wrapText="1"/>
    </xf>
    <xf numFmtId="0" fontId="35" fillId="0" borderId="2" xfId="0" applyFont="1" applyBorder="1" applyAlignment="1">
      <alignment horizontal="center" vertical="top" wrapText="1"/>
    </xf>
    <xf numFmtId="0" fontId="35" fillId="0" borderId="2" xfId="0" applyFont="1" applyBorder="1" applyAlignment="1">
      <alignment horizontal="center" vertical="top"/>
    </xf>
    <xf numFmtId="0" fontId="30" fillId="0" borderId="7" xfId="2" applyFont="1" applyBorder="1" applyAlignment="1">
      <alignment horizontal="left" vertical="center"/>
    </xf>
    <xf numFmtId="0" fontId="30" fillId="0" borderId="5" xfId="2" applyFont="1" applyBorder="1" applyAlignment="1">
      <alignment horizontal="left" vertical="center"/>
    </xf>
    <xf numFmtId="0" fontId="35" fillId="0" borderId="7" xfId="2" applyFont="1" applyBorder="1" applyAlignment="1">
      <alignment horizontal="center" vertical="top" wrapText="1"/>
    </xf>
    <xf numFmtId="0" fontId="35" fillId="0" borderId="12" xfId="2" applyFont="1" applyBorder="1" applyAlignment="1">
      <alignment horizontal="center" vertical="top" wrapText="1"/>
    </xf>
    <xf numFmtId="1" fontId="59" fillId="0" borderId="7" xfId="0" applyNumberFormat="1" applyFont="1" applyBorder="1" applyAlignment="1">
      <alignment horizontal="center"/>
    </xf>
    <xf numFmtId="1" fontId="59" fillId="0" borderId="12" xfId="0" applyNumberFormat="1" applyFont="1" applyBorder="1" applyAlignment="1">
      <alignment horizontal="center"/>
    </xf>
    <xf numFmtId="0" fontId="35" fillId="0" borderId="2" xfId="2" applyFont="1" applyBorder="1" applyAlignment="1">
      <alignment horizontal="center" vertical="top" wrapText="1"/>
    </xf>
    <xf numFmtId="2" fontId="30" fillId="0" borderId="0" xfId="0" applyNumberFormat="1" applyFont="1" applyAlignment="1">
      <alignment horizontal="center"/>
    </xf>
    <xf numFmtId="0" fontId="32" fillId="0" borderId="0" xfId="2" applyFont="1" applyAlignment="1">
      <alignment horizontal="center" vertical="center"/>
    </xf>
    <xf numFmtId="1" fontId="9" fillId="0" borderId="2" xfId="2" applyNumberFormat="1" applyFont="1" applyBorder="1" applyAlignment="1">
      <alignment horizontal="center" vertical="center"/>
    </xf>
    <xf numFmtId="1" fontId="30" fillId="0" borderId="2" xfId="0" applyNumberFormat="1" applyFont="1" applyBorder="1" applyAlignment="1">
      <alignment horizontal="center" vertical="center"/>
    </xf>
    <xf numFmtId="0" fontId="91" fillId="0" borderId="2" xfId="2" applyFont="1" applyBorder="1" applyAlignment="1">
      <alignment horizontal="center" vertical="top" wrapText="1"/>
    </xf>
    <xf numFmtId="0" fontId="7" fillId="0" borderId="32" xfId="2" applyFont="1" applyBorder="1" applyAlignment="1">
      <alignment horizontal="center" vertical="center"/>
    </xf>
    <xf numFmtId="0" fontId="7" fillId="0" borderId="8" xfId="2" applyFont="1" applyBorder="1" applyAlignment="1">
      <alignment horizontal="center" vertical="center"/>
    </xf>
    <xf numFmtId="0" fontId="7" fillId="0" borderId="11" xfId="2" applyFont="1" applyBorder="1" applyAlignment="1">
      <alignment horizontal="center" vertical="center"/>
    </xf>
    <xf numFmtId="0" fontId="35" fillId="0" borderId="2" xfId="2" applyFont="1" applyBorder="1" applyAlignment="1">
      <alignment horizontal="center" vertical="center"/>
    </xf>
    <xf numFmtId="0" fontId="46" fillId="0" borderId="2" xfId="2" applyFont="1" applyBorder="1" applyAlignment="1">
      <alignment horizontal="center" vertical="center"/>
    </xf>
    <xf numFmtId="1" fontId="7" fillId="0" borderId="30" xfId="2" applyNumberFormat="1" applyFont="1" applyBorder="1" applyAlignment="1">
      <alignment horizontal="center" vertical="center"/>
    </xf>
    <xf numFmtId="1" fontId="7" fillId="0" borderId="3" xfId="2" applyNumberFormat="1" applyFont="1" applyBorder="1" applyAlignment="1">
      <alignment horizontal="center" vertical="center"/>
    </xf>
    <xf numFmtId="1" fontId="7" fillId="0" borderId="18" xfId="2" applyNumberFormat="1" applyFont="1" applyBorder="1" applyAlignment="1">
      <alignment horizontal="center" vertical="center"/>
    </xf>
    <xf numFmtId="0" fontId="30" fillId="0" borderId="30" xfId="0" applyFont="1" applyBorder="1" applyAlignment="1">
      <alignment horizontal="center" vertical="center" wrapText="1"/>
    </xf>
    <xf numFmtId="0" fontId="30" fillId="0" borderId="3" xfId="0" applyFont="1" applyBorder="1" applyAlignment="1">
      <alignment horizontal="center" vertical="center" wrapText="1"/>
    </xf>
    <xf numFmtId="0" fontId="30" fillId="0" borderId="18" xfId="0" applyFont="1" applyBorder="1" applyAlignment="1">
      <alignment horizontal="center" vertical="center" wrapText="1"/>
    </xf>
    <xf numFmtId="1" fontId="30" fillId="0" borderId="30" xfId="0" applyNumberFormat="1" applyFont="1" applyBorder="1" applyAlignment="1">
      <alignment horizontal="center" vertical="center" wrapText="1"/>
    </xf>
    <xf numFmtId="1" fontId="30" fillId="0" borderId="3" xfId="0" applyNumberFormat="1" applyFont="1" applyBorder="1" applyAlignment="1">
      <alignment horizontal="center" vertical="center" wrapText="1"/>
    </xf>
    <xf numFmtId="1" fontId="30" fillId="0" borderId="18" xfId="0" applyNumberFormat="1" applyFont="1" applyBorder="1" applyAlignment="1">
      <alignment horizontal="center" vertical="center" wrapText="1"/>
    </xf>
    <xf numFmtId="0" fontId="30" fillId="0" borderId="7" xfId="0" applyFont="1" applyBorder="1" applyAlignment="1">
      <alignment horizontal="center" vertical="center"/>
    </xf>
    <xf numFmtId="0" fontId="30" fillId="0" borderId="12" xfId="0" applyFont="1" applyBorder="1" applyAlignment="1">
      <alignment horizontal="center" vertical="center"/>
    </xf>
    <xf numFmtId="172" fontId="30" fillId="0" borderId="7" xfId="0" applyNumberFormat="1" applyFont="1" applyBorder="1" applyAlignment="1">
      <alignment horizontal="center" vertical="center"/>
    </xf>
    <xf numFmtId="172" fontId="30" fillId="0" borderId="12" xfId="0" applyNumberFormat="1" applyFont="1" applyBorder="1" applyAlignment="1">
      <alignment horizontal="center" vertical="center"/>
    </xf>
    <xf numFmtId="2" fontId="30" fillId="0" borderId="7" xfId="0" applyNumberFormat="1" applyFont="1" applyBorder="1" applyAlignment="1">
      <alignment horizontal="center" vertical="center"/>
    </xf>
    <xf numFmtId="2" fontId="30" fillId="0" borderId="12" xfId="0" applyNumberFormat="1" applyFont="1" applyBorder="1" applyAlignment="1">
      <alignment horizontal="center" vertical="center"/>
    </xf>
    <xf numFmtId="171" fontId="30" fillId="0" borderId="7" xfId="0" applyNumberFormat="1" applyFont="1" applyBorder="1" applyAlignment="1">
      <alignment horizontal="center" vertical="center"/>
    </xf>
    <xf numFmtId="171" fontId="30" fillId="0" borderId="12" xfId="0" applyNumberFormat="1" applyFont="1" applyBorder="1" applyAlignment="1">
      <alignment horizontal="center" vertical="center"/>
    </xf>
    <xf numFmtId="0" fontId="35" fillId="0" borderId="32" xfId="2" applyFont="1" applyBorder="1" applyAlignment="1">
      <alignment horizontal="center" vertical="top"/>
    </xf>
    <xf numFmtId="0" fontId="35" fillId="0" borderId="31" xfId="2" applyFont="1" applyBorder="1" applyAlignment="1">
      <alignment horizontal="center" vertical="top"/>
    </xf>
    <xf numFmtId="0" fontId="35" fillId="0" borderId="11" xfId="2" applyFont="1" applyBorder="1" applyAlignment="1">
      <alignment horizontal="center" vertical="top"/>
    </xf>
    <xf numFmtId="0" fontId="35" fillId="0" borderId="10" xfId="2" applyFont="1" applyBorder="1" applyAlignment="1">
      <alignment horizontal="center" vertical="top"/>
    </xf>
    <xf numFmtId="0" fontId="46" fillId="3" borderId="30" xfId="2" applyFont="1" applyFill="1" applyBorder="1" applyAlignment="1">
      <alignment horizontal="center" vertical="center"/>
    </xf>
    <xf numFmtId="0" fontId="46" fillId="3" borderId="18" xfId="2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30" fillId="0" borderId="2" xfId="0" applyFont="1" applyBorder="1" applyAlignment="1">
      <alignment vertical="center"/>
    </xf>
    <xf numFmtId="0" fontId="69" fillId="0" borderId="2" xfId="0" applyFont="1" applyBorder="1" applyAlignment="1">
      <alignment horizontal="center" vertical="center"/>
    </xf>
    <xf numFmtId="0" fontId="20" fillId="0" borderId="2" xfId="4" applyFont="1" applyBorder="1" applyAlignment="1">
      <alignment horizontal="center" vertical="center"/>
    </xf>
    <xf numFmtId="0" fontId="20" fillId="0" borderId="2" xfId="4" applyFont="1" applyBorder="1" applyAlignment="1">
      <alignment horizontal="center" vertical="center" wrapText="1"/>
    </xf>
    <xf numFmtId="0" fontId="20" fillId="0" borderId="43" xfId="4" applyFont="1" applyBorder="1" applyAlignment="1">
      <alignment horizontal="center" vertical="center"/>
    </xf>
    <xf numFmtId="0" fontId="20" fillId="0" borderId="3" xfId="4" applyFont="1" applyBorder="1" applyAlignment="1">
      <alignment horizontal="center" vertical="center"/>
    </xf>
    <xf numFmtId="0" fontId="20" fillId="0" borderId="18" xfId="4" applyFont="1" applyBorder="1" applyAlignment="1">
      <alignment horizontal="center" vertical="center"/>
    </xf>
    <xf numFmtId="0" fontId="16" fillId="0" borderId="2" xfId="4" applyFont="1" applyBorder="1" applyAlignment="1">
      <alignment horizontal="center"/>
    </xf>
    <xf numFmtId="0" fontId="20" fillId="0" borderId="44" xfId="4" applyFont="1" applyBorder="1" applyAlignment="1">
      <alignment horizontal="center" vertical="center" wrapText="1"/>
    </xf>
    <xf numFmtId="0" fontId="20" fillId="0" borderId="25" xfId="4" applyFont="1" applyBorder="1" applyAlignment="1">
      <alignment horizontal="center" vertical="center" wrapText="1"/>
    </xf>
    <xf numFmtId="0" fontId="20" fillId="0" borderId="20" xfId="4" applyFont="1" applyBorder="1" applyAlignment="1">
      <alignment horizontal="center" vertical="center" wrapText="1"/>
    </xf>
    <xf numFmtId="0" fontId="20" fillId="0" borderId="14" xfId="4" applyFont="1" applyBorder="1" applyAlignment="1">
      <alignment horizontal="center" vertical="center" wrapText="1"/>
    </xf>
    <xf numFmtId="0" fontId="40" fillId="3" borderId="67" xfId="4" applyFont="1" applyFill="1" applyBorder="1" applyAlignment="1">
      <alignment horizontal="center" vertical="center" wrapText="1"/>
    </xf>
    <xf numFmtId="0" fontId="40" fillId="3" borderId="51" xfId="4" applyFont="1" applyFill="1" applyBorder="1" applyAlignment="1">
      <alignment horizontal="center" vertical="center" wrapText="1"/>
    </xf>
    <xf numFmtId="0" fontId="40" fillId="3" borderId="39" xfId="4" applyFont="1" applyFill="1" applyBorder="1" applyAlignment="1">
      <alignment horizontal="center" vertical="center" wrapText="1"/>
    </xf>
    <xf numFmtId="0" fontId="40" fillId="3" borderId="41" xfId="4" applyFont="1" applyFill="1" applyBorder="1" applyAlignment="1">
      <alignment horizontal="center" vertical="center" wrapText="1"/>
    </xf>
    <xf numFmtId="0" fontId="40" fillId="3" borderId="2" xfId="4" applyFont="1" applyFill="1" applyBorder="1" applyAlignment="1">
      <alignment horizontal="center" vertical="center" wrapText="1"/>
    </xf>
    <xf numFmtId="0" fontId="26" fillId="3" borderId="46" xfId="4" applyFont="1" applyFill="1" applyBorder="1" applyAlignment="1">
      <alignment horizontal="center" vertical="center"/>
    </xf>
    <xf numFmtId="0" fontId="26" fillId="3" borderId="58" xfId="4" applyFont="1" applyFill="1" applyBorder="1" applyAlignment="1">
      <alignment horizontal="center" vertical="center"/>
    </xf>
    <xf numFmtId="0" fontId="58" fillId="0" borderId="26" xfId="4" applyFont="1" applyBorder="1" applyAlignment="1">
      <alignment horizontal="center"/>
    </xf>
    <xf numFmtId="0" fontId="58" fillId="0" borderId="27" xfId="4" applyFont="1" applyBorder="1" applyAlignment="1">
      <alignment horizontal="center"/>
    </xf>
    <xf numFmtId="0" fontId="58" fillId="0" borderId="37" xfId="4" applyFont="1" applyBorder="1" applyAlignment="1">
      <alignment horizontal="center"/>
    </xf>
    <xf numFmtId="0" fontId="7" fillId="3" borderId="46" xfId="4" applyFont="1" applyFill="1" applyBorder="1" applyAlignment="1">
      <alignment horizontal="center" vertical="center"/>
    </xf>
    <xf numFmtId="0" fontId="7" fillId="3" borderId="47" xfId="4" applyFont="1" applyFill="1" applyBorder="1" applyAlignment="1">
      <alignment horizontal="center" vertical="center"/>
    </xf>
    <xf numFmtId="0" fontId="7" fillId="3" borderId="58" xfId="4" applyFont="1" applyFill="1" applyBorder="1" applyAlignment="1">
      <alignment horizontal="center" vertical="center"/>
    </xf>
    <xf numFmtId="0" fontId="5" fillId="0" borderId="45" xfId="4" applyBorder="1" applyAlignment="1">
      <alignment horizontal="left" vertical="center"/>
    </xf>
    <xf numFmtId="0" fontId="5" fillId="0" borderId="55" xfId="4" applyBorder="1" applyAlignment="1">
      <alignment horizontal="left" vertical="center"/>
    </xf>
    <xf numFmtId="0" fontId="5" fillId="0" borderId="64" xfId="4" applyBorder="1" applyAlignment="1">
      <alignment horizontal="left" vertical="center"/>
    </xf>
    <xf numFmtId="0" fontId="44" fillId="8" borderId="1" xfId="4" applyFont="1" applyFill="1" applyBorder="1" applyAlignment="1">
      <alignment horizontal="center"/>
    </xf>
    <xf numFmtId="0" fontId="44" fillId="8" borderId="2" xfId="4" applyFont="1" applyFill="1" applyBorder="1" applyAlignment="1">
      <alignment horizontal="center"/>
    </xf>
    <xf numFmtId="0" fontId="44" fillId="8" borderId="14" xfId="4" applyFont="1" applyFill="1" applyBorder="1" applyAlignment="1">
      <alignment horizontal="center"/>
    </xf>
    <xf numFmtId="1" fontId="44" fillId="8" borderId="4" xfId="4" applyNumberFormat="1" applyFont="1" applyFill="1" applyBorder="1" applyAlignment="1">
      <alignment horizontal="center" vertical="center"/>
    </xf>
    <xf numFmtId="1" fontId="44" fillId="8" borderId="5" xfId="4" applyNumberFormat="1" applyFont="1" applyFill="1" applyBorder="1" applyAlignment="1">
      <alignment horizontal="center" vertical="center"/>
    </xf>
    <xf numFmtId="1" fontId="44" fillId="8" borderId="24" xfId="4" applyNumberFormat="1" applyFont="1" applyFill="1" applyBorder="1" applyAlignment="1">
      <alignment horizontal="center" vertical="center"/>
    </xf>
    <xf numFmtId="0" fontId="5" fillId="6" borderId="0" xfId="4" applyFill="1" applyAlignment="1">
      <alignment horizontal="center"/>
    </xf>
    <xf numFmtId="0" fontId="20" fillId="0" borderId="7" xfId="4" applyFont="1" applyBorder="1" applyAlignment="1">
      <alignment horizontal="center" vertical="center" wrapText="1"/>
    </xf>
    <xf numFmtId="0" fontId="20" fillId="0" borderId="5" xfId="4" applyFont="1" applyBorder="1" applyAlignment="1">
      <alignment horizontal="center" vertical="center" wrapText="1"/>
    </xf>
    <xf numFmtId="0" fontId="20" fillId="0" borderId="12" xfId="4" applyFont="1" applyBorder="1" applyAlignment="1">
      <alignment horizontal="center" vertical="center" wrapText="1"/>
    </xf>
    <xf numFmtId="0" fontId="20" fillId="0" borderId="7" xfId="4" applyFont="1" applyBorder="1" applyAlignment="1">
      <alignment horizontal="center" vertical="center"/>
    </xf>
    <xf numFmtId="0" fontId="20" fillId="0" borderId="5" xfId="4" applyFont="1" applyBorder="1" applyAlignment="1">
      <alignment horizontal="center" vertical="center"/>
    </xf>
    <xf numFmtId="0" fontId="20" fillId="0" borderId="12" xfId="4" applyFont="1" applyBorder="1" applyAlignment="1">
      <alignment horizontal="center" vertical="center"/>
    </xf>
    <xf numFmtId="1" fontId="122" fillId="0" borderId="0" xfId="2" applyNumberFormat="1" applyFont="1" applyAlignment="1">
      <alignment horizontal="center" vertical="center"/>
    </xf>
    <xf numFmtId="0" fontId="122" fillId="0" borderId="0" xfId="2" applyFont="1" applyAlignment="1">
      <alignment horizontal="center" vertical="center"/>
    </xf>
    <xf numFmtId="0" fontId="66" fillId="0" borderId="0" xfId="0" applyFont="1" applyAlignment="1" applyProtection="1">
      <alignment horizontal="left" vertical="center" wrapText="1"/>
      <protection locked="0"/>
    </xf>
    <xf numFmtId="0" fontId="119" fillId="0" borderId="0" xfId="2" applyFont="1" applyAlignment="1">
      <alignment horizontal="center"/>
    </xf>
    <xf numFmtId="0" fontId="91" fillId="0" borderId="2" xfId="0" applyFont="1" applyBorder="1" applyAlignment="1">
      <alignment horizontal="center" vertical="top" wrapText="1"/>
    </xf>
    <xf numFmtId="0" fontId="91" fillId="0" borderId="18" xfId="0" applyFont="1" applyBorder="1" applyAlignment="1">
      <alignment horizontal="center" vertical="top" wrapText="1"/>
    </xf>
    <xf numFmtId="1" fontId="66" fillId="0" borderId="7" xfId="0" applyNumberFormat="1" applyFont="1" applyBorder="1" applyAlignment="1">
      <alignment horizontal="center" vertical="center" wrapText="1"/>
    </xf>
    <xf numFmtId="1" fontId="66" fillId="0" borderId="12" xfId="0" applyNumberFormat="1" applyFont="1" applyBorder="1" applyAlignment="1">
      <alignment horizontal="center" vertical="center" wrapText="1"/>
    </xf>
    <xf numFmtId="169" fontId="66" fillId="0" borderId="0" xfId="2" applyNumberFormat="1" applyFont="1" applyAlignment="1"/>
    <xf numFmtId="0" fontId="109" fillId="0" borderId="0" xfId="2" applyFont="1" applyAlignment="1">
      <alignment horizontal="center"/>
    </xf>
    <xf numFmtId="0" fontId="91" fillId="0" borderId="30" xfId="2" applyFont="1" applyBorder="1" applyAlignment="1">
      <alignment horizontal="center" vertical="top"/>
    </xf>
    <xf numFmtId="0" fontId="91" fillId="0" borderId="18" xfId="2" applyFont="1" applyBorder="1" applyAlignment="1">
      <alignment horizontal="center" vertical="top"/>
    </xf>
    <xf numFmtId="0" fontId="91" fillId="0" borderId="32" xfId="2" applyFont="1" applyBorder="1" applyAlignment="1">
      <alignment horizontal="center" vertical="top"/>
    </xf>
    <xf numFmtId="0" fontId="91" fillId="0" borderId="31" xfId="2" applyFont="1" applyBorder="1" applyAlignment="1">
      <alignment horizontal="center" vertical="top"/>
    </xf>
    <xf numFmtId="0" fontId="91" fillId="0" borderId="11" xfId="2" applyFont="1" applyBorder="1" applyAlignment="1">
      <alignment horizontal="center" vertical="top"/>
    </xf>
    <xf numFmtId="0" fontId="91" fillId="0" borderId="10" xfId="2" applyFont="1" applyBorder="1" applyAlignment="1">
      <alignment horizontal="center" vertical="top"/>
    </xf>
    <xf numFmtId="0" fontId="91" fillId="0" borderId="32" xfId="2" applyFont="1" applyBorder="1" applyAlignment="1">
      <alignment horizontal="center" vertical="top" wrapText="1"/>
    </xf>
    <xf numFmtId="0" fontId="91" fillId="0" borderId="33" xfId="2" applyFont="1" applyBorder="1" applyAlignment="1">
      <alignment horizontal="center" vertical="top" wrapText="1"/>
    </xf>
    <xf numFmtId="0" fontId="91" fillId="0" borderId="11" xfId="2" applyFont="1" applyBorder="1" applyAlignment="1">
      <alignment horizontal="center" vertical="top" wrapText="1"/>
    </xf>
    <xf numFmtId="0" fontId="91" fillId="0" borderId="34" xfId="2" applyFont="1" applyBorder="1" applyAlignment="1">
      <alignment horizontal="center" vertical="top" wrapText="1"/>
    </xf>
    <xf numFmtId="164" fontId="60" fillId="0" borderId="7" xfId="0" applyNumberFormat="1" applyFont="1" applyBorder="1" applyAlignment="1">
      <alignment horizontal="center"/>
    </xf>
    <xf numFmtId="164" fontId="60" fillId="0" borderId="12" xfId="0" applyNumberFormat="1" applyFont="1" applyBorder="1" applyAlignment="1">
      <alignment horizontal="center"/>
    </xf>
    <xf numFmtId="0" fontId="66" fillId="0" borderId="7" xfId="0" applyFont="1" applyBorder="1" applyAlignment="1">
      <alignment horizontal="center"/>
    </xf>
    <xf numFmtId="0" fontId="66" fillId="0" borderId="12" xfId="0" applyFont="1" applyBorder="1" applyAlignment="1">
      <alignment horizontal="center"/>
    </xf>
    <xf numFmtId="172" fontId="66" fillId="0" borderId="7" xfId="0" applyNumberFormat="1" applyFont="1" applyBorder="1" applyAlignment="1">
      <alignment horizontal="center"/>
    </xf>
    <xf numFmtId="172" fontId="66" fillId="0" borderId="12" xfId="0" applyNumberFormat="1" applyFont="1" applyBorder="1" applyAlignment="1">
      <alignment horizontal="center"/>
    </xf>
    <xf numFmtId="0" fontId="91" fillId="0" borderId="32" xfId="0" applyFont="1" applyBorder="1" applyAlignment="1">
      <alignment horizontal="center" vertical="top" wrapText="1"/>
    </xf>
    <xf numFmtId="0" fontId="91" fillId="0" borderId="33" xfId="0" applyFont="1" applyBorder="1" applyAlignment="1">
      <alignment horizontal="center" vertical="top" wrapText="1"/>
    </xf>
    <xf numFmtId="0" fontId="91" fillId="0" borderId="8" xfId="0" applyFont="1" applyBorder="1" applyAlignment="1">
      <alignment horizontal="center" vertical="top" wrapText="1"/>
    </xf>
    <xf numFmtId="0" fontId="91" fillId="0" borderId="13" xfId="0" applyFont="1" applyBorder="1" applyAlignment="1">
      <alignment horizontal="center" vertical="top" wrapText="1"/>
    </xf>
    <xf numFmtId="0" fontId="91" fillId="0" borderId="11" xfId="0" applyFont="1" applyBorder="1" applyAlignment="1">
      <alignment horizontal="center" vertical="top" wrapText="1"/>
    </xf>
    <xf numFmtId="0" fontId="91" fillId="0" borderId="34" xfId="0" applyFont="1" applyBorder="1" applyAlignment="1">
      <alignment horizontal="center" vertical="top" wrapText="1"/>
    </xf>
    <xf numFmtId="164" fontId="60" fillId="0" borderId="7" xfId="0" applyNumberFormat="1" applyFont="1" applyBorder="1" applyAlignment="1">
      <alignment horizontal="center" vertical="center"/>
    </xf>
    <xf numFmtId="164" fontId="60" fillId="0" borderId="12" xfId="0" applyNumberFormat="1" applyFont="1" applyBorder="1" applyAlignment="1">
      <alignment horizontal="center" vertical="center"/>
    </xf>
    <xf numFmtId="0" fontId="91" fillId="0" borderId="32" xfId="0" applyFont="1" applyBorder="1" applyAlignment="1">
      <alignment horizontal="center" vertical="top"/>
    </xf>
    <xf numFmtId="0" fontId="91" fillId="0" borderId="8" xfId="0" applyFont="1" applyBorder="1" applyAlignment="1">
      <alignment horizontal="center" vertical="top"/>
    </xf>
    <xf numFmtId="0" fontId="91" fillId="2" borderId="10" xfId="0" applyFont="1" applyFill="1" applyBorder="1" applyAlignment="1">
      <alignment horizontal="left" vertical="top" wrapText="1"/>
    </xf>
    <xf numFmtId="0" fontId="91" fillId="0" borderId="18" xfId="0" applyFont="1" applyBorder="1" applyAlignment="1">
      <alignment horizontal="center" vertical="top"/>
    </xf>
    <xf numFmtId="0" fontId="66" fillId="0" borderId="30" xfId="0" applyFont="1" applyBorder="1" applyAlignment="1">
      <alignment horizontal="center" vertical="center" wrapText="1"/>
    </xf>
    <xf numFmtId="0" fontId="66" fillId="0" borderId="3" xfId="0" applyFont="1" applyBorder="1" applyAlignment="1">
      <alignment horizontal="center" vertical="center" wrapText="1"/>
    </xf>
    <xf numFmtId="0" fontId="66" fillId="0" borderId="18" xfId="0" applyFont="1" applyBorder="1" applyAlignment="1">
      <alignment horizontal="center" vertical="center" wrapText="1"/>
    </xf>
    <xf numFmtId="1" fontId="66" fillId="0" borderId="32" xfId="0" applyNumberFormat="1" applyFont="1" applyBorder="1" applyAlignment="1">
      <alignment horizontal="center" vertical="center" wrapText="1"/>
    </xf>
    <xf numFmtId="1" fontId="66" fillId="0" borderId="33" xfId="0" applyNumberFormat="1" applyFont="1" applyBorder="1" applyAlignment="1">
      <alignment horizontal="center" vertical="center" wrapText="1"/>
    </xf>
    <xf numFmtId="1" fontId="66" fillId="0" borderId="8" xfId="0" applyNumberFormat="1" applyFont="1" applyBorder="1" applyAlignment="1">
      <alignment horizontal="center" vertical="center" wrapText="1"/>
    </xf>
    <xf numFmtId="1" fontId="66" fillId="0" borderId="13" xfId="0" applyNumberFormat="1" applyFont="1" applyBorder="1" applyAlignment="1">
      <alignment horizontal="center" vertical="center" wrapText="1"/>
    </xf>
    <xf numFmtId="1" fontId="66" fillId="0" borderId="11" xfId="0" applyNumberFormat="1" applyFont="1" applyBorder="1" applyAlignment="1">
      <alignment horizontal="center" vertical="center" wrapText="1"/>
    </xf>
    <xf numFmtId="1" fontId="66" fillId="0" borderId="34" xfId="0" applyNumberFormat="1" applyFont="1" applyBorder="1" applyAlignment="1">
      <alignment horizontal="center" vertical="center" wrapText="1"/>
    </xf>
    <xf numFmtId="0" fontId="91" fillId="0" borderId="7" xfId="0" applyFont="1" applyBorder="1" applyAlignment="1">
      <alignment horizontal="center" vertical="top" wrapText="1"/>
    </xf>
    <xf numFmtId="0" fontId="91" fillId="0" borderId="12" xfId="0" applyFont="1" applyBorder="1" applyAlignment="1">
      <alignment horizontal="center" vertical="top" wrapText="1"/>
    </xf>
  </cellXfs>
  <cellStyles count="12">
    <cellStyle name="Normal" xfId="0" builtinId="0"/>
    <cellStyle name="Normal 2" xfId="1" xr:uid="{00000000-0005-0000-0000-000001000000}"/>
    <cellStyle name="Normal 2 2" xfId="4" xr:uid="{00000000-0005-0000-0000-000002000000}"/>
    <cellStyle name="Normal 2 3" xfId="9" xr:uid="{502EA347-ECBD-4BD9-BCFC-F6222D386C10}"/>
    <cellStyle name="Normal 2 3 2" xfId="10" xr:uid="{15C8F729-8C6C-471E-9CEA-EE2F5A06B324}"/>
    <cellStyle name="Normal 3" xfId="3" xr:uid="{00000000-0005-0000-0000-000003000000}"/>
    <cellStyle name="Normal 4" xfId="5" xr:uid="{00000000-0005-0000-0000-000004000000}"/>
    <cellStyle name="Normal 5" xfId="6" xr:uid="{00000000-0005-0000-0000-000005000000}"/>
    <cellStyle name="Normal 5 2" xfId="7" xr:uid="{8BB39891-4AF4-44F1-B002-AA986B2D05EF}"/>
    <cellStyle name="Normal 6" xfId="8" xr:uid="{F72A9A30-5BA6-48C1-9140-E8D10D4A7E6D}"/>
    <cellStyle name="Normal_Daftar kelistrikan (ecg)" xfId="2" xr:uid="{00000000-0005-0000-0000-000006000000}"/>
    <cellStyle name="Normal_Daftar kelistrikan (ecg) 2" xfId="11" xr:uid="{9554DD1C-4882-49E1-98EC-5E55D0E7A334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71</xdr:row>
      <xdr:rowOff>0</xdr:rowOff>
    </xdr:from>
    <xdr:to>
      <xdr:col>14</xdr:col>
      <xdr:colOff>76200</xdr:colOff>
      <xdr:row>72</xdr:row>
      <xdr:rowOff>19049</xdr:rowOff>
    </xdr:to>
    <xdr:sp macro="" textlink="">
      <xdr:nvSpPr>
        <xdr:cNvPr id="47134" name="Text Box 1">
          <a:extLst>
            <a:ext uri="{FF2B5EF4-FFF2-40B4-BE49-F238E27FC236}">
              <a16:creationId xmlns:a16="http://schemas.microsoft.com/office/drawing/2014/main" id="{00000000-0008-0000-0000-00001EB80000}"/>
            </a:ext>
          </a:extLst>
        </xdr:cNvPr>
        <xdr:cNvSpPr txBox="1">
          <a:spLocks noChangeArrowheads="1"/>
        </xdr:cNvSpPr>
      </xdr:nvSpPr>
      <xdr:spPr bwMode="auto">
        <a:xfrm>
          <a:off x="6315075" y="2206942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0</xdr:colOff>
      <xdr:row>56</xdr:row>
      <xdr:rowOff>0</xdr:rowOff>
    </xdr:from>
    <xdr:to>
      <xdr:col>10</xdr:col>
      <xdr:colOff>76200</xdr:colOff>
      <xdr:row>57</xdr:row>
      <xdr:rowOff>22598</xdr:rowOff>
    </xdr:to>
    <xdr:sp macro="" textlink="">
      <xdr:nvSpPr>
        <xdr:cNvPr id="47135" name="Text Box 43">
          <a:extLst>
            <a:ext uri="{FF2B5EF4-FFF2-40B4-BE49-F238E27FC236}">
              <a16:creationId xmlns:a16="http://schemas.microsoft.com/office/drawing/2014/main" id="{00000000-0008-0000-0000-00001FB80000}"/>
            </a:ext>
          </a:extLst>
        </xdr:cNvPr>
        <xdr:cNvSpPr txBox="1">
          <a:spLocks noChangeArrowheads="1"/>
        </xdr:cNvSpPr>
      </xdr:nvSpPr>
      <xdr:spPr bwMode="auto">
        <a:xfrm>
          <a:off x="6315075" y="193929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9</xdr:col>
      <xdr:colOff>391697</xdr:colOff>
      <xdr:row>29</xdr:row>
      <xdr:rowOff>52497</xdr:rowOff>
    </xdr:from>
    <xdr:to>
      <xdr:col>9</xdr:col>
      <xdr:colOff>712616</xdr:colOff>
      <xdr:row>29</xdr:row>
      <xdr:rowOff>52497</xdr:rowOff>
    </xdr:to>
    <xdr:sp macro="" textlink="">
      <xdr:nvSpPr>
        <xdr:cNvPr id="6" name="Text Box 3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>
          <a:spLocks noChangeArrowheads="1"/>
        </xdr:cNvSpPr>
      </xdr:nvSpPr>
      <xdr:spPr bwMode="auto">
        <a:xfrm>
          <a:off x="4620797" y="5615097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11</xdr:col>
      <xdr:colOff>413092</xdr:colOff>
      <xdr:row>30</xdr:row>
      <xdr:rowOff>157490</xdr:rowOff>
    </xdr:from>
    <xdr:to>
      <xdr:col>11</xdr:col>
      <xdr:colOff>734011</xdr:colOff>
      <xdr:row>30</xdr:row>
      <xdr:rowOff>157490</xdr:rowOff>
    </xdr:to>
    <xdr:sp macro="" textlink="">
      <xdr:nvSpPr>
        <xdr:cNvPr id="49" name="Text Box 6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SpPr txBox="1">
          <a:spLocks noChangeArrowheads="1"/>
        </xdr:cNvSpPr>
      </xdr:nvSpPr>
      <xdr:spPr bwMode="auto">
        <a:xfrm>
          <a:off x="4642192" y="6101090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11</xdr:col>
      <xdr:colOff>413092</xdr:colOff>
      <xdr:row>30</xdr:row>
      <xdr:rowOff>157490</xdr:rowOff>
    </xdr:from>
    <xdr:to>
      <xdr:col>11</xdr:col>
      <xdr:colOff>734011</xdr:colOff>
      <xdr:row>30</xdr:row>
      <xdr:rowOff>157490</xdr:rowOff>
    </xdr:to>
    <xdr:sp macro="" textlink="">
      <xdr:nvSpPr>
        <xdr:cNvPr id="50" name="Text Box 7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SpPr txBox="1">
          <a:spLocks noChangeArrowheads="1"/>
        </xdr:cNvSpPr>
      </xdr:nvSpPr>
      <xdr:spPr bwMode="auto">
        <a:xfrm>
          <a:off x="4642192" y="6101090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oneCellAnchor>
    <xdr:from>
      <xdr:col>14</xdr:col>
      <xdr:colOff>0</xdr:colOff>
      <xdr:row>62</xdr:row>
      <xdr:rowOff>180975</xdr:rowOff>
    </xdr:from>
    <xdr:ext cx="228600" cy="180819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 txBox="1"/>
      </xdr:nvSpPr>
      <xdr:spPr>
        <a:xfrm>
          <a:off x="6296025" y="10039350"/>
          <a:ext cx="228600" cy="1808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600" b="1">
              <a:latin typeface="Times New Roman" pitchFamily="18" charset="0"/>
              <a:cs typeface="Times New Roman" pitchFamily="18" charset="0"/>
            </a:rPr>
            <a:t>2</a:t>
          </a:r>
        </a:p>
      </xdr:txBody>
    </xdr:sp>
    <xdr:clientData/>
  </xdr:oneCellAnchor>
  <xdr:twoCellAnchor>
    <xdr:from>
      <xdr:col>11</xdr:col>
      <xdr:colOff>413092</xdr:colOff>
      <xdr:row>68</xdr:row>
      <xdr:rowOff>157490</xdr:rowOff>
    </xdr:from>
    <xdr:to>
      <xdr:col>11</xdr:col>
      <xdr:colOff>734011</xdr:colOff>
      <xdr:row>68</xdr:row>
      <xdr:rowOff>157490</xdr:rowOff>
    </xdr:to>
    <xdr:sp macro="" textlink="">
      <xdr:nvSpPr>
        <xdr:cNvPr id="60" name="Text Box 6">
          <a:extLst>
            <a:ext uri="{FF2B5EF4-FFF2-40B4-BE49-F238E27FC236}">
              <a16:creationId xmlns:a16="http://schemas.microsoft.com/office/drawing/2014/main" id="{5AAE787D-094F-4994-AA75-0A4FF2022640}"/>
            </a:ext>
          </a:extLst>
        </xdr:cNvPr>
        <xdr:cNvSpPr txBox="1">
          <a:spLocks noChangeArrowheads="1"/>
        </xdr:cNvSpPr>
      </xdr:nvSpPr>
      <xdr:spPr bwMode="auto">
        <a:xfrm>
          <a:off x="7937842" y="17569190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oneCellAnchor>
    <xdr:from>
      <xdr:col>14</xdr:col>
      <xdr:colOff>0</xdr:colOff>
      <xdr:row>66</xdr:row>
      <xdr:rowOff>180975</xdr:rowOff>
    </xdr:from>
    <xdr:ext cx="228600" cy="180819"/>
    <xdr:sp macro="" textlink="">
      <xdr:nvSpPr>
        <xdr:cNvPr id="61" name="TextBox 60">
          <a:extLst>
            <a:ext uri="{FF2B5EF4-FFF2-40B4-BE49-F238E27FC236}">
              <a16:creationId xmlns:a16="http://schemas.microsoft.com/office/drawing/2014/main" id="{FD23A33A-155B-46E2-B01E-A7801486D124}"/>
            </a:ext>
          </a:extLst>
        </xdr:cNvPr>
        <xdr:cNvSpPr txBox="1"/>
      </xdr:nvSpPr>
      <xdr:spPr>
        <a:xfrm>
          <a:off x="9725025" y="17230725"/>
          <a:ext cx="228600" cy="1808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600" b="1">
              <a:latin typeface="Times New Roman" pitchFamily="18" charset="0"/>
              <a:cs typeface="Times New Roman" pitchFamily="18" charset="0"/>
            </a:rPr>
            <a:t>2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79</xdr:row>
      <xdr:rowOff>0</xdr:rowOff>
    </xdr:from>
    <xdr:to>
      <xdr:col>13</xdr:col>
      <xdr:colOff>76200</xdr:colOff>
      <xdr:row>80</xdr:row>
      <xdr:rowOff>9526</xdr:rowOff>
    </xdr:to>
    <xdr:sp macro="" textlink="">
      <xdr:nvSpPr>
        <xdr:cNvPr id="42883" name="Text Box 1">
          <a:extLst>
            <a:ext uri="{FF2B5EF4-FFF2-40B4-BE49-F238E27FC236}">
              <a16:creationId xmlns:a16="http://schemas.microsoft.com/office/drawing/2014/main" id="{00000000-0008-0000-0100-000083A70000}"/>
            </a:ext>
          </a:extLst>
        </xdr:cNvPr>
        <xdr:cNvSpPr txBox="1">
          <a:spLocks noChangeArrowheads="1"/>
        </xdr:cNvSpPr>
      </xdr:nvSpPr>
      <xdr:spPr bwMode="auto">
        <a:xfrm>
          <a:off x="7334250" y="185928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</xdr:col>
      <xdr:colOff>0</xdr:colOff>
      <xdr:row>54</xdr:row>
      <xdr:rowOff>0</xdr:rowOff>
    </xdr:from>
    <xdr:to>
      <xdr:col>13</xdr:col>
      <xdr:colOff>76200</xdr:colOff>
      <xdr:row>55</xdr:row>
      <xdr:rowOff>28575</xdr:rowOff>
    </xdr:to>
    <xdr:sp macro="" textlink="">
      <xdr:nvSpPr>
        <xdr:cNvPr id="42884" name="Text Box 43">
          <a:extLst>
            <a:ext uri="{FF2B5EF4-FFF2-40B4-BE49-F238E27FC236}">
              <a16:creationId xmlns:a16="http://schemas.microsoft.com/office/drawing/2014/main" id="{00000000-0008-0000-0100-000084A70000}"/>
            </a:ext>
          </a:extLst>
        </xdr:cNvPr>
        <xdr:cNvSpPr txBox="1">
          <a:spLocks noChangeArrowheads="1"/>
        </xdr:cNvSpPr>
      </xdr:nvSpPr>
      <xdr:spPr bwMode="auto">
        <a:xfrm>
          <a:off x="7334250" y="1551622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10</xdr:col>
      <xdr:colOff>381000</xdr:colOff>
      <xdr:row>24</xdr:row>
      <xdr:rowOff>64785</xdr:rowOff>
    </xdr:from>
    <xdr:to>
      <xdr:col>11</xdr:col>
      <xdr:colOff>120308</xdr:colOff>
      <xdr:row>25</xdr:row>
      <xdr:rowOff>117282</xdr:rowOff>
    </xdr:to>
    <xdr:sp macro="" textlink="">
      <xdr:nvSpPr>
        <xdr:cNvPr id="5" name="Text Box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>
          <a:spLocks noChangeArrowheads="1"/>
        </xdr:cNvSpPr>
      </xdr:nvSpPr>
      <xdr:spPr bwMode="auto">
        <a:xfrm>
          <a:off x="4610100" y="5627385"/>
          <a:ext cx="758483" cy="24299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lnSpc>
              <a:spcPts val="800"/>
            </a:lnSpc>
            <a:defRPr sz="1000"/>
          </a:pPr>
          <a:r>
            <a:rPr lang="id-ID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l" rtl="0">
            <a:lnSpc>
              <a:spcPts val="800"/>
            </a:lnSpc>
            <a:defRPr sz="1000"/>
          </a:pPr>
          <a:r>
            <a:rPr lang="id-ID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l" rtl="0">
            <a:lnSpc>
              <a:spcPts val="1000"/>
            </a:lnSpc>
            <a:defRPr sz="1000"/>
          </a:pPr>
          <a:r>
            <a:rPr lang="id-ID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M </a:t>
          </a: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10</xdr:col>
      <xdr:colOff>391697</xdr:colOff>
      <xdr:row>24</xdr:row>
      <xdr:rowOff>52497</xdr:rowOff>
    </xdr:from>
    <xdr:to>
      <xdr:col>10</xdr:col>
      <xdr:colOff>712616</xdr:colOff>
      <xdr:row>24</xdr:row>
      <xdr:rowOff>52497</xdr:rowOff>
    </xdr:to>
    <xdr:sp macro="" textlink="">
      <xdr:nvSpPr>
        <xdr:cNvPr id="6" name="Text Box 3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>
          <a:spLocks noChangeArrowheads="1"/>
        </xdr:cNvSpPr>
      </xdr:nvSpPr>
      <xdr:spPr bwMode="auto">
        <a:xfrm>
          <a:off x="4620797" y="5615097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10</xdr:col>
      <xdr:colOff>413092</xdr:colOff>
      <xdr:row>26</xdr:row>
      <xdr:rowOff>157490</xdr:rowOff>
    </xdr:from>
    <xdr:to>
      <xdr:col>10</xdr:col>
      <xdr:colOff>734011</xdr:colOff>
      <xdr:row>26</xdr:row>
      <xdr:rowOff>157490</xdr:rowOff>
    </xdr:to>
    <xdr:sp macro="" textlink="">
      <xdr:nvSpPr>
        <xdr:cNvPr id="12" name="Text Box 6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 txBox="1">
          <a:spLocks noChangeArrowheads="1"/>
        </xdr:cNvSpPr>
      </xdr:nvSpPr>
      <xdr:spPr bwMode="auto">
        <a:xfrm>
          <a:off x="4642192" y="6291590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10</xdr:col>
      <xdr:colOff>413092</xdr:colOff>
      <xdr:row>26</xdr:row>
      <xdr:rowOff>157490</xdr:rowOff>
    </xdr:from>
    <xdr:to>
      <xdr:col>10</xdr:col>
      <xdr:colOff>734011</xdr:colOff>
      <xdr:row>26</xdr:row>
      <xdr:rowOff>157490</xdr:rowOff>
    </xdr:to>
    <xdr:sp macro="" textlink="">
      <xdr:nvSpPr>
        <xdr:cNvPr id="13" name="Text Box 7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 txBox="1">
          <a:spLocks noChangeArrowheads="1"/>
        </xdr:cNvSpPr>
      </xdr:nvSpPr>
      <xdr:spPr bwMode="auto">
        <a:xfrm>
          <a:off x="4642192" y="6291590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10</xdr:col>
      <xdr:colOff>413092</xdr:colOff>
      <xdr:row>27</xdr:row>
      <xdr:rowOff>157490</xdr:rowOff>
    </xdr:from>
    <xdr:to>
      <xdr:col>10</xdr:col>
      <xdr:colOff>734011</xdr:colOff>
      <xdr:row>27</xdr:row>
      <xdr:rowOff>157490</xdr:rowOff>
    </xdr:to>
    <xdr:sp macro="" textlink="">
      <xdr:nvSpPr>
        <xdr:cNvPr id="16" name="Text Box 6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 txBox="1">
          <a:spLocks noChangeArrowheads="1"/>
        </xdr:cNvSpPr>
      </xdr:nvSpPr>
      <xdr:spPr bwMode="auto">
        <a:xfrm>
          <a:off x="4642192" y="6672590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10</xdr:col>
      <xdr:colOff>413092</xdr:colOff>
      <xdr:row>27</xdr:row>
      <xdr:rowOff>157490</xdr:rowOff>
    </xdr:from>
    <xdr:to>
      <xdr:col>10</xdr:col>
      <xdr:colOff>734011</xdr:colOff>
      <xdr:row>27</xdr:row>
      <xdr:rowOff>157490</xdr:rowOff>
    </xdr:to>
    <xdr:sp macro="" textlink="">
      <xdr:nvSpPr>
        <xdr:cNvPr id="17" name="Text Box 7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 txBox="1">
          <a:spLocks noChangeArrowheads="1"/>
        </xdr:cNvSpPr>
      </xdr:nvSpPr>
      <xdr:spPr bwMode="auto">
        <a:xfrm>
          <a:off x="4642192" y="6672590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10</xdr:col>
      <xdr:colOff>381000</xdr:colOff>
      <xdr:row>25</xdr:row>
      <xdr:rowOff>64785</xdr:rowOff>
    </xdr:from>
    <xdr:to>
      <xdr:col>11</xdr:col>
      <xdr:colOff>120308</xdr:colOff>
      <xdr:row>26</xdr:row>
      <xdr:rowOff>0</xdr:rowOff>
    </xdr:to>
    <xdr:sp macro="" textlink="">
      <xdr:nvSpPr>
        <xdr:cNvPr id="30" name="Text Box 4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SpPr txBox="1">
          <a:spLocks noChangeArrowheads="1"/>
        </xdr:cNvSpPr>
      </xdr:nvSpPr>
      <xdr:spPr bwMode="auto">
        <a:xfrm>
          <a:off x="5762625" y="5017785"/>
          <a:ext cx="434633" cy="24299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lnSpc>
              <a:spcPts val="800"/>
            </a:lnSpc>
            <a:defRPr sz="1000"/>
          </a:pPr>
          <a:r>
            <a:rPr lang="id-ID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l" rtl="0">
            <a:lnSpc>
              <a:spcPts val="800"/>
            </a:lnSpc>
            <a:defRPr sz="1000"/>
          </a:pPr>
          <a:r>
            <a:rPr lang="id-ID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l" rtl="0">
            <a:lnSpc>
              <a:spcPts val="1000"/>
            </a:lnSpc>
            <a:defRPr sz="1000"/>
          </a:pPr>
          <a:r>
            <a:rPr lang="id-ID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M </a:t>
          </a: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10</xdr:col>
      <xdr:colOff>413092</xdr:colOff>
      <xdr:row>27</xdr:row>
      <xdr:rowOff>157490</xdr:rowOff>
    </xdr:from>
    <xdr:to>
      <xdr:col>10</xdr:col>
      <xdr:colOff>734011</xdr:colOff>
      <xdr:row>27</xdr:row>
      <xdr:rowOff>157490</xdr:rowOff>
    </xdr:to>
    <xdr:sp macro="" textlink="">
      <xdr:nvSpPr>
        <xdr:cNvPr id="39" name="Text Box 6">
          <a:extLst>
            <a:ext uri="{FF2B5EF4-FFF2-40B4-BE49-F238E27FC236}">
              <a16:creationId xmlns:a16="http://schemas.microsoft.com/office/drawing/2014/main" id="{00000000-0008-0000-0100-000027000000}"/>
            </a:ext>
          </a:extLst>
        </xdr:cNvPr>
        <xdr:cNvSpPr txBox="1">
          <a:spLocks noChangeArrowheads="1"/>
        </xdr:cNvSpPr>
      </xdr:nvSpPr>
      <xdr:spPr bwMode="auto">
        <a:xfrm>
          <a:off x="6051892" y="5339090"/>
          <a:ext cx="2828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10</xdr:col>
      <xdr:colOff>413092</xdr:colOff>
      <xdr:row>27</xdr:row>
      <xdr:rowOff>157490</xdr:rowOff>
    </xdr:from>
    <xdr:to>
      <xdr:col>10</xdr:col>
      <xdr:colOff>734011</xdr:colOff>
      <xdr:row>27</xdr:row>
      <xdr:rowOff>157490</xdr:rowOff>
    </xdr:to>
    <xdr:sp macro="" textlink="">
      <xdr:nvSpPr>
        <xdr:cNvPr id="40" name="Text Box 7">
          <a:extLst>
            <a:ext uri="{FF2B5EF4-FFF2-40B4-BE49-F238E27FC236}">
              <a16:creationId xmlns:a16="http://schemas.microsoft.com/office/drawing/2014/main" id="{00000000-0008-0000-0100-000028000000}"/>
            </a:ext>
          </a:extLst>
        </xdr:cNvPr>
        <xdr:cNvSpPr txBox="1">
          <a:spLocks noChangeArrowheads="1"/>
        </xdr:cNvSpPr>
      </xdr:nvSpPr>
      <xdr:spPr bwMode="auto">
        <a:xfrm>
          <a:off x="6051892" y="5339090"/>
          <a:ext cx="2828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10</xdr:col>
      <xdr:colOff>381000</xdr:colOff>
      <xdr:row>25</xdr:row>
      <xdr:rowOff>64785</xdr:rowOff>
    </xdr:from>
    <xdr:to>
      <xdr:col>11</xdr:col>
      <xdr:colOff>120308</xdr:colOff>
      <xdr:row>26</xdr:row>
      <xdr:rowOff>117282</xdr:rowOff>
    </xdr:to>
    <xdr:sp macro="" textlink="">
      <xdr:nvSpPr>
        <xdr:cNvPr id="38" name="Text Box 4">
          <a:extLst>
            <a:ext uri="{FF2B5EF4-FFF2-40B4-BE49-F238E27FC236}">
              <a16:creationId xmlns:a16="http://schemas.microsoft.com/office/drawing/2014/main" id="{58983F7F-0A9F-497A-A46C-F128049BA3F2}"/>
            </a:ext>
          </a:extLst>
        </xdr:cNvPr>
        <xdr:cNvSpPr txBox="1">
          <a:spLocks noChangeArrowheads="1"/>
        </xdr:cNvSpPr>
      </xdr:nvSpPr>
      <xdr:spPr bwMode="auto">
        <a:xfrm>
          <a:off x="7311571" y="4464428"/>
          <a:ext cx="637380" cy="2520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lnSpc>
              <a:spcPts val="800"/>
            </a:lnSpc>
            <a:defRPr sz="1000"/>
          </a:pPr>
          <a:r>
            <a:rPr lang="id-ID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l" rtl="0">
            <a:lnSpc>
              <a:spcPts val="800"/>
            </a:lnSpc>
            <a:defRPr sz="1000"/>
          </a:pPr>
          <a:r>
            <a:rPr lang="id-ID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l" rtl="0">
            <a:lnSpc>
              <a:spcPts val="1000"/>
            </a:lnSpc>
            <a:defRPr sz="1000"/>
          </a:pPr>
          <a:r>
            <a:rPr lang="id-ID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M </a:t>
          </a: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10</xdr:col>
      <xdr:colOff>381000</xdr:colOff>
      <xdr:row>26</xdr:row>
      <xdr:rowOff>64785</xdr:rowOff>
    </xdr:from>
    <xdr:to>
      <xdr:col>11</xdr:col>
      <xdr:colOff>120308</xdr:colOff>
      <xdr:row>27</xdr:row>
      <xdr:rowOff>117282</xdr:rowOff>
    </xdr:to>
    <xdr:sp macro="" textlink="">
      <xdr:nvSpPr>
        <xdr:cNvPr id="41" name="Text Box 4">
          <a:extLst>
            <a:ext uri="{FF2B5EF4-FFF2-40B4-BE49-F238E27FC236}">
              <a16:creationId xmlns:a16="http://schemas.microsoft.com/office/drawing/2014/main" id="{B537DEDE-3A31-46D3-8E9A-021250FCBB59}"/>
            </a:ext>
          </a:extLst>
        </xdr:cNvPr>
        <xdr:cNvSpPr txBox="1">
          <a:spLocks noChangeArrowheads="1"/>
        </xdr:cNvSpPr>
      </xdr:nvSpPr>
      <xdr:spPr bwMode="auto">
        <a:xfrm>
          <a:off x="7311571" y="4464428"/>
          <a:ext cx="637380" cy="2520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lnSpc>
              <a:spcPts val="800"/>
            </a:lnSpc>
            <a:defRPr sz="1000"/>
          </a:pPr>
          <a:r>
            <a:rPr lang="id-ID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l" rtl="0">
            <a:lnSpc>
              <a:spcPts val="800"/>
            </a:lnSpc>
            <a:defRPr sz="1000"/>
          </a:pPr>
          <a:r>
            <a:rPr lang="id-ID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l" rtl="0">
            <a:lnSpc>
              <a:spcPts val="1000"/>
            </a:lnSpc>
            <a:defRPr sz="1000"/>
          </a:pPr>
          <a:r>
            <a:rPr lang="id-ID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M </a:t>
          </a: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10</xdr:col>
      <xdr:colOff>381000</xdr:colOff>
      <xdr:row>27</xdr:row>
      <xdr:rowOff>64785</xdr:rowOff>
    </xdr:from>
    <xdr:to>
      <xdr:col>11</xdr:col>
      <xdr:colOff>120308</xdr:colOff>
      <xdr:row>28</xdr:row>
      <xdr:rowOff>117282</xdr:rowOff>
    </xdr:to>
    <xdr:sp macro="" textlink="">
      <xdr:nvSpPr>
        <xdr:cNvPr id="42" name="Text Box 4">
          <a:extLst>
            <a:ext uri="{FF2B5EF4-FFF2-40B4-BE49-F238E27FC236}">
              <a16:creationId xmlns:a16="http://schemas.microsoft.com/office/drawing/2014/main" id="{FD1AC444-27E5-4D1C-849A-37E05383E504}"/>
            </a:ext>
          </a:extLst>
        </xdr:cNvPr>
        <xdr:cNvSpPr txBox="1">
          <a:spLocks noChangeArrowheads="1"/>
        </xdr:cNvSpPr>
      </xdr:nvSpPr>
      <xdr:spPr bwMode="auto">
        <a:xfrm>
          <a:off x="7311571" y="4464428"/>
          <a:ext cx="637380" cy="2520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lnSpc>
              <a:spcPts val="800"/>
            </a:lnSpc>
            <a:defRPr sz="1000"/>
          </a:pPr>
          <a:r>
            <a:rPr lang="id-ID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l" rtl="0">
            <a:lnSpc>
              <a:spcPts val="800"/>
            </a:lnSpc>
            <a:defRPr sz="1000"/>
          </a:pPr>
          <a:r>
            <a:rPr lang="id-ID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l" rtl="0">
            <a:lnSpc>
              <a:spcPts val="1000"/>
            </a:lnSpc>
            <a:defRPr sz="1000"/>
          </a:pPr>
          <a:r>
            <a:rPr lang="id-ID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M </a:t>
          </a: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381000</xdr:colOff>
      <xdr:row>8</xdr:row>
      <xdr:rowOff>0</xdr:rowOff>
    </xdr:from>
    <xdr:to>
      <xdr:col>2</xdr:col>
      <xdr:colOff>120308</xdr:colOff>
      <xdr:row>8</xdr:row>
      <xdr:rowOff>117282</xdr:rowOff>
    </xdr:to>
    <xdr:sp macro="" textlink="">
      <xdr:nvSpPr>
        <xdr:cNvPr id="2" name="Text Box 4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 txBox="1">
          <a:spLocks noChangeArrowheads="1"/>
        </xdr:cNvSpPr>
      </xdr:nvSpPr>
      <xdr:spPr bwMode="auto">
        <a:xfrm>
          <a:off x="8524875" y="28317825"/>
          <a:ext cx="491783" cy="11728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lnSpc>
              <a:spcPts val="800"/>
            </a:lnSpc>
            <a:defRPr sz="1000"/>
          </a:pPr>
          <a:r>
            <a:rPr lang="id-ID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l" rtl="0">
            <a:lnSpc>
              <a:spcPts val="800"/>
            </a:lnSpc>
            <a:defRPr sz="1000"/>
          </a:pPr>
          <a:r>
            <a:rPr lang="id-ID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l" rtl="0">
            <a:lnSpc>
              <a:spcPts val="1000"/>
            </a:lnSpc>
            <a:defRPr sz="1000"/>
          </a:pPr>
          <a:r>
            <a:rPr lang="id-ID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M </a:t>
          </a: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1</xdr:col>
      <xdr:colOff>381000</xdr:colOff>
      <xdr:row>8</xdr:row>
      <xdr:rowOff>64785</xdr:rowOff>
    </xdr:from>
    <xdr:to>
      <xdr:col>2</xdr:col>
      <xdr:colOff>120308</xdr:colOff>
      <xdr:row>9</xdr:row>
      <xdr:rowOff>0</xdr:rowOff>
    </xdr:to>
    <xdr:sp macro="" textlink="">
      <xdr:nvSpPr>
        <xdr:cNvPr id="3" name="Text Box 4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 txBox="1">
          <a:spLocks noChangeArrowheads="1"/>
        </xdr:cNvSpPr>
      </xdr:nvSpPr>
      <xdr:spPr bwMode="auto">
        <a:xfrm>
          <a:off x="8524875" y="28382610"/>
          <a:ext cx="491783" cy="971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lnSpc>
              <a:spcPts val="800"/>
            </a:lnSpc>
            <a:defRPr sz="1000"/>
          </a:pPr>
          <a:r>
            <a:rPr lang="id-ID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l" rtl="0">
            <a:lnSpc>
              <a:spcPts val="800"/>
            </a:lnSpc>
            <a:defRPr sz="1000"/>
          </a:pPr>
          <a:r>
            <a:rPr lang="id-ID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l" rtl="0">
            <a:lnSpc>
              <a:spcPts val="1000"/>
            </a:lnSpc>
            <a:defRPr sz="1000"/>
          </a:pPr>
          <a:r>
            <a:rPr lang="id-ID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M </a:t>
          </a: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1</xdr:col>
      <xdr:colOff>381000</xdr:colOff>
      <xdr:row>9</xdr:row>
      <xdr:rowOff>64785</xdr:rowOff>
    </xdr:from>
    <xdr:to>
      <xdr:col>2</xdr:col>
      <xdr:colOff>120308</xdr:colOff>
      <xdr:row>10</xdr:row>
      <xdr:rowOff>0</xdr:rowOff>
    </xdr:to>
    <xdr:sp macro="" textlink="">
      <xdr:nvSpPr>
        <xdr:cNvPr id="4" name="Text Box 4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 txBox="1">
          <a:spLocks noChangeArrowheads="1"/>
        </xdr:cNvSpPr>
      </xdr:nvSpPr>
      <xdr:spPr bwMode="auto">
        <a:xfrm>
          <a:off x="8524875" y="28544535"/>
          <a:ext cx="491783" cy="971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lnSpc>
              <a:spcPts val="800"/>
            </a:lnSpc>
            <a:defRPr sz="1000"/>
          </a:pPr>
          <a:r>
            <a:rPr lang="id-ID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l" rtl="0">
            <a:lnSpc>
              <a:spcPts val="800"/>
            </a:lnSpc>
            <a:defRPr sz="1000"/>
          </a:pPr>
          <a:r>
            <a:rPr lang="id-ID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l" rtl="0">
            <a:lnSpc>
              <a:spcPts val="1000"/>
            </a:lnSpc>
            <a:defRPr sz="1000"/>
          </a:pPr>
          <a:r>
            <a:rPr lang="id-ID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M </a:t>
          </a: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1</xdr:col>
      <xdr:colOff>413092</xdr:colOff>
      <xdr:row>10</xdr:row>
      <xdr:rowOff>157490</xdr:rowOff>
    </xdr:from>
    <xdr:to>
      <xdr:col>1</xdr:col>
      <xdr:colOff>734011</xdr:colOff>
      <xdr:row>10</xdr:row>
      <xdr:rowOff>157490</xdr:rowOff>
    </xdr:to>
    <xdr:sp macro="" textlink="">
      <xdr:nvSpPr>
        <xdr:cNvPr id="5" name="Text Box 6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SpPr txBox="1">
          <a:spLocks noChangeArrowheads="1"/>
        </xdr:cNvSpPr>
      </xdr:nvSpPr>
      <xdr:spPr bwMode="auto">
        <a:xfrm>
          <a:off x="8556967" y="28799165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1</xdr:col>
      <xdr:colOff>413092</xdr:colOff>
      <xdr:row>10</xdr:row>
      <xdr:rowOff>157490</xdr:rowOff>
    </xdr:from>
    <xdr:to>
      <xdr:col>1</xdr:col>
      <xdr:colOff>734011</xdr:colOff>
      <xdr:row>10</xdr:row>
      <xdr:rowOff>157490</xdr:rowOff>
    </xdr:to>
    <xdr:sp macro="" textlink="">
      <xdr:nvSpPr>
        <xdr:cNvPr id="6" name="Text Box 7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SpPr txBox="1">
          <a:spLocks noChangeArrowheads="1"/>
        </xdr:cNvSpPr>
      </xdr:nvSpPr>
      <xdr:spPr bwMode="auto">
        <a:xfrm>
          <a:off x="8556967" y="28799165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1</xdr:col>
      <xdr:colOff>413092</xdr:colOff>
      <xdr:row>11</xdr:row>
      <xdr:rowOff>157490</xdr:rowOff>
    </xdr:from>
    <xdr:to>
      <xdr:col>1</xdr:col>
      <xdr:colOff>734011</xdr:colOff>
      <xdr:row>11</xdr:row>
      <xdr:rowOff>157490</xdr:rowOff>
    </xdr:to>
    <xdr:sp macro="" textlink="">
      <xdr:nvSpPr>
        <xdr:cNvPr id="7" name="Text Box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SpPr txBox="1">
          <a:spLocks noChangeArrowheads="1"/>
        </xdr:cNvSpPr>
      </xdr:nvSpPr>
      <xdr:spPr bwMode="auto">
        <a:xfrm>
          <a:off x="8556967" y="28961090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1</xdr:col>
      <xdr:colOff>413092</xdr:colOff>
      <xdr:row>11</xdr:row>
      <xdr:rowOff>157490</xdr:rowOff>
    </xdr:from>
    <xdr:to>
      <xdr:col>1</xdr:col>
      <xdr:colOff>734011</xdr:colOff>
      <xdr:row>11</xdr:row>
      <xdr:rowOff>157490</xdr:rowOff>
    </xdr:to>
    <xdr:sp macro="" textlink="">
      <xdr:nvSpPr>
        <xdr:cNvPr id="8" name="Text Box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SpPr txBox="1">
          <a:spLocks noChangeArrowheads="1"/>
        </xdr:cNvSpPr>
      </xdr:nvSpPr>
      <xdr:spPr bwMode="auto">
        <a:xfrm>
          <a:off x="8556967" y="28961090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4</xdr:col>
      <xdr:colOff>413092</xdr:colOff>
      <xdr:row>30</xdr:row>
      <xdr:rowOff>157490</xdr:rowOff>
    </xdr:from>
    <xdr:to>
      <xdr:col>4</xdr:col>
      <xdr:colOff>734011</xdr:colOff>
      <xdr:row>30</xdr:row>
      <xdr:rowOff>157490</xdr:rowOff>
    </xdr:to>
    <xdr:sp macro="" textlink="">
      <xdr:nvSpPr>
        <xdr:cNvPr id="9" name="Text Box 6">
          <a:extLst>
            <a:ext uri="{FF2B5EF4-FFF2-40B4-BE49-F238E27FC236}">
              <a16:creationId xmlns:a16="http://schemas.microsoft.com/office/drawing/2014/main" id="{9C76A8FB-7EAC-4CA6-9354-9F501909DF65}"/>
            </a:ext>
          </a:extLst>
        </xdr:cNvPr>
        <xdr:cNvSpPr txBox="1">
          <a:spLocks noChangeArrowheads="1"/>
        </xdr:cNvSpPr>
      </xdr:nvSpPr>
      <xdr:spPr bwMode="auto">
        <a:xfrm>
          <a:off x="3003892" y="11663690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4</xdr:col>
      <xdr:colOff>413092</xdr:colOff>
      <xdr:row>30</xdr:row>
      <xdr:rowOff>157490</xdr:rowOff>
    </xdr:from>
    <xdr:to>
      <xdr:col>4</xdr:col>
      <xdr:colOff>734011</xdr:colOff>
      <xdr:row>30</xdr:row>
      <xdr:rowOff>157490</xdr:rowOff>
    </xdr:to>
    <xdr:sp macro="" textlink="">
      <xdr:nvSpPr>
        <xdr:cNvPr id="10" name="Text Box 7">
          <a:extLst>
            <a:ext uri="{FF2B5EF4-FFF2-40B4-BE49-F238E27FC236}">
              <a16:creationId xmlns:a16="http://schemas.microsoft.com/office/drawing/2014/main" id="{86B31869-1731-49E2-9073-56E1BD9928DF}"/>
            </a:ext>
          </a:extLst>
        </xdr:cNvPr>
        <xdr:cNvSpPr txBox="1">
          <a:spLocks noChangeArrowheads="1"/>
        </xdr:cNvSpPr>
      </xdr:nvSpPr>
      <xdr:spPr bwMode="auto">
        <a:xfrm>
          <a:off x="3003892" y="11663690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4</xdr:col>
      <xdr:colOff>413092</xdr:colOff>
      <xdr:row>31</xdr:row>
      <xdr:rowOff>157490</xdr:rowOff>
    </xdr:from>
    <xdr:to>
      <xdr:col>4</xdr:col>
      <xdr:colOff>734011</xdr:colOff>
      <xdr:row>31</xdr:row>
      <xdr:rowOff>157490</xdr:rowOff>
    </xdr:to>
    <xdr:sp macro="" textlink="">
      <xdr:nvSpPr>
        <xdr:cNvPr id="11" name="Text Box 6">
          <a:extLst>
            <a:ext uri="{FF2B5EF4-FFF2-40B4-BE49-F238E27FC236}">
              <a16:creationId xmlns:a16="http://schemas.microsoft.com/office/drawing/2014/main" id="{81615F54-0E28-452B-82AD-57119E8BDE30}"/>
            </a:ext>
          </a:extLst>
        </xdr:cNvPr>
        <xdr:cNvSpPr txBox="1">
          <a:spLocks noChangeArrowheads="1"/>
        </xdr:cNvSpPr>
      </xdr:nvSpPr>
      <xdr:spPr bwMode="auto">
        <a:xfrm>
          <a:off x="3003892" y="11825615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4</xdr:col>
      <xdr:colOff>413092</xdr:colOff>
      <xdr:row>31</xdr:row>
      <xdr:rowOff>157490</xdr:rowOff>
    </xdr:from>
    <xdr:to>
      <xdr:col>4</xdr:col>
      <xdr:colOff>734011</xdr:colOff>
      <xdr:row>31</xdr:row>
      <xdr:rowOff>157490</xdr:rowOff>
    </xdr:to>
    <xdr:sp macro="" textlink="">
      <xdr:nvSpPr>
        <xdr:cNvPr id="12" name="Text Box 7">
          <a:extLst>
            <a:ext uri="{FF2B5EF4-FFF2-40B4-BE49-F238E27FC236}">
              <a16:creationId xmlns:a16="http://schemas.microsoft.com/office/drawing/2014/main" id="{FBAAF6CC-17F4-47E0-86AD-769F63939429}"/>
            </a:ext>
          </a:extLst>
        </xdr:cNvPr>
        <xdr:cNvSpPr txBox="1">
          <a:spLocks noChangeArrowheads="1"/>
        </xdr:cNvSpPr>
      </xdr:nvSpPr>
      <xdr:spPr bwMode="auto">
        <a:xfrm>
          <a:off x="3003892" y="11825615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4</xdr:col>
      <xdr:colOff>413092</xdr:colOff>
      <xdr:row>32</xdr:row>
      <xdr:rowOff>157490</xdr:rowOff>
    </xdr:from>
    <xdr:to>
      <xdr:col>4</xdr:col>
      <xdr:colOff>734011</xdr:colOff>
      <xdr:row>32</xdr:row>
      <xdr:rowOff>157490</xdr:rowOff>
    </xdr:to>
    <xdr:sp macro="" textlink="">
      <xdr:nvSpPr>
        <xdr:cNvPr id="13" name="Text Box 6">
          <a:extLst>
            <a:ext uri="{FF2B5EF4-FFF2-40B4-BE49-F238E27FC236}">
              <a16:creationId xmlns:a16="http://schemas.microsoft.com/office/drawing/2014/main" id="{CD7C36F2-053A-4C25-94FA-1782D2324A5E}"/>
            </a:ext>
          </a:extLst>
        </xdr:cNvPr>
        <xdr:cNvSpPr txBox="1">
          <a:spLocks noChangeArrowheads="1"/>
        </xdr:cNvSpPr>
      </xdr:nvSpPr>
      <xdr:spPr bwMode="auto">
        <a:xfrm>
          <a:off x="3003892" y="11987540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4</xdr:col>
      <xdr:colOff>413092</xdr:colOff>
      <xdr:row>32</xdr:row>
      <xdr:rowOff>157490</xdr:rowOff>
    </xdr:from>
    <xdr:to>
      <xdr:col>4</xdr:col>
      <xdr:colOff>734011</xdr:colOff>
      <xdr:row>32</xdr:row>
      <xdr:rowOff>157490</xdr:rowOff>
    </xdr:to>
    <xdr:sp macro="" textlink="">
      <xdr:nvSpPr>
        <xdr:cNvPr id="14" name="Text Box 7">
          <a:extLst>
            <a:ext uri="{FF2B5EF4-FFF2-40B4-BE49-F238E27FC236}">
              <a16:creationId xmlns:a16="http://schemas.microsoft.com/office/drawing/2014/main" id="{84E3FED8-8666-41C3-9E8C-0DEF6920418F}"/>
            </a:ext>
          </a:extLst>
        </xdr:cNvPr>
        <xdr:cNvSpPr txBox="1">
          <a:spLocks noChangeArrowheads="1"/>
        </xdr:cNvSpPr>
      </xdr:nvSpPr>
      <xdr:spPr bwMode="auto">
        <a:xfrm>
          <a:off x="3003892" y="11987540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4</xdr:col>
      <xdr:colOff>413092</xdr:colOff>
      <xdr:row>33</xdr:row>
      <xdr:rowOff>157490</xdr:rowOff>
    </xdr:from>
    <xdr:to>
      <xdr:col>4</xdr:col>
      <xdr:colOff>734011</xdr:colOff>
      <xdr:row>33</xdr:row>
      <xdr:rowOff>157490</xdr:rowOff>
    </xdr:to>
    <xdr:sp macro="" textlink="">
      <xdr:nvSpPr>
        <xdr:cNvPr id="15" name="Text Box 6">
          <a:extLst>
            <a:ext uri="{FF2B5EF4-FFF2-40B4-BE49-F238E27FC236}">
              <a16:creationId xmlns:a16="http://schemas.microsoft.com/office/drawing/2014/main" id="{DF2EBF3E-3641-47E9-A14B-31953765F69F}"/>
            </a:ext>
          </a:extLst>
        </xdr:cNvPr>
        <xdr:cNvSpPr txBox="1">
          <a:spLocks noChangeArrowheads="1"/>
        </xdr:cNvSpPr>
      </xdr:nvSpPr>
      <xdr:spPr bwMode="auto">
        <a:xfrm>
          <a:off x="3003892" y="12149465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4</xdr:col>
      <xdr:colOff>413092</xdr:colOff>
      <xdr:row>33</xdr:row>
      <xdr:rowOff>157490</xdr:rowOff>
    </xdr:from>
    <xdr:to>
      <xdr:col>4</xdr:col>
      <xdr:colOff>734011</xdr:colOff>
      <xdr:row>33</xdr:row>
      <xdr:rowOff>157490</xdr:rowOff>
    </xdr:to>
    <xdr:sp macro="" textlink="">
      <xdr:nvSpPr>
        <xdr:cNvPr id="16" name="Text Box 7">
          <a:extLst>
            <a:ext uri="{FF2B5EF4-FFF2-40B4-BE49-F238E27FC236}">
              <a16:creationId xmlns:a16="http://schemas.microsoft.com/office/drawing/2014/main" id="{BA0AE495-9016-4846-A8A4-553678FD0721}"/>
            </a:ext>
          </a:extLst>
        </xdr:cNvPr>
        <xdr:cNvSpPr txBox="1">
          <a:spLocks noChangeArrowheads="1"/>
        </xdr:cNvSpPr>
      </xdr:nvSpPr>
      <xdr:spPr bwMode="auto">
        <a:xfrm>
          <a:off x="3003892" y="12149465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30</xdr:col>
      <xdr:colOff>413092</xdr:colOff>
      <xdr:row>26</xdr:row>
      <xdr:rowOff>157490</xdr:rowOff>
    </xdr:from>
    <xdr:to>
      <xdr:col>30</xdr:col>
      <xdr:colOff>734011</xdr:colOff>
      <xdr:row>26</xdr:row>
      <xdr:rowOff>157490</xdr:rowOff>
    </xdr:to>
    <xdr:sp macro="" textlink="">
      <xdr:nvSpPr>
        <xdr:cNvPr id="17" name="Text Box 6">
          <a:extLst>
            <a:ext uri="{FF2B5EF4-FFF2-40B4-BE49-F238E27FC236}">
              <a16:creationId xmlns:a16="http://schemas.microsoft.com/office/drawing/2014/main" id="{5EA468B9-3442-42F6-901E-C83F4503EAE6}"/>
            </a:ext>
          </a:extLst>
        </xdr:cNvPr>
        <xdr:cNvSpPr txBox="1">
          <a:spLocks noChangeArrowheads="1"/>
        </xdr:cNvSpPr>
      </xdr:nvSpPr>
      <xdr:spPr bwMode="auto">
        <a:xfrm>
          <a:off x="6213817" y="9063365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30</xdr:col>
      <xdr:colOff>413092</xdr:colOff>
      <xdr:row>26</xdr:row>
      <xdr:rowOff>157490</xdr:rowOff>
    </xdr:from>
    <xdr:to>
      <xdr:col>30</xdr:col>
      <xdr:colOff>734011</xdr:colOff>
      <xdr:row>26</xdr:row>
      <xdr:rowOff>157490</xdr:rowOff>
    </xdr:to>
    <xdr:sp macro="" textlink="">
      <xdr:nvSpPr>
        <xdr:cNvPr id="18" name="Text Box 7">
          <a:extLst>
            <a:ext uri="{FF2B5EF4-FFF2-40B4-BE49-F238E27FC236}">
              <a16:creationId xmlns:a16="http://schemas.microsoft.com/office/drawing/2014/main" id="{0D9AF234-20B1-431B-8D89-3F42685CB3DA}"/>
            </a:ext>
          </a:extLst>
        </xdr:cNvPr>
        <xdr:cNvSpPr txBox="1">
          <a:spLocks noChangeArrowheads="1"/>
        </xdr:cNvSpPr>
      </xdr:nvSpPr>
      <xdr:spPr bwMode="auto">
        <a:xfrm>
          <a:off x="6213817" y="9063365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30</xdr:col>
      <xdr:colOff>413092</xdr:colOff>
      <xdr:row>26</xdr:row>
      <xdr:rowOff>157490</xdr:rowOff>
    </xdr:from>
    <xdr:to>
      <xdr:col>30</xdr:col>
      <xdr:colOff>734011</xdr:colOff>
      <xdr:row>26</xdr:row>
      <xdr:rowOff>157490</xdr:rowOff>
    </xdr:to>
    <xdr:sp macro="" textlink="">
      <xdr:nvSpPr>
        <xdr:cNvPr id="19" name="Text Box 6">
          <a:extLst>
            <a:ext uri="{FF2B5EF4-FFF2-40B4-BE49-F238E27FC236}">
              <a16:creationId xmlns:a16="http://schemas.microsoft.com/office/drawing/2014/main" id="{5561A4C9-1D17-4374-969E-7CA318E9872E}"/>
            </a:ext>
          </a:extLst>
        </xdr:cNvPr>
        <xdr:cNvSpPr txBox="1">
          <a:spLocks noChangeArrowheads="1"/>
        </xdr:cNvSpPr>
      </xdr:nvSpPr>
      <xdr:spPr bwMode="auto">
        <a:xfrm>
          <a:off x="6213817" y="9063365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30</xdr:col>
      <xdr:colOff>413092</xdr:colOff>
      <xdr:row>26</xdr:row>
      <xdr:rowOff>157490</xdr:rowOff>
    </xdr:from>
    <xdr:to>
      <xdr:col>30</xdr:col>
      <xdr:colOff>734011</xdr:colOff>
      <xdr:row>26</xdr:row>
      <xdr:rowOff>157490</xdr:rowOff>
    </xdr:to>
    <xdr:sp macro="" textlink="">
      <xdr:nvSpPr>
        <xdr:cNvPr id="20" name="Text Box 7">
          <a:extLst>
            <a:ext uri="{FF2B5EF4-FFF2-40B4-BE49-F238E27FC236}">
              <a16:creationId xmlns:a16="http://schemas.microsoft.com/office/drawing/2014/main" id="{AF3C8C76-1DD6-4368-A5A2-824FC4359C62}"/>
            </a:ext>
          </a:extLst>
        </xdr:cNvPr>
        <xdr:cNvSpPr txBox="1">
          <a:spLocks noChangeArrowheads="1"/>
        </xdr:cNvSpPr>
      </xdr:nvSpPr>
      <xdr:spPr bwMode="auto">
        <a:xfrm>
          <a:off x="6213817" y="9063365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30</xdr:col>
      <xdr:colOff>413092</xdr:colOff>
      <xdr:row>27</xdr:row>
      <xdr:rowOff>157490</xdr:rowOff>
    </xdr:from>
    <xdr:to>
      <xdr:col>30</xdr:col>
      <xdr:colOff>734011</xdr:colOff>
      <xdr:row>27</xdr:row>
      <xdr:rowOff>157490</xdr:rowOff>
    </xdr:to>
    <xdr:sp macro="" textlink="">
      <xdr:nvSpPr>
        <xdr:cNvPr id="21" name="Text Box 6">
          <a:extLst>
            <a:ext uri="{FF2B5EF4-FFF2-40B4-BE49-F238E27FC236}">
              <a16:creationId xmlns:a16="http://schemas.microsoft.com/office/drawing/2014/main" id="{D98D3F24-126A-4BDB-A5FB-462F98FC9FE1}"/>
            </a:ext>
          </a:extLst>
        </xdr:cNvPr>
        <xdr:cNvSpPr txBox="1">
          <a:spLocks noChangeArrowheads="1"/>
        </xdr:cNvSpPr>
      </xdr:nvSpPr>
      <xdr:spPr bwMode="auto">
        <a:xfrm>
          <a:off x="6213817" y="9253865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30</xdr:col>
      <xdr:colOff>413092</xdr:colOff>
      <xdr:row>27</xdr:row>
      <xdr:rowOff>157490</xdr:rowOff>
    </xdr:from>
    <xdr:to>
      <xdr:col>30</xdr:col>
      <xdr:colOff>734011</xdr:colOff>
      <xdr:row>27</xdr:row>
      <xdr:rowOff>157490</xdr:rowOff>
    </xdr:to>
    <xdr:sp macro="" textlink="">
      <xdr:nvSpPr>
        <xdr:cNvPr id="22" name="Text Box 7">
          <a:extLst>
            <a:ext uri="{FF2B5EF4-FFF2-40B4-BE49-F238E27FC236}">
              <a16:creationId xmlns:a16="http://schemas.microsoft.com/office/drawing/2014/main" id="{30641124-8572-4A24-8CA6-C2CB66F6948D}"/>
            </a:ext>
          </a:extLst>
        </xdr:cNvPr>
        <xdr:cNvSpPr txBox="1">
          <a:spLocks noChangeArrowheads="1"/>
        </xdr:cNvSpPr>
      </xdr:nvSpPr>
      <xdr:spPr bwMode="auto">
        <a:xfrm>
          <a:off x="6213817" y="9253865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30</xdr:col>
      <xdr:colOff>413092</xdr:colOff>
      <xdr:row>27</xdr:row>
      <xdr:rowOff>157490</xdr:rowOff>
    </xdr:from>
    <xdr:to>
      <xdr:col>30</xdr:col>
      <xdr:colOff>734011</xdr:colOff>
      <xdr:row>27</xdr:row>
      <xdr:rowOff>157490</xdr:rowOff>
    </xdr:to>
    <xdr:sp macro="" textlink="">
      <xdr:nvSpPr>
        <xdr:cNvPr id="23" name="Text Box 6">
          <a:extLst>
            <a:ext uri="{FF2B5EF4-FFF2-40B4-BE49-F238E27FC236}">
              <a16:creationId xmlns:a16="http://schemas.microsoft.com/office/drawing/2014/main" id="{8B28A0FF-A559-473C-B55E-165C52B98A7B}"/>
            </a:ext>
          </a:extLst>
        </xdr:cNvPr>
        <xdr:cNvSpPr txBox="1">
          <a:spLocks noChangeArrowheads="1"/>
        </xdr:cNvSpPr>
      </xdr:nvSpPr>
      <xdr:spPr bwMode="auto">
        <a:xfrm>
          <a:off x="6213817" y="9253865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30</xdr:col>
      <xdr:colOff>413092</xdr:colOff>
      <xdr:row>27</xdr:row>
      <xdr:rowOff>157490</xdr:rowOff>
    </xdr:from>
    <xdr:to>
      <xdr:col>30</xdr:col>
      <xdr:colOff>734011</xdr:colOff>
      <xdr:row>27</xdr:row>
      <xdr:rowOff>157490</xdr:rowOff>
    </xdr:to>
    <xdr:sp macro="" textlink="">
      <xdr:nvSpPr>
        <xdr:cNvPr id="24" name="Text Box 7">
          <a:extLst>
            <a:ext uri="{FF2B5EF4-FFF2-40B4-BE49-F238E27FC236}">
              <a16:creationId xmlns:a16="http://schemas.microsoft.com/office/drawing/2014/main" id="{1614E318-4AC3-4C42-9349-0AD72848820A}"/>
            </a:ext>
          </a:extLst>
        </xdr:cNvPr>
        <xdr:cNvSpPr txBox="1">
          <a:spLocks noChangeArrowheads="1"/>
        </xdr:cNvSpPr>
      </xdr:nvSpPr>
      <xdr:spPr bwMode="auto">
        <a:xfrm>
          <a:off x="6213817" y="9253865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25</xdr:col>
      <xdr:colOff>413092</xdr:colOff>
      <xdr:row>29</xdr:row>
      <xdr:rowOff>157490</xdr:rowOff>
    </xdr:from>
    <xdr:to>
      <xdr:col>25</xdr:col>
      <xdr:colOff>734011</xdr:colOff>
      <xdr:row>29</xdr:row>
      <xdr:rowOff>157490</xdr:rowOff>
    </xdr:to>
    <xdr:sp macro="" textlink="">
      <xdr:nvSpPr>
        <xdr:cNvPr id="25" name="Text Box 6">
          <a:extLst>
            <a:ext uri="{FF2B5EF4-FFF2-40B4-BE49-F238E27FC236}">
              <a16:creationId xmlns:a16="http://schemas.microsoft.com/office/drawing/2014/main" id="{C5A38826-7512-40C0-A980-3B7C0D830752}"/>
            </a:ext>
          </a:extLst>
        </xdr:cNvPr>
        <xdr:cNvSpPr txBox="1">
          <a:spLocks noChangeArrowheads="1"/>
        </xdr:cNvSpPr>
      </xdr:nvSpPr>
      <xdr:spPr bwMode="auto">
        <a:xfrm>
          <a:off x="3003892" y="8587115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25</xdr:col>
      <xdr:colOff>413092</xdr:colOff>
      <xdr:row>29</xdr:row>
      <xdr:rowOff>157490</xdr:rowOff>
    </xdr:from>
    <xdr:to>
      <xdr:col>25</xdr:col>
      <xdr:colOff>734011</xdr:colOff>
      <xdr:row>29</xdr:row>
      <xdr:rowOff>157490</xdr:rowOff>
    </xdr:to>
    <xdr:sp macro="" textlink="">
      <xdr:nvSpPr>
        <xdr:cNvPr id="26" name="Text Box 7">
          <a:extLst>
            <a:ext uri="{FF2B5EF4-FFF2-40B4-BE49-F238E27FC236}">
              <a16:creationId xmlns:a16="http://schemas.microsoft.com/office/drawing/2014/main" id="{DE156CE0-992E-479A-B764-D9D989DFB04F}"/>
            </a:ext>
          </a:extLst>
        </xdr:cNvPr>
        <xdr:cNvSpPr txBox="1">
          <a:spLocks noChangeArrowheads="1"/>
        </xdr:cNvSpPr>
      </xdr:nvSpPr>
      <xdr:spPr bwMode="auto">
        <a:xfrm>
          <a:off x="3003892" y="8587115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25</xdr:col>
      <xdr:colOff>413092</xdr:colOff>
      <xdr:row>30</xdr:row>
      <xdr:rowOff>157490</xdr:rowOff>
    </xdr:from>
    <xdr:to>
      <xdr:col>25</xdr:col>
      <xdr:colOff>734011</xdr:colOff>
      <xdr:row>30</xdr:row>
      <xdr:rowOff>157490</xdr:rowOff>
    </xdr:to>
    <xdr:sp macro="" textlink="">
      <xdr:nvSpPr>
        <xdr:cNvPr id="27" name="Text Box 6">
          <a:extLst>
            <a:ext uri="{FF2B5EF4-FFF2-40B4-BE49-F238E27FC236}">
              <a16:creationId xmlns:a16="http://schemas.microsoft.com/office/drawing/2014/main" id="{8D9E5E5F-8DE5-486D-A29A-21285E7475A2}"/>
            </a:ext>
          </a:extLst>
        </xdr:cNvPr>
        <xdr:cNvSpPr txBox="1">
          <a:spLocks noChangeArrowheads="1"/>
        </xdr:cNvSpPr>
      </xdr:nvSpPr>
      <xdr:spPr bwMode="auto">
        <a:xfrm>
          <a:off x="3003892" y="8768090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25</xdr:col>
      <xdr:colOff>413092</xdr:colOff>
      <xdr:row>30</xdr:row>
      <xdr:rowOff>157490</xdr:rowOff>
    </xdr:from>
    <xdr:to>
      <xdr:col>25</xdr:col>
      <xdr:colOff>734011</xdr:colOff>
      <xdr:row>30</xdr:row>
      <xdr:rowOff>157490</xdr:rowOff>
    </xdr:to>
    <xdr:sp macro="" textlink="">
      <xdr:nvSpPr>
        <xdr:cNvPr id="28" name="Text Box 7">
          <a:extLst>
            <a:ext uri="{FF2B5EF4-FFF2-40B4-BE49-F238E27FC236}">
              <a16:creationId xmlns:a16="http://schemas.microsoft.com/office/drawing/2014/main" id="{1F017FC0-4B9D-4809-A333-A1DFD78C5DCD}"/>
            </a:ext>
          </a:extLst>
        </xdr:cNvPr>
        <xdr:cNvSpPr txBox="1">
          <a:spLocks noChangeArrowheads="1"/>
        </xdr:cNvSpPr>
      </xdr:nvSpPr>
      <xdr:spPr bwMode="auto">
        <a:xfrm>
          <a:off x="3003892" y="8768090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4</xdr:col>
      <xdr:colOff>413092</xdr:colOff>
      <xdr:row>34</xdr:row>
      <xdr:rowOff>157490</xdr:rowOff>
    </xdr:from>
    <xdr:to>
      <xdr:col>4</xdr:col>
      <xdr:colOff>734011</xdr:colOff>
      <xdr:row>34</xdr:row>
      <xdr:rowOff>157490</xdr:rowOff>
    </xdr:to>
    <xdr:sp macro="" textlink="">
      <xdr:nvSpPr>
        <xdr:cNvPr id="29" name="Text Box 6">
          <a:extLst>
            <a:ext uri="{FF2B5EF4-FFF2-40B4-BE49-F238E27FC236}">
              <a16:creationId xmlns:a16="http://schemas.microsoft.com/office/drawing/2014/main" id="{1A940D30-06D5-438A-B837-74614046F26F}"/>
            </a:ext>
          </a:extLst>
        </xdr:cNvPr>
        <xdr:cNvSpPr txBox="1">
          <a:spLocks noChangeArrowheads="1"/>
        </xdr:cNvSpPr>
      </xdr:nvSpPr>
      <xdr:spPr bwMode="auto">
        <a:xfrm>
          <a:off x="3003892" y="11301740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4</xdr:col>
      <xdr:colOff>413092</xdr:colOff>
      <xdr:row>35</xdr:row>
      <xdr:rowOff>157490</xdr:rowOff>
    </xdr:from>
    <xdr:to>
      <xdr:col>4</xdr:col>
      <xdr:colOff>734011</xdr:colOff>
      <xdr:row>35</xdr:row>
      <xdr:rowOff>157490</xdr:rowOff>
    </xdr:to>
    <xdr:sp macro="" textlink="">
      <xdr:nvSpPr>
        <xdr:cNvPr id="30" name="Text Box 6">
          <a:extLst>
            <a:ext uri="{FF2B5EF4-FFF2-40B4-BE49-F238E27FC236}">
              <a16:creationId xmlns:a16="http://schemas.microsoft.com/office/drawing/2014/main" id="{601C39BC-1DA0-401C-BF45-2219C59A1ECC}"/>
            </a:ext>
          </a:extLst>
        </xdr:cNvPr>
        <xdr:cNvSpPr txBox="1">
          <a:spLocks noChangeArrowheads="1"/>
        </xdr:cNvSpPr>
      </xdr:nvSpPr>
      <xdr:spPr bwMode="auto">
        <a:xfrm>
          <a:off x="3003892" y="11482715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4</xdr:col>
      <xdr:colOff>413092</xdr:colOff>
      <xdr:row>35</xdr:row>
      <xdr:rowOff>157490</xdr:rowOff>
    </xdr:from>
    <xdr:to>
      <xdr:col>4</xdr:col>
      <xdr:colOff>734011</xdr:colOff>
      <xdr:row>35</xdr:row>
      <xdr:rowOff>157490</xdr:rowOff>
    </xdr:to>
    <xdr:sp macro="" textlink="">
      <xdr:nvSpPr>
        <xdr:cNvPr id="31" name="Text Box 7">
          <a:extLst>
            <a:ext uri="{FF2B5EF4-FFF2-40B4-BE49-F238E27FC236}">
              <a16:creationId xmlns:a16="http://schemas.microsoft.com/office/drawing/2014/main" id="{CF78EB74-BF31-41D2-A6A9-B852D788D487}"/>
            </a:ext>
          </a:extLst>
        </xdr:cNvPr>
        <xdr:cNvSpPr txBox="1">
          <a:spLocks noChangeArrowheads="1"/>
        </xdr:cNvSpPr>
      </xdr:nvSpPr>
      <xdr:spPr bwMode="auto">
        <a:xfrm>
          <a:off x="3003892" y="11482715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70</xdr:row>
      <xdr:rowOff>0</xdr:rowOff>
    </xdr:from>
    <xdr:to>
      <xdr:col>13</xdr:col>
      <xdr:colOff>76200</xdr:colOff>
      <xdr:row>71</xdr:row>
      <xdr:rowOff>38101</xdr:rowOff>
    </xdr:to>
    <xdr:sp macro="" textlink="">
      <xdr:nvSpPr>
        <xdr:cNvPr id="48178" name="Text Box 1">
          <a:extLst>
            <a:ext uri="{FF2B5EF4-FFF2-40B4-BE49-F238E27FC236}">
              <a16:creationId xmlns:a16="http://schemas.microsoft.com/office/drawing/2014/main" id="{00000000-0008-0000-0900-000032BC0000}"/>
            </a:ext>
          </a:extLst>
        </xdr:cNvPr>
        <xdr:cNvSpPr txBox="1">
          <a:spLocks noChangeArrowheads="1"/>
        </xdr:cNvSpPr>
      </xdr:nvSpPr>
      <xdr:spPr bwMode="auto">
        <a:xfrm>
          <a:off x="7134225" y="1719262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</xdr:col>
      <xdr:colOff>0</xdr:colOff>
      <xdr:row>76</xdr:row>
      <xdr:rowOff>0</xdr:rowOff>
    </xdr:from>
    <xdr:to>
      <xdr:col>13</xdr:col>
      <xdr:colOff>76200</xdr:colOff>
      <xdr:row>77</xdr:row>
      <xdr:rowOff>39293</xdr:rowOff>
    </xdr:to>
    <xdr:sp macro="" textlink="">
      <xdr:nvSpPr>
        <xdr:cNvPr id="48179" name="Text Box 43">
          <a:extLst>
            <a:ext uri="{FF2B5EF4-FFF2-40B4-BE49-F238E27FC236}">
              <a16:creationId xmlns:a16="http://schemas.microsoft.com/office/drawing/2014/main" id="{00000000-0008-0000-0900-000033BC0000}"/>
            </a:ext>
          </a:extLst>
        </xdr:cNvPr>
        <xdr:cNvSpPr txBox="1">
          <a:spLocks noChangeArrowheads="1"/>
        </xdr:cNvSpPr>
      </xdr:nvSpPr>
      <xdr:spPr bwMode="auto">
        <a:xfrm>
          <a:off x="7134225" y="230409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9</xdr:col>
      <xdr:colOff>391697</xdr:colOff>
      <xdr:row>25</xdr:row>
      <xdr:rowOff>52497</xdr:rowOff>
    </xdr:from>
    <xdr:to>
      <xdr:col>9</xdr:col>
      <xdr:colOff>712616</xdr:colOff>
      <xdr:row>25</xdr:row>
      <xdr:rowOff>52497</xdr:rowOff>
    </xdr:to>
    <xdr:sp macro="" textlink="">
      <xdr:nvSpPr>
        <xdr:cNvPr id="1027" name="Text Box 3">
          <a:extLst>
            <a:ext uri="{FF2B5EF4-FFF2-40B4-BE49-F238E27FC236}">
              <a16:creationId xmlns:a16="http://schemas.microsoft.com/office/drawing/2014/main" id="{00000000-0008-0000-0900-000003040000}"/>
            </a:ext>
          </a:extLst>
        </xdr:cNvPr>
        <xdr:cNvSpPr txBox="1">
          <a:spLocks noChangeArrowheads="1"/>
        </xdr:cNvSpPr>
      </xdr:nvSpPr>
      <xdr:spPr bwMode="auto">
        <a:xfrm>
          <a:off x="4649372" y="5529372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413092</xdr:colOff>
      <xdr:row>27</xdr:row>
      <xdr:rowOff>157490</xdr:rowOff>
    </xdr:from>
    <xdr:to>
      <xdr:col>9</xdr:col>
      <xdr:colOff>734011</xdr:colOff>
      <xdr:row>27</xdr:row>
      <xdr:rowOff>157490</xdr:rowOff>
    </xdr:to>
    <xdr:sp macro="" textlink="">
      <xdr:nvSpPr>
        <xdr:cNvPr id="1030" name="Text Box 6">
          <a:extLst>
            <a:ext uri="{FF2B5EF4-FFF2-40B4-BE49-F238E27FC236}">
              <a16:creationId xmlns:a16="http://schemas.microsoft.com/office/drawing/2014/main" id="{00000000-0008-0000-0900-000006040000}"/>
            </a:ext>
          </a:extLst>
        </xdr:cNvPr>
        <xdr:cNvSpPr txBox="1">
          <a:spLocks noChangeArrowheads="1"/>
        </xdr:cNvSpPr>
      </xdr:nvSpPr>
      <xdr:spPr bwMode="auto">
        <a:xfrm>
          <a:off x="4670767" y="5996315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413092</xdr:colOff>
      <xdr:row>27</xdr:row>
      <xdr:rowOff>157490</xdr:rowOff>
    </xdr:from>
    <xdr:to>
      <xdr:col>9</xdr:col>
      <xdr:colOff>734011</xdr:colOff>
      <xdr:row>27</xdr:row>
      <xdr:rowOff>157490</xdr:rowOff>
    </xdr:to>
    <xdr:sp macro="" textlink="">
      <xdr:nvSpPr>
        <xdr:cNvPr id="1031" name="Text Box 7">
          <a:extLst>
            <a:ext uri="{FF2B5EF4-FFF2-40B4-BE49-F238E27FC236}">
              <a16:creationId xmlns:a16="http://schemas.microsoft.com/office/drawing/2014/main" id="{00000000-0008-0000-0900-000007040000}"/>
            </a:ext>
          </a:extLst>
        </xdr:cNvPr>
        <xdr:cNvSpPr txBox="1">
          <a:spLocks noChangeArrowheads="1"/>
        </xdr:cNvSpPr>
      </xdr:nvSpPr>
      <xdr:spPr bwMode="auto">
        <a:xfrm>
          <a:off x="4670767" y="5996315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381000</xdr:colOff>
      <xdr:row>24</xdr:row>
      <xdr:rowOff>64785</xdr:rowOff>
    </xdr:from>
    <xdr:to>
      <xdr:col>10</xdr:col>
      <xdr:colOff>120308</xdr:colOff>
      <xdr:row>25</xdr:row>
      <xdr:rowOff>117282</xdr:rowOff>
    </xdr:to>
    <xdr:sp macro="" textlink="">
      <xdr:nvSpPr>
        <xdr:cNvPr id="37" name="Text Box 4">
          <a:extLst>
            <a:ext uri="{FF2B5EF4-FFF2-40B4-BE49-F238E27FC236}">
              <a16:creationId xmlns:a16="http://schemas.microsoft.com/office/drawing/2014/main" id="{00000000-0008-0000-0900-000025000000}"/>
            </a:ext>
          </a:extLst>
        </xdr:cNvPr>
        <xdr:cNvSpPr txBox="1">
          <a:spLocks noChangeArrowheads="1"/>
        </xdr:cNvSpPr>
      </xdr:nvSpPr>
      <xdr:spPr bwMode="auto">
        <a:xfrm>
          <a:off x="5753100" y="4922535"/>
          <a:ext cx="577508" cy="24299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lnSpc>
              <a:spcPts val="800"/>
            </a:lnSpc>
            <a:defRPr sz="1000"/>
          </a:pPr>
          <a:r>
            <a:rPr lang="id-ID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l" rtl="0">
            <a:lnSpc>
              <a:spcPts val="800"/>
            </a:lnSpc>
            <a:defRPr sz="1000"/>
          </a:pPr>
          <a:r>
            <a:rPr lang="id-ID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l" rtl="0">
            <a:lnSpc>
              <a:spcPts val="1000"/>
            </a:lnSpc>
            <a:defRPr sz="1000"/>
          </a:pPr>
          <a:r>
            <a:rPr lang="id-ID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M </a:t>
          </a: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391697</xdr:colOff>
      <xdr:row>24</xdr:row>
      <xdr:rowOff>52497</xdr:rowOff>
    </xdr:from>
    <xdr:to>
      <xdr:col>9</xdr:col>
      <xdr:colOff>712616</xdr:colOff>
      <xdr:row>24</xdr:row>
      <xdr:rowOff>52497</xdr:rowOff>
    </xdr:to>
    <xdr:sp macro="" textlink="">
      <xdr:nvSpPr>
        <xdr:cNvPr id="39" name="Text Box 3">
          <a:extLst>
            <a:ext uri="{FF2B5EF4-FFF2-40B4-BE49-F238E27FC236}">
              <a16:creationId xmlns:a16="http://schemas.microsoft.com/office/drawing/2014/main" id="{00000000-0008-0000-0900-000027000000}"/>
            </a:ext>
          </a:extLst>
        </xdr:cNvPr>
        <xdr:cNvSpPr txBox="1">
          <a:spLocks noChangeArrowheads="1"/>
        </xdr:cNvSpPr>
      </xdr:nvSpPr>
      <xdr:spPr bwMode="auto">
        <a:xfrm>
          <a:off x="5763797" y="4910247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413092</xdr:colOff>
      <xdr:row>26</xdr:row>
      <xdr:rowOff>157490</xdr:rowOff>
    </xdr:from>
    <xdr:to>
      <xdr:col>9</xdr:col>
      <xdr:colOff>734011</xdr:colOff>
      <xdr:row>26</xdr:row>
      <xdr:rowOff>157490</xdr:rowOff>
    </xdr:to>
    <xdr:sp macro="" textlink="">
      <xdr:nvSpPr>
        <xdr:cNvPr id="42" name="Text Box 6">
          <a:extLst>
            <a:ext uri="{FF2B5EF4-FFF2-40B4-BE49-F238E27FC236}">
              <a16:creationId xmlns:a16="http://schemas.microsoft.com/office/drawing/2014/main" id="{00000000-0008-0000-0900-00002A000000}"/>
            </a:ext>
          </a:extLst>
        </xdr:cNvPr>
        <xdr:cNvSpPr txBox="1">
          <a:spLocks noChangeArrowheads="1"/>
        </xdr:cNvSpPr>
      </xdr:nvSpPr>
      <xdr:spPr bwMode="auto">
        <a:xfrm>
          <a:off x="5785192" y="5396240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413092</xdr:colOff>
      <xdr:row>26</xdr:row>
      <xdr:rowOff>157490</xdr:rowOff>
    </xdr:from>
    <xdr:to>
      <xdr:col>9</xdr:col>
      <xdr:colOff>734011</xdr:colOff>
      <xdr:row>26</xdr:row>
      <xdr:rowOff>157490</xdr:rowOff>
    </xdr:to>
    <xdr:sp macro="" textlink="">
      <xdr:nvSpPr>
        <xdr:cNvPr id="43" name="Text Box 7">
          <a:extLst>
            <a:ext uri="{FF2B5EF4-FFF2-40B4-BE49-F238E27FC236}">
              <a16:creationId xmlns:a16="http://schemas.microsoft.com/office/drawing/2014/main" id="{00000000-0008-0000-0900-00002B000000}"/>
            </a:ext>
          </a:extLst>
        </xdr:cNvPr>
        <xdr:cNvSpPr txBox="1">
          <a:spLocks noChangeArrowheads="1"/>
        </xdr:cNvSpPr>
      </xdr:nvSpPr>
      <xdr:spPr bwMode="auto">
        <a:xfrm>
          <a:off x="5785192" y="5396240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413092</xdr:colOff>
      <xdr:row>27</xdr:row>
      <xdr:rowOff>157490</xdr:rowOff>
    </xdr:from>
    <xdr:to>
      <xdr:col>9</xdr:col>
      <xdr:colOff>734011</xdr:colOff>
      <xdr:row>27</xdr:row>
      <xdr:rowOff>157490</xdr:rowOff>
    </xdr:to>
    <xdr:sp macro="" textlink="">
      <xdr:nvSpPr>
        <xdr:cNvPr id="53" name="Text Box 6">
          <a:extLst>
            <a:ext uri="{FF2B5EF4-FFF2-40B4-BE49-F238E27FC236}">
              <a16:creationId xmlns:a16="http://schemas.microsoft.com/office/drawing/2014/main" id="{00000000-0008-0000-0900-000035000000}"/>
            </a:ext>
          </a:extLst>
        </xdr:cNvPr>
        <xdr:cNvSpPr txBox="1">
          <a:spLocks noChangeArrowheads="1"/>
        </xdr:cNvSpPr>
      </xdr:nvSpPr>
      <xdr:spPr bwMode="auto">
        <a:xfrm>
          <a:off x="5785192" y="5586740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413092</xdr:colOff>
      <xdr:row>27</xdr:row>
      <xdr:rowOff>157490</xdr:rowOff>
    </xdr:from>
    <xdr:to>
      <xdr:col>9</xdr:col>
      <xdr:colOff>734011</xdr:colOff>
      <xdr:row>27</xdr:row>
      <xdr:rowOff>157490</xdr:rowOff>
    </xdr:to>
    <xdr:sp macro="" textlink="">
      <xdr:nvSpPr>
        <xdr:cNvPr id="54" name="Text Box 7">
          <a:extLst>
            <a:ext uri="{FF2B5EF4-FFF2-40B4-BE49-F238E27FC236}">
              <a16:creationId xmlns:a16="http://schemas.microsoft.com/office/drawing/2014/main" id="{00000000-0008-0000-0900-000036000000}"/>
            </a:ext>
          </a:extLst>
        </xdr:cNvPr>
        <xdr:cNvSpPr txBox="1">
          <a:spLocks noChangeArrowheads="1"/>
        </xdr:cNvSpPr>
      </xdr:nvSpPr>
      <xdr:spPr bwMode="auto">
        <a:xfrm>
          <a:off x="5785192" y="5586740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381000</xdr:colOff>
      <xdr:row>25</xdr:row>
      <xdr:rowOff>64785</xdr:rowOff>
    </xdr:from>
    <xdr:to>
      <xdr:col>10</xdr:col>
      <xdr:colOff>120308</xdr:colOff>
      <xdr:row>26</xdr:row>
      <xdr:rowOff>117282</xdr:rowOff>
    </xdr:to>
    <xdr:sp macro="" textlink="">
      <xdr:nvSpPr>
        <xdr:cNvPr id="36" name="Text Box 4">
          <a:extLst>
            <a:ext uri="{FF2B5EF4-FFF2-40B4-BE49-F238E27FC236}">
              <a16:creationId xmlns:a16="http://schemas.microsoft.com/office/drawing/2014/main" id="{00000000-0008-0000-0900-000024000000}"/>
            </a:ext>
          </a:extLst>
        </xdr:cNvPr>
        <xdr:cNvSpPr txBox="1">
          <a:spLocks noChangeArrowheads="1"/>
        </xdr:cNvSpPr>
      </xdr:nvSpPr>
      <xdr:spPr bwMode="auto">
        <a:xfrm>
          <a:off x="5648325" y="4541535"/>
          <a:ext cx="167933" cy="24299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lnSpc>
              <a:spcPts val="800"/>
            </a:lnSpc>
            <a:defRPr sz="1000"/>
          </a:pPr>
          <a:r>
            <a:rPr lang="id-ID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l" rtl="0">
            <a:lnSpc>
              <a:spcPts val="800"/>
            </a:lnSpc>
            <a:defRPr sz="1000"/>
          </a:pPr>
          <a:r>
            <a:rPr lang="id-ID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l" rtl="0">
            <a:lnSpc>
              <a:spcPts val="1000"/>
            </a:lnSpc>
            <a:defRPr sz="1000"/>
          </a:pPr>
          <a:r>
            <a:rPr lang="id-ID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M </a:t>
          </a: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381000</xdr:colOff>
      <xdr:row>26</xdr:row>
      <xdr:rowOff>64785</xdr:rowOff>
    </xdr:from>
    <xdr:to>
      <xdr:col>10</xdr:col>
      <xdr:colOff>120308</xdr:colOff>
      <xdr:row>27</xdr:row>
      <xdr:rowOff>117282</xdr:rowOff>
    </xdr:to>
    <xdr:sp macro="" textlink="">
      <xdr:nvSpPr>
        <xdr:cNvPr id="40" name="Text Box 4">
          <a:extLst>
            <a:ext uri="{FF2B5EF4-FFF2-40B4-BE49-F238E27FC236}">
              <a16:creationId xmlns:a16="http://schemas.microsoft.com/office/drawing/2014/main" id="{00000000-0008-0000-0900-000028000000}"/>
            </a:ext>
          </a:extLst>
        </xdr:cNvPr>
        <xdr:cNvSpPr txBox="1">
          <a:spLocks noChangeArrowheads="1"/>
        </xdr:cNvSpPr>
      </xdr:nvSpPr>
      <xdr:spPr bwMode="auto">
        <a:xfrm>
          <a:off x="5648325" y="4541535"/>
          <a:ext cx="167933" cy="24299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lnSpc>
              <a:spcPts val="800"/>
            </a:lnSpc>
            <a:defRPr sz="1000"/>
          </a:pPr>
          <a:r>
            <a:rPr lang="id-ID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l" rtl="0">
            <a:lnSpc>
              <a:spcPts val="800"/>
            </a:lnSpc>
            <a:defRPr sz="1000"/>
          </a:pPr>
          <a:r>
            <a:rPr lang="id-ID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l" rtl="0">
            <a:lnSpc>
              <a:spcPts val="1000"/>
            </a:lnSpc>
            <a:defRPr sz="1000"/>
          </a:pPr>
          <a:r>
            <a:rPr lang="id-ID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M </a:t>
          </a: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381000</xdr:colOff>
      <xdr:row>27</xdr:row>
      <xdr:rowOff>64785</xdr:rowOff>
    </xdr:from>
    <xdr:to>
      <xdr:col>10</xdr:col>
      <xdr:colOff>120308</xdr:colOff>
      <xdr:row>28</xdr:row>
      <xdr:rowOff>0</xdr:rowOff>
    </xdr:to>
    <xdr:sp macro="" textlink="">
      <xdr:nvSpPr>
        <xdr:cNvPr id="41" name="Text Box 4">
          <a:extLst>
            <a:ext uri="{FF2B5EF4-FFF2-40B4-BE49-F238E27FC236}">
              <a16:creationId xmlns:a16="http://schemas.microsoft.com/office/drawing/2014/main" id="{00000000-0008-0000-0900-000029000000}"/>
            </a:ext>
          </a:extLst>
        </xdr:cNvPr>
        <xdr:cNvSpPr txBox="1">
          <a:spLocks noChangeArrowheads="1"/>
        </xdr:cNvSpPr>
      </xdr:nvSpPr>
      <xdr:spPr bwMode="auto">
        <a:xfrm>
          <a:off x="5648325" y="4541535"/>
          <a:ext cx="167933" cy="24299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lnSpc>
              <a:spcPts val="800"/>
            </a:lnSpc>
            <a:defRPr sz="1000"/>
          </a:pPr>
          <a:r>
            <a:rPr lang="id-ID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l" rtl="0">
            <a:lnSpc>
              <a:spcPts val="800"/>
            </a:lnSpc>
            <a:defRPr sz="1000"/>
          </a:pPr>
          <a:r>
            <a:rPr lang="id-ID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l" rtl="0">
            <a:lnSpc>
              <a:spcPts val="1000"/>
            </a:lnSpc>
            <a:defRPr sz="1000"/>
          </a:pPr>
          <a:r>
            <a:rPr lang="id-ID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M </a:t>
          </a: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391697</xdr:colOff>
      <xdr:row>24</xdr:row>
      <xdr:rowOff>52497</xdr:rowOff>
    </xdr:from>
    <xdr:to>
      <xdr:col>9</xdr:col>
      <xdr:colOff>712616</xdr:colOff>
      <xdr:row>24</xdr:row>
      <xdr:rowOff>52497</xdr:rowOff>
    </xdr:to>
    <xdr:sp macro="" textlink="">
      <xdr:nvSpPr>
        <xdr:cNvPr id="63" name="Text Box 3">
          <a:extLst>
            <a:ext uri="{FF2B5EF4-FFF2-40B4-BE49-F238E27FC236}">
              <a16:creationId xmlns:a16="http://schemas.microsoft.com/office/drawing/2014/main" id="{00000000-0008-0000-0900-00003F000000}"/>
            </a:ext>
          </a:extLst>
        </xdr:cNvPr>
        <xdr:cNvSpPr txBox="1">
          <a:spLocks noChangeArrowheads="1"/>
        </xdr:cNvSpPr>
      </xdr:nvSpPr>
      <xdr:spPr bwMode="auto">
        <a:xfrm>
          <a:off x="5773322" y="4433997"/>
          <a:ext cx="30186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413092</xdr:colOff>
      <xdr:row>26</xdr:row>
      <xdr:rowOff>157490</xdr:rowOff>
    </xdr:from>
    <xdr:to>
      <xdr:col>9</xdr:col>
      <xdr:colOff>734011</xdr:colOff>
      <xdr:row>26</xdr:row>
      <xdr:rowOff>157490</xdr:rowOff>
    </xdr:to>
    <xdr:sp macro="" textlink="">
      <xdr:nvSpPr>
        <xdr:cNvPr id="64" name="Text Box 6">
          <a:extLst>
            <a:ext uri="{FF2B5EF4-FFF2-40B4-BE49-F238E27FC236}">
              <a16:creationId xmlns:a16="http://schemas.microsoft.com/office/drawing/2014/main" id="{00000000-0008-0000-0900-000040000000}"/>
            </a:ext>
          </a:extLst>
        </xdr:cNvPr>
        <xdr:cNvSpPr txBox="1">
          <a:spLocks noChangeArrowheads="1"/>
        </xdr:cNvSpPr>
      </xdr:nvSpPr>
      <xdr:spPr bwMode="auto">
        <a:xfrm>
          <a:off x="5794717" y="4919990"/>
          <a:ext cx="2828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413092</xdr:colOff>
      <xdr:row>26</xdr:row>
      <xdr:rowOff>157490</xdr:rowOff>
    </xdr:from>
    <xdr:to>
      <xdr:col>9</xdr:col>
      <xdr:colOff>734011</xdr:colOff>
      <xdr:row>26</xdr:row>
      <xdr:rowOff>157490</xdr:rowOff>
    </xdr:to>
    <xdr:sp macro="" textlink="">
      <xdr:nvSpPr>
        <xdr:cNvPr id="65" name="Text Box 7">
          <a:extLst>
            <a:ext uri="{FF2B5EF4-FFF2-40B4-BE49-F238E27FC236}">
              <a16:creationId xmlns:a16="http://schemas.microsoft.com/office/drawing/2014/main" id="{00000000-0008-0000-0900-000041000000}"/>
            </a:ext>
          </a:extLst>
        </xdr:cNvPr>
        <xdr:cNvSpPr txBox="1">
          <a:spLocks noChangeArrowheads="1"/>
        </xdr:cNvSpPr>
      </xdr:nvSpPr>
      <xdr:spPr bwMode="auto">
        <a:xfrm>
          <a:off x="5794717" y="4919990"/>
          <a:ext cx="2828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413092</xdr:colOff>
      <xdr:row>27</xdr:row>
      <xdr:rowOff>157490</xdr:rowOff>
    </xdr:from>
    <xdr:to>
      <xdr:col>9</xdr:col>
      <xdr:colOff>734011</xdr:colOff>
      <xdr:row>27</xdr:row>
      <xdr:rowOff>157490</xdr:rowOff>
    </xdr:to>
    <xdr:sp macro="" textlink="">
      <xdr:nvSpPr>
        <xdr:cNvPr id="66" name="Text Box 6">
          <a:extLst>
            <a:ext uri="{FF2B5EF4-FFF2-40B4-BE49-F238E27FC236}">
              <a16:creationId xmlns:a16="http://schemas.microsoft.com/office/drawing/2014/main" id="{00000000-0008-0000-0900-000042000000}"/>
            </a:ext>
          </a:extLst>
        </xdr:cNvPr>
        <xdr:cNvSpPr txBox="1">
          <a:spLocks noChangeArrowheads="1"/>
        </xdr:cNvSpPr>
      </xdr:nvSpPr>
      <xdr:spPr bwMode="auto">
        <a:xfrm>
          <a:off x="5794717" y="5110490"/>
          <a:ext cx="2828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413092</xdr:colOff>
      <xdr:row>27</xdr:row>
      <xdr:rowOff>157490</xdr:rowOff>
    </xdr:from>
    <xdr:to>
      <xdr:col>9</xdr:col>
      <xdr:colOff>734011</xdr:colOff>
      <xdr:row>27</xdr:row>
      <xdr:rowOff>157490</xdr:rowOff>
    </xdr:to>
    <xdr:sp macro="" textlink="">
      <xdr:nvSpPr>
        <xdr:cNvPr id="67" name="Text Box 7">
          <a:extLst>
            <a:ext uri="{FF2B5EF4-FFF2-40B4-BE49-F238E27FC236}">
              <a16:creationId xmlns:a16="http://schemas.microsoft.com/office/drawing/2014/main" id="{00000000-0008-0000-0900-000043000000}"/>
            </a:ext>
          </a:extLst>
        </xdr:cNvPr>
        <xdr:cNvSpPr txBox="1">
          <a:spLocks noChangeArrowheads="1"/>
        </xdr:cNvSpPr>
      </xdr:nvSpPr>
      <xdr:spPr bwMode="auto">
        <a:xfrm>
          <a:off x="5794717" y="5110490"/>
          <a:ext cx="2828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381000</xdr:colOff>
      <xdr:row>25</xdr:row>
      <xdr:rowOff>64785</xdr:rowOff>
    </xdr:from>
    <xdr:to>
      <xdr:col>10</xdr:col>
      <xdr:colOff>120308</xdr:colOff>
      <xdr:row>26</xdr:row>
      <xdr:rowOff>117282</xdr:rowOff>
    </xdr:to>
    <xdr:sp macro="" textlink="">
      <xdr:nvSpPr>
        <xdr:cNvPr id="87" name="Text Box 4">
          <a:extLst>
            <a:ext uri="{FF2B5EF4-FFF2-40B4-BE49-F238E27FC236}">
              <a16:creationId xmlns:a16="http://schemas.microsoft.com/office/drawing/2014/main" id="{00000000-0008-0000-0900-000057000000}"/>
            </a:ext>
          </a:extLst>
        </xdr:cNvPr>
        <xdr:cNvSpPr txBox="1">
          <a:spLocks noChangeArrowheads="1"/>
        </xdr:cNvSpPr>
      </xdr:nvSpPr>
      <xdr:spPr bwMode="auto">
        <a:xfrm>
          <a:off x="5695950" y="4198635"/>
          <a:ext cx="282233" cy="24299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lnSpc>
              <a:spcPts val="800"/>
            </a:lnSpc>
            <a:defRPr sz="1000"/>
          </a:pPr>
          <a:r>
            <a:rPr lang="id-ID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l" rtl="0">
            <a:lnSpc>
              <a:spcPts val="800"/>
            </a:lnSpc>
            <a:defRPr sz="1000"/>
          </a:pPr>
          <a:r>
            <a:rPr lang="id-ID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l" rtl="0">
            <a:lnSpc>
              <a:spcPts val="1000"/>
            </a:lnSpc>
            <a:defRPr sz="1000"/>
          </a:pPr>
          <a:r>
            <a:rPr lang="id-ID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M </a:t>
          </a: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391697</xdr:colOff>
      <xdr:row>25</xdr:row>
      <xdr:rowOff>52497</xdr:rowOff>
    </xdr:from>
    <xdr:to>
      <xdr:col>9</xdr:col>
      <xdr:colOff>712616</xdr:colOff>
      <xdr:row>25</xdr:row>
      <xdr:rowOff>52497</xdr:rowOff>
    </xdr:to>
    <xdr:sp macro="" textlink="">
      <xdr:nvSpPr>
        <xdr:cNvPr id="88" name="Text Box 3">
          <a:extLst>
            <a:ext uri="{FF2B5EF4-FFF2-40B4-BE49-F238E27FC236}">
              <a16:creationId xmlns:a16="http://schemas.microsoft.com/office/drawing/2014/main" id="{00000000-0008-0000-0900-000058000000}"/>
            </a:ext>
          </a:extLst>
        </xdr:cNvPr>
        <xdr:cNvSpPr txBox="1">
          <a:spLocks noChangeArrowheads="1"/>
        </xdr:cNvSpPr>
      </xdr:nvSpPr>
      <xdr:spPr bwMode="auto">
        <a:xfrm>
          <a:off x="5706647" y="4186347"/>
          <a:ext cx="14946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391697</xdr:colOff>
      <xdr:row>25</xdr:row>
      <xdr:rowOff>52497</xdr:rowOff>
    </xdr:from>
    <xdr:to>
      <xdr:col>9</xdr:col>
      <xdr:colOff>712616</xdr:colOff>
      <xdr:row>25</xdr:row>
      <xdr:rowOff>52497</xdr:rowOff>
    </xdr:to>
    <xdr:sp macro="" textlink="">
      <xdr:nvSpPr>
        <xdr:cNvPr id="89" name="Text Box 3">
          <a:extLst>
            <a:ext uri="{FF2B5EF4-FFF2-40B4-BE49-F238E27FC236}">
              <a16:creationId xmlns:a16="http://schemas.microsoft.com/office/drawing/2014/main" id="{00000000-0008-0000-0900-000059000000}"/>
            </a:ext>
          </a:extLst>
        </xdr:cNvPr>
        <xdr:cNvSpPr txBox="1">
          <a:spLocks noChangeArrowheads="1"/>
        </xdr:cNvSpPr>
      </xdr:nvSpPr>
      <xdr:spPr bwMode="auto">
        <a:xfrm>
          <a:off x="5706647" y="4186347"/>
          <a:ext cx="14946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381000</xdr:colOff>
      <xdr:row>26</xdr:row>
      <xdr:rowOff>64785</xdr:rowOff>
    </xdr:from>
    <xdr:to>
      <xdr:col>10</xdr:col>
      <xdr:colOff>120308</xdr:colOff>
      <xdr:row>27</xdr:row>
      <xdr:rowOff>117282</xdr:rowOff>
    </xdr:to>
    <xdr:sp macro="" textlink="">
      <xdr:nvSpPr>
        <xdr:cNvPr id="90" name="Text Box 4">
          <a:extLst>
            <a:ext uri="{FF2B5EF4-FFF2-40B4-BE49-F238E27FC236}">
              <a16:creationId xmlns:a16="http://schemas.microsoft.com/office/drawing/2014/main" id="{00000000-0008-0000-0900-00005A000000}"/>
            </a:ext>
          </a:extLst>
        </xdr:cNvPr>
        <xdr:cNvSpPr txBox="1">
          <a:spLocks noChangeArrowheads="1"/>
        </xdr:cNvSpPr>
      </xdr:nvSpPr>
      <xdr:spPr bwMode="auto">
        <a:xfrm>
          <a:off x="5695950" y="4198635"/>
          <a:ext cx="282233" cy="24299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lnSpc>
              <a:spcPts val="800"/>
            </a:lnSpc>
            <a:defRPr sz="1000"/>
          </a:pPr>
          <a:r>
            <a:rPr lang="id-ID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l" rtl="0">
            <a:lnSpc>
              <a:spcPts val="800"/>
            </a:lnSpc>
            <a:defRPr sz="1000"/>
          </a:pPr>
          <a:r>
            <a:rPr lang="id-ID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l" rtl="0">
            <a:lnSpc>
              <a:spcPts val="1000"/>
            </a:lnSpc>
            <a:defRPr sz="1000"/>
          </a:pPr>
          <a:r>
            <a:rPr lang="id-ID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M </a:t>
          </a: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391697</xdr:colOff>
      <xdr:row>26</xdr:row>
      <xdr:rowOff>52497</xdr:rowOff>
    </xdr:from>
    <xdr:to>
      <xdr:col>9</xdr:col>
      <xdr:colOff>712616</xdr:colOff>
      <xdr:row>26</xdr:row>
      <xdr:rowOff>52497</xdr:rowOff>
    </xdr:to>
    <xdr:sp macro="" textlink="">
      <xdr:nvSpPr>
        <xdr:cNvPr id="91" name="Text Box 3">
          <a:extLst>
            <a:ext uri="{FF2B5EF4-FFF2-40B4-BE49-F238E27FC236}">
              <a16:creationId xmlns:a16="http://schemas.microsoft.com/office/drawing/2014/main" id="{00000000-0008-0000-0900-00005B000000}"/>
            </a:ext>
          </a:extLst>
        </xdr:cNvPr>
        <xdr:cNvSpPr txBox="1">
          <a:spLocks noChangeArrowheads="1"/>
        </xdr:cNvSpPr>
      </xdr:nvSpPr>
      <xdr:spPr bwMode="auto">
        <a:xfrm>
          <a:off x="5706647" y="4186347"/>
          <a:ext cx="14946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391697</xdr:colOff>
      <xdr:row>26</xdr:row>
      <xdr:rowOff>52497</xdr:rowOff>
    </xdr:from>
    <xdr:to>
      <xdr:col>9</xdr:col>
      <xdr:colOff>712616</xdr:colOff>
      <xdr:row>26</xdr:row>
      <xdr:rowOff>52497</xdr:rowOff>
    </xdr:to>
    <xdr:sp macro="" textlink="">
      <xdr:nvSpPr>
        <xdr:cNvPr id="92" name="Text Box 3">
          <a:extLst>
            <a:ext uri="{FF2B5EF4-FFF2-40B4-BE49-F238E27FC236}">
              <a16:creationId xmlns:a16="http://schemas.microsoft.com/office/drawing/2014/main" id="{00000000-0008-0000-0900-00005C000000}"/>
            </a:ext>
          </a:extLst>
        </xdr:cNvPr>
        <xdr:cNvSpPr txBox="1">
          <a:spLocks noChangeArrowheads="1"/>
        </xdr:cNvSpPr>
      </xdr:nvSpPr>
      <xdr:spPr bwMode="auto">
        <a:xfrm>
          <a:off x="5706647" y="4186347"/>
          <a:ext cx="14946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381000</xdr:colOff>
      <xdr:row>27</xdr:row>
      <xdr:rowOff>64785</xdr:rowOff>
    </xdr:from>
    <xdr:to>
      <xdr:col>10</xdr:col>
      <xdr:colOff>120308</xdr:colOff>
      <xdr:row>29</xdr:row>
      <xdr:rowOff>117282</xdr:rowOff>
    </xdr:to>
    <xdr:sp macro="" textlink="">
      <xdr:nvSpPr>
        <xdr:cNvPr id="93" name="Text Box 4">
          <a:extLst>
            <a:ext uri="{FF2B5EF4-FFF2-40B4-BE49-F238E27FC236}">
              <a16:creationId xmlns:a16="http://schemas.microsoft.com/office/drawing/2014/main" id="{00000000-0008-0000-0900-00005D000000}"/>
            </a:ext>
          </a:extLst>
        </xdr:cNvPr>
        <xdr:cNvSpPr txBox="1">
          <a:spLocks noChangeArrowheads="1"/>
        </xdr:cNvSpPr>
      </xdr:nvSpPr>
      <xdr:spPr bwMode="auto">
        <a:xfrm>
          <a:off x="5695950" y="4198635"/>
          <a:ext cx="282233" cy="24299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lnSpc>
              <a:spcPts val="800"/>
            </a:lnSpc>
            <a:defRPr sz="1000"/>
          </a:pPr>
          <a:r>
            <a:rPr lang="id-ID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l" rtl="0">
            <a:lnSpc>
              <a:spcPts val="800"/>
            </a:lnSpc>
            <a:defRPr sz="1000"/>
          </a:pPr>
          <a:r>
            <a:rPr lang="id-ID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l" rtl="0">
            <a:lnSpc>
              <a:spcPts val="1000"/>
            </a:lnSpc>
            <a:defRPr sz="1000"/>
          </a:pPr>
          <a:r>
            <a:rPr lang="id-ID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M </a:t>
          </a: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391697</xdr:colOff>
      <xdr:row>27</xdr:row>
      <xdr:rowOff>52497</xdr:rowOff>
    </xdr:from>
    <xdr:to>
      <xdr:col>9</xdr:col>
      <xdr:colOff>712616</xdr:colOff>
      <xdr:row>27</xdr:row>
      <xdr:rowOff>52497</xdr:rowOff>
    </xdr:to>
    <xdr:sp macro="" textlink="">
      <xdr:nvSpPr>
        <xdr:cNvPr id="94" name="Text Box 3">
          <a:extLst>
            <a:ext uri="{FF2B5EF4-FFF2-40B4-BE49-F238E27FC236}">
              <a16:creationId xmlns:a16="http://schemas.microsoft.com/office/drawing/2014/main" id="{00000000-0008-0000-0900-00005E000000}"/>
            </a:ext>
          </a:extLst>
        </xdr:cNvPr>
        <xdr:cNvSpPr txBox="1">
          <a:spLocks noChangeArrowheads="1"/>
        </xdr:cNvSpPr>
      </xdr:nvSpPr>
      <xdr:spPr bwMode="auto">
        <a:xfrm>
          <a:off x="5706647" y="4186347"/>
          <a:ext cx="14946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391697</xdr:colOff>
      <xdr:row>27</xdr:row>
      <xdr:rowOff>52497</xdr:rowOff>
    </xdr:from>
    <xdr:to>
      <xdr:col>9</xdr:col>
      <xdr:colOff>712616</xdr:colOff>
      <xdr:row>27</xdr:row>
      <xdr:rowOff>52497</xdr:rowOff>
    </xdr:to>
    <xdr:sp macro="" textlink="">
      <xdr:nvSpPr>
        <xdr:cNvPr id="95" name="Text Box 3">
          <a:extLst>
            <a:ext uri="{FF2B5EF4-FFF2-40B4-BE49-F238E27FC236}">
              <a16:creationId xmlns:a16="http://schemas.microsoft.com/office/drawing/2014/main" id="{00000000-0008-0000-0900-00005F000000}"/>
            </a:ext>
          </a:extLst>
        </xdr:cNvPr>
        <xdr:cNvSpPr txBox="1">
          <a:spLocks noChangeArrowheads="1"/>
        </xdr:cNvSpPr>
      </xdr:nvSpPr>
      <xdr:spPr bwMode="auto">
        <a:xfrm>
          <a:off x="5706647" y="4186347"/>
          <a:ext cx="14946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68</xdr:row>
      <xdr:rowOff>0</xdr:rowOff>
    </xdr:from>
    <xdr:to>
      <xdr:col>12</xdr:col>
      <xdr:colOff>76200</xdr:colOff>
      <xdr:row>69</xdr:row>
      <xdr:rowOff>38100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 txBox="1">
          <a:spLocks noChangeArrowheads="1"/>
        </xdr:cNvSpPr>
      </xdr:nvSpPr>
      <xdr:spPr bwMode="auto">
        <a:xfrm>
          <a:off x="7324725" y="1669732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73</xdr:row>
      <xdr:rowOff>0</xdr:rowOff>
    </xdr:from>
    <xdr:to>
      <xdr:col>12</xdr:col>
      <xdr:colOff>76200</xdr:colOff>
      <xdr:row>74</xdr:row>
      <xdr:rowOff>9525</xdr:rowOff>
    </xdr:to>
    <xdr:sp macro="" textlink="">
      <xdr:nvSpPr>
        <xdr:cNvPr id="3" name="Text Box 43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SpPr txBox="1">
          <a:spLocks noChangeArrowheads="1"/>
        </xdr:cNvSpPr>
      </xdr:nvSpPr>
      <xdr:spPr bwMode="auto">
        <a:xfrm>
          <a:off x="7324725" y="176593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9</xdr:col>
      <xdr:colOff>391697</xdr:colOff>
      <xdr:row>25</xdr:row>
      <xdr:rowOff>52497</xdr:rowOff>
    </xdr:from>
    <xdr:to>
      <xdr:col>9</xdr:col>
      <xdr:colOff>712616</xdr:colOff>
      <xdr:row>25</xdr:row>
      <xdr:rowOff>52497</xdr:rowOff>
    </xdr:to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SpPr txBox="1">
          <a:spLocks noChangeArrowheads="1"/>
        </xdr:cNvSpPr>
      </xdr:nvSpPr>
      <xdr:spPr bwMode="auto">
        <a:xfrm>
          <a:off x="5706647" y="4376847"/>
          <a:ext cx="14946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413092</xdr:colOff>
      <xdr:row>27</xdr:row>
      <xdr:rowOff>157490</xdr:rowOff>
    </xdr:from>
    <xdr:to>
      <xdr:col>9</xdr:col>
      <xdr:colOff>734011</xdr:colOff>
      <xdr:row>27</xdr:row>
      <xdr:rowOff>157490</xdr:rowOff>
    </xdr:to>
    <xdr:sp macro="" textlink="">
      <xdr:nvSpPr>
        <xdr:cNvPr id="5" name="Text Box 6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SpPr txBox="1">
          <a:spLocks noChangeArrowheads="1"/>
        </xdr:cNvSpPr>
      </xdr:nvSpPr>
      <xdr:spPr bwMode="auto">
        <a:xfrm>
          <a:off x="5728042" y="4853315"/>
          <a:ext cx="1304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413092</xdr:colOff>
      <xdr:row>27</xdr:row>
      <xdr:rowOff>157490</xdr:rowOff>
    </xdr:from>
    <xdr:to>
      <xdr:col>9</xdr:col>
      <xdr:colOff>734011</xdr:colOff>
      <xdr:row>27</xdr:row>
      <xdr:rowOff>157490</xdr:rowOff>
    </xdr:to>
    <xdr:sp macro="" textlink="">
      <xdr:nvSpPr>
        <xdr:cNvPr id="6" name="Text Box 7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SpPr txBox="1">
          <a:spLocks noChangeArrowheads="1"/>
        </xdr:cNvSpPr>
      </xdr:nvSpPr>
      <xdr:spPr bwMode="auto">
        <a:xfrm>
          <a:off x="5728042" y="4853315"/>
          <a:ext cx="1304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381000</xdr:colOff>
      <xdr:row>24</xdr:row>
      <xdr:rowOff>64785</xdr:rowOff>
    </xdr:from>
    <xdr:to>
      <xdr:col>10</xdr:col>
      <xdr:colOff>120308</xdr:colOff>
      <xdr:row>25</xdr:row>
      <xdr:rowOff>117282</xdr:rowOff>
    </xdr:to>
    <xdr:sp macro="" textlink="">
      <xdr:nvSpPr>
        <xdr:cNvPr id="7" name="Text Box 4">
          <a:extLst>
            <a:ext uri="{FF2B5EF4-FFF2-40B4-BE49-F238E27FC236}">
              <a16:creationId xmlns:a16="http://schemas.microsoft.com/office/drawing/2014/main" id="{00000000-0008-0000-0A00-000007000000}"/>
            </a:ext>
          </a:extLst>
        </xdr:cNvPr>
        <xdr:cNvSpPr txBox="1">
          <a:spLocks noChangeArrowheads="1"/>
        </xdr:cNvSpPr>
      </xdr:nvSpPr>
      <xdr:spPr bwMode="auto">
        <a:xfrm>
          <a:off x="5695950" y="4198635"/>
          <a:ext cx="282233" cy="24299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lnSpc>
              <a:spcPts val="800"/>
            </a:lnSpc>
            <a:defRPr sz="1000"/>
          </a:pPr>
          <a:r>
            <a:rPr lang="id-ID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l" rtl="0">
            <a:lnSpc>
              <a:spcPts val="800"/>
            </a:lnSpc>
            <a:defRPr sz="1000"/>
          </a:pPr>
          <a:r>
            <a:rPr lang="id-ID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l" rtl="0">
            <a:lnSpc>
              <a:spcPts val="1000"/>
            </a:lnSpc>
            <a:defRPr sz="1000"/>
          </a:pPr>
          <a:r>
            <a:rPr lang="id-ID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M </a:t>
          </a: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391697</xdr:colOff>
      <xdr:row>24</xdr:row>
      <xdr:rowOff>52497</xdr:rowOff>
    </xdr:from>
    <xdr:to>
      <xdr:col>9</xdr:col>
      <xdr:colOff>712616</xdr:colOff>
      <xdr:row>24</xdr:row>
      <xdr:rowOff>52497</xdr:rowOff>
    </xdr:to>
    <xdr:sp macro="" textlink="">
      <xdr:nvSpPr>
        <xdr:cNvPr id="8" name="Text Box 3">
          <a:extLst>
            <a:ext uri="{FF2B5EF4-FFF2-40B4-BE49-F238E27FC236}">
              <a16:creationId xmlns:a16="http://schemas.microsoft.com/office/drawing/2014/main" id="{00000000-0008-0000-0A00-000008000000}"/>
            </a:ext>
          </a:extLst>
        </xdr:cNvPr>
        <xdr:cNvSpPr txBox="1">
          <a:spLocks noChangeArrowheads="1"/>
        </xdr:cNvSpPr>
      </xdr:nvSpPr>
      <xdr:spPr bwMode="auto">
        <a:xfrm>
          <a:off x="5706647" y="4186347"/>
          <a:ext cx="14946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413092</xdr:colOff>
      <xdr:row>26</xdr:row>
      <xdr:rowOff>157490</xdr:rowOff>
    </xdr:from>
    <xdr:to>
      <xdr:col>9</xdr:col>
      <xdr:colOff>734011</xdr:colOff>
      <xdr:row>26</xdr:row>
      <xdr:rowOff>157490</xdr:rowOff>
    </xdr:to>
    <xdr:sp macro="" textlink="">
      <xdr:nvSpPr>
        <xdr:cNvPr id="9" name="Text Box 6">
          <a:extLst>
            <a:ext uri="{FF2B5EF4-FFF2-40B4-BE49-F238E27FC236}">
              <a16:creationId xmlns:a16="http://schemas.microsoft.com/office/drawing/2014/main" id="{00000000-0008-0000-0A00-000009000000}"/>
            </a:ext>
          </a:extLst>
        </xdr:cNvPr>
        <xdr:cNvSpPr txBox="1">
          <a:spLocks noChangeArrowheads="1"/>
        </xdr:cNvSpPr>
      </xdr:nvSpPr>
      <xdr:spPr bwMode="auto">
        <a:xfrm>
          <a:off x="5728042" y="4672340"/>
          <a:ext cx="1304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413092</xdr:colOff>
      <xdr:row>26</xdr:row>
      <xdr:rowOff>157490</xdr:rowOff>
    </xdr:from>
    <xdr:to>
      <xdr:col>9</xdr:col>
      <xdr:colOff>734011</xdr:colOff>
      <xdr:row>26</xdr:row>
      <xdr:rowOff>157490</xdr:rowOff>
    </xdr:to>
    <xdr:sp macro="" textlink="">
      <xdr:nvSpPr>
        <xdr:cNvPr id="10" name="Text Box 7">
          <a:extLst>
            <a:ext uri="{FF2B5EF4-FFF2-40B4-BE49-F238E27FC236}">
              <a16:creationId xmlns:a16="http://schemas.microsoft.com/office/drawing/2014/main" id="{00000000-0008-0000-0A00-00000A000000}"/>
            </a:ext>
          </a:extLst>
        </xdr:cNvPr>
        <xdr:cNvSpPr txBox="1">
          <a:spLocks noChangeArrowheads="1"/>
        </xdr:cNvSpPr>
      </xdr:nvSpPr>
      <xdr:spPr bwMode="auto">
        <a:xfrm>
          <a:off x="5728042" y="4672340"/>
          <a:ext cx="1304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413092</xdr:colOff>
      <xdr:row>27</xdr:row>
      <xdr:rowOff>157490</xdr:rowOff>
    </xdr:from>
    <xdr:to>
      <xdr:col>9</xdr:col>
      <xdr:colOff>734011</xdr:colOff>
      <xdr:row>27</xdr:row>
      <xdr:rowOff>157490</xdr:rowOff>
    </xdr:to>
    <xdr:sp macro="" textlink="">
      <xdr:nvSpPr>
        <xdr:cNvPr id="11" name="Text Box 6">
          <a:extLst>
            <a:ext uri="{FF2B5EF4-FFF2-40B4-BE49-F238E27FC236}">
              <a16:creationId xmlns:a16="http://schemas.microsoft.com/office/drawing/2014/main" id="{00000000-0008-0000-0A00-00000B000000}"/>
            </a:ext>
          </a:extLst>
        </xdr:cNvPr>
        <xdr:cNvSpPr txBox="1">
          <a:spLocks noChangeArrowheads="1"/>
        </xdr:cNvSpPr>
      </xdr:nvSpPr>
      <xdr:spPr bwMode="auto">
        <a:xfrm>
          <a:off x="5728042" y="4853315"/>
          <a:ext cx="1304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413092</xdr:colOff>
      <xdr:row>27</xdr:row>
      <xdr:rowOff>157490</xdr:rowOff>
    </xdr:from>
    <xdr:to>
      <xdr:col>9</xdr:col>
      <xdr:colOff>734011</xdr:colOff>
      <xdr:row>27</xdr:row>
      <xdr:rowOff>157490</xdr:rowOff>
    </xdr:to>
    <xdr:sp macro="" textlink="">
      <xdr:nvSpPr>
        <xdr:cNvPr id="12" name="Text Box 7">
          <a:extLst>
            <a:ext uri="{FF2B5EF4-FFF2-40B4-BE49-F238E27FC236}">
              <a16:creationId xmlns:a16="http://schemas.microsoft.com/office/drawing/2014/main" id="{00000000-0008-0000-0A00-00000C000000}"/>
            </a:ext>
          </a:extLst>
        </xdr:cNvPr>
        <xdr:cNvSpPr txBox="1">
          <a:spLocks noChangeArrowheads="1"/>
        </xdr:cNvSpPr>
      </xdr:nvSpPr>
      <xdr:spPr bwMode="auto">
        <a:xfrm>
          <a:off x="5728042" y="4853315"/>
          <a:ext cx="1304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381000</xdr:colOff>
      <xdr:row>25</xdr:row>
      <xdr:rowOff>64785</xdr:rowOff>
    </xdr:from>
    <xdr:to>
      <xdr:col>10</xdr:col>
      <xdr:colOff>120308</xdr:colOff>
      <xdr:row>26</xdr:row>
      <xdr:rowOff>117282</xdr:rowOff>
    </xdr:to>
    <xdr:sp macro="" textlink="">
      <xdr:nvSpPr>
        <xdr:cNvPr id="13" name="Text Box 4">
          <a:extLst>
            <a:ext uri="{FF2B5EF4-FFF2-40B4-BE49-F238E27FC236}">
              <a16:creationId xmlns:a16="http://schemas.microsoft.com/office/drawing/2014/main" id="{00000000-0008-0000-0A00-00000D000000}"/>
            </a:ext>
          </a:extLst>
        </xdr:cNvPr>
        <xdr:cNvSpPr txBox="1">
          <a:spLocks noChangeArrowheads="1"/>
        </xdr:cNvSpPr>
      </xdr:nvSpPr>
      <xdr:spPr bwMode="auto">
        <a:xfrm>
          <a:off x="5695950" y="4389135"/>
          <a:ext cx="282233" cy="24299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lnSpc>
              <a:spcPts val="800"/>
            </a:lnSpc>
            <a:defRPr sz="1000"/>
          </a:pPr>
          <a:r>
            <a:rPr lang="id-ID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l" rtl="0">
            <a:lnSpc>
              <a:spcPts val="800"/>
            </a:lnSpc>
            <a:defRPr sz="1000"/>
          </a:pPr>
          <a:r>
            <a:rPr lang="id-ID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l" rtl="0">
            <a:lnSpc>
              <a:spcPts val="1000"/>
            </a:lnSpc>
            <a:defRPr sz="1000"/>
          </a:pPr>
          <a:r>
            <a:rPr lang="id-ID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M </a:t>
          </a: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381000</xdr:colOff>
      <xdr:row>26</xdr:row>
      <xdr:rowOff>64785</xdr:rowOff>
    </xdr:from>
    <xdr:to>
      <xdr:col>10</xdr:col>
      <xdr:colOff>120308</xdr:colOff>
      <xdr:row>27</xdr:row>
      <xdr:rowOff>117282</xdr:rowOff>
    </xdr:to>
    <xdr:sp macro="" textlink="">
      <xdr:nvSpPr>
        <xdr:cNvPr id="14" name="Text Box 4">
          <a:extLst>
            <a:ext uri="{FF2B5EF4-FFF2-40B4-BE49-F238E27FC236}">
              <a16:creationId xmlns:a16="http://schemas.microsoft.com/office/drawing/2014/main" id="{00000000-0008-0000-0A00-00000E000000}"/>
            </a:ext>
          </a:extLst>
        </xdr:cNvPr>
        <xdr:cNvSpPr txBox="1">
          <a:spLocks noChangeArrowheads="1"/>
        </xdr:cNvSpPr>
      </xdr:nvSpPr>
      <xdr:spPr bwMode="auto">
        <a:xfrm>
          <a:off x="5695950" y="4579635"/>
          <a:ext cx="282233" cy="23347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lnSpc>
              <a:spcPts val="800"/>
            </a:lnSpc>
            <a:defRPr sz="1000"/>
          </a:pPr>
          <a:r>
            <a:rPr lang="id-ID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l" rtl="0">
            <a:lnSpc>
              <a:spcPts val="800"/>
            </a:lnSpc>
            <a:defRPr sz="1000"/>
          </a:pPr>
          <a:r>
            <a:rPr lang="id-ID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l" rtl="0">
            <a:lnSpc>
              <a:spcPts val="1000"/>
            </a:lnSpc>
            <a:defRPr sz="1000"/>
          </a:pPr>
          <a:r>
            <a:rPr lang="id-ID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M </a:t>
          </a: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381000</xdr:colOff>
      <xdr:row>27</xdr:row>
      <xdr:rowOff>64785</xdr:rowOff>
    </xdr:from>
    <xdr:to>
      <xdr:col>10</xdr:col>
      <xdr:colOff>120308</xdr:colOff>
      <xdr:row>28</xdr:row>
      <xdr:rowOff>0</xdr:rowOff>
    </xdr:to>
    <xdr:sp macro="" textlink="">
      <xdr:nvSpPr>
        <xdr:cNvPr id="15" name="Text Box 4">
          <a:extLst>
            <a:ext uri="{FF2B5EF4-FFF2-40B4-BE49-F238E27FC236}">
              <a16:creationId xmlns:a16="http://schemas.microsoft.com/office/drawing/2014/main" id="{00000000-0008-0000-0A00-00000F000000}"/>
            </a:ext>
          </a:extLst>
        </xdr:cNvPr>
        <xdr:cNvSpPr txBox="1">
          <a:spLocks noChangeArrowheads="1"/>
        </xdr:cNvSpPr>
      </xdr:nvSpPr>
      <xdr:spPr bwMode="auto">
        <a:xfrm>
          <a:off x="5695950" y="4760610"/>
          <a:ext cx="282233" cy="11619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lnSpc>
              <a:spcPts val="800"/>
            </a:lnSpc>
            <a:defRPr sz="1000"/>
          </a:pPr>
          <a:r>
            <a:rPr lang="id-ID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l" rtl="0">
            <a:lnSpc>
              <a:spcPts val="800"/>
            </a:lnSpc>
            <a:defRPr sz="1000"/>
          </a:pPr>
          <a:r>
            <a:rPr lang="id-ID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l" rtl="0">
            <a:lnSpc>
              <a:spcPts val="1000"/>
            </a:lnSpc>
            <a:defRPr sz="1000"/>
          </a:pPr>
          <a:r>
            <a:rPr lang="id-ID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M </a:t>
          </a: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391697</xdr:colOff>
      <xdr:row>24</xdr:row>
      <xdr:rowOff>52497</xdr:rowOff>
    </xdr:from>
    <xdr:to>
      <xdr:col>9</xdr:col>
      <xdr:colOff>712616</xdr:colOff>
      <xdr:row>24</xdr:row>
      <xdr:rowOff>52497</xdr:rowOff>
    </xdr:to>
    <xdr:sp macro="" textlink="">
      <xdr:nvSpPr>
        <xdr:cNvPr id="16" name="Text Box 3">
          <a:extLst>
            <a:ext uri="{FF2B5EF4-FFF2-40B4-BE49-F238E27FC236}">
              <a16:creationId xmlns:a16="http://schemas.microsoft.com/office/drawing/2014/main" id="{00000000-0008-0000-0A00-000010000000}"/>
            </a:ext>
          </a:extLst>
        </xdr:cNvPr>
        <xdr:cNvSpPr txBox="1">
          <a:spLocks noChangeArrowheads="1"/>
        </xdr:cNvSpPr>
      </xdr:nvSpPr>
      <xdr:spPr bwMode="auto">
        <a:xfrm>
          <a:off x="5706647" y="4186347"/>
          <a:ext cx="14946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413092</xdr:colOff>
      <xdr:row>26</xdr:row>
      <xdr:rowOff>157490</xdr:rowOff>
    </xdr:from>
    <xdr:to>
      <xdr:col>9</xdr:col>
      <xdr:colOff>734011</xdr:colOff>
      <xdr:row>26</xdr:row>
      <xdr:rowOff>157490</xdr:rowOff>
    </xdr:to>
    <xdr:sp macro="" textlink="">
      <xdr:nvSpPr>
        <xdr:cNvPr id="17" name="Text Box 6">
          <a:extLst>
            <a:ext uri="{FF2B5EF4-FFF2-40B4-BE49-F238E27FC236}">
              <a16:creationId xmlns:a16="http://schemas.microsoft.com/office/drawing/2014/main" id="{00000000-0008-0000-0A00-000011000000}"/>
            </a:ext>
          </a:extLst>
        </xdr:cNvPr>
        <xdr:cNvSpPr txBox="1">
          <a:spLocks noChangeArrowheads="1"/>
        </xdr:cNvSpPr>
      </xdr:nvSpPr>
      <xdr:spPr bwMode="auto">
        <a:xfrm>
          <a:off x="5728042" y="4672340"/>
          <a:ext cx="1304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413092</xdr:colOff>
      <xdr:row>26</xdr:row>
      <xdr:rowOff>157490</xdr:rowOff>
    </xdr:from>
    <xdr:to>
      <xdr:col>9</xdr:col>
      <xdr:colOff>734011</xdr:colOff>
      <xdr:row>26</xdr:row>
      <xdr:rowOff>157490</xdr:rowOff>
    </xdr:to>
    <xdr:sp macro="" textlink="">
      <xdr:nvSpPr>
        <xdr:cNvPr id="18" name="Text Box 7">
          <a:extLst>
            <a:ext uri="{FF2B5EF4-FFF2-40B4-BE49-F238E27FC236}">
              <a16:creationId xmlns:a16="http://schemas.microsoft.com/office/drawing/2014/main" id="{00000000-0008-0000-0A00-000012000000}"/>
            </a:ext>
          </a:extLst>
        </xdr:cNvPr>
        <xdr:cNvSpPr txBox="1">
          <a:spLocks noChangeArrowheads="1"/>
        </xdr:cNvSpPr>
      </xdr:nvSpPr>
      <xdr:spPr bwMode="auto">
        <a:xfrm>
          <a:off x="5728042" y="4672340"/>
          <a:ext cx="1304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413092</xdr:colOff>
      <xdr:row>27</xdr:row>
      <xdr:rowOff>157490</xdr:rowOff>
    </xdr:from>
    <xdr:to>
      <xdr:col>9</xdr:col>
      <xdr:colOff>734011</xdr:colOff>
      <xdr:row>27</xdr:row>
      <xdr:rowOff>157490</xdr:rowOff>
    </xdr:to>
    <xdr:sp macro="" textlink="">
      <xdr:nvSpPr>
        <xdr:cNvPr id="19" name="Text Box 6">
          <a:extLst>
            <a:ext uri="{FF2B5EF4-FFF2-40B4-BE49-F238E27FC236}">
              <a16:creationId xmlns:a16="http://schemas.microsoft.com/office/drawing/2014/main" id="{00000000-0008-0000-0A00-000013000000}"/>
            </a:ext>
          </a:extLst>
        </xdr:cNvPr>
        <xdr:cNvSpPr txBox="1">
          <a:spLocks noChangeArrowheads="1"/>
        </xdr:cNvSpPr>
      </xdr:nvSpPr>
      <xdr:spPr bwMode="auto">
        <a:xfrm>
          <a:off x="5728042" y="4853315"/>
          <a:ext cx="1304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413092</xdr:colOff>
      <xdr:row>27</xdr:row>
      <xdr:rowOff>157490</xdr:rowOff>
    </xdr:from>
    <xdr:to>
      <xdr:col>9</xdr:col>
      <xdr:colOff>734011</xdr:colOff>
      <xdr:row>27</xdr:row>
      <xdr:rowOff>157490</xdr:rowOff>
    </xdr:to>
    <xdr:sp macro="" textlink="">
      <xdr:nvSpPr>
        <xdr:cNvPr id="20" name="Text Box 7">
          <a:extLst>
            <a:ext uri="{FF2B5EF4-FFF2-40B4-BE49-F238E27FC236}">
              <a16:creationId xmlns:a16="http://schemas.microsoft.com/office/drawing/2014/main" id="{00000000-0008-0000-0A00-000014000000}"/>
            </a:ext>
          </a:extLst>
        </xdr:cNvPr>
        <xdr:cNvSpPr txBox="1">
          <a:spLocks noChangeArrowheads="1"/>
        </xdr:cNvSpPr>
      </xdr:nvSpPr>
      <xdr:spPr bwMode="auto">
        <a:xfrm>
          <a:off x="5728042" y="4853315"/>
          <a:ext cx="1304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381000</xdr:colOff>
      <xdr:row>24</xdr:row>
      <xdr:rowOff>64785</xdr:rowOff>
    </xdr:from>
    <xdr:to>
      <xdr:col>10</xdr:col>
      <xdr:colOff>120308</xdr:colOff>
      <xdr:row>25</xdr:row>
      <xdr:rowOff>117282</xdr:rowOff>
    </xdr:to>
    <xdr:sp macro="" textlink="">
      <xdr:nvSpPr>
        <xdr:cNvPr id="67" name="Text Box 4">
          <a:extLst>
            <a:ext uri="{FF2B5EF4-FFF2-40B4-BE49-F238E27FC236}">
              <a16:creationId xmlns:a16="http://schemas.microsoft.com/office/drawing/2014/main" id="{00000000-0008-0000-0A00-000043000000}"/>
            </a:ext>
          </a:extLst>
        </xdr:cNvPr>
        <xdr:cNvSpPr txBox="1">
          <a:spLocks noChangeArrowheads="1"/>
        </xdr:cNvSpPr>
      </xdr:nvSpPr>
      <xdr:spPr bwMode="auto">
        <a:xfrm>
          <a:off x="6648450" y="4198635"/>
          <a:ext cx="158408" cy="24299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lnSpc>
              <a:spcPts val="800"/>
            </a:lnSpc>
            <a:defRPr sz="1000"/>
          </a:pPr>
          <a:r>
            <a:rPr lang="id-ID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l" rtl="0">
            <a:lnSpc>
              <a:spcPts val="800"/>
            </a:lnSpc>
            <a:defRPr sz="1000"/>
          </a:pPr>
          <a:r>
            <a:rPr lang="id-ID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l" rtl="0">
            <a:lnSpc>
              <a:spcPts val="1000"/>
            </a:lnSpc>
            <a:defRPr sz="1000"/>
          </a:pPr>
          <a:r>
            <a:rPr lang="id-ID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M </a:t>
          </a: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391697</xdr:colOff>
      <xdr:row>24</xdr:row>
      <xdr:rowOff>52497</xdr:rowOff>
    </xdr:from>
    <xdr:to>
      <xdr:col>9</xdr:col>
      <xdr:colOff>712616</xdr:colOff>
      <xdr:row>24</xdr:row>
      <xdr:rowOff>52497</xdr:rowOff>
    </xdr:to>
    <xdr:sp macro="" textlink="">
      <xdr:nvSpPr>
        <xdr:cNvPr id="68" name="Text Box 3">
          <a:extLst>
            <a:ext uri="{FF2B5EF4-FFF2-40B4-BE49-F238E27FC236}">
              <a16:creationId xmlns:a16="http://schemas.microsoft.com/office/drawing/2014/main" id="{00000000-0008-0000-0A00-000044000000}"/>
            </a:ext>
          </a:extLst>
        </xdr:cNvPr>
        <xdr:cNvSpPr txBox="1">
          <a:spLocks noChangeArrowheads="1"/>
        </xdr:cNvSpPr>
      </xdr:nvSpPr>
      <xdr:spPr bwMode="auto">
        <a:xfrm>
          <a:off x="6659147" y="4186347"/>
          <a:ext cx="25644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391697</xdr:colOff>
      <xdr:row>24</xdr:row>
      <xdr:rowOff>52497</xdr:rowOff>
    </xdr:from>
    <xdr:to>
      <xdr:col>9</xdr:col>
      <xdr:colOff>712616</xdr:colOff>
      <xdr:row>24</xdr:row>
      <xdr:rowOff>52497</xdr:rowOff>
    </xdr:to>
    <xdr:sp macro="" textlink="">
      <xdr:nvSpPr>
        <xdr:cNvPr id="69" name="Text Box 3">
          <a:extLst>
            <a:ext uri="{FF2B5EF4-FFF2-40B4-BE49-F238E27FC236}">
              <a16:creationId xmlns:a16="http://schemas.microsoft.com/office/drawing/2014/main" id="{00000000-0008-0000-0A00-000045000000}"/>
            </a:ext>
          </a:extLst>
        </xdr:cNvPr>
        <xdr:cNvSpPr txBox="1">
          <a:spLocks noChangeArrowheads="1"/>
        </xdr:cNvSpPr>
      </xdr:nvSpPr>
      <xdr:spPr bwMode="auto">
        <a:xfrm>
          <a:off x="6659147" y="4186347"/>
          <a:ext cx="25644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5</xdr:col>
      <xdr:colOff>413092</xdr:colOff>
      <xdr:row>44</xdr:row>
      <xdr:rowOff>157490</xdr:rowOff>
    </xdr:from>
    <xdr:to>
      <xdr:col>5</xdr:col>
      <xdr:colOff>734011</xdr:colOff>
      <xdr:row>44</xdr:row>
      <xdr:rowOff>157490</xdr:rowOff>
    </xdr:to>
    <xdr:sp macro="" textlink="">
      <xdr:nvSpPr>
        <xdr:cNvPr id="55" name="Text Box 6">
          <a:extLst>
            <a:ext uri="{FF2B5EF4-FFF2-40B4-BE49-F238E27FC236}">
              <a16:creationId xmlns:a16="http://schemas.microsoft.com/office/drawing/2014/main" id="{BEAEC16B-D72D-4B7D-8238-737C13539C83}"/>
            </a:ext>
          </a:extLst>
        </xdr:cNvPr>
        <xdr:cNvSpPr txBox="1">
          <a:spLocks noChangeArrowheads="1"/>
        </xdr:cNvSpPr>
      </xdr:nvSpPr>
      <xdr:spPr bwMode="auto">
        <a:xfrm>
          <a:off x="3118192" y="8301365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5</xdr:col>
      <xdr:colOff>413092</xdr:colOff>
      <xdr:row>44</xdr:row>
      <xdr:rowOff>157490</xdr:rowOff>
    </xdr:from>
    <xdr:to>
      <xdr:col>5</xdr:col>
      <xdr:colOff>734011</xdr:colOff>
      <xdr:row>44</xdr:row>
      <xdr:rowOff>157490</xdr:rowOff>
    </xdr:to>
    <xdr:sp macro="" textlink="">
      <xdr:nvSpPr>
        <xdr:cNvPr id="56" name="Text Box 7">
          <a:extLst>
            <a:ext uri="{FF2B5EF4-FFF2-40B4-BE49-F238E27FC236}">
              <a16:creationId xmlns:a16="http://schemas.microsoft.com/office/drawing/2014/main" id="{D5954ACC-9974-40AC-AB3A-806C399EEE62}"/>
            </a:ext>
          </a:extLst>
        </xdr:cNvPr>
        <xdr:cNvSpPr txBox="1">
          <a:spLocks noChangeArrowheads="1"/>
        </xdr:cNvSpPr>
      </xdr:nvSpPr>
      <xdr:spPr bwMode="auto">
        <a:xfrm>
          <a:off x="3118192" y="8301365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SOFTWARE%20PASSWORD%202020\SOFTWARE%20Lingkup%20Akreditasi\WAKTU%20FREKUENSI\software\CENTRIFUGE%20KALIBRASI%2005.01.202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-1-9-2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SOFTWARE%20KELISTRIKAN\Hary\DEFIBRILLATOR%20Ok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iwayat Revisi"/>
      <sheetName val="LK"/>
      <sheetName val="ID"/>
      <sheetName val="UB"/>
      <sheetName val="PENYELIA"/>
      <sheetName val="LHK"/>
      <sheetName val="DB Tachometer"/>
      <sheetName val="DB Stopwatch"/>
      <sheetName val="DB Kelistrikan"/>
      <sheetName val="DB Thermohygro"/>
    </sheetNames>
    <sheetDataSet>
      <sheetData sheetId="0"/>
      <sheetData sheetId="1"/>
      <sheetData sheetId="2">
        <row r="44">
          <cell r="F44">
            <v>300.51</v>
          </cell>
          <cell r="G44"/>
          <cell r="H44">
            <v>300.61</v>
          </cell>
          <cell r="I44"/>
          <cell r="J44">
            <v>300.41000000000003</v>
          </cell>
          <cell r="K44"/>
        </row>
      </sheetData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RTIFIKAT"/>
      <sheetName val="Riwayat Revisi"/>
      <sheetName val="LK"/>
      <sheetName val="ID"/>
      <sheetName val="UB"/>
      <sheetName val="PENYELIA"/>
      <sheetName val="LH"/>
      <sheetName val="DB ESA"/>
      <sheetName val="DB Thermohygro"/>
      <sheetName val="DB ECG"/>
      <sheetName val="SERT RESISTOR"/>
      <sheetName val="Sert Stopwatch"/>
      <sheetName val="Ktps"/>
      <sheetName val="ESA"/>
      <sheetName val="LH hanya Lampu"/>
      <sheetName val=" LH Laragon"/>
      <sheetName val="kata-kata"/>
      <sheetName val="SCOPE"/>
      <sheetName val="Sheet1"/>
      <sheetName val="Surat Keterangan"/>
      <sheetName val="DB Thermohygro "/>
    </sheetNames>
    <sheetDataSet>
      <sheetData sheetId="0"/>
      <sheetData sheetId="1"/>
      <sheetData sheetId="2"/>
      <sheetData sheetId="3">
        <row r="1">
          <cell r="A1" t="str">
            <v>INPUT DATA KALIBRASI HEART RATE MONITOR</v>
          </cell>
        </row>
        <row r="2">
          <cell r="I2" t="str">
            <v>1 / VIII - 22 / E - 008.27 DL</v>
          </cell>
        </row>
        <row r="11">
          <cell r="E11" t="str">
            <v>-</v>
          </cell>
        </row>
      </sheetData>
      <sheetData sheetId="4"/>
      <sheetData sheetId="5"/>
      <sheetData sheetId="6">
        <row r="5">
          <cell r="E5" t="str">
            <v>-</v>
          </cell>
        </row>
        <row r="6">
          <cell r="E6" t="str">
            <v>-</v>
          </cell>
        </row>
        <row r="7">
          <cell r="E7" t="str">
            <v>-</v>
          </cell>
        </row>
        <row r="8">
          <cell r="E8" t="str">
            <v>-</v>
          </cell>
        </row>
        <row r="9">
          <cell r="E9" t="str">
            <v>-</v>
          </cell>
        </row>
        <row r="10">
          <cell r="E10" t="str">
            <v>-</v>
          </cell>
        </row>
        <row r="11">
          <cell r="E11" t="str">
            <v>KL.MK -16</v>
          </cell>
        </row>
      </sheetData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K"/>
      <sheetName val="revisi"/>
      <sheetName val="kata-kata"/>
      <sheetName val="Input"/>
      <sheetName val="Budget"/>
      <sheetName val="Penyelia"/>
      <sheetName val="LHK"/>
      <sheetName val="DB Suhu"/>
      <sheetName val="DB Stopwatch"/>
      <sheetName val="DB Kelistrikan"/>
      <sheetName val="Input Data Sertifikat Defib"/>
    </sheetNames>
    <sheetDataSet>
      <sheetData sheetId="0"/>
      <sheetData sheetId="1"/>
      <sheetData sheetId="2"/>
      <sheetData sheetId="3">
        <row r="36">
          <cell r="D36">
            <v>5</v>
          </cell>
        </row>
        <row r="37">
          <cell r="D37">
            <v>10</v>
          </cell>
        </row>
        <row r="38">
          <cell r="D38">
            <v>20</v>
          </cell>
        </row>
        <row r="39">
          <cell r="D39">
            <v>30</v>
          </cell>
        </row>
        <row r="40">
          <cell r="D40">
            <v>50</v>
          </cell>
        </row>
        <row r="41">
          <cell r="D41">
            <v>100</v>
          </cell>
        </row>
        <row r="42">
          <cell r="D42">
            <v>150</v>
          </cell>
        </row>
        <row r="43">
          <cell r="D43">
            <v>200</v>
          </cell>
        </row>
        <row r="44">
          <cell r="D44">
            <v>300</v>
          </cell>
        </row>
        <row r="55">
          <cell r="H55">
            <v>14.002333333333333</v>
          </cell>
        </row>
      </sheetData>
      <sheetData sheetId="4"/>
      <sheetData sheetId="5">
        <row r="31">
          <cell r="D31"/>
        </row>
      </sheetData>
      <sheetData sheetId="6"/>
      <sheetData sheetId="7"/>
      <sheetData sheetId="8">
        <row r="177">
          <cell r="L177">
            <v>0</v>
          </cell>
          <cell r="M177">
            <v>2.8004666666666667E-2</v>
          </cell>
        </row>
      </sheetData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B33C6-808B-4245-941F-17DA41F81A03}">
  <sheetPr>
    <tabColor rgb="FFFF0000"/>
  </sheetPr>
  <dimension ref="A1:AF244"/>
  <sheetViews>
    <sheetView view="pageBreakPreview" topLeftCell="A211" zoomScaleNormal="100" zoomScaleSheetLayoutView="100" workbookViewId="0">
      <selection activeCell="O221" sqref="O221"/>
    </sheetView>
  </sheetViews>
  <sheetFormatPr defaultRowHeight="12.5"/>
  <cols>
    <col min="1" max="1" width="11.7265625" customWidth="1"/>
    <col min="2" max="2" width="9.26953125" customWidth="1"/>
    <col min="4" max="4" width="11" customWidth="1"/>
    <col min="5" max="5" width="10.26953125" customWidth="1"/>
    <col min="6" max="6" width="9.1796875" customWidth="1"/>
    <col min="7" max="7" width="10.26953125" customWidth="1"/>
    <col min="8" max="8" width="11.26953125" customWidth="1"/>
    <col min="9" max="9" width="9.26953125" customWidth="1"/>
    <col min="11" max="11" width="10.54296875" customWidth="1"/>
    <col min="12" max="13" width="10.1796875" customWidth="1"/>
    <col min="14" max="14" width="10.54296875" customWidth="1"/>
    <col min="15" max="15" width="12.26953125" customWidth="1"/>
    <col min="16" max="16" width="9.26953125" customWidth="1"/>
  </cols>
  <sheetData>
    <row r="1" spans="1:32" ht="13.5" thickBot="1">
      <c r="A1" s="557"/>
      <c r="B1" s="557"/>
      <c r="C1" s="558"/>
      <c r="D1" s="559"/>
      <c r="E1" s="559"/>
      <c r="F1" s="559"/>
      <c r="G1" s="560"/>
      <c r="H1" s="561"/>
      <c r="I1" s="561"/>
      <c r="J1" s="557"/>
      <c r="K1" s="558"/>
      <c r="L1" s="559"/>
      <c r="M1" s="559"/>
      <c r="N1" s="559"/>
      <c r="O1" s="560"/>
      <c r="P1" s="560"/>
      <c r="Q1" s="561"/>
      <c r="R1" s="561"/>
      <c r="S1" s="561"/>
      <c r="T1" s="562"/>
    </row>
    <row r="2" spans="1:32" ht="15">
      <c r="A2" s="1304" t="s">
        <v>0</v>
      </c>
      <c r="B2" s="1305"/>
      <c r="C2" s="1305"/>
      <c r="D2" s="1305"/>
      <c r="E2" s="1305"/>
      <c r="F2" s="1305"/>
      <c r="G2" s="1305"/>
      <c r="H2" s="1305"/>
      <c r="I2" s="1305"/>
      <c r="J2" s="1305"/>
      <c r="K2" s="1305"/>
      <c r="L2" s="1305"/>
      <c r="M2" s="1305"/>
      <c r="N2" s="1305"/>
      <c r="O2" s="1305"/>
      <c r="P2" s="1305"/>
      <c r="Q2" s="1305"/>
      <c r="R2" s="1305"/>
      <c r="S2" s="1305"/>
      <c r="T2" s="1306"/>
      <c r="U2" s="563"/>
      <c r="V2" s="564"/>
      <c r="W2" s="564"/>
      <c r="X2" s="564"/>
      <c r="Y2" s="564"/>
      <c r="Z2" s="564"/>
      <c r="AA2" s="564"/>
      <c r="AB2" s="564"/>
      <c r="AC2" s="564"/>
      <c r="AD2" s="564"/>
      <c r="AE2" s="564"/>
      <c r="AF2" s="564"/>
    </row>
    <row r="3" spans="1:32" ht="15.75" customHeight="1">
      <c r="A3" s="1307" t="s">
        <v>1</v>
      </c>
      <c r="B3" s="1308"/>
      <c r="C3" s="1309"/>
      <c r="D3" s="1309"/>
      <c r="E3" s="1272" t="s">
        <v>2</v>
      </c>
      <c r="F3" s="1273" t="s">
        <v>3</v>
      </c>
      <c r="G3" s="565"/>
      <c r="H3" s="1309" t="s">
        <v>4</v>
      </c>
      <c r="I3" s="1309"/>
      <c r="J3" s="1309"/>
      <c r="K3" s="1309"/>
      <c r="L3" s="1272" t="s">
        <v>2</v>
      </c>
      <c r="M3" s="1273" t="str">
        <f>F3</f>
        <v>U95 STD</v>
      </c>
      <c r="N3" s="566"/>
      <c r="O3" s="1309" t="s">
        <v>5</v>
      </c>
      <c r="P3" s="1309"/>
      <c r="Q3" s="1309"/>
      <c r="R3" s="1309"/>
      <c r="S3" s="1272" t="s">
        <v>2</v>
      </c>
      <c r="T3" s="1292" t="str">
        <f>M3</f>
        <v>U95 STD</v>
      </c>
      <c r="V3" s="544"/>
      <c r="W3" s="544"/>
      <c r="X3" s="544"/>
      <c r="Y3" s="567"/>
      <c r="Z3" s="568"/>
      <c r="AA3" s="569"/>
      <c r="AB3" s="545"/>
      <c r="AC3" s="545"/>
      <c r="AD3" s="545"/>
      <c r="AE3" s="567"/>
      <c r="AF3" s="568"/>
    </row>
    <row r="4" spans="1:32" ht="12.75" customHeight="1">
      <c r="A4" s="570" t="s">
        <v>6</v>
      </c>
      <c r="B4" s="1274" t="s">
        <v>7</v>
      </c>
      <c r="C4" s="1275"/>
      <c r="D4" s="1276"/>
      <c r="E4" s="1272"/>
      <c r="F4" s="1273"/>
      <c r="G4" s="571"/>
      <c r="H4" s="572" t="str">
        <f>A4</f>
        <v>Timer</v>
      </c>
      <c r="I4" s="1274" t="s">
        <v>7</v>
      </c>
      <c r="J4" s="1275"/>
      <c r="K4" s="1276"/>
      <c r="L4" s="1272"/>
      <c r="M4" s="1273"/>
      <c r="N4" s="566"/>
      <c r="O4" s="572" t="str">
        <f>H4</f>
        <v>Timer</v>
      </c>
      <c r="P4" s="1274" t="s">
        <v>7</v>
      </c>
      <c r="Q4" s="1275"/>
      <c r="R4" s="1276"/>
      <c r="S4" s="1272"/>
      <c r="T4" s="1292"/>
      <c r="V4" s="573"/>
      <c r="W4" s="567"/>
      <c r="X4" s="567"/>
      <c r="Y4" s="567"/>
      <c r="Z4" s="568"/>
      <c r="AA4" s="569"/>
      <c r="AB4" s="573"/>
      <c r="AC4" s="567"/>
      <c r="AD4" s="567"/>
      <c r="AE4" s="567"/>
      <c r="AF4" s="568"/>
    </row>
    <row r="5" spans="1:32" ht="12.75" customHeight="1">
      <c r="A5" s="161" t="s">
        <v>8</v>
      </c>
      <c r="B5" s="574">
        <v>2022</v>
      </c>
      <c r="C5" s="575">
        <v>2021</v>
      </c>
      <c r="D5" s="575">
        <v>2016</v>
      </c>
      <c r="E5" s="1272"/>
      <c r="F5" s="1273"/>
      <c r="G5" s="576" t="s">
        <v>9</v>
      </c>
      <c r="H5" s="546" t="str">
        <f>A5</f>
        <v>s</v>
      </c>
      <c r="I5" s="574">
        <v>2022</v>
      </c>
      <c r="J5" s="575">
        <v>2021</v>
      </c>
      <c r="K5" s="575">
        <v>2018</v>
      </c>
      <c r="L5" s="1272"/>
      <c r="M5" s="1273"/>
      <c r="N5" s="576" t="s">
        <v>9</v>
      </c>
      <c r="O5" s="546" t="str">
        <f>H5</f>
        <v>s</v>
      </c>
      <c r="P5" s="574">
        <v>2022</v>
      </c>
      <c r="Q5" s="575">
        <v>2018</v>
      </c>
      <c r="R5" s="575">
        <v>2017</v>
      </c>
      <c r="S5" s="1272"/>
      <c r="T5" s="1292"/>
      <c r="V5" s="547"/>
      <c r="W5" s="573"/>
      <c r="X5" s="577"/>
      <c r="Y5" s="567"/>
      <c r="Z5" s="568"/>
      <c r="AA5" s="569"/>
      <c r="AB5" s="547"/>
      <c r="AC5" s="573"/>
      <c r="AD5" s="573"/>
      <c r="AE5" s="567"/>
      <c r="AF5" s="568"/>
    </row>
    <row r="6" spans="1:32" ht="13.5" customHeight="1">
      <c r="A6" s="578">
        <v>0</v>
      </c>
      <c r="B6" s="579" t="s">
        <v>10</v>
      </c>
      <c r="C6" s="580">
        <v>0</v>
      </c>
      <c r="D6" s="580">
        <v>0</v>
      </c>
      <c r="E6" s="581">
        <f>IFERROR(IF(OR(C6="-",D6="-"),1/3*F6,0.5*(MAX(C6:D6)-MIN(C6:D6))),0)</f>
        <v>0</v>
      </c>
      <c r="F6" s="582">
        <v>0.12</v>
      </c>
      <c r="G6" s="576">
        <v>1</v>
      </c>
      <c r="H6" s="578">
        <v>0</v>
      </c>
      <c r="I6" s="579" t="s">
        <v>10</v>
      </c>
      <c r="J6" s="583">
        <v>0</v>
      </c>
      <c r="K6" s="584">
        <v>0</v>
      </c>
      <c r="L6" s="581">
        <f>IFERROR(IF(OR(J6="-",K6="-"),1/3*M6,0.5*(MAX(J6:K6)-MIN(J6:K6))),0)</f>
        <v>0</v>
      </c>
      <c r="M6" s="582">
        <v>0.12</v>
      </c>
      <c r="N6" s="576">
        <v>1</v>
      </c>
      <c r="O6" s="585">
        <v>0</v>
      </c>
      <c r="P6" s="579" t="s">
        <v>10</v>
      </c>
      <c r="Q6" s="584">
        <v>0</v>
      </c>
      <c r="R6" s="583">
        <v>0</v>
      </c>
      <c r="S6" s="581">
        <f>IFERROR(IF(OR(Q6="-",R6="-"),1/3*T6,0.5*(MAX(Q6:R6)-MIN(Q6:R6))),0)</f>
        <v>0</v>
      </c>
      <c r="T6" s="586">
        <v>0</v>
      </c>
      <c r="V6" s="587"/>
      <c r="W6" s="588"/>
      <c r="X6" s="589"/>
      <c r="Y6" s="590"/>
      <c r="Z6" s="591"/>
      <c r="AA6" s="569"/>
      <c r="AB6" s="587"/>
      <c r="AC6" s="588"/>
      <c r="AD6" s="591"/>
      <c r="AE6" s="590"/>
      <c r="AF6" s="591"/>
    </row>
    <row r="7" spans="1:32" ht="13.5" customHeight="1">
      <c r="A7" s="578">
        <v>10</v>
      </c>
      <c r="B7" s="579" t="s">
        <v>10</v>
      </c>
      <c r="C7" s="580">
        <v>-1E-3</v>
      </c>
      <c r="D7" s="580" t="s">
        <v>10</v>
      </c>
      <c r="E7" s="581">
        <f t="shared" ref="E7:E15" si="0">IFERROR(IF(OR(C7="-",D7="-"),1/3*F7,0.5*(MAX(C7:D7)-MIN(C7:D7))),0)</f>
        <v>3.9999999999999994E-2</v>
      </c>
      <c r="F7" s="582">
        <v>0.12</v>
      </c>
      <c r="G7" s="576">
        <v>2</v>
      </c>
      <c r="H7" s="578">
        <v>10</v>
      </c>
      <c r="I7" s="579" t="s">
        <v>10</v>
      </c>
      <c r="J7" s="583">
        <v>1E-3</v>
      </c>
      <c r="K7" s="592" t="s">
        <v>10</v>
      </c>
      <c r="L7" s="581">
        <f t="shared" ref="L7:L16" si="1">IFERROR(IF(OR(J7="-",K7="-"),1/3*M7,0.5*(MAX(J7:K7)-MIN(J7:K7))),0)</f>
        <v>3.9999999999999994E-2</v>
      </c>
      <c r="M7" s="582">
        <v>0.12</v>
      </c>
      <c r="N7" s="576">
        <v>2</v>
      </c>
      <c r="O7" s="578">
        <v>10</v>
      </c>
      <c r="P7" s="579" t="s">
        <v>10</v>
      </c>
      <c r="Q7" s="584">
        <v>0</v>
      </c>
      <c r="R7" s="583" t="s">
        <v>10</v>
      </c>
      <c r="S7" s="581">
        <f t="shared" ref="S7:S16" si="2">IFERROR(IF(OR(Q7="-",R7="-"),1/3*T7,0.5*(MAX(Q7:R7)-MIN(Q7:R7))),0)</f>
        <v>3.9999999999999994E-2</v>
      </c>
      <c r="T7" s="586">
        <v>0.12</v>
      </c>
      <c r="V7" s="587"/>
      <c r="W7" s="588"/>
      <c r="X7" s="589"/>
      <c r="Y7" s="590"/>
      <c r="Z7" s="591"/>
      <c r="AA7" s="569"/>
      <c r="AB7" s="587"/>
      <c r="AC7" s="588"/>
      <c r="AD7" s="591"/>
      <c r="AE7" s="590"/>
      <c r="AF7" s="591"/>
    </row>
    <row r="8" spans="1:32" ht="13.5" customHeight="1">
      <c r="A8" s="578">
        <v>20</v>
      </c>
      <c r="B8" s="579" t="s">
        <v>10</v>
      </c>
      <c r="C8" s="580">
        <v>-1E-3</v>
      </c>
      <c r="D8" s="580" t="s">
        <v>10</v>
      </c>
      <c r="E8" s="581">
        <f t="shared" si="0"/>
        <v>3.9999999999999994E-2</v>
      </c>
      <c r="F8" s="582">
        <v>0.12</v>
      </c>
      <c r="G8" s="576">
        <v>3</v>
      </c>
      <c r="H8" s="578">
        <v>20</v>
      </c>
      <c r="I8" s="579" t="s">
        <v>10</v>
      </c>
      <c r="J8" s="583">
        <v>1E-3</v>
      </c>
      <c r="K8" s="592" t="s">
        <v>10</v>
      </c>
      <c r="L8" s="581">
        <f>IFERROR(IF(OR(J8="-",K8="-"),1/3*M8,0.5*(MAX(J8:K8)-MIN(J8:K8))),0)</f>
        <v>3.9999999999999994E-2</v>
      </c>
      <c r="M8" s="582">
        <v>0.12</v>
      </c>
      <c r="N8" s="576">
        <v>3</v>
      </c>
      <c r="O8" s="578">
        <v>20</v>
      </c>
      <c r="P8" s="579" t="s">
        <v>10</v>
      </c>
      <c r="Q8" s="584">
        <v>0</v>
      </c>
      <c r="R8" s="583" t="s">
        <v>10</v>
      </c>
      <c r="S8" s="581">
        <f t="shared" si="2"/>
        <v>3.9999999999999994E-2</v>
      </c>
      <c r="T8" s="586">
        <v>0.12</v>
      </c>
      <c r="V8" s="587"/>
      <c r="W8" s="588"/>
      <c r="X8" s="589"/>
      <c r="Y8" s="590"/>
      <c r="Z8" s="591"/>
      <c r="AA8" s="569"/>
      <c r="AB8" s="587"/>
      <c r="AC8" s="588"/>
      <c r="AD8" s="591"/>
      <c r="AE8" s="590"/>
      <c r="AF8" s="591"/>
    </row>
    <row r="9" spans="1:32" ht="13.5" customHeight="1">
      <c r="A9" s="578">
        <v>30</v>
      </c>
      <c r="B9" s="579" t="s">
        <v>10</v>
      </c>
      <c r="C9" s="580">
        <v>-1E-3</v>
      </c>
      <c r="D9" s="580" t="s">
        <v>10</v>
      </c>
      <c r="E9" s="581">
        <f t="shared" si="0"/>
        <v>3.9999999999999994E-2</v>
      </c>
      <c r="F9" s="582">
        <v>0.12</v>
      </c>
      <c r="G9" s="576">
        <v>4</v>
      </c>
      <c r="H9" s="578">
        <v>30</v>
      </c>
      <c r="I9" s="579" t="s">
        <v>10</v>
      </c>
      <c r="J9" s="583">
        <v>1E-3</v>
      </c>
      <c r="K9" s="592" t="s">
        <v>10</v>
      </c>
      <c r="L9" s="581">
        <f t="shared" si="1"/>
        <v>3.9999999999999994E-2</v>
      </c>
      <c r="M9" s="582">
        <v>0.12</v>
      </c>
      <c r="N9" s="576">
        <v>4</v>
      </c>
      <c r="O9" s="578">
        <v>30</v>
      </c>
      <c r="P9" s="579" t="s">
        <v>10</v>
      </c>
      <c r="Q9" s="584">
        <v>0</v>
      </c>
      <c r="R9" s="583" t="s">
        <v>10</v>
      </c>
      <c r="S9" s="581">
        <f>IFERROR(IF(OR(Q9="-",R9="-"),1/3*T9,0.5*(MAX(Q9:R9)-MIN(Q9:R9))),0)</f>
        <v>3.9999999999999994E-2</v>
      </c>
      <c r="T9" s="586">
        <v>0.12</v>
      </c>
      <c r="V9" s="587"/>
      <c r="W9" s="588"/>
      <c r="X9" s="589"/>
      <c r="Y9" s="590"/>
      <c r="Z9" s="591"/>
      <c r="AA9" s="569"/>
      <c r="AB9" s="587"/>
      <c r="AC9" s="588"/>
      <c r="AD9" s="591"/>
      <c r="AE9" s="590"/>
      <c r="AF9" s="591"/>
    </row>
    <row r="10" spans="1:32" ht="13.5" customHeight="1">
      <c r="A10" s="578">
        <v>40</v>
      </c>
      <c r="B10" s="579" t="s">
        <v>10</v>
      </c>
      <c r="C10" s="580">
        <v>-1E-3</v>
      </c>
      <c r="D10" s="580" t="s">
        <v>10</v>
      </c>
      <c r="E10" s="581">
        <f t="shared" si="0"/>
        <v>3.9999999999999994E-2</v>
      </c>
      <c r="F10" s="582">
        <v>0.12</v>
      </c>
      <c r="G10" s="576">
        <v>5</v>
      </c>
      <c r="H10" s="578">
        <v>40</v>
      </c>
      <c r="I10" s="579" t="s">
        <v>10</v>
      </c>
      <c r="J10" s="583">
        <v>1E-3</v>
      </c>
      <c r="K10" s="592" t="s">
        <v>10</v>
      </c>
      <c r="L10" s="581">
        <f t="shared" si="1"/>
        <v>3.9999999999999994E-2</v>
      </c>
      <c r="M10" s="582">
        <v>0.12</v>
      </c>
      <c r="N10" s="576">
        <v>5</v>
      </c>
      <c r="O10" s="578">
        <v>40</v>
      </c>
      <c r="P10" s="579" t="s">
        <v>10</v>
      </c>
      <c r="Q10" s="584">
        <v>0</v>
      </c>
      <c r="R10" s="583" t="s">
        <v>10</v>
      </c>
      <c r="S10" s="581">
        <f t="shared" si="2"/>
        <v>3.9999999999999994E-2</v>
      </c>
      <c r="T10" s="586">
        <v>0.12</v>
      </c>
      <c r="V10" s="587"/>
      <c r="W10" s="588"/>
      <c r="X10" s="589"/>
      <c r="Y10" s="590"/>
      <c r="Z10" s="591"/>
      <c r="AA10" s="569"/>
      <c r="AB10" s="587"/>
      <c r="AC10" s="588"/>
      <c r="AD10" s="591"/>
      <c r="AE10" s="590"/>
      <c r="AF10" s="591"/>
    </row>
    <row r="11" spans="1:32" ht="13.5" customHeight="1">
      <c r="A11" s="578">
        <v>50</v>
      </c>
      <c r="B11" s="579" t="s">
        <v>10</v>
      </c>
      <c r="C11" s="580">
        <v>-1E-3</v>
      </c>
      <c r="D11" s="580" t="s">
        <v>10</v>
      </c>
      <c r="E11" s="581">
        <f t="shared" si="0"/>
        <v>3.9999999999999994E-2</v>
      </c>
      <c r="F11" s="582">
        <v>0.12</v>
      </c>
      <c r="G11" s="576">
        <v>6</v>
      </c>
      <c r="H11" s="578">
        <v>50</v>
      </c>
      <c r="I11" s="579" t="s">
        <v>10</v>
      </c>
      <c r="J11" s="583">
        <v>1E-3</v>
      </c>
      <c r="K11" s="592" t="s">
        <v>10</v>
      </c>
      <c r="L11" s="581">
        <f t="shared" si="1"/>
        <v>3.9999999999999994E-2</v>
      </c>
      <c r="M11" s="582">
        <v>0.12</v>
      </c>
      <c r="N11" s="576">
        <v>6</v>
      </c>
      <c r="O11" s="578">
        <v>50</v>
      </c>
      <c r="P11" s="579" t="s">
        <v>10</v>
      </c>
      <c r="Q11" s="584">
        <v>0</v>
      </c>
      <c r="R11" s="583" t="s">
        <v>10</v>
      </c>
      <c r="S11" s="581">
        <f t="shared" si="2"/>
        <v>3.9999999999999994E-2</v>
      </c>
      <c r="T11" s="586">
        <v>0.12</v>
      </c>
      <c r="V11" s="587"/>
      <c r="W11" s="588"/>
      <c r="X11" s="589"/>
      <c r="Y11" s="590"/>
      <c r="Z11" s="591"/>
      <c r="AA11" s="569"/>
      <c r="AB11" s="587"/>
      <c r="AC11" s="588"/>
      <c r="AD11" s="591"/>
      <c r="AE11" s="590"/>
      <c r="AF11" s="591"/>
    </row>
    <row r="12" spans="1:32" ht="12.75" customHeight="1">
      <c r="A12" s="578">
        <v>60</v>
      </c>
      <c r="B12" s="579" t="s">
        <v>10</v>
      </c>
      <c r="C12" s="583">
        <v>-6.0000000000000001E-3</v>
      </c>
      <c r="D12" s="580" t="s">
        <v>10</v>
      </c>
      <c r="E12" s="581">
        <f>IFERROR(IF(OR(C12="-",D12="-"),1/3*F12,0.5*(MAX(C12:D12)-MIN(C12:D12))),0)</f>
        <v>3.9999999999999994E-2</v>
      </c>
      <c r="F12" s="582">
        <v>0.12</v>
      </c>
      <c r="G12" s="576">
        <v>7</v>
      </c>
      <c r="H12" s="578">
        <v>60</v>
      </c>
      <c r="I12" s="579" t="s">
        <v>10</v>
      </c>
      <c r="J12" s="583">
        <v>3.0000000000000001E-3</v>
      </c>
      <c r="K12" s="584">
        <v>0.01</v>
      </c>
      <c r="L12" s="581">
        <f t="shared" si="1"/>
        <v>3.5000000000000001E-3</v>
      </c>
      <c r="M12" s="582">
        <v>0.12</v>
      </c>
      <c r="N12" s="576">
        <v>7</v>
      </c>
      <c r="O12" s="585">
        <v>60</v>
      </c>
      <c r="P12" s="579" t="s">
        <v>10</v>
      </c>
      <c r="Q12" s="584">
        <v>0.01</v>
      </c>
      <c r="R12" s="583">
        <v>0</v>
      </c>
      <c r="S12" s="581">
        <f t="shared" si="2"/>
        <v>5.0000000000000001E-3</v>
      </c>
      <c r="T12" s="586">
        <v>0.12</v>
      </c>
      <c r="V12" s="587"/>
      <c r="W12" s="588"/>
      <c r="X12" s="591"/>
      <c r="Y12" s="590"/>
      <c r="Z12" s="591"/>
      <c r="AA12" s="569"/>
      <c r="AB12" s="587"/>
      <c r="AC12" s="588"/>
      <c r="AD12" s="591"/>
      <c r="AE12" s="590"/>
      <c r="AF12" s="591"/>
    </row>
    <row r="13" spans="1:32" ht="12.75" customHeight="1">
      <c r="A13" s="578">
        <v>300</v>
      </c>
      <c r="B13" s="579" t="s">
        <v>10</v>
      </c>
      <c r="C13" s="583">
        <v>-2E-3</v>
      </c>
      <c r="D13" s="583">
        <v>0</v>
      </c>
      <c r="E13" s="581">
        <f t="shared" si="0"/>
        <v>1E-3</v>
      </c>
      <c r="F13" s="582">
        <v>0.12</v>
      </c>
      <c r="G13" s="576">
        <v>8</v>
      </c>
      <c r="H13" s="578">
        <v>300</v>
      </c>
      <c r="I13" s="579" t="s">
        <v>10</v>
      </c>
      <c r="J13" s="583">
        <v>3.0000000000000001E-3</v>
      </c>
      <c r="K13" s="584">
        <v>0.01</v>
      </c>
      <c r="L13" s="581">
        <f t="shared" si="1"/>
        <v>3.5000000000000001E-3</v>
      </c>
      <c r="M13" s="582">
        <v>0.12</v>
      </c>
      <c r="N13" s="576">
        <v>8</v>
      </c>
      <c r="O13" s="585">
        <v>300</v>
      </c>
      <c r="P13" s="579" t="s">
        <v>10</v>
      </c>
      <c r="Q13" s="584">
        <v>0.01</v>
      </c>
      <c r="R13" s="583">
        <v>-2E-3</v>
      </c>
      <c r="S13" s="581">
        <f t="shared" si="2"/>
        <v>6.0000000000000001E-3</v>
      </c>
      <c r="T13" s="586">
        <v>0.12</v>
      </c>
      <c r="V13" s="587"/>
      <c r="W13" s="588"/>
      <c r="X13" s="591"/>
      <c r="Y13" s="590"/>
      <c r="Z13" s="591"/>
      <c r="AA13" s="569"/>
      <c r="AB13" s="587"/>
      <c r="AC13" s="588"/>
      <c r="AD13" s="591"/>
      <c r="AE13" s="590"/>
      <c r="AF13" s="591"/>
    </row>
    <row r="14" spans="1:32" ht="12.75" customHeight="1">
      <c r="A14" s="578">
        <v>600</v>
      </c>
      <c r="B14" s="579" t="s">
        <v>10</v>
      </c>
      <c r="C14" s="580">
        <v>-8.0000000000000002E-3</v>
      </c>
      <c r="D14" s="580">
        <v>-0.01</v>
      </c>
      <c r="E14" s="581">
        <f t="shared" si="0"/>
        <v>1E-3</v>
      </c>
      <c r="F14" s="582">
        <v>0.12</v>
      </c>
      <c r="G14" s="576">
        <v>9</v>
      </c>
      <c r="H14" s="578">
        <v>600</v>
      </c>
      <c r="I14" s="579" t="s">
        <v>10</v>
      </c>
      <c r="J14" s="580">
        <v>4.0000000000000001E-3</v>
      </c>
      <c r="K14" s="592">
        <v>0.01</v>
      </c>
      <c r="L14" s="581">
        <f t="shared" si="1"/>
        <v>3.0000000000000001E-3</v>
      </c>
      <c r="M14" s="582">
        <v>0.12</v>
      </c>
      <c r="N14" s="576">
        <v>9</v>
      </c>
      <c r="O14" s="585">
        <v>600</v>
      </c>
      <c r="P14" s="579" t="s">
        <v>10</v>
      </c>
      <c r="Q14" s="592">
        <v>0.02</v>
      </c>
      <c r="R14" s="583">
        <v>-3.0000000000000001E-3</v>
      </c>
      <c r="S14" s="581">
        <f t="shared" si="2"/>
        <v>1.15E-2</v>
      </c>
      <c r="T14" s="586">
        <v>0.12</v>
      </c>
      <c r="V14" s="587"/>
      <c r="W14" s="588"/>
      <c r="X14" s="589"/>
      <c r="Y14" s="590"/>
      <c r="Z14" s="591"/>
      <c r="AA14" s="569"/>
      <c r="AB14" s="587"/>
      <c r="AC14" s="588"/>
      <c r="AD14" s="589"/>
      <c r="AE14" s="590"/>
      <c r="AF14" s="591"/>
    </row>
    <row r="15" spans="1:32" ht="12.75" customHeight="1">
      <c r="A15" s="578">
        <v>900</v>
      </c>
      <c r="B15" s="579" t="s">
        <v>10</v>
      </c>
      <c r="C15" s="580">
        <v>-8.0000000000000002E-3</v>
      </c>
      <c r="D15" s="580" t="s">
        <v>10</v>
      </c>
      <c r="E15" s="581">
        <f t="shared" si="0"/>
        <v>3.9999999999999994E-2</v>
      </c>
      <c r="F15" s="582">
        <v>0.12</v>
      </c>
      <c r="G15" s="576">
        <v>10</v>
      </c>
      <c r="H15" s="578">
        <v>900</v>
      </c>
      <c r="I15" s="579" t="s">
        <v>10</v>
      </c>
      <c r="J15" s="583">
        <v>2E-3</v>
      </c>
      <c r="K15" s="580" t="s">
        <v>10</v>
      </c>
      <c r="L15" s="581">
        <f t="shared" si="1"/>
        <v>3.9999999999999994E-2</v>
      </c>
      <c r="M15" s="582">
        <v>0.12</v>
      </c>
      <c r="N15" s="576">
        <v>10</v>
      </c>
      <c r="O15" s="585">
        <v>600</v>
      </c>
      <c r="P15" s="579" t="s">
        <v>10</v>
      </c>
      <c r="Q15" s="592">
        <v>0.02</v>
      </c>
      <c r="R15" s="583">
        <v>-3.0000000000000001E-3</v>
      </c>
      <c r="S15" s="581">
        <f t="shared" si="2"/>
        <v>1.15E-2</v>
      </c>
      <c r="T15" s="586">
        <v>0.12</v>
      </c>
      <c r="V15" s="587"/>
      <c r="W15" s="588"/>
      <c r="X15" s="589"/>
      <c r="Y15" s="590"/>
      <c r="Z15" s="591"/>
      <c r="AA15" s="569"/>
      <c r="AB15" s="587"/>
      <c r="AC15" s="588"/>
      <c r="AD15" s="589"/>
      <c r="AE15" s="590"/>
      <c r="AF15" s="591"/>
    </row>
    <row r="16" spans="1:32" ht="12.75" customHeight="1">
      <c r="A16" s="578">
        <v>1200</v>
      </c>
      <c r="B16" s="579" t="s">
        <v>10</v>
      </c>
      <c r="C16" s="580">
        <v>-1.2999999999999999E-2</v>
      </c>
      <c r="D16" s="580" t="s">
        <v>10</v>
      </c>
      <c r="E16" s="581">
        <f>IFERROR(IF(OR(C16="-",D16="-"),1/3*F16,0.5*(MAX(C16:D16)-MIN(C16:D16))),0)</f>
        <v>3.9999999999999994E-2</v>
      </c>
      <c r="F16" s="582">
        <v>0.12</v>
      </c>
      <c r="G16" s="576">
        <v>11</v>
      </c>
      <c r="H16" s="578">
        <v>1200</v>
      </c>
      <c r="I16" s="579" t="s">
        <v>10</v>
      </c>
      <c r="J16" s="583">
        <v>0</v>
      </c>
      <c r="K16" s="580" t="s">
        <v>10</v>
      </c>
      <c r="L16" s="581">
        <f t="shared" si="1"/>
        <v>3.9999999999999994E-2</v>
      </c>
      <c r="M16" s="582">
        <v>0.12</v>
      </c>
      <c r="N16" s="576">
        <v>11</v>
      </c>
      <c r="O16" s="585">
        <v>600</v>
      </c>
      <c r="P16" s="579" t="s">
        <v>10</v>
      </c>
      <c r="Q16" s="592">
        <v>0.02</v>
      </c>
      <c r="R16" s="583">
        <v>-3.0000000000000001E-3</v>
      </c>
      <c r="S16" s="581">
        <f t="shared" si="2"/>
        <v>1.15E-2</v>
      </c>
      <c r="T16" s="586">
        <v>0.12</v>
      </c>
      <c r="V16" s="587"/>
      <c r="W16" s="588"/>
      <c r="X16" s="589"/>
      <c r="Y16" s="590"/>
      <c r="Z16" s="591"/>
      <c r="AA16" s="569"/>
      <c r="AB16" s="587"/>
      <c r="AC16" s="588"/>
      <c r="AD16" s="589"/>
      <c r="AE16" s="590"/>
      <c r="AF16" s="591"/>
    </row>
    <row r="17" spans="1:32" ht="12.75" customHeight="1">
      <c r="A17" s="1296"/>
      <c r="B17" s="1297"/>
      <c r="C17" s="1297"/>
      <c r="D17" s="1297"/>
      <c r="E17" s="1297"/>
      <c r="F17" s="1298"/>
      <c r="G17" s="571"/>
      <c r="H17" s="1299"/>
      <c r="I17" s="1300"/>
      <c r="J17" s="1300"/>
      <c r="K17" s="1300"/>
      <c r="L17" s="1300"/>
      <c r="M17" s="1301"/>
      <c r="N17" s="561"/>
      <c r="O17" s="1302"/>
      <c r="P17" s="1297"/>
      <c r="Q17" s="1297"/>
      <c r="R17" s="1297"/>
      <c r="S17" s="1297"/>
      <c r="T17" s="1303"/>
      <c r="V17" s="566"/>
      <c r="W17" s="566"/>
      <c r="X17" s="566"/>
      <c r="Y17" s="566"/>
      <c r="Z17" s="566"/>
      <c r="AA17" s="569"/>
      <c r="AB17" s="561"/>
      <c r="AC17" s="561"/>
      <c r="AD17" s="561"/>
      <c r="AE17" s="561"/>
      <c r="AF17" s="561"/>
    </row>
    <row r="18" spans="1:32" ht="15.75" customHeight="1">
      <c r="A18" s="1293" t="s">
        <v>11</v>
      </c>
      <c r="B18" s="1294"/>
      <c r="C18" s="1295"/>
      <c r="D18" s="1295"/>
      <c r="E18" s="1272" t="s">
        <v>2</v>
      </c>
      <c r="F18" s="1273" t="str">
        <f>F3</f>
        <v>U95 STD</v>
      </c>
      <c r="G18" s="571"/>
      <c r="H18" s="1285" t="s">
        <v>12</v>
      </c>
      <c r="I18" s="1270"/>
      <c r="J18" s="1270"/>
      <c r="K18" s="1271"/>
      <c r="L18" s="1272" t="s">
        <v>2</v>
      </c>
      <c r="M18" s="1273" t="str">
        <f>F18</f>
        <v>U95 STD</v>
      </c>
      <c r="N18" s="561"/>
      <c r="O18" s="1285" t="s">
        <v>13</v>
      </c>
      <c r="P18" s="1270"/>
      <c r="Q18" s="1270"/>
      <c r="R18" s="1271"/>
      <c r="S18" s="1272" t="s">
        <v>2</v>
      </c>
      <c r="T18" s="1292" t="str">
        <f>M18</f>
        <v>U95 STD</v>
      </c>
      <c r="V18" s="544"/>
      <c r="W18" s="544"/>
      <c r="X18" s="544"/>
      <c r="Y18" s="567"/>
      <c r="Z18" s="568"/>
      <c r="AA18" s="569"/>
      <c r="AB18" s="544"/>
      <c r="AC18" s="544"/>
      <c r="AD18" s="544"/>
      <c r="AE18" s="567"/>
      <c r="AF18" s="568"/>
    </row>
    <row r="19" spans="1:32" ht="12.75" customHeight="1">
      <c r="A19" s="570" t="str">
        <f>A4</f>
        <v>Timer</v>
      </c>
      <c r="B19" s="1274" t="s">
        <v>7</v>
      </c>
      <c r="C19" s="1275"/>
      <c r="D19" s="1276"/>
      <c r="E19" s="1272"/>
      <c r="F19" s="1273"/>
      <c r="G19" s="571"/>
      <c r="H19" s="572" t="str">
        <f>A19</f>
        <v>Timer</v>
      </c>
      <c r="I19" s="1274" t="s">
        <v>7</v>
      </c>
      <c r="J19" s="1275"/>
      <c r="K19" s="1276"/>
      <c r="L19" s="1272"/>
      <c r="M19" s="1273"/>
      <c r="N19" s="561"/>
      <c r="O19" s="572" t="str">
        <f>H19</f>
        <v>Timer</v>
      </c>
      <c r="P19" s="1274" t="s">
        <v>7</v>
      </c>
      <c r="Q19" s="1275"/>
      <c r="R19" s="1276"/>
      <c r="S19" s="1272"/>
      <c r="T19" s="1292"/>
      <c r="V19" s="573"/>
      <c r="W19" s="567"/>
      <c r="X19" s="567"/>
      <c r="Y19" s="567"/>
      <c r="Z19" s="568"/>
      <c r="AA19" s="569"/>
      <c r="AB19" s="573"/>
      <c r="AC19" s="567"/>
      <c r="AD19" s="567"/>
      <c r="AE19" s="567"/>
      <c r="AF19" s="568"/>
    </row>
    <row r="20" spans="1:32" ht="15" customHeight="1">
      <c r="A20" s="161" t="str">
        <f>A5</f>
        <v>s</v>
      </c>
      <c r="B20" s="574">
        <v>2022</v>
      </c>
      <c r="C20" s="575">
        <v>2021</v>
      </c>
      <c r="D20" s="575">
        <v>2019</v>
      </c>
      <c r="E20" s="1272"/>
      <c r="F20" s="1273"/>
      <c r="G20" s="576" t="s">
        <v>9</v>
      </c>
      <c r="H20" s="546" t="str">
        <f>A20</f>
        <v>s</v>
      </c>
      <c r="I20" s="574">
        <v>2022</v>
      </c>
      <c r="J20" s="575">
        <v>2021</v>
      </c>
      <c r="K20" s="575">
        <v>2020</v>
      </c>
      <c r="L20" s="1272"/>
      <c r="M20" s="1273"/>
      <c r="N20" s="576" t="s">
        <v>9</v>
      </c>
      <c r="O20" s="546" t="str">
        <f>H20</f>
        <v>s</v>
      </c>
      <c r="P20" s="574">
        <v>2022</v>
      </c>
      <c r="Q20" s="575">
        <v>2021</v>
      </c>
      <c r="R20" s="575">
        <v>2020</v>
      </c>
      <c r="S20" s="1272"/>
      <c r="T20" s="1292"/>
      <c r="V20" s="547"/>
      <c r="W20" s="573"/>
      <c r="X20" s="573"/>
      <c r="Y20" s="567"/>
      <c r="Z20" s="568"/>
      <c r="AA20" s="569"/>
      <c r="AB20" s="547"/>
      <c r="AC20" s="573"/>
      <c r="AD20" s="573"/>
      <c r="AE20" s="567"/>
      <c r="AF20" s="568"/>
    </row>
    <row r="21" spans="1:32" ht="12.75" customHeight="1">
      <c r="A21" s="578">
        <v>0</v>
      </c>
      <c r="B21" s="579" t="s">
        <v>10</v>
      </c>
      <c r="C21" s="583">
        <v>0</v>
      </c>
      <c r="D21" s="583">
        <v>0</v>
      </c>
      <c r="E21" s="581">
        <f>IFERROR(IF(OR(C21="-",D21="-"),1/3*F21,0.5*(MAX(C21:D21)-MIN(C21:D21))),0)</f>
        <v>0</v>
      </c>
      <c r="F21" s="582">
        <v>0.12</v>
      </c>
      <c r="G21" s="576">
        <v>1</v>
      </c>
      <c r="H21" s="578">
        <v>0</v>
      </c>
      <c r="I21" s="579" t="s">
        <v>10</v>
      </c>
      <c r="J21" s="584">
        <v>0</v>
      </c>
      <c r="K21" s="584">
        <v>0</v>
      </c>
      <c r="L21" s="581">
        <f>IFERROR(IF(OR(J21="-",K21="-"),1/3*M21,0.5*(MAX(J21:K21)-MIN(J21:K21))),0)</f>
        <v>0</v>
      </c>
      <c r="M21" s="582">
        <v>0</v>
      </c>
      <c r="N21" s="576">
        <v>1</v>
      </c>
      <c r="O21" s="578">
        <v>0</v>
      </c>
      <c r="P21" s="579" t="s">
        <v>10</v>
      </c>
      <c r="Q21" s="584">
        <v>0</v>
      </c>
      <c r="R21" s="593">
        <v>0</v>
      </c>
      <c r="S21" s="582">
        <f>IFERROR(IF(OR(Q21="-",R21="-"),1/3*T21,0.5*(MAX(Q21:R21)-MIN(Q21:R21))),0)</f>
        <v>0</v>
      </c>
      <c r="T21" s="586">
        <v>0</v>
      </c>
      <c r="V21" s="587"/>
      <c r="W21" s="588"/>
      <c r="X21" s="591"/>
      <c r="Y21" s="590"/>
      <c r="Z21" s="591"/>
      <c r="AA21" s="569"/>
      <c r="AB21" s="587"/>
      <c r="AC21" s="588"/>
      <c r="AD21" s="591"/>
      <c r="AE21" s="590"/>
      <c r="AF21" s="591"/>
    </row>
    <row r="22" spans="1:32" ht="12.75" customHeight="1">
      <c r="A22" s="578">
        <v>60</v>
      </c>
      <c r="B22" s="579" t="s">
        <v>10</v>
      </c>
      <c r="C22" s="583">
        <v>-0.01</v>
      </c>
      <c r="D22" s="583">
        <v>2E-3</v>
      </c>
      <c r="E22" s="581">
        <f t="shared" ref="E22:E30" si="3">IFERROR(IF(OR(C22="-",D22="-"),1/3*F22,0.5*(MAX(C22:D22)-MIN(C22:D22))),0)</f>
        <v>6.0000000000000001E-3</v>
      </c>
      <c r="F22" s="582">
        <v>0.12</v>
      </c>
      <c r="G22" s="576">
        <v>2</v>
      </c>
      <c r="H22" s="585">
        <v>10</v>
      </c>
      <c r="I22" s="579" t="s">
        <v>10</v>
      </c>
      <c r="J22" s="584">
        <v>-0.02</v>
      </c>
      <c r="K22" s="584" t="s">
        <v>10</v>
      </c>
      <c r="L22" s="581">
        <f t="shared" ref="L22:L30" si="4">IFERROR(IF(OR(J22="-",K22="-"),1/3*M22,0.5*(MAX(J22:K22)-MIN(J22:K22))),0)</f>
        <v>3.9999999999999994E-2</v>
      </c>
      <c r="M22" s="582">
        <v>0.12</v>
      </c>
      <c r="N22" s="576">
        <v>2</v>
      </c>
      <c r="O22" s="585">
        <v>60</v>
      </c>
      <c r="P22" s="579" t="s">
        <v>10</v>
      </c>
      <c r="Q22" s="584">
        <v>0.01</v>
      </c>
      <c r="R22" s="593">
        <v>0.02</v>
      </c>
      <c r="S22" s="582">
        <f t="shared" ref="S22:S31" si="5">IFERROR(IF(OR(Q22="-",R22="-"),1/3*T22,0.5*(MAX(Q22:R22)-MIN(Q22:R22))),0)</f>
        <v>5.0000000000000001E-3</v>
      </c>
      <c r="T22" s="582">
        <v>0.12</v>
      </c>
      <c r="V22" s="587"/>
      <c r="W22" s="588"/>
      <c r="X22" s="591"/>
      <c r="Y22" s="590"/>
      <c r="Z22" s="591"/>
      <c r="AA22" s="569"/>
      <c r="AB22" s="587"/>
      <c r="AC22" s="588"/>
      <c r="AD22" s="591"/>
      <c r="AE22" s="590"/>
      <c r="AF22" s="591"/>
    </row>
    <row r="23" spans="1:32" ht="12.75" customHeight="1">
      <c r="A23" s="578">
        <v>60</v>
      </c>
      <c r="B23" s="579" t="s">
        <v>10</v>
      </c>
      <c r="C23" s="583">
        <v>-0.01</v>
      </c>
      <c r="D23" s="583">
        <v>2E-3</v>
      </c>
      <c r="E23" s="581">
        <f t="shared" si="3"/>
        <v>6.0000000000000001E-3</v>
      </c>
      <c r="F23" s="582">
        <v>0.12</v>
      </c>
      <c r="G23" s="576">
        <v>3</v>
      </c>
      <c r="H23" s="585">
        <v>20</v>
      </c>
      <c r="I23" s="579" t="s">
        <v>10</v>
      </c>
      <c r="J23" s="584">
        <v>-0.02</v>
      </c>
      <c r="K23" s="584" t="s">
        <v>10</v>
      </c>
      <c r="L23" s="581">
        <f t="shared" si="4"/>
        <v>3.9999999999999994E-2</v>
      </c>
      <c r="M23" s="582">
        <v>0.12</v>
      </c>
      <c r="N23" s="576">
        <v>3</v>
      </c>
      <c r="O23" s="585">
        <v>60</v>
      </c>
      <c r="P23" s="579" t="s">
        <v>10</v>
      </c>
      <c r="Q23" s="584">
        <v>0.01</v>
      </c>
      <c r="R23" s="593">
        <v>0.02</v>
      </c>
      <c r="S23" s="582">
        <f t="shared" si="5"/>
        <v>5.0000000000000001E-3</v>
      </c>
      <c r="T23" s="582">
        <v>0.12</v>
      </c>
      <c r="V23" s="587"/>
      <c r="W23" s="588"/>
      <c r="X23" s="591"/>
      <c r="Y23" s="590"/>
      <c r="Z23" s="591"/>
      <c r="AA23" s="569"/>
      <c r="AB23" s="587"/>
      <c r="AC23" s="588"/>
      <c r="AD23" s="591"/>
      <c r="AE23" s="590"/>
      <c r="AF23" s="591"/>
    </row>
    <row r="24" spans="1:32" ht="12.75" customHeight="1">
      <c r="A24" s="578">
        <v>60</v>
      </c>
      <c r="B24" s="579" t="s">
        <v>10</v>
      </c>
      <c r="C24" s="583">
        <v>-0.01</v>
      </c>
      <c r="D24" s="583">
        <v>2E-3</v>
      </c>
      <c r="E24" s="581">
        <f t="shared" si="3"/>
        <v>6.0000000000000001E-3</v>
      </c>
      <c r="F24" s="582">
        <v>0.12</v>
      </c>
      <c r="G24" s="576">
        <v>4</v>
      </c>
      <c r="H24" s="585">
        <v>30</v>
      </c>
      <c r="I24" s="579" t="s">
        <v>10</v>
      </c>
      <c r="J24" s="584">
        <v>-0.02</v>
      </c>
      <c r="K24" s="584" t="s">
        <v>10</v>
      </c>
      <c r="L24" s="581">
        <f t="shared" si="4"/>
        <v>3.9999999999999994E-2</v>
      </c>
      <c r="M24" s="582">
        <v>0.12</v>
      </c>
      <c r="N24" s="576">
        <v>4</v>
      </c>
      <c r="O24" s="585">
        <v>60</v>
      </c>
      <c r="P24" s="579" t="s">
        <v>10</v>
      </c>
      <c r="Q24" s="584">
        <v>0.01</v>
      </c>
      <c r="R24" s="593">
        <v>0.02</v>
      </c>
      <c r="S24" s="582">
        <f t="shared" si="5"/>
        <v>5.0000000000000001E-3</v>
      </c>
      <c r="T24" s="582">
        <v>0.12</v>
      </c>
      <c r="V24" s="587"/>
      <c r="W24" s="588"/>
      <c r="X24" s="589"/>
      <c r="Y24" s="590"/>
      <c r="Z24" s="591"/>
      <c r="AA24" s="569"/>
      <c r="AB24" s="587"/>
      <c r="AC24" s="588"/>
      <c r="AD24" s="589"/>
      <c r="AE24" s="590"/>
      <c r="AF24" s="591"/>
    </row>
    <row r="25" spans="1:32" ht="12.75" customHeight="1">
      <c r="A25" s="578">
        <v>60</v>
      </c>
      <c r="B25" s="579" t="s">
        <v>10</v>
      </c>
      <c r="C25" s="583">
        <v>-0.01</v>
      </c>
      <c r="D25" s="583">
        <v>2E-3</v>
      </c>
      <c r="E25" s="581">
        <f t="shared" si="3"/>
        <v>6.0000000000000001E-3</v>
      </c>
      <c r="F25" s="582">
        <v>0.12</v>
      </c>
      <c r="G25" s="576">
        <v>5</v>
      </c>
      <c r="H25" s="585">
        <v>40</v>
      </c>
      <c r="I25" s="579" t="s">
        <v>10</v>
      </c>
      <c r="J25" s="584">
        <v>-0.02</v>
      </c>
      <c r="K25" s="584" t="s">
        <v>10</v>
      </c>
      <c r="L25" s="581">
        <f t="shared" si="4"/>
        <v>3.9999999999999994E-2</v>
      </c>
      <c r="M25" s="582">
        <v>0.12</v>
      </c>
      <c r="N25" s="576">
        <v>5</v>
      </c>
      <c r="O25" s="585">
        <v>60</v>
      </c>
      <c r="P25" s="579" t="s">
        <v>10</v>
      </c>
      <c r="Q25" s="584">
        <v>0.01</v>
      </c>
      <c r="R25" s="593">
        <v>0.02</v>
      </c>
      <c r="S25" s="582">
        <f t="shared" si="5"/>
        <v>5.0000000000000001E-3</v>
      </c>
      <c r="T25" s="582">
        <v>0.12</v>
      </c>
      <c r="V25" s="587"/>
      <c r="W25" s="588"/>
      <c r="X25" s="589"/>
      <c r="Y25" s="590"/>
      <c r="Z25" s="591"/>
      <c r="AA25" s="569"/>
      <c r="AB25" s="587"/>
      <c r="AC25" s="588"/>
      <c r="AD25" s="589"/>
      <c r="AE25" s="590"/>
      <c r="AF25" s="591"/>
    </row>
    <row r="26" spans="1:32" ht="12.75" customHeight="1">
      <c r="A26" s="578">
        <v>60</v>
      </c>
      <c r="B26" s="579" t="s">
        <v>10</v>
      </c>
      <c r="C26" s="583">
        <v>-0.01</v>
      </c>
      <c r="D26" s="583">
        <v>2E-3</v>
      </c>
      <c r="E26" s="581">
        <f t="shared" si="3"/>
        <v>6.0000000000000001E-3</v>
      </c>
      <c r="F26" s="582">
        <v>0.12</v>
      </c>
      <c r="G26" s="576">
        <v>6</v>
      </c>
      <c r="H26" s="585">
        <v>50</v>
      </c>
      <c r="I26" s="579" t="s">
        <v>10</v>
      </c>
      <c r="J26" s="584">
        <v>-0.02</v>
      </c>
      <c r="K26" s="584" t="s">
        <v>10</v>
      </c>
      <c r="L26" s="581">
        <f t="shared" si="4"/>
        <v>3.9999999999999994E-2</v>
      </c>
      <c r="M26" s="582">
        <v>0.12</v>
      </c>
      <c r="N26" s="576">
        <v>6</v>
      </c>
      <c r="O26" s="585">
        <v>60</v>
      </c>
      <c r="P26" s="579" t="s">
        <v>10</v>
      </c>
      <c r="Q26" s="584">
        <v>0.01</v>
      </c>
      <c r="R26" s="593">
        <v>0.02</v>
      </c>
      <c r="S26" s="582">
        <f t="shared" si="5"/>
        <v>5.0000000000000001E-3</v>
      </c>
      <c r="T26" s="582">
        <v>0.12</v>
      </c>
      <c r="V26" s="587"/>
      <c r="W26" s="588"/>
      <c r="X26" s="589"/>
      <c r="Y26" s="590"/>
      <c r="Z26" s="591"/>
      <c r="AA26" s="569"/>
      <c r="AB26" s="587"/>
      <c r="AC26" s="588"/>
      <c r="AD26" s="589"/>
      <c r="AE26" s="590"/>
      <c r="AF26" s="591"/>
    </row>
    <row r="27" spans="1:32" ht="12.75" customHeight="1">
      <c r="A27" s="578">
        <v>60</v>
      </c>
      <c r="B27" s="579" t="s">
        <v>10</v>
      </c>
      <c r="C27" s="583">
        <v>-0.01</v>
      </c>
      <c r="D27" s="583">
        <v>2E-3</v>
      </c>
      <c r="E27" s="581">
        <f t="shared" si="3"/>
        <v>6.0000000000000001E-3</v>
      </c>
      <c r="F27" s="582">
        <v>0.12</v>
      </c>
      <c r="G27" s="576">
        <v>7</v>
      </c>
      <c r="H27" s="585">
        <v>60</v>
      </c>
      <c r="I27" s="579" t="s">
        <v>10</v>
      </c>
      <c r="J27" s="584">
        <v>-0.03</v>
      </c>
      <c r="K27" s="584">
        <v>0</v>
      </c>
      <c r="L27" s="581">
        <f t="shared" si="4"/>
        <v>1.4999999999999999E-2</v>
      </c>
      <c r="M27" s="582">
        <v>0.12</v>
      </c>
      <c r="N27" s="576">
        <v>7</v>
      </c>
      <c r="O27" s="585">
        <v>60</v>
      </c>
      <c r="P27" s="579" t="s">
        <v>10</v>
      </c>
      <c r="Q27" s="584">
        <v>0.01</v>
      </c>
      <c r="R27" s="593">
        <v>0.02</v>
      </c>
      <c r="S27" s="582">
        <f t="shared" si="5"/>
        <v>5.0000000000000001E-3</v>
      </c>
      <c r="T27" s="582">
        <v>0.12</v>
      </c>
      <c r="V27" s="587"/>
      <c r="W27" s="588"/>
      <c r="X27" s="589"/>
      <c r="Y27" s="590"/>
      <c r="Z27" s="591"/>
      <c r="AA27" s="569"/>
      <c r="AB27" s="587"/>
      <c r="AC27" s="588"/>
      <c r="AD27" s="589"/>
      <c r="AE27" s="590"/>
      <c r="AF27" s="591"/>
    </row>
    <row r="28" spans="1:32" ht="12.75" customHeight="1">
      <c r="A28" s="578">
        <v>300</v>
      </c>
      <c r="B28" s="579" t="s">
        <v>10</v>
      </c>
      <c r="C28" s="583">
        <v>-0.01</v>
      </c>
      <c r="D28" s="583">
        <v>1E-3</v>
      </c>
      <c r="E28" s="581">
        <f t="shared" si="3"/>
        <v>5.4999999999999997E-3</v>
      </c>
      <c r="F28" s="582">
        <v>0.12</v>
      </c>
      <c r="G28" s="576">
        <v>8</v>
      </c>
      <c r="H28" s="585">
        <v>300</v>
      </c>
      <c r="I28" s="579" t="s">
        <v>10</v>
      </c>
      <c r="J28" s="584">
        <v>-0.02</v>
      </c>
      <c r="K28" s="584">
        <v>-0.01</v>
      </c>
      <c r="L28" s="581">
        <f>IFERROR(IF(OR(J28="-",K28="-"),1/3*M28,0.5*(MAX(J28:K28)-MIN(J28:K28))),0)</f>
        <v>5.0000000000000001E-3</v>
      </c>
      <c r="M28" s="582">
        <v>0.12</v>
      </c>
      <c r="N28" s="576">
        <v>8</v>
      </c>
      <c r="O28" s="585">
        <v>300</v>
      </c>
      <c r="P28" s="579" t="s">
        <v>10</v>
      </c>
      <c r="Q28" s="584">
        <v>0.01</v>
      </c>
      <c r="R28" s="593">
        <v>0.02</v>
      </c>
      <c r="S28" s="582">
        <f t="shared" si="5"/>
        <v>5.0000000000000001E-3</v>
      </c>
      <c r="T28" s="582">
        <v>0.12</v>
      </c>
      <c r="V28" s="587"/>
      <c r="W28" s="588"/>
      <c r="X28" s="589"/>
      <c r="Y28" s="588"/>
      <c r="Z28" s="588"/>
      <c r="AA28" s="569"/>
      <c r="AB28" s="587"/>
      <c r="AC28" s="588"/>
      <c r="AD28" s="589"/>
      <c r="AE28" s="588"/>
      <c r="AF28" s="588"/>
    </row>
    <row r="29" spans="1:32" ht="12.75" customHeight="1">
      <c r="A29" s="578">
        <v>600</v>
      </c>
      <c r="B29" s="579" t="s">
        <v>10</v>
      </c>
      <c r="C29" s="583">
        <v>0.03</v>
      </c>
      <c r="D29" s="583">
        <v>6.0000000000000001E-3</v>
      </c>
      <c r="E29" s="581">
        <f t="shared" si="3"/>
        <v>1.2E-2</v>
      </c>
      <c r="F29" s="582">
        <v>0.12</v>
      </c>
      <c r="G29" s="576">
        <v>9</v>
      </c>
      <c r="H29" s="585">
        <v>600</v>
      </c>
      <c r="I29" s="579" t="s">
        <v>10</v>
      </c>
      <c r="J29" s="584">
        <v>-0.03</v>
      </c>
      <c r="K29" s="584">
        <v>-0.02</v>
      </c>
      <c r="L29" s="581">
        <f t="shared" si="4"/>
        <v>4.9999999999999992E-3</v>
      </c>
      <c r="M29" s="582">
        <v>0.12</v>
      </c>
      <c r="N29" s="576">
        <v>9</v>
      </c>
      <c r="O29" s="585">
        <v>600</v>
      </c>
      <c r="P29" s="579" t="s">
        <v>10</v>
      </c>
      <c r="Q29" s="584">
        <v>0.01</v>
      </c>
      <c r="R29" s="593">
        <v>0.02</v>
      </c>
      <c r="S29" s="582">
        <f t="shared" si="5"/>
        <v>5.0000000000000001E-3</v>
      </c>
      <c r="T29" s="582">
        <v>0.12</v>
      </c>
      <c r="V29" s="587"/>
      <c r="W29" s="588"/>
      <c r="X29" s="589"/>
      <c r="Y29" s="588"/>
      <c r="Z29" s="588"/>
      <c r="AA29" s="594"/>
      <c r="AB29" s="587"/>
      <c r="AC29" s="588"/>
      <c r="AD29" s="589"/>
      <c r="AE29" s="588"/>
      <c r="AF29" s="588"/>
    </row>
    <row r="30" spans="1:32" ht="12.75" customHeight="1">
      <c r="A30" s="578">
        <v>900</v>
      </c>
      <c r="B30" s="579" t="s">
        <v>10</v>
      </c>
      <c r="C30" s="583">
        <v>0.03</v>
      </c>
      <c r="D30" s="583">
        <v>6.0000000000000001E-3</v>
      </c>
      <c r="E30" s="581">
        <f t="shared" si="3"/>
        <v>1.2E-2</v>
      </c>
      <c r="F30" s="582">
        <v>0.12</v>
      </c>
      <c r="G30" s="576">
        <v>10</v>
      </c>
      <c r="H30" s="585">
        <v>900</v>
      </c>
      <c r="I30" s="579" t="s">
        <v>10</v>
      </c>
      <c r="J30" s="584" t="s">
        <v>10</v>
      </c>
      <c r="K30" s="584">
        <v>-0.02</v>
      </c>
      <c r="L30" s="581">
        <f t="shared" si="4"/>
        <v>3.9999999999999994E-2</v>
      </c>
      <c r="M30" s="582">
        <v>0.12</v>
      </c>
      <c r="N30" s="576">
        <v>10</v>
      </c>
      <c r="O30" s="585">
        <v>900</v>
      </c>
      <c r="P30" s="579" t="s">
        <v>10</v>
      </c>
      <c r="Q30" s="592">
        <v>0.02</v>
      </c>
      <c r="R30" s="592">
        <v>0.03</v>
      </c>
      <c r="S30" s="582">
        <f t="shared" si="5"/>
        <v>4.9999999999999992E-3</v>
      </c>
      <c r="T30" s="582">
        <v>0.12</v>
      </c>
      <c r="V30" s="587"/>
      <c r="W30" s="588"/>
      <c r="X30" s="589"/>
      <c r="Y30" s="588"/>
      <c r="Z30" s="588"/>
      <c r="AA30" s="594"/>
      <c r="AB30" s="587"/>
      <c r="AC30" s="588"/>
      <c r="AD30" s="589"/>
      <c r="AE30" s="588"/>
      <c r="AF30" s="588"/>
    </row>
    <row r="31" spans="1:32" ht="12.75" customHeight="1">
      <c r="A31" s="578">
        <v>1200</v>
      </c>
      <c r="B31" s="579" t="s">
        <v>10</v>
      </c>
      <c r="C31" s="583">
        <v>0.05</v>
      </c>
      <c r="D31" s="583" t="s">
        <v>10</v>
      </c>
      <c r="E31" s="581">
        <f>IFERROR(IF(OR(C31="-",D31="-"),1/3*F31,0.5*(MAX(C31:D31)-MIN(C31:D31))),0)</f>
        <v>3.9999999999999994E-2</v>
      </c>
      <c r="F31" s="582">
        <v>0.12</v>
      </c>
      <c r="G31" s="576">
        <v>11</v>
      </c>
      <c r="H31" s="585">
        <v>1200</v>
      </c>
      <c r="I31" s="579" t="s">
        <v>10</v>
      </c>
      <c r="J31" s="584" t="s">
        <v>10</v>
      </c>
      <c r="K31" s="584">
        <v>-0.02</v>
      </c>
      <c r="L31" s="581">
        <f>IFERROR(IF(OR(J31="-",K31="-"),1/3*M31,0.5*(MAX(J31:K31)-MIN(J31:K31))),0)</f>
        <v>3.9999999999999994E-2</v>
      </c>
      <c r="M31" s="582">
        <v>0.12</v>
      </c>
      <c r="N31" s="576">
        <v>11</v>
      </c>
      <c r="O31" s="585">
        <v>1200</v>
      </c>
      <c r="P31" s="579" t="s">
        <v>10</v>
      </c>
      <c r="Q31" s="592">
        <v>0.02</v>
      </c>
      <c r="R31" s="592">
        <v>0.03</v>
      </c>
      <c r="S31" s="582">
        <f t="shared" si="5"/>
        <v>4.9999999999999992E-3</v>
      </c>
      <c r="T31" s="582">
        <v>0.12</v>
      </c>
      <c r="V31" s="587"/>
      <c r="W31" s="588"/>
      <c r="X31" s="589"/>
      <c r="Y31" s="588"/>
      <c r="Z31" s="588"/>
      <c r="AA31" s="594"/>
      <c r="AB31" s="587"/>
      <c r="AC31" s="588"/>
      <c r="AD31" s="589"/>
      <c r="AE31" s="588"/>
      <c r="AF31" s="588"/>
    </row>
    <row r="32" spans="1:32" ht="12.75" customHeight="1">
      <c r="A32" s="595"/>
      <c r="B32" s="588"/>
      <c r="C32" s="588"/>
      <c r="D32" s="588"/>
      <c r="E32" s="588"/>
      <c r="F32" s="588"/>
      <c r="G32" s="588"/>
      <c r="H32" s="588"/>
      <c r="I32" s="588"/>
      <c r="J32" s="588"/>
      <c r="K32" s="588"/>
      <c r="L32" s="588"/>
      <c r="M32" s="588"/>
      <c r="N32" s="596"/>
      <c r="O32" s="597"/>
      <c r="P32" s="566"/>
      <c r="Q32" s="566"/>
      <c r="R32" s="566"/>
      <c r="S32" s="566"/>
      <c r="T32" s="598"/>
      <c r="V32" s="588"/>
      <c r="W32" s="588"/>
      <c r="X32" s="588"/>
      <c r="Y32" s="588"/>
      <c r="Z32" s="588"/>
      <c r="AA32" s="588"/>
      <c r="AB32" s="588"/>
      <c r="AC32" s="588"/>
      <c r="AD32" s="588"/>
      <c r="AE32" s="588"/>
      <c r="AF32" s="588"/>
    </row>
    <row r="33" spans="1:32" ht="13">
      <c r="A33" s="599"/>
      <c r="B33" s="600"/>
      <c r="C33" s="600"/>
      <c r="D33" s="600"/>
      <c r="E33" s="600"/>
      <c r="F33" s="600"/>
      <c r="G33" s="600"/>
      <c r="H33" s="600"/>
      <c r="I33" s="600"/>
      <c r="J33" s="600"/>
      <c r="K33" s="600"/>
      <c r="L33" s="600"/>
      <c r="M33" s="600"/>
      <c r="N33" s="600"/>
      <c r="O33" s="600"/>
      <c r="P33" s="600"/>
      <c r="Q33" s="600"/>
      <c r="R33" s="600"/>
      <c r="S33" s="600"/>
      <c r="T33" s="601"/>
      <c r="V33" s="566"/>
      <c r="W33" s="566"/>
      <c r="X33" s="566"/>
      <c r="Y33" s="566"/>
      <c r="Z33" s="566"/>
      <c r="AA33" s="566"/>
      <c r="AB33" s="566"/>
      <c r="AC33" s="566"/>
      <c r="AD33" s="566"/>
      <c r="AE33" s="566"/>
      <c r="AF33" s="566"/>
    </row>
    <row r="34" spans="1:32" ht="15.75" customHeight="1">
      <c r="A34" s="1269" t="s">
        <v>14</v>
      </c>
      <c r="B34" s="1270"/>
      <c r="C34" s="1270"/>
      <c r="D34" s="1271"/>
      <c r="E34" s="1272" t="s">
        <v>2</v>
      </c>
      <c r="F34" s="1273" t="str">
        <f>F18</f>
        <v>U95 STD</v>
      </c>
      <c r="G34" s="565"/>
      <c r="H34" s="1285" t="s">
        <v>15</v>
      </c>
      <c r="I34" s="1270"/>
      <c r="J34" s="1270"/>
      <c r="K34" s="1271"/>
      <c r="L34" s="1272" t="s">
        <v>2</v>
      </c>
      <c r="M34" s="1273" t="str">
        <f>F34</f>
        <v>U95 STD</v>
      </c>
      <c r="N34" s="600"/>
      <c r="O34" s="1269" t="s">
        <v>16</v>
      </c>
      <c r="P34" s="1270"/>
      <c r="Q34" s="1270"/>
      <c r="R34" s="1271"/>
      <c r="S34" s="1272" t="s">
        <v>2</v>
      </c>
      <c r="T34" s="1273" t="str">
        <f>F34</f>
        <v>U95 STD</v>
      </c>
      <c r="V34" s="544"/>
      <c r="W34" s="544"/>
      <c r="X34" s="544"/>
      <c r="Y34" s="567"/>
      <c r="Z34" s="568"/>
      <c r="AA34" s="569"/>
      <c r="AB34" s="545"/>
      <c r="AC34" s="545"/>
      <c r="AD34" s="545"/>
      <c r="AE34" s="567"/>
      <c r="AF34" s="568"/>
    </row>
    <row r="35" spans="1:32" ht="12.75" customHeight="1">
      <c r="A35" s="570" t="str">
        <f>A19</f>
        <v>Timer</v>
      </c>
      <c r="B35" s="1274" t="s">
        <v>7</v>
      </c>
      <c r="C35" s="1275"/>
      <c r="D35" s="1276"/>
      <c r="E35" s="1272"/>
      <c r="F35" s="1273"/>
      <c r="G35" s="571"/>
      <c r="H35" s="572" t="str">
        <f>A35</f>
        <v>Timer</v>
      </c>
      <c r="I35" s="1274" t="s">
        <v>7</v>
      </c>
      <c r="J35" s="1275"/>
      <c r="K35" s="1276"/>
      <c r="L35" s="1272"/>
      <c r="M35" s="1273"/>
      <c r="N35" s="600"/>
      <c r="O35" s="570" t="str">
        <f>A35</f>
        <v>Timer</v>
      </c>
      <c r="P35" s="1274" t="s">
        <v>7</v>
      </c>
      <c r="Q35" s="1275"/>
      <c r="R35" s="1276"/>
      <c r="S35" s="1272"/>
      <c r="T35" s="1273"/>
      <c r="V35" s="573"/>
      <c r="W35" s="567"/>
      <c r="X35" s="567"/>
      <c r="Y35" s="567"/>
      <c r="Z35" s="568"/>
      <c r="AA35" s="569"/>
      <c r="AB35" s="573"/>
      <c r="AC35" s="567"/>
      <c r="AD35" s="567"/>
      <c r="AE35" s="567"/>
      <c r="AF35" s="568"/>
    </row>
    <row r="36" spans="1:32" ht="15" customHeight="1">
      <c r="A36" s="161" t="str">
        <f>A20</f>
        <v>s</v>
      </c>
      <c r="B36" s="574">
        <v>2022</v>
      </c>
      <c r="C36" s="575">
        <v>2021</v>
      </c>
      <c r="D36" s="575">
        <v>2020</v>
      </c>
      <c r="E36" s="1272"/>
      <c r="F36" s="1273"/>
      <c r="G36" s="576" t="s">
        <v>9</v>
      </c>
      <c r="H36" s="546" t="str">
        <f>A36</f>
        <v>s</v>
      </c>
      <c r="I36" s="574">
        <v>2022</v>
      </c>
      <c r="J36" s="575">
        <v>2020</v>
      </c>
      <c r="K36" s="602" t="s">
        <v>10</v>
      </c>
      <c r="L36" s="1272"/>
      <c r="M36" s="1273"/>
      <c r="N36" s="576" t="s">
        <v>9</v>
      </c>
      <c r="O36" s="161" t="str">
        <f>A36</f>
        <v>s</v>
      </c>
      <c r="P36" s="574">
        <v>2022</v>
      </c>
      <c r="Q36" s="575">
        <v>2021</v>
      </c>
      <c r="R36" s="575">
        <v>2020</v>
      </c>
      <c r="S36" s="1272"/>
      <c r="T36" s="1273"/>
      <c r="V36" s="547"/>
      <c r="W36" s="573"/>
      <c r="X36" s="577"/>
      <c r="Y36" s="567"/>
      <c r="Z36" s="568"/>
      <c r="AA36" s="569"/>
      <c r="AB36" s="547"/>
      <c r="AC36" s="573"/>
      <c r="AD36" s="573"/>
      <c r="AE36" s="567"/>
      <c r="AF36" s="568"/>
    </row>
    <row r="37" spans="1:32" ht="12.75" customHeight="1">
      <c r="A37" s="578">
        <v>0</v>
      </c>
      <c r="B37" s="579" t="s">
        <v>10</v>
      </c>
      <c r="C37" s="593">
        <v>0</v>
      </c>
      <c r="D37" s="593">
        <v>0</v>
      </c>
      <c r="E37" s="581">
        <f>IFERROR(IF(OR(C37="-",D37="-"),1/3*F37,0.5*(MAX(C37:D37)-MIN(C37:D37))),0)</f>
        <v>0</v>
      </c>
      <c r="F37" s="582">
        <v>0</v>
      </c>
      <c r="G37" s="576">
        <v>1</v>
      </c>
      <c r="H37" s="578">
        <v>0</v>
      </c>
      <c r="I37" s="579" t="s">
        <v>10</v>
      </c>
      <c r="J37" s="593">
        <v>0</v>
      </c>
      <c r="K37" s="583" t="s">
        <v>10</v>
      </c>
      <c r="L37" s="581">
        <f>IFERROR(IF(OR(J37="-",K37="-"),1/3*M37,0.5*(MAX(J37:K37)-MIN(J37:K37))),0)</f>
        <v>0</v>
      </c>
      <c r="M37" s="582">
        <v>0</v>
      </c>
      <c r="N37" s="576">
        <v>1</v>
      </c>
      <c r="O37" s="578">
        <v>0</v>
      </c>
      <c r="P37" s="579" t="s">
        <v>10</v>
      </c>
      <c r="Q37" s="593">
        <v>0</v>
      </c>
      <c r="R37" s="593">
        <v>0</v>
      </c>
      <c r="S37" s="581">
        <f>IFERROR(IF(OR(Q37="-",R37="-"),1/3*T37,0.5*(MAX(Q37:R37)-MIN(Q37:R37))),0)</f>
        <v>0</v>
      </c>
      <c r="T37" s="582">
        <v>0</v>
      </c>
      <c r="V37" s="587"/>
      <c r="W37" s="588"/>
      <c r="X37" s="589"/>
      <c r="Y37" s="590"/>
      <c r="Z37" s="591"/>
      <c r="AA37" s="569"/>
      <c r="AB37" s="587"/>
      <c r="AC37" s="588"/>
      <c r="AD37" s="591"/>
      <c r="AE37" s="590"/>
      <c r="AF37" s="591"/>
    </row>
    <row r="38" spans="1:32" ht="12.75" customHeight="1">
      <c r="A38" s="585">
        <v>60</v>
      </c>
      <c r="B38" s="579" t="s">
        <v>10</v>
      </c>
      <c r="C38" s="593">
        <v>0.03</v>
      </c>
      <c r="D38" s="593">
        <v>0.02</v>
      </c>
      <c r="E38" s="581">
        <f>IFERROR(IF(OR(C38="-",D38="-"),1/3*F38,0.5*(MAX(C38:D38)-MIN(C38:D38))),0)</f>
        <v>4.9999999999999992E-3</v>
      </c>
      <c r="F38" s="582">
        <v>0.12</v>
      </c>
      <c r="G38" s="576">
        <v>2</v>
      </c>
      <c r="H38" s="585">
        <v>60</v>
      </c>
      <c r="I38" s="579" t="s">
        <v>10</v>
      </c>
      <c r="J38" s="593">
        <v>0.01</v>
      </c>
      <c r="K38" s="583" t="s">
        <v>10</v>
      </c>
      <c r="L38" s="581">
        <f t="shared" ref="L38:L46" si="6">IFERROR(IF(OR(J38="-",K38="-"),1/3*M38,0.5*(MAX(J38:K38)-MIN(J38:K38))),0)</f>
        <v>3.9999999999999994E-2</v>
      </c>
      <c r="M38" s="582">
        <v>0.12</v>
      </c>
      <c r="N38" s="576">
        <v>2</v>
      </c>
      <c r="O38" s="585">
        <v>60</v>
      </c>
      <c r="P38" s="579" t="s">
        <v>10</v>
      </c>
      <c r="Q38" s="593">
        <v>0.02</v>
      </c>
      <c r="R38" s="593">
        <v>-0.01</v>
      </c>
      <c r="S38" s="581">
        <f t="shared" ref="S38:S46" si="7">IFERROR(IF(OR(Q38="-",R38="-"),1/3*T38,0.5*(MAX(Q38:R38)-MIN(Q38:R38))),0)</f>
        <v>1.4999999999999999E-2</v>
      </c>
      <c r="T38" s="582">
        <v>0.12</v>
      </c>
      <c r="V38" s="587"/>
      <c r="W38" s="588"/>
      <c r="X38" s="591"/>
      <c r="Y38" s="590"/>
      <c r="Z38" s="591"/>
      <c r="AA38" s="569"/>
      <c r="AB38" s="587"/>
      <c r="AC38" s="588"/>
      <c r="AD38" s="591"/>
      <c r="AE38" s="590"/>
      <c r="AF38" s="591"/>
    </row>
    <row r="39" spans="1:32" ht="12.75" customHeight="1">
      <c r="A39" s="585">
        <v>60</v>
      </c>
      <c r="B39" s="579" t="s">
        <v>10</v>
      </c>
      <c r="C39" s="593">
        <v>0.03</v>
      </c>
      <c r="D39" s="593">
        <v>0.02</v>
      </c>
      <c r="E39" s="581">
        <f t="shared" ref="E39:E46" si="8">IFERROR(IF(OR(C39="-",D39="-"),1/3*F39,0.5*(MAX(C39:D39)-MIN(C39:D39))),0)</f>
        <v>4.9999999999999992E-3</v>
      </c>
      <c r="F39" s="582">
        <v>0.12</v>
      </c>
      <c r="G39" s="576">
        <v>3</v>
      </c>
      <c r="H39" s="585">
        <v>60</v>
      </c>
      <c r="I39" s="579" t="s">
        <v>10</v>
      </c>
      <c r="J39" s="593">
        <v>0.01</v>
      </c>
      <c r="K39" s="583" t="s">
        <v>10</v>
      </c>
      <c r="L39" s="581">
        <f t="shared" si="6"/>
        <v>3.9999999999999994E-2</v>
      </c>
      <c r="M39" s="582">
        <v>0.12</v>
      </c>
      <c r="N39" s="576">
        <v>3</v>
      </c>
      <c r="O39" s="585">
        <v>60</v>
      </c>
      <c r="P39" s="579" t="s">
        <v>10</v>
      </c>
      <c r="Q39" s="593">
        <v>0.02</v>
      </c>
      <c r="R39" s="593">
        <v>-0.01</v>
      </c>
      <c r="S39" s="581">
        <f t="shared" si="7"/>
        <v>1.4999999999999999E-2</v>
      </c>
      <c r="T39" s="582">
        <v>0.12</v>
      </c>
      <c r="V39" s="587"/>
      <c r="W39" s="588"/>
      <c r="X39" s="591"/>
      <c r="Y39" s="590"/>
      <c r="Z39" s="591"/>
      <c r="AA39" s="569"/>
      <c r="AB39" s="587"/>
      <c r="AC39" s="588"/>
      <c r="AD39" s="591"/>
      <c r="AE39" s="590"/>
      <c r="AF39" s="591"/>
    </row>
    <row r="40" spans="1:32" ht="12.75" customHeight="1">
      <c r="A40" s="585">
        <v>60</v>
      </c>
      <c r="B40" s="579" t="s">
        <v>10</v>
      </c>
      <c r="C40" s="593">
        <v>0.03</v>
      </c>
      <c r="D40" s="593">
        <v>0.02</v>
      </c>
      <c r="E40" s="581">
        <f t="shared" si="8"/>
        <v>4.9999999999999992E-3</v>
      </c>
      <c r="F40" s="582">
        <v>0.12</v>
      </c>
      <c r="G40" s="576">
        <v>4</v>
      </c>
      <c r="H40" s="585">
        <v>60</v>
      </c>
      <c r="I40" s="579" t="s">
        <v>10</v>
      </c>
      <c r="J40" s="593">
        <v>0.01</v>
      </c>
      <c r="K40" s="583" t="s">
        <v>10</v>
      </c>
      <c r="L40" s="581">
        <f t="shared" si="6"/>
        <v>3.9999999999999994E-2</v>
      </c>
      <c r="M40" s="582">
        <v>0.12</v>
      </c>
      <c r="N40" s="576">
        <v>4</v>
      </c>
      <c r="O40" s="585">
        <v>60</v>
      </c>
      <c r="P40" s="579" t="s">
        <v>10</v>
      </c>
      <c r="Q40" s="593">
        <v>0.02</v>
      </c>
      <c r="R40" s="593">
        <v>-0.01</v>
      </c>
      <c r="S40" s="581">
        <f t="shared" si="7"/>
        <v>1.4999999999999999E-2</v>
      </c>
      <c r="T40" s="582">
        <v>0.12</v>
      </c>
      <c r="V40" s="587"/>
      <c r="W40" s="588"/>
      <c r="X40" s="589"/>
      <c r="Y40" s="590"/>
      <c r="Z40" s="591"/>
      <c r="AA40" s="569"/>
      <c r="AB40" s="587"/>
      <c r="AC40" s="588"/>
      <c r="AD40" s="589"/>
      <c r="AE40" s="590"/>
      <c r="AF40" s="591"/>
    </row>
    <row r="41" spans="1:32" ht="12.75" customHeight="1">
      <c r="A41" s="585">
        <v>60</v>
      </c>
      <c r="B41" s="579" t="s">
        <v>10</v>
      </c>
      <c r="C41" s="593">
        <v>0.03</v>
      </c>
      <c r="D41" s="593">
        <v>0.02</v>
      </c>
      <c r="E41" s="581">
        <f t="shared" si="8"/>
        <v>4.9999999999999992E-3</v>
      </c>
      <c r="F41" s="582">
        <v>0.12</v>
      </c>
      <c r="G41" s="576">
        <v>5</v>
      </c>
      <c r="H41" s="585">
        <v>60</v>
      </c>
      <c r="I41" s="579" t="s">
        <v>10</v>
      </c>
      <c r="J41" s="593">
        <v>0.01</v>
      </c>
      <c r="K41" s="583" t="s">
        <v>10</v>
      </c>
      <c r="L41" s="581">
        <f t="shared" si="6"/>
        <v>3.9999999999999994E-2</v>
      </c>
      <c r="M41" s="582">
        <v>0.12</v>
      </c>
      <c r="N41" s="576">
        <v>5</v>
      </c>
      <c r="O41" s="585">
        <v>60</v>
      </c>
      <c r="P41" s="579" t="s">
        <v>10</v>
      </c>
      <c r="Q41" s="593">
        <v>0.02</v>
      </c>
      <c r="R41" s="593">
        <v>-0.01</v>
      </c>
      <c r="S41" s="581">
        <f t="shared" si="7"/>
        <v>1.4999999999999999E-2</v>
      </c>
      <c r="T41" s="582">
        <v>0.12</v>
      </c>
      <c r="V41" s="587"/>
      <c r="W41" s="588"/>
      <c r="X41" s="589"/>
      <c r="Y41" s="590"/>
      <c r="Z41" s="591"/>
      <c r="AA41" s="569"/>
      <c r="AB41" s="587"/>
      <c r="AC41" s="588"/>
      <c r="AD41" s="589"/>
      <c r="AE41" s="590"/>
      <c r="AF41" s="591"/>
    </row>
    <row r="42" spans="1:32" ht="12.75" customHeight="1">
      <c r="A42" s="585">
        <v>60</v>
      </c>
      <c r="B42" s="579" t="s">
        <v>10</v>
      </c>
      <c r="C42" s="593">
        <v>0.03</v>
      </c>
      <c r="D42" s="593">
        <v>0.02</v>
      </c>
      <c r="E42" s="581">
        <f t="shared" si="8"/>
        <v>4.9999999999999992E-3</v>
      </c>
      <c r="F42" s="582">
        <v>0.12</v>
      </c>
      <c r="G42" s="576">
        <v>6</v>
      </c>
      <c r="H42" s="585">
        <v>60</v>
      </c>
      <c r="I42" s="579" t="s">
        <v>10</v>
      </c>
      <c r="J42" s="593">
        <v>0.01</v>
      </c>
      <c r="K42" s="583" t="s">
        <v>10</v>
      </c>
      <c r="L42" s="581">
        <f t="shared" si="6"/>
        <v>3.9999999999999994E-2</v>
      </c>
      <c r="M42" s="582">
        <v>0.12</v>
      </c>
      <c r="N42" s="576">
        <v>6</v>
      </c>
      <c r="O42" s="585">
        <v>60</v>
      </c>
      <c r="P42" s="579" t="s">
        <v>10</v>
      </c>
      <c r="Q42" s="593">
        <v>0.02</v>
      </c>
      <c r="R42" s="593">
        <v>-0.01</v>
      </c>
      <c r="S42" s="581">
        <f t="shared" si="7"/>
        <v>1.4999999999999999E-2</v>
      </c>
      <c r="T42" s="582">
        <v>0.12</v>
      </c>
      <c r="V42" s="587"/>
      <c r="W42" s="588"/>
      <c r="X42" s="589"/>
      <c r="Y42" s="590"/>
      <c r="Z42" s="591"/>
      <c r="AA42" s="569"/>
      <c r="AB42" s="587"/>
      <c r="AC42" s="588"/>
      <c r="AD42" s="589"/>
      <c r="AE42" s="590"/>
      <c r="AF42" s="591"/>
    </row>
    <row r="43" spans="1:32" ht="12.75" customHeight="1">
      <c r="A43" s="585">
        <v>60</v>
      </c>
      <c r="B43" s="579" t="s">
        <v>10</v>
      </c>
      <c r="C43" s="593">
        <v>0.03</v>
      </c>
      <c r="D43" s="593">
        <v>0.02</v>
      </c>
      <c r="E43" s="581">
        <f t="shared" si="8"/>
        <v>4.9999999999999992E-3</v>
      </c>
      <c r="F43" s="582">
        <v>0.12</v>
      </c>
      <c r="G43" s="576">
        <v>7</v>
      </c>
      <c r="H43" s="585">
        <v>60</v>
      </c>
      <c r="I43" s="579" t="s">
        <v>10</v>
      </c>
      <c r="J43" s="593">
        <v>0.01</v>
      </c>
      <c r="K43" s="583" t="s">
        <v>10</v>
      </c>
      <c r="L43" s="581">
        <f t="shared" si="6"/>
        <v>3.9999999999999994E-2</v>
      </c>
      <c r="M43" s="582">
        <v>0.12</v>
      </c>
      <c r="N43" s="576">
        <v>7</v>
      </c>
      <c r="O43" s="585">
        <v>60</v>
      </c>
      <c r="P43" s="579" t="s">
        <v>10</v>
      </c>
      <c r="Q43" s="593">
        <v>0.02</v>
      </c>
      <c r="R43" s="593">
        <v>-0.01</v>
      </c>
      <c r="S43" s="581">
        <f t="shared" si="7"/>
        <v>1.4999999999999999E-2</v>
      </c>
      <c r="T43" s="582">
        <v>0.12</v>
      </c>
      <c r="V43" s="587"/>
      <c r="W43" s="588"/>
      <c r="X43" s="589"/>
      <c r="Y43" s="590"/>
      <c r="Z43" s="591"/>
      <c r="AA43" s="569"/>
      <c r="AB43" s="587"/>
      <c r="AC43" s="588"/>
      <c r="AD43" s="589"/>
      <c r="AE43" s="590"/>
      <c r="AF43" s="591"/>
    </row>
    <row r="44" spans="1:32" ht="13.5" customHeight="1">
      <c r="A44" s="585">
        <v>300</v>
      </c>
      <c r="B44" s="579" t="s">
        <v>10</v>
      </c>
      <c r="C44" s="593">
        <v>0.02</v>
      </c>
      <c r="D44" s="593">
        <v>0.02</v>
      </c>
      <c r="E44" s="581">
        <f t="shared" si="8"/>
        <v>0</v>
      </c>
      <c r="F44" s="582">
        <v>0.12</v>
      </c>
      <c r="G44" s="576">
        <v>8</v>
      </c>
      <c r="H44" s="585">
        <v>300</v>
      </c>
      <c r="I44" s="579" t="s">
        <v>10</v>
      </c>
      <c r="J44" s="593">
        <v>0.02</v>
      </c>
      <c r="K44" s="583" t="s">
        <v>10</v>
      </c>
      <c r="L44" s="581">
        <f t="shared" si="6"/>
        <v>3.9999999999999994E-2</v>
      </c>
      <c r="M44" s="582">
        <v>0.12</v>
      </c>
      <c r="N44" s="576">
        <v>8</v>
      </c>
      <c r="O44" s="585">
        <v>300</v>
      </c>
      <c r="P44" s="579" t="s">
        <v>10</v>
      </c>
      <c r="Q44" s="593">
        <v>0.01</v>
      </c>
      <c r="R44" s="593">
        <v>-0.02</v>
      </c>
      <c r="S44" s="581">
        <f t="shared" si="7"/>
        <v>1.4999999999999999E-2</v>
      </c>
      <c r="T44" s="582">
        <v>0.12</v>
      </c>
      <c r="V44" s="587"/>
      <c r="W44" s="588"/>
      <c r="X44" s="589"/>
      <c r="Y44" s="590"/>
      <c r="Z44" s="591"/>
      <c r="AA44" s="569"/>
      <c r="AB44" s="587"/>
      <c r="AC44" s="588"/>
      <c r="AD44" s="589"/>
      <c r="AE44" s="590"/>
      <c r="AF44" s="591"/>
    </row>
    <row r="45" spans="1:32" ht="13.5" customHeight="1">
      <c r="A45" s="585">
        <v>600</v>
      </c>
      <c r="B45" s="579" t="s">
        <v>10</v>
      </c>
      <c r="C45" s="593">
        <v>0.04</v>
      </c>
      <c r="D45" s="593">
        <v>0.02</v>
      </c>
      <c r="E45" s="581">
        <f t="shared" si="8"/>
        <v>0.01</v>
      </c>
      <c r="F45" s="582">
        <v>0.12</v>
      </c>
      <c r="G45" s="576">
        <v>9</v>
      </c>
      <c r="H45" s="585">
        <v>600</v>
      </c>
      <c r="I45" s="579" t="s">
        <v>10</v>
      </c>
      <c r="J45" s="593">
        <v>0.02</v>
      </c>
      <c r="K45" s="580" t="s">
        <v>10</v>
      </c>
      <c r="L45" s="581">
        <f t="shared" si="6"/>
        <v>3.9999999999999994E-2</v>
      </c>
      <c r="M45" s="582">
        <v>0.12</v>
      </c>
      <c r="N45" s="576">
        <v>9</v>
      </c>
      <c r="O45" s="585">
        <v>600</v>
      </c>
      <c r="P45" s="579" t="s">
        <v>10</v>
      </c>
      <c r="Q45" s="593">
        <v>0.01</v>
      </c>
      <c r="R45" s="593">
        <v>-0.02</v>
      </c>
      <c r="S45" s="581">
        <f t="shared" si="7"/>
        <v>1.4999999999999999E-2</v>
      </c>
      <c r="T45" s="582">
        <v>0.12</v>
      </c>
      <c r="V45" s="587"/>
      <c r="W45" s="588"/>
      <c r="X45" s="589"/>
      <c r="Y45" s="590"/>
      <c r="Z45" s="591"/>
      <c r="AA45" s="569"/>
      <c r="AB45" s="587"/>
      <c r="AC45" s="588"/>
      <c r="AD45" s="589"/>
      <c r="AE45" s="590"/>
      <c r="AF45" s="591"/>
    </row>
    <row r="46" spans="1:32" ht="13.5" customHeight="1">
      <c r="A46" s="585">
        <v>900</v>
      </c>
      <c r="B46" s="579" t="s">
        <v>10</v>
      </c>
      <c r="C46" s="593">
        <v>0.02</v>
      </c>
      <c r="D46" s="593">
        <v>0.03</v>
      </c>
      <c r="E46" s="581">
        <f t="shared" si="8"/>
        <v>4.9999999999999992E-3</v>
      </c>
      <c r="F46" s="582">
        <v>0.12</v>
      </c>
      <c r="G46" s="576">
        <v>10</v>
      </c>
      <c r="H46" s="585">
        <v>900</v>
      </c>
      <c r="I46" s="579" t="s">
        <v>10</v>
      </c>
      <c r="J46" s="593">
        <v>0.02</v>
      </c>
      <c r="K46" s="580" t="s">
        <v>10</v>
      </c>
      <c r="L46" s="581">
        <f t="shared" si="6"/>
        <v>3.9999999999999994E-2</v>
      </c>
      <c r="M46" s="582">
        <v>0.12</v>
      </c>
      <c r="N46" s="576">
        <v>10</v>
      </c>
      <c r="O46" s="585">
        <v>900</v>
      </c>
      <c r="P46" s="579" t="s">
        <v>10</v>
      </c>
      <c r="Q46" s="593">
        <v>0.02</v>
      </c>
      <c r="R46" s="593">
        <v>-0.02</v>
      </c>
      <c r="S46" s="581">
        <f t="shared" si="7"/>
        <v>0.02</v>
      </c>
      <c r="T46" s="582">
        <v>0.12</v>
      </c>
      <c r="V46" s="587"/>
      <c r="W46" s="588"/>
      <c r="X46" s="589"/>
      <c r="Y46" s="590"/>
      <c r="Z46" s="591"/>
      <c r="AA46" s="569"/>
      <c r="AB46" s="587"/>
      <c r="AC46" s="588"/>
      <c r="AD46" s="589"/>
      <c r="AE46" s="590"/>
      <c r="AF46" s="591"/>
    </row>
    <row r="47" spans="1:32" ht="13.5" customHeight="1">
      <c r="A47" s="585">
        <v>1200</v>
      </c>
      <c r="B47" s="579" t="s">
        <v>10</v>
      </c>
      <c r="C47" s="593">
        <v>0.03</v>
      </c>
      <c r="D47" s="593">
        <v>0.03</v>
      </c>
      <c r="E47" s="581">
        <f>IFERROR(IF(OR(C47="-",D47="-"),1/3*F47,0.5*(MAX(C47:D47)-MIN(C47:D47))),0)</f>
        <v>0</v>
      </c>
      <c r="F47" s="582">
        <v>0.12</v>
      </c>
      <c r="G47" s="576">
        <v>11</v>
      </c>
      <c r="H47" s="585">
        <v>1200</v>
      </c>
      <c r="I47" s="579" t="s">
        <v>10</v>
      </c>
      <c r="J47" s="593">
        <v>0.02</v>
      </c>
      <c r="K47" s="580" t="s">
        <v>10</v>
      </c>
      <c r="L47" s="581">
        <f>IFERROR(IF(OR(J47="-",K47="-"),1/3*M47,0.5*(MAX(J47:K47)-MIN(J47:K47))),0)</f>
        <v>3.9999999999999994E-2</v>
      </c>
      <c r="M47" s="582">
        <v>0.12</v>
      </c>
      <c r="N47" s="576">
        <v>11</v>
      </c>
      <c r="O47" s="585">
        <v>1200</v>
      </c>
      <c r="P47" s="579" t="s">
        <v>10</v>
      </c>
      <c r="Q47" s="593">
        <v>0.02</v>
      </c>
      <c r="R47" s="593">
        <v>-0.03</v>
      </c>
      <c r="S47" s="581">
        <f>IFERROR(IF(OR(Q47="-",R47="-"),1/3*T47,0.5*(MAX(Q47:R47)-MIN(Q47:R47))),0)</f>
        <v>2.5000000000000001E-2</v>
      </c>
      <c r="T47" s="582">
        <v>0.12</v>
      </c>
      <c r="V47" s="587"/>
      <c r="W47" s="588"/>
      <c r="X47" s="589"/>
      <c r="Y47" s="590"/>
      <c r="Z47" s="591"/>
      <c r="AA47" s="569"/>
      <c r="AB47" s="587"/>
      <c r="AC47" s="588"/>
      <c r="AD47" s="589"/>
      <c r="AE47" s="590"/>
      <c r="AF47" s="591"/>
    </row>
    <row r="48" spans="1:32" ht="13.5" customHeight="1">
      <c r="A48" s="1286"/>
      <c r="B48" s="1287"/>
      <c r="C48" s="1287"/>
      <c r="D48" s="1287"/>
      <c r="E48" s="1287"/>
      <c r="F48" s="1288"/>
      <c r="G48" s="571"/>
      <c r="H48" s="1289"/>
      <c r="I48" s="1290"/>
      <c r="J48" s="1290"/>
      <c r="K48" s="1290"/>
      <c r="L48" s="1290"/>
      <c r="M48" s="1291"/>
      <c r="N48" s="600"/>
      <c r="T48" s="367"/>
      <c r="V48" s="566"/>
      <c r="W48" s="566"/>
      <c r="X48" s="566"/>
      <c r="Y48" s="566"/>
      <c r="Z48" s="566"/>
      <c r="AA48" s="569"/>
      <c r="AB48" s="561"/>
      <c r="AC48" s="561"/>
      <c r="AD48" s="561"/>
      <c r="AE48" s="561"/>
      <c r="AF48" s="561"/>
    </row>
    <row r="49" spans="1:32" ht="15.75" customHeight="1">
      <c r="A49" s="1269" t="s">
        <v>17</v>
      </c>
      <c r="B49" s="1270"/>
      <c r="C49" s="1270"/>
      <c r="D49" s="1271"/>
      <c r="E49" s="1272" t="s">
        <v>2</v>
      </c>
      <c r="F49" s="1273" t="str">
        <f>F34</f>
        <v>U95 STD</v>
      </c>
      <c r="G49" s="571"/>
      <c r="H49" s="1285" t="s">
        <v>18</v>
      </c>
      <c r="I49" s="1270"/>
      <c r="J49" s="1270"/>
      <c r="K49" s="1271"/>
      <c r="L49" s="1272" t="s">
        <v>2</v>
      </c>
      <c r="M49" s="1273" t="str">
        <f>M34</f>
        <v>U95 STD</v>
      </c>
      <c r="N49" s="600"/>
      <c r="O49" s="1285" t="s">
        <v>19</v>
      </c>
      <c r="P49" s="1270"/>
      <c r="Q49" s="1270"/>
      <c r="R49" s="1271"/>
      <c r="S49" s="1272" t="s">
        <v>2</v>
      </c>
      <c r="T49" s="1273" t="str">
        <f>T34</f>
        <v>U95 STD</v>
      </c>
      <c r="V49" s="544"/>
      <c r="W49" s="544"/>
      <c r="X49" s="544"/>
      <c r="Y49" s="567"/>
      <c r="Z49" s="568"/>
      <c r="AA49" s="569"/>
      <c r="AB49" s="544"/>
      <c r="AC49" s="544"/>
      <c r="AD49" s="544"/>
      <c r="AE49" s="567"/>
      <c r="AF49" s="568"/>
    </row>
    <row r="50" spans="1:32" ht="12.75" customHeight="1">
      <c r="A50" s="570" t="str">
        <f>A35</f>
        <v>Timer</v>
      </c>
      <c r="B50" s="1274" t="s">
        <v>7</v>
      </c>
      <c r="C50" s="1275"/>
      <c r="D50" s="1276"/>
      <c r="E50" s="1272"/>
      <c r="F50" s="1273"/>
      <c r="G50" s="571"/>
      <c r="H50" s="572" t="str">
        <f>H35</f>
        <v>Timer</v>
      </c>
      <c r="I50" s="1274" t="s">
        <v>7</v>
      </c>
      <c r="J50" s="1275"/>
      <c r="K50" s="1276"/>
      <c r="L50" s="1272"/>
      <c r="M50" s="1273"/>
      <c r="N50" s="600"/>
      <c r="O50" s="572" t="str">
        <f>O35</f>
        <v>Timer</v>
      </c>
      <c r="P50" s="1274" t="s">
        <v>7</v>
      </c>
      <c r="Q50" s="1275"/>
      <c r="R50" s="1276"/>
      <c r="S50" s="1272"/>
      <c r="T50" s="1273"/>
      <c r="V50" s="573"/>
      <c r="W50" s="567"/>
      <c r="X50" s="567"/>
      <c r="Y50" s="567"/>
      <c r="Z50" s="568"/>
      <c r="AA50" s="569"/>
      <c r="AB50" s="573"/>
      <c r="AC50" s="567"/>
      <c r="AD50" s="567"/>
      <c r="AE50" s="567"/>
      <c r="AF50" s="568"/>
    </row>
    <row r="51" spans="1:32" ht="15" customHeight="1">
      <c r="A51" s="161" t="str">
        <f>A36</f>
        <v>s</v>
      </c>
      <c r="B51" s="574">
        <v>2022</v>
      </c>
      <c r="C51" s="575">
        <v>2021</v>
      </c>
      <c r="D51" s="575">
        <v>2020</v>
      </c>
      <c r="E51" s="1272"/>
      <c r="F51" s="1273"/>
      <c r="G51" s="576" t="s">
        <v>9</v>
      </c>
      <c r="H51" s="546" t="str">
        <f>H36</f>
        <v>s</v>
      </c>
      <c r="I51" s="574">
        <v>2022</v>
      </c>
      <c r="J51" s="575">
        <v>2021</v>
      </c>
      <c r="K51" s="575">
        <v>2020</v>
      </c>
      <c r="L51" s="1272"/>
      <c r="M51" s="1273"/>
      <c r="N51" s="576" t="s">
        <v>9</v>
      </c>
      <c r="O51" s="546" t="str">
        <f>O36</f>
        <v>s</v>
      </c>
      <c r="P51" s="574">
        <v>2022</v>
      </c>
      <c r="Q51" s="575">
        <v>2021</v>
      </c>
      <c r="R51" s="575">
        <v>2020</v>
      </c>
      <c r="S51" s="1272"/>
      <c r="T51" s="1273"/>
      <c r="V51" s="547"/>
      <c r="W51" s="573"/>
      <c r="X51" s="573"/>
      <c r="Y51" s="567"/>
      <c r="Z51" s="568"/>
      <c r="AA51" s="569"/>
      <c r="AB51" s="547"/>
      <c r="AC51" s="573"/>
      <c r="AD51" s="573"/>
      <c r="AE51" s="567"/>
      <c r="AF51" s="568"/>
    </row>
    <row r="52" spans="1:32" ht="12.75" customHeight="1">
      <c r="A52" s="578">
        <v>0</v>
      </c>
      <c r="B52" s="579" t="s">
        <v>10</v>
      </c>
      <c r="C52" s="593">
        <v>0</v>
      </c>
      <c r="D52" s="593">
        <v>0</v>
      </c>
      <c r="E52" s="581">
        <f>IFERROR(IF(OR(C52="-",D52="-"),1/3*F52,0.5*(MAX(C52:D52)-MIN(C52:D52))),0)</f>
        <v>0</v>
      </c>
      <c r="F52" s="582">
        <v>0</v>
      </c>
      <c r="G52" s="576">
        <v>1</v>
      </c>
      <c r="H52" s="578">
        <v>0</v>
      </c>
      <c r="I52" s="579" t="s">
        <v>10</v>
      </c>
      <c r="J52" s="593">
        <v>0</v>
      </c>
      <c r="K52" s="593">
        <v>0</v>
      </c>
      <c r="L52" s="581">
        <f>IFERROR(IF(OR(J52="-",K52="-"),1/3*M52,0.5*(MAX(J52:K52)-MIN(J52:K52))),0)</f>
        <v>0</v>
      </c>
      <c r="M52" s="582">
        <v>0</v>
      </c>
      <c r="N52" s="576">
        <v>1</v>
      </c>
      <c r="O52" s="578">
        <v>0</v>
      </c>
      <c r="P52" s="579" t="s">
        <v>10</v>
      </c>
      <c r="Q52" s="593">
        <v>0</v>
      </c>
      <c r="R52" s="593">
        <v>0</v>
      </c>
      <c r="S52" s="581">
        <f>IFERROR(IF(OR(Q52="-",R52="-"),1/3*T52,0.5*(MAX(Q52:R52)-MIN(Q52:R52))),0)</f>
        <v>0</v>
      </c>
      <c r="T52" s="582">
        <v>0</v>
      </c>
      <c r="V52" s="587"/>
      <c r="W52" s="588"/>
      <c r="X52" s="591"/>
      <c r="Y52" s="590"/>
      <c r="Z52" s="591"/>
      <c r="AA52" s="569"/>
      <c r="AB52" s="587"/>
      <c r="AC52" s="588"/>
      <c r="AD52" s="591"/>
      <c r="AE52" s="590"/>
      <c r="AF52" s="591"/>
    </row>
    <row r="53" spans="1:32" ht="12.75" customHeight="1">
      <c r="A53" s="585">
        <v>10</v>
      </c>
      <c r="B53" s="579" t="s">
        <v>10</v>
      </c>
      <c r="C53" s="593">
        <v>-7.0000000000000007E-2</v>
      </c>
      <c r="D53" s="584" t="s">
        <v>10</v>
      </c>
      <c r="E53" s="581">
        <f t="shared" ref="E53:E61" si="9">IFERROR(IF(OR(C53="-",D53="-"),1/3*F53,0.5*(MAX(C53:D53)-MIN(C53:D53))),0)</f>
        <v>3.9999999999999994E-2</v>
      </c>
      <c r="F53" s="582">
        <v>0.12</v>
      </c>
      <c r="G53" s="576">
        <v>2</v>
      </c>
      <c r="H53" s="585">
        <v>10</v>
      </c>
      <c r="I53" s="579" t="s">
        <v>10</v>
      </c>
      <c r="J53" s="593">
        <v>-0.03</v>
      </c>
      <c r="K53" s="584" t="s">
        <v>10</v>
      </c>
      <c r="L53" s="581">
        <f t="shared" ref="L53:L61" si="10">IFERROR(IF(OR(J53="-",K53="-"),1/3*M53,0.5*(MAX(J53:K53)-MIN(J53:K53))),0)</f>
        <v>3.9999999999999994E-2</v>
      </c>
      <c r="M53" s="582">
        <v>0.12</v>
      </c>
      <c r="N53" s="576">
        <v>2</v>
      </c>
      <c r="O53" s="585">
        <v>10</v>
      </c>
      <c r="P53" s="579" t="s">
        <v>10</v>
      </c>
      <c r="Q53" s="593">
        <v>0.02</v>
      </c>
      <c r="R53" s="584" t="s">
        <v>10</v>
      </c>
      <c r="S53" s="581">
        <f t="shared" ref="S53:S61" si="11">IFERROR(IF(OR(Q53="-",R53="-"),1/3*T53,0.5*(MAX(Q53:R53)-MIN(Q53:R53))),0)</f>
        <v>3.9999999999999994E-2</v>
      </c>
      <c r="T53" s="582">
        <v>0.12</v>
      </c>
      <c r="V53" s="587"/>
      <c r="W53" s="588"/>
      <c r="X53" s="591"/>
      <c r="Y53" s="590"/>
      <c r="Z53" s="591"/>
      <c r="AA53" s="569"/>
      <c r="AB53" s="587"/>
      <c r="AC53" s="588"/>
      <c r="AD53" s="591"/>
      <c r="AE53" s="590"/>
      <c r="AF53" s="591"/>
    </row>
    <row r="54" spans="1:32" ht="12.75" customHeight="1">
      <c r="A54" s="585">
        <v>30</v>
      </c>
      <c r="B54" s="579" t="s">
        <v>10</v>
      </c>
      <c r="C54" s="593">
        <v>-0.06</v>
      </c>
      <c r="D54" s="584" t="s">
        <v>10</v>
      </c>
      <c r="E54" s="581">
        <f t="shared" si="9"/>
        <v>3.9999999999999994E-2</v>
      </c>
      <c r="F54" s="582">
        <v>0.12</v>
      </c>
      <c r="G54" s="576">
        <v>3</v>
      </c>
      <c r="H54" s="585">
        <v>30</v>
      </c>
      <c r="I54" s="579" t="s">
        <v>10</v>
      </c>
      <c r="J54" s="593">
        <v>-0.04</v>
      </c>
      <c r="K54" s="584" t="s">
        <v>10</v>
      </c>
      <c r="L54" s="581">
        <f t="shared" si="10"/>
        <v>3.9999999999999994E-2</v>
      </c>
      <c r="M54" s="582">
        <v>0.12</v>
      </c>
      <c r="N54" s="576">
        <v>3</v>
      </c>
      <c r="O54" s="585">
        <v>20</v>
      </c>
      <c r="P54" s="579" t="s">
        <v>10</v>
      </c>
      <c r="Q54" s="593">
        <v>0.01</v>
      </c>
      <c r="R54" s="584" t="s">
        <v>10</v>
      </c>
      <c r="S54" s="581">
        <f t="shared" si="11"/>
        <v>3.9999999999999994E-2</v>
      </c>
      <c r="T54" s="582">
        <v>0.12</v>
      </c>
      <c r="V54" s="587"/>
      <c r="W54" s="588"/>
      <c r="X54" s="591"/>
      <c r="Y54" s="590"/>
      <c r="Z54" s="591"/>
      <c r="AA54" s="569"/>
      <c r="AB54" s="587"/>
      <c r="AC54" s="588"/>
      <c r="AD54" s="591"/>
      <c r="AE54" s="590"/>
      <c r="AF54" s="591"/>
    </row>
    <row r="55" spans="1:32" ht="12.75" customHeight="1">
      <c r="A55" s="585">
        <v>60</v>
      </c>
      <c r="B55" s="579" t="s">
        <v>10</v>
      </c>
      <c r="C55" s="593">
        <v>-0.06</v>
      </c>
      <c r="D55" s="593">
        <v>-0.01</v>
      </c>
      <c r="E55" s="581">
        <f t="shared" si="9"/>
        <v>2.4999999999999998E-2</v>
      </c>
      <c r="F55" s="582">
        <v>0.12</v>
      </c>
      <c r="G55" s="576">
        <v>4</v>
      </c>
      <c r="H55" s="585">
        <v>60</v>
      </c>
      <c r="I55" s="579" t="s">
        <v>10</v>
      </c>
      <c r="J55" s="593">
        <v>-0.03</v>
      </c>
      <c r="K55" s="593">
        <v>0.01</v>
      </c>
      <c r="L55" s="581">
        <f t="shared" si="10"/>
        <v>0.02</v>
      </c>
      <c r="M55" s="582">
        <v>0.12</v>
      </c>
      <c r="N55" s="576">
        <v>4</v>
      </c>
      <c r="O55" s="585">
        <v>30</v>
      </c>
      <c r="P55" s="579" t="s">
        <v>10</v>
      </c>
      <c r="Q55" s="593">
        <v>0.01</v>
      </c>
      <c r="R55" s="584" t="s">
        <v>10</v>
      </c>
      <c r="S55" s="581">
        <f t="shared" si="11"/>
        <v>3.9999999999999994E-2</v>
      </c>
      <c r="T55" s="582">
        <v>0.12</v>
      </c>
      <c r="V55" s="587"/>
      <c r="W55" s="588"/>
      <c r="X55" s="589"/>
      <c r="Y55" s="590"/>
      <c r="Z55" s="591"/>
      <c r="AA55" s="569"/>
      <c r="AB55" s="587"/>
      <c r="AC55" s="588"/>
      <c r="AD55" s="589"/>
      <c r="AE55" s="590"/>
      <c r="AF55" s="591"/>
    </row>
    <row r="56" spans="1:32" ht="12.75" customHeight="1">
      <c r="A56" s="585">
        <v>60</v>
      </c>
      <c r="B56" s="579" t="s">
        <v>10</v>
      </c>
      <c r="C56" s="593">
        <v>-0.06</v>
      </c>
      <c r="D56" s="593">
        <v>-0.01</v>
      </c>
      <c r="E56" s="581">
        <f t="shared" si="9"/>
        <v>2.4999999999999998E-2</v>
      </c>
      <c r="F56" s="582">
        <v>0.12</v>
      </c>
      <c r="G56" s="576">
        <v>5</v>
      </c>
      <c r="H56" s="585">
        <v>60</v>
      </c>
      <c r="I56" s="579" t="s">
        <v>10</v>
      </c>
      <c r="J56" s="593">
        <v>-0.03</v>
      </c>
      <c r="K56" s="593">
        <v>0.01</v>
      </c>
      <c r="L56" s="581">
        <f t="shared" si="10"/>
        <v>0.02</v>
      </c>
      <c r="M56" s="582">
        <v>0.12</v>
      </c>
      <c r="N56" s="576">
        <v>5</v>
      </c>
      <c r="O56" s="585">
        <v>40</v>
      </c>
      <c r="P56" s="579" t="s">
        <v>10</v>
      </c>
      <c r="Q56" s="593">
        <v>0.02</v>
      </c>
      <c r="R56" s="584" t="s">
        <v>10</v>
      </c>
      <c r="S56" s="581">
        <f t="shared" si="11"/>
        <v>3.9999999999999994E-2</v>
      </c>
      <c r="T56" s="582">
        <v>0.12</v>
      </c>
      <c r="V56" s="587"/>
      <c r="W56" s="588"/>
      <c r="X56" s="589"/>
      <c r="Y56" s="590"/>
      <c r="Z56" s="591"/>
      <c r="AA56" s="569"/>
      <c r="AB56" s="587"/>
      <c r="AC56" s="588"/>
      <c r="AD56" s="589"/>
      <c r="AE56" s="590"/>
      <c r="AF56" s="591"/>
    </row>
    <row r="57" spans="1:32" ht="12.75" customHeight="1">
      <c r="A57" s="585">
        <v>60</v>
      </c>
      <c r="B57" s="579" t="s">
        <v>10</v>
      </c>
      <c r="C57" s="593">
        <v>-0.06</v>
      </c>
      <c r="D57" s="593">
        <v>-0.01</v>
      </c>
      <c r="E57" s="581">
        <f t="shared" si="9"/>
        <v>2.4999999999999998E-2</v>
      </c>
      <c r="F57" s="582">
        <v>0.12</v>
      </c>
      <c r="G57" s="576">
        <v>6</v>
      </c>
      <c r="H57" s="585">
        <v>60</v>
      </c>
      <c r="I57" s="579" t="s">
        <v>10</v>
      </c>
      <c r="J57" s="593">
        <v>-0.03</v>
      </c>
      <c r="K57" s="593">
        <v>0.01</v>
      </c>
      <c r="L57" s="581">
        <f t="shared" si="10"/>
        <v>0.02</v>
      </c>
      <c r="M57" s="582">
        <v>0.12</v>
      </c>
      <c r="N57" s="576">
        <v>6</v>
      </c>
      <c r="O57" s="585">
        <v>50</v>
      </c>
      <c r="P57" s="579" t="s">
        <v>10</v>
      </c>
      <c r="Q57" s="593">
        <v>0.02</v>
      </c>
      <c r="R57" s="584" t="s">
        <v>10</v>
      </c>
      <c r="S57" s="581">
        <f t="shared" si="11"/>
        <v>3.9999999999999994E-2</v>
      </c>
      <c r="T57" s="582">
        <v>0.12</v>
      </c>
      <c r="V57" s="587"/>
      <c r="W57" s="588"/>
      <c r="X57" s="589"/>
      <c r="Y57" s="590"/>
      <c r="Z57" s="591"/>
      <c r="AA57" s="569"/>
      <c r="AB57" s="587"/>
      <c r="AC57" s="588"/>
      <c r="AD57" s="589"/>
      <c r="AE57" s="590"/>
      <c r="AF57" s="591"/>
    </row>
    <row r="58" spans="1:32" ht="12.75" customHeight="1">
      <c r="A58" s="585">
        <v>60</v>
      </c>
      <c r="B58" s="579" t="s">
        <v>10</v>
      </c>
      <c r="C58" s="593">
        <v>-0.06</v>
      </c>
      <c r="D58" s="593">
        <v>-0.01</v>
      </c>
      <c r="E58" s="581">
        <f t="shared" si="9"/>
        <v>2.4999999999999998E-2</v>
      </c>
      <c r="F58" s="582">
        <v>0.12</v>
      </c>
      <c r="G58" s="576">
        <v>7</v>
      </c>
      <c r="H58" s="585">
        <v>60</v>
      </c>
      <c r="I58" s="579" t="s">
        <v>10</v>
      </c>
      <c r="J58" s="593">
        <v>-0.03</v>
      </c>
      <c r="K58" s="593">
        <v>0.01</v>
      </c>
      <c r="L58" s="581">
        <f t="shared" si="10"/>
        <v>0.02</v>
      </c>
      <c r="M58" s="582">
        <v>0.12</v>
      </c>
      <c r="N58" s="576">
        <v>7</v>
      </c>
      <c r="O58" s="585">
        <v>60</v>
      </c>
      <c r="P58" s="579" t="s">
        <v>10</v>
      </c>
      <c r="Q58" s="593">
        <v>0.02</v>
      </c>
      <c r="R58" s="593">
        <v>0.02</v>
      </c>
      <c r="S58" s="581">
        <f t="shared" si="11"/>
        <v>0</v>
      </c>
      <c r="T58" s="582">
        <v>0.12</v>
      </c>
      <c r="V58" s="587"/>
      <c r="W58" s="588"/>
      <c r="X58" s="589"/>
      <c r="Y58" s="590"/>
      <c r="Z58" s="591"/>
      <c r="AA58" s="569"/>
      <c r="AB58" s="587"/>
      <c r="AC58" s="588"/>
      <c r="AD58" s="589"/>
      <c r="AE58" s="590"/>
      <c r="AF58" s="591"/>
    </row>
    <row r="59" spans="1:32" ht="12.75" customHeight="1">
      <c r="A59" s="585">
        <v>300</v>
      </c>
      <c r="B59" s="579" t="s">
        <v>10</v>
      </c>
      <c r="C59" s="593">
        <v>-0.05</v>
      </c>
      <c r="D59" s="593">
        <v>-0.01</v>
      </c>
      <c r="E59" s="581">
        <f t="shared" si="9"/>
        <v>0.02</v>
      </c>
      <c r="F59" s="582">
        <v>0.12</v>
      </c>
      <c r="G59" s="576">
        <v>8</v>
      </c>
      <c r="H59" s="585">
        <v>300</v>
      </c>
      <c r="I59" s="579" t="s">
        <v>10</v>
      </c>
      <c r="J59" s="593">
        <v>-0.03</v>
      </c>
      <c r="K59" s="593">
        <v>0.02</v>
      </c>
      <c r="L59" s="581">
        <f t="shared" si="10"/>
        <v>2.5000000000000001E-2</v>
      </c>
      <c r="M59" s="582">
        <v>0.12</v>
      </c>
      <c r="N59" s="576">
        <v>8</v>
      </c>
      <c r="O59" s="585">
        <v>300</v>
      </c>
      <c r="P59" s="579" t="s">
        <v>10</v>
      </c>
      <c r="Q59" s="593">
        <v>0.02</v>
      </c>
      <c r="R59" s="593">
        <v>0.02</v>
      </c>
      <c r="S59" s="581">
        <f t="shared" si="11"/>
        <v>0</v>
      </c>
      <c r="T59" s="582">
        <v>0.12</v>
      </c>
      <c r="V59" s="587"/>
      <c r="W59" s="588"/>
      <c r="X59" s="589"/>
      <c r="Y59" s="590"/>
      <c r="Z59" s="591"/>
      <c r="AA59" s="569"/>
      <c r="AB59" s="587"/>
      <c r="AC59" s="588"/>
      <c r="AD59" s="589"/>
      <c r="AE59" s="590"/>
      <c r="AF59" s="591"/>
    </row>
    <row r="60" spans="1:32" ht="12.75" customHeight="1">
      <c r="A60" s="585">
        <v>600</v>
      </c>
      <c r="B60" s="579" t="s">
        <v>10</v>
      </c>
      <c r="C60" s="593">
        <v>-0.06</v>
      </c>
      <c r="D60" s="593">
        <v>-0.02</v>
      </c>
      <c r="E60" s="581">
        <f>IFERROR(IF(OR(C60="-",D60="-"),1/3*F60,0.5*(MAX(C60:D60)-MIN(C60:D60))),0)</f>
        <v>1.9999999999999997E-2</v>
      </c>
      <c r="F60" s="582">
        <v>0.12</v>
      </c>
      <c r="G60" s="576">
        <v>9</v>
      </c>
      <c r="H60" s="585">
        <v>600</v>
      </c>
      <c r="I60" s="579" t="s">
        <v>10</v>
      </c>
      <c r="J60" s="593">
        <v>-0.04</v>
      </c>
      <c r="K60" s="593">
        <v>0.02</v>
      </c>
      <c r="L60" s="581">
        <f>IFERROR(IF(OR(J60="-",K60="-"),1/3*M60,0.5*(MAX(J60:K60)-MIN(J60:K60))),0)</f>
        <v>0.03</v>
      </c>
      <c r="M60" s="582">
        <v>0.12</v>
      </c>
      <c r="N60" s="576">
        <v>9</v>
      </c>
      <c r="O60" s="585">
        <v>600</v>
      </c>
      <c r="P60" s="579" t="s">
        <v>10</v>
      </c>
      <c r="Q60" s="593">
        <v>0.01</v>
      </c>
      <c r="R60" s="593">
        <v>0.03</v>
      </c>
      <c r="S60" s="581">
        <f t="shared" si="11"/>
        <v>9.9999999999999985E-3</v>
      </c>
      <c r="T60" s="582">
        <v>0.12</v>
      </c>
      <c r="V60" s="587"/>
      <c r="W60" s="588"/>
      <c r="X60" s="589"/>
      <c r="Y60" s="590"/>
      <c r="Z60" s="591"/>
      <c r="AA60" s="569"/>
      <c r="AB60" s="587"/>
      <c r="AC60" s="588"/>
      <c r="AD60" s="589"/>
      <c r="AE60" s="590"/>
      <c r="AF60" s="591"/>
    </row>
    <row r="61" spans="1:32" ht="13.5" customHeight="1">
      <c r="A61" s="585">
        <v>900</v>
      </c>
      <c r="B61" s="579" t="s">
        <v>10</v>
      </c>
      <c r="C61" s="593">
        <v>-0.06</v>
      </c>
      <c r="D61" s="593">
        <v>-0.02</v>
      </c>
      <c r="E61" s="581">
        <f t="shared" si="9"/>
        <v>1.9999999999999997E-2</v>
      </c>
      <c r="F61" s="582">
        <v>0.12</v>
      </c>
      <c r="G61" s="576">
        <v>10</v>
      </c>
      <c r="H61" s="585">
        <v>900</v>
      </c>
      <c r="I61" s="579" t="s">
        <v>10</v>
      </c>
      <c r="J61" s="593">
        <v>-0.03</v>
      </c>
      <c r="K61" s="593">
        <v>0.03</v>
      </c>
      <c r="L61" s="581">
        <f t="shared" si="10"/>
        <v>0.03</v>
      </c>
      <c r="M61" s="582">
        <v>0.12</v>
      </c>
      <c r="N61" s="576">
        <v>10</v>
      </c>
      <c r="O61" s="585">
        <v>900</v>
      </c>
      <c r="P61" s="579" t="s">
        <v>10</v>
      </c>
      <c r="Q61" s="584" t="s">
        <v>10</v>
      </c>
      <c r="R61" s="593">
        <v>0.03</v>
      </c>
      <c r="S61" s="581">
        <f t="shared" si="11"/>
        <v>3.9999999999999994E-2</v>
      </c>
      <c r="T61" s="582">
        <v>0.12</v>
      </c>
      <c r="V61" s="587"/>
      <c r="W61" s="588"/>
      <c r="X61" s="589"/>
      <c r="Y61" s="590"/>
      <c r="Z61" s="591"/>
      <c r="AA61" s="569"/>
      <c r="AB61" s="587"/>
      <c r="AC61" s="588"/>
      <c r="AD61" s="589"/>
      <c r="AE61" s="590"/>
      <c r="AF61" s="591"/>
    </row>
    <row r="62" spans="1:32" ht="13.5" customHeight="1">
      <c r="A62" s="585">
        <v>1200</v>
      </c>
      <c r="B62" s="579" t="s">
        <v>10</v>
      </c>
      <c r="C62" s="593">
        <v>-0.05</v>
      </c>
      <c r="D62" s="593">
        <v>-0.02</v>
      </c>
      <c r="E62" s="581">
        <f>IFERROR(IF(OR(C62="-",D62="-"),1/3*F62,0.5*(MAX(C62:D62)-MIN(C62:D62))),0)</f>
        <v>1.5000000000000001E-2</v>
      </c>
      <c r="F62" s="582">
        <v>0.12</v>
      </c>
      <c r="G62" s="576">
        <v>11</v>
      </c>
      <c r="H62" s="585">
        <v>1200</v>
      </c>
      <c r="I62" s="579" t="s">
        <v>10</v>
      </c>
      <c r="J62" s="593">
        <v>-0.02</v>
      </c>
      <c r="K62" s="593">
        <v>0.04</v>
      </c>
      <c r="L62" s="581">
        <f>IFERROR(IF(OR(J62="-",K62="-"),1/3*M62,0.5*(MAX(J62:K62)-MIN(J62:K62))),0)</f>
        <v>0.03</v>
      </c>
      <c r="M62" s="582">
        <v>0.12</v>
      </c>
      <c r="N62" s="576">
        <v>11</v>
      </c>
      <c r="O62" s="585">
        <v>1200</v>
      </c>
      <c r="P62" s="579" t="s">
        <v>10</v>
      </c>
      <c r="Q62" s="584" t="s">
        <v>10</v>
      </c>
      <c r="R62" s="593">
        <v>0.03</v>
      </c>
      <c r="S62" s="581">
        <f>IFERROR(IF(OR(Q62="-",R62="-"),1/3*T62,0.5*(MAX(Q62:R62)-MIN(Q62:R62))),0)</f>
        <v>3.9999999999999994E-2</v>
      </c>
      <c r="T62" s="582">
        <v>0.12</v>
      </c>
      <c r="V62" s="587"/>
      <c r="W62" s="588"/>
      <c r="X62" s="589"/>
      <c r="Y62" s="590"/>
      <c r="Z62" s="591"/>
      <c r="AA62" s="594"/>
      <c r="AB62" s="587"/>
      <c r="AC62" s="588"/>
      <c r="AD62" s="589"/>
      <c r="AE62" s="590"/>
      <c r="AF62" s="591"/>
    </row>
    <row r="63" spans="1:32" ht="13.5" customHeight="1">
      <c r="A63" s="603"/>
      <c r="B63" s="604"/>
      <c r="C63" s="605"/>
      <c r="D63" s="606"/>
      <c r="E63" s="590"/>
      <c r="F63" s="591"/>
      <c r="G63" s="594"/>
      <c r="H63" s="604"/>
      <c r="I63" s="604"/>
      <c r="J63" s="605"/>
      <c r="K63" s="607"/>
      <c r="L63" s="590"/>
      <c r="M63" s="591"/>
      <c r="N63" s="600"/>
      <c r="O63" s="604"/>
      <c r="P63" s="604"/>
      <c r="Q63" s="605"/>
      <c r="R63" s="607"/>
      <c r="S63" s="590"/>
      <c r="T63" s="591"/>
      <c r="V63" s="587"/>
      <c r="W63" s="588"/>
      <c r="X63" s="589"/>
      <c r="Y63" s="590"/>
      <c r="Z63" s="591"/>
      <c r="AA63" s="594"/>
      <c r="AB63" s="587"/>
      <c r="AC63" s="588"/>
      <c r="AD63" s="589"/>
      <c r="AE63" s="590"/>
      <c r="AF63" s="591"/>
    </row>
    <row r="64" spans="1:32" ht="13.5" customHeight="1">
      <c r="A64" s="1269" t="s">
        <v>20</v>
      </c>
      <c r="B64" s="1270"/>
      <c r="C64" s="1270"/>
      <c r="D64" s="1271"/>
      <c r="E64" s="1272" t="s">
        <v>2</v>
      </c>
      <c r="F64" s="1273" t="str">
        <f>F49</f>
        <v>U95 STD</v>
      </c>
      <c r="G64" s="594"/>
      <c r="H64" s="1269" t="s">
        <v>21</v>
      </c>
      <c r="I64" s="1270"/>
      <c r="J64" s="1270"/>
      <c r="K64" s="1271"/>
      <c r="L64" s="1272" t="s">
        <v>2</v>
      </c>
      <c r="M64" s="1273" t="str">
        <f>M49</f>
        <v>U95 STD</v>
      </c>
      <c r="N64" s="600"/>
      <c r="O64" s="1269" t="s">
        <v>22</v>
      </c>
      <c r="P64" s="1270"/>
      <c r="Q64" s="1270"/>
      <c r="R64" s="1271"/>
      <c r="S64" s="1272" t="s">
        <v>2</v>
      </c>
      <c r="T64" s="1273" t="str">
        <f>T49</f>
        <v>U95 STD</v>
      </c>
      <c r="V64" s="587"/>
      <c r="W64" s="588"/>
      <c r="X64" s="589"/>
      <c r="Y64" s="590"/>
      <c r="Z64" s="591"/>
      <c r="AA64" s="594"/>
      <c r="AB64" s="587"/>
      <c r="AC64" s="588"/>
      <c r="AD64" s="589"/>
      <c r="AE64" s="590"/>
      <c r="AF64" s="591"/>
    </row>
    <row r="65" spans="1:32" ht="13.5" customHeight="1">
      <c r="A65" s="570" t="str">
        <f>A50</f>
        <v>Timer</v>
      </c>
      <c r="B65" s="1274" t="s">
        <v>7</v>
      </c>
      <c r="C65" s="1275"/>
      <c r="D65" s="1276"/>
      <c r="E65" s="1272"/>
      <c r="F65" s="1273"/>
      <c r="G65" s="594"/>
      <c r="H65" s="570" t="str">
        <f>H50</f>
        <v>Timer</v>
      </c>
      <c r="I65" s="1274" t="s">
        <v>7</v>
      </c>
      <c r="J65" s="1275"/>
      <c r="K65" s="1276"/>
      <c r="L65" s="1272"/>
      <c r="M65" s="1273"/>
      <c r="N65" s="600"/>
      <c r="O65" s="570" t="str">
        <f>O50</f>
        <v>Timer</v>
      </c>
      <c r="P65" s="1274" t="s">
        <v>7</v>
      </c>
      <c r="Q65" s="1275"/>
      <c r="R65" s="1276"/>
      <c r="S65" s="1272"/>
      <c r="T65" s="1273"/>
      <c r="V65" s="587"/>
      <c r="W65" s="588"/>
      <c r="X65" s="589"/>
      <c r="Y65" s="590"/>
      <c r="Z65" s="591"/>
      <c r="AA65" s="594"/>
      <c r="AB65" s="587"/>
      <c r="AC65" s="588"/>
      <c r="AD65" s="589"/>
      <c r="AE65" s="590"/>
      <c r="AF65" s="591"/>
    </row>
    <row r="66" spans="1:32" ht="13.5" customHeight="1">
      <c r="A66" s="161" t="str">
        <f>A51</f>
        <v>s</v>
      </c>
      <c r="B66" s="574">
        <v>2022</v>
      </c>
      <c r="C66" s="575">
        <v>2021</v>
      </c>
      <c r="D66" s="575">
        <v>2020</v>
      </c>
      <c r="E66" s="1272"/>
      <c r="F66" s="1273"/>
      <c r="G66" s="576" t="s">
        <v>9</v>
      </c>
      <c r="H66" s="161" t="str">
        <f>H51</f>
        <v>s</v>
      </c>
      <c r="I66" s="574">
        <v>2022</v>
      </c>
      <c r="J66" s="575">
        <v>2021</v>
      </c>
      <c r="K66" s="575">
        <v>2020</v>
      </c>
      <c r="L66" s="1272"/>
      <c r="M66" s="1273"/>
      <c r="N66" s="576" t="s">
        <v>9</v>
      </c>
      <c r="O66" s="161" t="str">
        <f>O51</f>
        <v>s</v>
      </c>
      <c r="P66" s="574">
        <v>2022</v>
      </c>
      <c r="Q66" s="575">
        <v>2021</v>
      </c>
      <c r="R66" s="602">
        <v>2020</v>
      </c>
      <c r="S66" s="1272"/>
      <c r="T66" s="1273"/>
      <c r="V66" s="587"/>
      <c r="W66" s="588"/>
      <c r="X66" s="589"/>
      <c r="Y66" s="590"/>
      <c r="Z66" s="591"/>
      <c r="AA66" s="594"/>
      <c r="AB66" s="587"/>
      <c r="AC66" s="588"/>
      <c r="AD66" s="589"/>
      <c r="AE66" s="590"/>
      <c r="AF66" s="591"/>
    </row>
    <row r="67" spans="1:32" ht="13.5" customHeight="1">
      <c r="A67" s="578">
        <v>0</v>
      </c>
      <c r="B67" s="579" t="s">
        <v>10</v>
      </c>
      <c r="C67" s="593">
        <v>0</v>
      </c>
      <c r="D67" s="593">
        <v>0</v>
      </c>
      <c r="E67" s="581">
        <f>IFERROR(IF(OR(C67="-",D67="-"),1/3*F67,0.5*(MAX(C67:D67)-MIN(C67:D67))),0)</f>
        <v>0</v>
      </c>
      <c r="F67" s="582">
        <v>0</v>
      </c>
      <c r="G67" s="576">
        <v>1</v>
      </c>
      <c r="H67" s="578">
        <v>0</v>
      </c>
      <c r="I67" s="579" t="s">
        <v>10</v>
      </c>
      <c r="J67" s="593">
        <v>0</v>
      </c>
      <c r="K67" s="593">
        <v>0</v>
      </c>
      <c r="L67" s="581">
        <f>IFERROR(IF(OR(J67="-",K67="-"),1/3*M67,0.5*(MAX(J67:K67)-MIN(J67:K67))),0)</f>
        <v>0</v>
      </c>
      <c r="M67" s="582">
        <v>0</v>
      </c>
      <c r="N67" s="576">
        <v>1</v>
      </c>
      <c r="O67" s="578">
        <v>0</v>
      </c>
      <c r="P67" s="579" t="s">
        <v>10</v>
      </c>
      <c r="Q67" s="593">
        <v>0</v>
      </c>
      <c r="R67" s="593">
        <v>0</v>
      </c>
      <c r="S67" s="581">
        <f>IFERROR(IF(OR(Q67="-",R67="-"),1/3*T67,0.5*(MAX(Q67:R67)-MIN(Q67:R67))),0)</f>
        <v>0</v>
      </c>
      <c r="T67" s="582">
        <v>0</v>
      </c>
      <c r="V67" s="587"/>
      <c r="W67" s="588"/>
      <c r="X67" s="589"/>
      <c r="Y67" s="590"/>
      <c r="Z67" s="591"/>
      <c r="AA67" s="594"/>
      <c r="AB67" s="587"/>
      <c r="AC67" s="588"/>
      <c r="AD67" s="589"/>
      <c r="AE67" s="590"/>
      <c r="AF67" s="591"/>
    </row>
    <row r="68" spans="1:32" ht="13.5" customHeight="1">
      <c r="A68" s="585">
        <v>10</v>
      </c>
      <c r="B68" s="579" t="s">
        <v>10</v>
      </c>
      <c r="C68" s="593">
        <v>0.02</v>
      </c>
      <c r="D68" s="584" t="s">
        <v>10</v>
      </c>
      <c r="E68" s="581">
        <f t="shared" ref="E68:E76" si="12">IFERROR(IF(OR(C68="-",D68="-"),1/3*F68,0.5*(MAX(C68:D68)-MIN(C68:D68))),0)</f>
        <v>3.9999999999999994E-2</v>
      </c>
      <c r="F68" s="582">
        <v>0.12</v>
      </c>
      <c r="G68" s="576">
        <v>2</v>
      </c>
      <c r="H68" s="585">
        <v>10</v>
      </c>
      <c r="I68" s="579" t="s">
        <v>10</v>
      </c>
      <c r="J68" s="593">
        <v>0.02</v>
      </c>
      <c r="K68" s="584" t="s">
        <v>10</v>
      </c>
      <c r="L68" s="581">
        <f t="shared" ref="L68:L76" si="13">IFERROR(IF(OR(J68="-",K68="-"),1/3*M68,0.5*(MAX(J68:K68)-MIN(J68:K68))),0)</f>
        <v>3.9999999999999994E-2</v>
      </c>
      <c r="M68" s="582">
        <v>0.12</v>
      </c>
      <c r="N68" s="576">
        <v>2</v>
      </c>
      <c r="O68" s="585">
        <v>10</v>
      </c>
      <c r="P68" s="579" t="s">
        <v>10</v>
      </c>
      <c r="Q68" s="593">
        <v>0.03</v>
      </c>
      <c r="R68" s="584" t="s">
        <v>10</v>
      </c>
      <c r="S68" s="581">
        <f t="shared" ref="S68:S76" si="14">IFERROR(IF(OR(Q68="-",R68="-"),1/3*T68,0.5*(MAX(Q68:R68)-MIN(Q68:R68))),0)</f>
        <v>3.9999999999999994E-2</v>
      </c>
      <c r="T68" s="582">
        <v>0.12</v>
      </c>
      <c r="V68" s="587"/>
      <c r="W68" s="588"/>
      <c r="X68" s="589"/>
      <c r="Y68" s="590"/>
      <c r="Z68" s="591"/>
      <c r="AA68" s="594"/>
      <c r="AB68" s="587"/>
      <c r="AC68" s="588"/>
      <c r="AD68" s="589"/>
      <c r="AE68" s="590"/>
      <c r="AF68" s="591"/>
    </row>
    <row r="69" spans="1:32" ht="13.5" customHeight="1">
      <c r="A69" s="585">
        <v>20</v>
      </c>
      <c r="B69" s="579" t="s">
        <v>10</v>
      </c>
      <c r="C69" s="593">
        <v>0.03</v>
      </c>
      <c r="D69" s="584" t="s">
        <v>10</v>
      </c>
      <c r="E69" s="581">
        <f t="shared" si="12"/>
        <v>3.9999999999999994E-2</v>
      </c>
      <c r="F69" s="582">
        <v>0.12</v>
      </c>
      <c r="G69" s="576">
        <v>3</v>
      </c>
      <c r="H69" s="585">
        <v>20</v>
      </c>
      <c r="I69" s="579" t="s">
        <v>10</v>
      </c>
      <c r="J69" s="593">
        <v>0.02</v>
      </c>
      <c r="K69" s="584" t="s">
        <v>10</v>
      </c>
      <c r="L69" s="581">
        <f t="shared" si="13"/>
        <v>3.9999999999999994E-2</v>
      </c>
      <c r="M69" s="582">
        <v>0.12</v>
      </c>
      <c r="N69" s="576">
        <v>3</v>
      </c>
      <c r="O69" s="585">
        <v>30</v>
      </c>
      <c r="P69" s="579" t="s">
        <v>10</v>
      </c>
      <c r="Q69" s="593">
        <v>0.03</v>
      </c>
      <c r="R69" s="584" t="s">
        <v>10</v>
      </c>
      <c r="S69" s="581">
        <f t="shared" si="14"/>
        <v>3.9999999999999994E-2</v>
      </c>
      <c r="T69" s="582">
        <v>0.12</v>
      </c>
      <c r="V69" s="587"/>
      <c r="W69" s="588"/>
      <c r="X69" s="589"/>
      <c r="Y69" s="590"/>
      <c r="Z69" s="591"/>
      <c r="AA69" s="594"/>
      <c r="AB69" s="587"/>
      <c r="AC69" s="588"/>
      <c r="AD69" s="589"/>
      <c r="AE69" s="590"/>
      <c r="AF69" s="591"/>
    </row>
    <row r="70" spans="1:32" ht="13.5" customHeight="1">
      <c r="A70" s="585">
        <v>30</v>
      </c>
      <c r="B70" s="579" t="s">
        <v>10</v>
      </c>
      <c r="C70" s="593">
        <v>0.02</v>
      </c>
      <c r="D70" s="584" t="s">
        <v>10</v>
      </c>
      <c r="E70" s="581">
        <f t="shared" si="12"/>
        <v>3.9999999999999994E-2</v>
      </c>
      <c r="F70" s="582">
        <v>0.12</v>
      </c>
      <c r="G70" s="576">
        <v>4</v>
      </c>
      <c r="H70" s="585">
        <v>30</v>
      </c>
      <c r="I70" s="579" t="s">
        <v>10</v>
      </c>
      <c r="J70" s="593">
        <v>0.02</v>
      </c>
      <c r="K70" s="584" t="s">
        <v>10</v>
      </c>
      <c r="L70" s="581">
        <f t="shared" si="13"/>
        <v>3.9999999999999994E-2</v>
      </c>
      <c r="M70" s="582">
        <v>0.12</v>
      </c>
      <c r="N70" s="576">
        <v>4</v>
      </c>
      <c r="O70" s="585">
        <v>60</v>
      </c>
      <c r="P70" s="579" t="s">
        <v>10</v>
      </c>
      <c r="Q70" s="593">
        <v>0.04</v>
      </c>
      <c r="R70" s="593">
        <v>0</v>
      </c>
      <c r="S70" s="581">
        <f t="shared" si="14"/>
        <v>0.02</v>
      </c>
      <c r="T70" s="582">
        <v>0.12</v>
      </c>
      <c r="V70" s="587"/>
      <c r="W70" s="588"/>
      <c r="X70" s="589"/>
      <c r="Y70" s="590"/>
      <c r="Z70" s="591"/>
      <c r="AA70" s="594"/>
      <c r="AB70" s="587"/>
      <c r="AC70" s="588"/>
      <c r="AD70" s="589"/>
      <c r="AE70" s="590"/>
      <c r="AF70" s="591"/>
    </row>
    <row r="71" spans="1:32" ht="13.5" customHeight="1">
      <c r="A71" s="585">
        <v>40</v>
      </c>
      <c r="B71" s="579" t="s">
        <v>10</v>
      </c>
      <c r="C71" s="593">
        <v>0.01</v>
      </c>
      <c r="D71" s="584" t="s">
        <v>10</v>
      </c>
      <c r="E71" s="581">
        <f t="shared" si="12"/>
        <v>3.9999999999999994E-2</v>
      </c>
      <c r="F71" s="582">
        <v>0.12</v>
      </c>
      <c r="G71" s="576">
        <v>5</v>
      </c>
      <c r="H71" s="585">
        <v>40</v>
      </c>
      <c r="I71" s="579" t="s">
        <v>10</v>
      </c>
      <c r="J71" s="593">
        <v>0.03</v>
      </c>
      <c r="K71" s="584" t="s">
        <v>10</v>
      </c>
      <c r="L71" s="581">
        <f t="shared" si="13"/>
        <v>3.9999999999999994E-2</v>
      </c>
      <c r="M71" s="582">
        <v>0.12</v>
      </c>
      <c r="N71" s="576">
        <v>5</v>
      </c>
      <c r="O71" s="585">
        <v>60</v>
      </c>
      <c r="P71" s="579" t="s">
        <v>10</v>
      </c>
      <c r="Q71" s="593">
        <v>0.04</v>
      </c>
      <c r="R71" s="593">
        <v>0</v>
      </c>
      <c r="S71" s="581">
        <f t="shared" si="14"/>
        <v>0.02</v>
      </c>
      <c r="T71" s="582">
        <v>0.12</v>
      </c>
      <c r="V71" s="587"/>
      <c r="W71" s="588"/>
      <c r="X71" s="589"/>
      <c r="Y71" s="590"/>
      <c r="Z71" s="591"/>
      <c r="AA71" s="594"/>
      <c r="AB71" s="587"/>
      <c r="AC71" s="588"/>
      <c r="AD71" s="589"/>
      <c r="AE71" s="590"/>
      <c r="AF71" s="591"/>
    </row>
    <row r="72" spans="1:32" ht="13.5" customHeight="1">
      <c r="A72" s="585">
        <v>50</v>
      </c>
      <c r="B72" s="579" t="s">
        <v>10</v>
      </c>
      <c r="C72" s="593">
        <v>0.02</v>
      </c>
      <c r="D72" s="584" t="s">
        <v>10</v>
      </c>
      <c r="E72" s="581">
        <f t="shared" si="12"/>
        <v>3.9999999999999994E-2</v>
      </c>
      <c r="F72" s="582">
        <v>0.12</v>
      </c>
      <c r="G72" s="576">
        <v>6</v>
      </c>
      <c r="H72" s="585">
        <v>50</v>
      </c>
      <c r="I72" s="579" t="s">
        <v>10</v>
      </c>
      <c r="J72" s="593">
        <v>0.03</v>
      </c>
      <c r="K72" s="584" t="s">
        <v>10</v>
      </c>
      <c r="L72" s="581">
        <f t="shared" si="13"/>
        <v>3.9999999999999994E-2</v>
      </c>
      <c r="M72" s="582">
        <v>0.12</v>
      </c>
      <c r="N72" s="576">
        <v>6</v>
      </c>
      <c r="O72" s="585">
        <v>60</v>
      </c>
      <c r="P72" s="579" t="s">
        <v>10</v>
      </c>
      <c r="Q72" s="593">
        <v>0.04</v>
      </c>
      <c r="R72" s="593">
        <v>0</v>
      </c>
      <c r="S72" s="581">
        <f t="shared" si="14"/>
        <v>0.02</v>
      </c>
      <c r="T72" s="582">
        <v>0.12</v>
      </c>
      <c r="V72" s="587"/>
      <c r="W72" s="588"/>
      <c r="X72" s="589"/>
      <c r="Y72" s="590"/>
      <c r="Z72" s="591"/>
      <c r="AA72" s="594"/>
      <c r="AB72" s="587"/>
      <c r="AC72" s="588"/>
      <c r="AD72" s="589"/>
      <c r="AE72" s="590"/>
      <c r="AF72" s="591"/>
    </row>
    <row r="73" spans="1:32" ht="13.5" customHeight="1">
      <c r="A73" s="585">
        <v>60</v>
      </c>
      <c r="B73" s="579" t="s">
        <v>10</v>
      </c>
      <c r="C73" s="593">
        <v>0.02</v>
      </c>
      <c r="D73" s="593">
        <v>0.02</v>
      </c>
      <c r="E73" s="581">
        <f t="shared" si="12"/>
        <v>0</v>
      </c>
      <c r="F73" s="582">
        <v>0.12</v>
      </c>
      <c r="G73" s="576">
        <v>7</v>
      </c>
      <c r="H73" s="585">
        <v>60</v>
      </c>
      <c r="I73" s="579" t="s">
        <v>10</v>
      </c>
      <c r="J73" s="593">
        <v>0.03</v>
      </c>
      <c r="K73" s="593">
        <v>-0.01</v>
      </c>
      <c r="L73" s="581">
        <f t="shared" si="13"/>
        <v>0.02</v>
      </c>
      <c r="M73" s="582">
        <v>0.12</v>
      </c>
      <c r="N73" s="576">
        <v>7</v>
      </c>
      <c r="O73" s="585">
        <v>60</v>
      </c>
      <c r="P73" s="579" t="s">
        <v>10</v>
      </c>
      <c r="Q73" s="593">
        <v>0.04</v>
      </c>
      <c r="R73" s="593">
        <v>0</v>
      </c>
      <c r="S73" s="581">
        <f t="shared" si="14"/>
        <v>0.02</v>
      </c>
      <c r="T73" s="582">
        <v>0.12</v>
      </c>
      <c r="V73" s="587"/>
      <c r="W73" s="588"/>
      <c r="X73" s="589"/>
      <c r="Y73" s="590"/>
      <c r="Z73" s="591"/>
      <c r="AA73" s="594"/>
      <c r="AB73" s="587"/>
      <c r="AC73" s="588"/>
      <c r="AD73" s="589"/>
      <c r="AE73" s="590"/>
      <c r="AF73" s="591"/>
    </row>
    <row r="74" spans="1:32" ht="13.5" customHeight="1">
      <c r="A74" s="585">
        <v>300</v>
      </c>
      <c r="B74" s="579" t="s">
        <v>10</v>
      </c>
      <c r="C74" s="593">
        <v>0.01</v>
      </c>
      <c r="D74" s="593">
        <v>0.02</v>
      </c>
      <c r="E74" s="581">
        <f t="shared" si="12"/>
        <v>5.0000000000000001E-3</v>
      </c>
      <c r="F74" s="582">
        <v>0.12</v>
      </c>
      <c r="G74" s="576">
        <v>8</v>
      </c>
      <c r="H74" s="585">
        <v>300</v>
      </c>
      <c r="I74" s="579" t="s">
        <v>10</v>
      </c>
      <c r="J74" s="593">
        <v>0.03</v>
      </c>
      <c r="K74" s="593">
        <v>-0.01</v>
      </c>
      <c r="L74" s="581">
        <f t="shared" si="13"/>
        <v>0.02</v>
      </c>
      <c r="M74" s="582">
        <v>0.12</v>
      </c>
      <c r="N74" s="576">
        <v>8</v>
      </c>
      <c r="O74" s="585">
        <v>300</v>
      </c>
      <c r="P74" s="579" t="s">
        <v>10</v>
      </c>
      <c r="Q74" s="593">
        <v>0.04</v>
      </c>
      <c r="R74" s="593">
        <v>-0.01</v>
      </c>
      <c r="S74" s="581">
        <f t="shared" si="14"/>
        <v>2.5000000000000001E-2</v>
      </c>
      <c r="T74" s="582">
        <v>0.12</v>
      </c>
      <c r="V74" s="587"/>
      <c r="W74" s="588"/>
      <c r="X74" s="589"/>
      <c r="Y74" s="590"/>
      <c r="Z74" s="591"/>
      <c r="AA74" s="594"/>
      <c r="AB74" s="587"/>
      <c r="AC74" s="588"/>
      <c r="AD74" s="589"/>
      <c r="AE74" s="590"/>
      <c r="AF74" s="591"/>
    </row>
    <row r="75" spans="1:32" ht="13.5" customHeight="1">
      <c r="A75" s="585">
        <v>600</v>
      </c>
      <c r="B75" s="579" t="s">
        <v>10</v>
      </c>
      <c r="C75" s="593">
        <v>0.01</v>
      </c>
      <c r="D75" s="593">
        <v>0.03</v>
      </c>
      <c r="E75" s="581">
        <f t="shared" si="12"/>
        <v>9.9999999999999985E-3</v>
      </c>
      <c r="F75" s="582">
        <v>0.12</v>
      </c>
      <c r="G75" s="576">
        <v>9</v>
      </c>
      <c r="H75" s="585">
        <v>600</v>
      </c>
      <c r="I75" s="579" t="s">
        <v>10</v>
      </c>
      <c r="J75" s="593">
        <v>0.04</v>
      </c>
      <c r="K75" s="593">
        <v>-0.02</v>
      </c>
      <c r="L75" s="581">
        <f t="shared" si="13"/>
        <v>0.03</v>
      </c>
      <c r="M75" s="582">
        <v>0.12</v>
      </c>
      <c r="N75" s="576">
        <v>9</v>
      </c>
      <c r="O75" s="585">
        <v>600</v>
      </c>
      <c r="P75" s="579" t="s">
        <v>10</v>
      </c>
      <c r="Q75" s="593">
        <v>0.04</v>
      </c>
      <c r="R75" s="593">
        <v>-0.02</v>
      </c>
      <c r="S75" s="581">
        <f t="shared" si="14"/>
        <v>0.03</v>
      </c>
      <c r="T75" s="582">
        <v>0.12</v>
      </c>
      <c r="V75" s="587"/>
      <c r="W75" s="588"/>
      <c r="X75" s="589"/>
      <c r="Y75" s="590"/>
      <c r="Z75" s="591"/>
      <c r="AA75" s="594"/>
      <c r="AB75" s="587"/>
      <c r="AC75" s="588"/>
      <c r="AD75" s="589"/>
      <c r="AE75" s="590"/>
      <c r="AF75" s="591"/>
    </row>
    <row r="76" spans="1:32" ht="13.5" customHeight="1">
      <c r="A76" s="585">
        <v>900</v>
      </c>
      <c r="B76" s="579" t="s">
        <v>10</v>
      </c>
      <c r="C76" s="584" t="s">
        <v>10</v>
      </c>
      <c r="D76" s="593">
        <v>0.03</v>
      </c>
      <c r="E76" s="581">
        <f t="shared" si="12"/>
        <v>3.9999999999999994E-2</v>
      </c>
      <c r="F76" s="582">
        <v>0.12</v>
      </c>
      <c r="G76" s="576">
        <v>10</v>
      </c>
      <c r="H76" s="585">
        <v>900</v>
      </c>
      <c r="I76" s="579" t="s">
        <v>10</v>
      </c>
      <c r="J76" s="584" t="s">
        <v>10</v>
      </c>
      <c r="K76" s="593">
        <v>-0.02</v>
      </c>
      <c r="L76" s="581">
        <f t="shared" si="13"/>
        <v>3.9999999999999994E-2</v>
      </c>
      <c r="M76" s="582">
        <v>0.12</v>
      </c>
      <c r="N76" s="576">
        <v>10</v>
      </c>
      <c r="O76" s="585">
        <v>900</v>
      </c>
      <c r="P76" s="579" t="s">
        <v>10</v>
      </c>
      <c r="Q76" s="593">
        <v>0.04</v>
      </c>
      <c r="R76" s="593">
        <v>-0.03</v>
      </c>
      <c r="S76" s="581">
        <f t="shared" si="14"/>
        <v>3.5000000000000003E-2</v>
      </c>
      <c r="T76" s="582">
        <v>0.12</v>
      </c>
      <c r="V76" s="587"/>
      <c r="W76" s="588"/>
      <c r="X76" s="589"/>
      <c r="Y76" s="590"/>
      <c r="Z76" s="591"/>
      <c r="AA76" s="594"/>
      <c r="AB76" s="587"/>
      <c r="AC76" s="588"/>
      <c r="AD76" s="589"/>
      <c r="AE76" s="590"/>
      <c r="AF76" s="591"/>
    </row>
    <row r="77" spans="1:32" ht="13.5" customHeight="1">
      <c r="A77" s="585">
        <v>1200</v>
      </c>
      <c r="B77" s="579" t="s">
        <v>10</v>
      </c>
      <c r="C77" s="584" t="s">
        <v>10</v>
      </c>
      <c r="D77" s="593">
        <v>0.03</v>
      </c>
      <c r="E77" s="581">
        <f>IFERROR(IF(OR(C77="-",D77="-"),1/3*F77,0.5*(MAX(C77:D77)-MIN(C77:D77))),0)</f>
        <v>3.9999999999999994E-2</v>
      </c>
      <c r="F77" s="582">
        <v>0.12</v>
      </c>
      <c r="G77" s="576">
        <v>11</v>
      </c>
      <c r="H77" s="585">
        <v>1200</v>
      </c>
      <c r="I77" s="579" t="s">
        <v>10</v>
      </c>
      <c r="J77" s="584" t="s">
        <v>10</v>
      </c>
      <c r="K77" s="593">
        <v>-0.03</v>
      </c>
      <c r="L77" s="581">
        <f>IFERROR(IF(OR(J77="-",K77="-"),1/3*M77,0.5*(MAX(J77:K77)-MIN(J77:K77))),0)</f>
        <v>3.9999999999999994E-2</v>
      </c>
      <c r="M77" s="582">
        <v>0.12</v>
      </c>
      <c r="N77" s="576">
        <v>11</v>
      </c>
      <c r="O77" s="585">
        <v>1200</v>
      </c>
      <c r="P77" s="579" t="s">
        <v>10</v>
      </c>
      <c r="Q77" s="593">
        <v>0.04</v>
      </c>
      <c r="R77" s="593">
        <v>-0.04</v>
      </c>
      <c r="S77" s="581">
        <f>IFERROR(IF(OR(Q77="-",R77="-"),1/3*T77,0.5*(MAX(Q77:R77)-MIN(Q77:R77))),0)</f>
        <v>0.04</v>
      </c>
      <c r="T77" s="582">
        <v>0.12</v>
      </c>
      <c r="V77" s="587"/>
      <c r="W77" s="588"/>
      <c r="X77" s="589"/>
      <c r="Y77" s="590"/>
      <c r="Z77" s="591"/>
      <c r="AA77" s="594"/>
      <c r="AB77" s="587"/>
      <c r="AC77" s="588"/>
      <c r="AD77" s="589"/>
      <c r="AE77" s="590"/>
      <c r="AF77" s="591"/>
    </row>
    <row r="78" spans="1:32" ht="13.5" customHeight="1">
      <c r="A78" s="603"/>
      <c r="B78" s="604"/>
      <c r="C78" s="605"/>
      <c r="D78" s="606"/>
      <c r="E78" s="590"/>
      <c r="F78" s="591"/>
      <c r="G78" s="594"/>
      <c r="H78" s="604"/>
      <c r="I78" s="604"/>
      <c r="J78" s="605"/>
      <c r="K78" s="607"/>
      <c r="L78" s="590"/>
      <c r="M78" s="591"/>
      <c r="N78" s="600"/>
      <c r="O78" s="604"/>
      <c r="P78" s="604"/>
      <c r="Q78" s="605"/>
      <c r="R78" s="607"/>
      <c r="S78" s="590"/>
      <c r="T78" s="591"/>
      <c r="V78" s="587"/>
      <c r="W78" s="588"/>
      <c r="X78" s="589"/>
      <c r="Y78" s="590"/>
      <c r="Z78" s="591"/>
      <c r="AA78" s="594"/>
      <c r="AB78" s="587"/>
      <c r="AC78" s="588"/>
      <c r="AD78" s="589"/>
      <c r="AE78" s="590"/>
      <c r="AF78" s="591"/>
    </row>
    <row r="79" spans="1:32" ht="13.5" customHeight="1">
      <c r="A79" s="1269" t="s">
        <v>23</v>
      </c>
      <c r="B79" s="1270"/>
      <c r="C79" s="1270"/>
      <c r="D79" s="1271"/>
      <c r="E79" s="1272" t="s">
        <v>2</v>
      </c>
      <c r="F79" s="1273" t="str">
        <f>F64</f>
        <v>U95 STD</v>
      </c>
      <c r="G79" s="594"/>
      <c r="H79" s="604"/>
      <c r="I79" s="604"/>
      <c r="J79" s="605"/>
      <c r="K79" s="607"/>
      <c r="L79" s="590"/>
      <c r="M79" s="591"/>
      <c r="N79" s="600"/>
      <c r="O79" s="604"/>
      <c r="P79" s="604"/>
      <c r="Q79" s="605"/>
      <c r="R79" s="607"/>
      <c r="S79" s="590"/>
      <c r="T79" s="591"/>
      <c r="V79" s="587"/>
      <c r="W79" s="588"/>
      <c r="X79" s="589"/>
      <c r="Y79" s="590"/>
      <c r="Z79" s="591"/>
      <c r="AA79" s="594"/>
      <c r="AB79" s="587"/>
      <c r="AC79" s="588"/>
      <c r="AD79" s="589"/>
      <c r="AE79" s="590"/>
      <c r="AF79" s="591"/>
    </row>
    <row r="80" spans="1:32" ht="13.5" customHeight="1">
      <c r="A80" s="570" t="str">
        <f>A65</f>
        <v>Timer</v>
      </c>
      <c r="B80" s="1274" t="s">
        <v>7</v>
      </c>
      <c r="C80" s="1275"/>
      <c r="D80" s="1276"/>
      <c r="E80" s="1272"/>
      <c r="F80" s="1273"/>
      <c r="G80" s="594"/>
      <c r="H80" s="604"/>
      <c r="I80" s="604"/>
      <c r="J80" s="605"/>
      <c r="K80" s="607"/>
      <c r="L80" s="590"/>
      <c r="M80" s="591"/>
      <c r="N80" s="600"/>
      <c r="O80" s="604"/>
      <c r="P80" s="604"/>
      <c r="Q80" s="605"/>
      <c r="R80" s="607"/>
      <c r="S80" s="590"/>
      <c r="T80" s="591"/>
      <c r="V80" s="587"/>
      <c r="W80" s="588"/>
      <c r="X80" s="589"/>
      <c r="Y80" s="590"/>
      <c r="Z80" s="591"/>
      <c r="AA80" s="594"/>
      <c r="AB80" s="587"/>
      <c r="AC80" s="588"/>
      <c r="AD80" s="589"/>
      <c r="AE80" s="590"/>
      <c r="AF80" s="591"/>
    </row>
    <row r="81" spans="1:32" ht="13.5" customHeight="1">
      <c r="A81" s="161" t="str">
        <f>A66</f>
        <v>s</v>
      </c>
      <c r="B81" s="574">
        <v>2022</v>
      </c>
      <c r="C81" s="575">
        <v>2021</v>
      </c>
      <c r="D81" s="575">
        <v>2020</v>
      </c>
      <c r="E81" s="1272"/>
      <c r="F81" s="1273"/>
      <c r="G81" s="576" t="s">
        <v>9</v>
      </c>
      <c r="H81" s="604"/>
      <c r="I81" s="604"/>
      <c r="J81" s="605"/>
      <c r="K81" s="607"/>
      <c r="L81" s="590"/>
      <c r="M81" s="591"/>
      <c r="N81" s="600"/>
      <c r="O81" s="604"/>
      <c r="P81" s="604"/>
      <c r="Q81" s="605"/>
      <c r="R81" s="607"/>
      <c r="S81" s="590"/>
      <c r="T81" s="591"/>
      <c r="V81" s="587"/>
      <c r="W81" s="588"/>
      <c r="X81" s="589"/>
      <c r="Y81" s="590"/>
      <c r="Z81" s="591"/>
      <c r="AA81" s="594"/>
      <c r="AB81" s="587"/>
      <c r="AC81" s="588"/>
      <c r="AD81" s="589"/>
      <c r="AE81" s="590"/>
      <c r="AF81" s="591"/>
    </row>
    <row r="82" spans="1:32" ht="13.5" customHeight="1">
      <c r="A82" s="578">
        <v>0</v>
      </c>
      <c r="B82" s="579" t="s">
        <v>10</v>
      </c>
      <c r="C82" s="593">
        <v>0</v>
      </c>
      <c r="D82" s="593">
        <v>0</v>
      </c>
      <c r="E82" s="581">
        <f>IFERROR(IF(OR(C82="-",D82="-"),1/3*F82,0.5*(MAX(C82:D82)-MIN(C82:D82))),0)</f>
        <v>0</v>
      </c>
      <c r="F82" s="582">
        <v>0</v>
      </c>
      <c r="G82" s="576">
        <v>1</v>
      </c>
      <c r="H82" s="604"/>
      <c r="I82" s="604"/>
      <c r="J82" s="605"/>
      <c r="K82" s="607"/>
      <c r="L82" s="590"/>
      <c r="M82" s="591"/>
      <c r="N82" s="600"/>
      <c r="O82" s="604"/>
      <c r="P82" s="604"/>
      <c r="Q82" s="605"/>
      <c r="R82" s="607"/>
      <c r="S82" s="590"/>
      <c r="T82" s="591"/>
      <c r="V82" s="587"/>
      <c r="W82" s="588"/>
      <c r="X82" s="589"/>
      <c r="Y82" s="590"/>
      <c r="Z82" s="591"/>
      <c r="AA82" s="594"/>
      <c r="AB82" s="587"/>
      <c r="AC82" s="588"/>
      <c r="AD82" s="589"/>
      <c r="AE82" s="590"/>
      <c r="AF82" s="591"/>
    </row>
    <row r="83" spans="1:32" ht="13.5" customHeight="1">
      <c r="A83" s="585">
        <v>60</v>
      </c>
      <c r="B83" s="579" t="s">
        <v>10</v>
      </c>
      <c r="C83" s="593">
        <v>-0.01</v>
      </c>
      <c r="D83" s="593">
        <v>-0.01</v>
      </c>
      <c r="E83" s="581">
        <f t="shared" ref="E83:E91" si="15">IFERROR(IF(OR(C83="-",D83="-"),1/3*F83,0.5*(MAX(C83:D83)-MIN(C83:D83))),0)</f>
        <v>0</v>
      </c>
      <c r="F83" s="582">
        <v>0.12</v>
      </c>
      <c r="G83" s="576">
        <v>2</v>
      </c>
      <c r="H83" s="604"/>
      <c r="I83" s="604"/>
      <c r="J83" s="605"/>
      <c r="K83" s="607"/>
      <c r="L83" s="590"/>
      <c r="M83" s="591"/>
      <c r="N83" s="600"/>
      <c r="O83" s="604"/>
      <c r="P83" s="604"/>
      <c r="Q83" s="605"/>
      <c r="R83" s="607"/>
      <c r="S83" s="590"/>
      <c r="T83" s="591"/>
      <c r="V83" s="587"/>
      <c r="W83" s="588"/>
      <c r="X83" s="589"/>
      <c r="Y83" s="590"/>
      <c r="Z83" s="591"/>
      <c r="AA83" s="594"/>
      <c r="AB83" s="587"/>
      <c r="AC83" s="588"/>
      <c r="AD83" s="589"/>
      <c r="AE83" s="590"/>
      <c r="AF83" s="591"/>
    </row>
    <row r="84" spans="1:32" ht="13.5" customHeight="1">
      <c r="A84" s="585">
        <v>60</v>
      </c>
      <c r="B84" s="579" t="s">
        <v>10</v>
      </c>
      <c r="C84" s="593">
        <v>-0.01</v>
      </c>
      <c r="D84" s="593">
        <v>-0.01</v>
      </c>
      <c r="E84" s="581">
        <f t="shared" si="15"/>
        <v>0</v>
      </c>
      <c r="F84" s="582">
        <v>0.12</v>
      </c>
      <c r="G84" s="576">
        <v>3</v>
      </c>
      <c r="H84" s="604"/>
      <c r="I84" s="604"/>
      <c r="J84" s="605"/>
      <c r="K84" s="607"/>
      <c r="L84" s="590"/>
      <c r="M84" s="591"/>
      <c r="N84" s="600"/>
      <c r="O84" s="604"/>
      <c r="P84" s="604"/>
      <c r="Q84" s="605"/>
      <c r="R84" s="607"/>
      <c r="S84" s="590"/>
      <c r="T84" s="591"/>
      <c r="V84" s="587"/>
      <c r="W84" s="588"/>
      <c r="X84" s="589"/>
      <c r="Y84" s="590"/>
      <c r="Z84" s="591"/>
      <c r="AA84" s="594"/>
      <c r="AB84" s="587"/>
      <c r="AC84" s="588"/>
      <c r="AD84" s="589"/>
      <c r="AE84" s="590"/>
      <c r="AF84" s="591"/>
    </row>
    <row r="85" spans="1:32" ht="13.5" customHeight="1">
      <c r="A85" s="585">
        <v>60</v>
      </c>
      <c r="B85" s="579" t="s">
        <v>10</v>
      </c>
      <c r="C85" s="593">
        <v>-0.01</v>
      </c>
      <c r="D85" s="593">
        <v>-0.01</v>
      </c>
      <c r="E85" s="581">
        <f t="shared" si="15"/>
        <v>0</v>
      </c>
      <c r="F85" s="582">
        <v>0.12</v>
      </c>
      <c r="G85" s="576">
        <v>4</v>
      </c>
      <c r="H85" s="604"/>
      <c r="I85" s="604"/>
      <c r="J85" s="605"/>
      <c r="K85" s="607"/>
      <c r="L85" s="590"/>
      <c r="M85" s="591"/>
      <c r="N85" s="600"/>
      <c r="O85" s="604"/>
      <c r="P85" s="604"/>
      <c r="Q85" s="605"/>
      <c r="R85" s="607"/>
      <c r="S85" s="590"/>
      <c r="T85" s="591"/>
      <c r="V85" s="587"/>
      <c r="W85" s="588"/>
      <c r="X85" s="589"/>
      <c r="Y85" s="590"/>
      <c r="Z85" s="591"/>
      <c r="AA85" s="594"/>
      <c r="AB85" s="587"/>
      <c r="AC85" s="588"/>
      <c r="AD85" s="589"/>
      <c r="AE85" s="590"/>
      <c r="AF85" s="591"/>
    </row>
    <row r="86" spans="1:32" ht="13.5" customHeight="1">
      <c r="A86" s="585">
        <v>60</v>
      </c>
      <c r="B86" s="579" t="s">
        <v>10</v>
      </c>
      <c r="C86" s="593">
        <v>-0.01</v>
      </c>
      <c r="D86" s="593">
        <v>-0.01</v>
      </c>
      <c r="E86" s="581">
        <f t="shared" si="15"/>
        <v>0</v>
      </c>
      <c r="F86" s="582">
        <v>0.12</v>
      </c>
      <c r="G86" s="576">
        <v>5</v>
      </c>
      <c r="H86" s="604"/>
      <c r="I86" s="604"/>
      <c r="J86" s="605"/>
      <c r="K86" s="607"/>
      <c r="L86" s="590"/>
      <c r="M86" s="591"/>
      <c r="N86" s="600"/>
      <c r="O86" s="604"/>
      <c r="P86" s="604"/>
      <c r="Q86" s="605"/>
      <c r="R86" s="607"/>
      <c r="S86" s="590"/>
      <c r="T86" s="591"/>
      <c r="V86" s="587"/>
      <c r="W86" s="588"/>
      <c r="X86" s="589"/>
      <c r="Y86" s="590"/>
      <c r="Z86" s="591"/>
      <c r="AA86" s="594"/>
      <c r="AB86" s="587"/>
      <c r="AC86" s="588"/>
      <c r="AD86" s="589"/>
      <c r="AE86" s="590"/>
      <c r="AF86" s="591"/>
    </row>
    <row r="87" spans="1:32" ht="13.5" customHeight="1">
      <c r="A87" s="585">
        <v>60</v>
      </c>
      <c r="B87" s="579" t="s">
        <v>10</v>
      </c>
      <c r="C87" s="593">
        <v>-0.01</v>
      </c>
      <c r="D87" s="593">
        <v>-0.01</v>
      </c>
      <c r="E87" s="581">
        <f t="shared" si="15"/>
        <v>0</v>
      </c>
      <c r="F87" s="582">
        <v>0.12</v>
      </c>
      <c r="G87" s="576">
        <v>6</v>
      </c>
      <c r="H87" s="604"/>
      <c r="I87" s="604"/>
      <c r="J87" s="605"/>
      <c r="K87" s="607"/>
      <c r="L87" s="590"/>
      <c r="M87" s="591"/>
      <c r="N87" s="600"/>
      <c r="O87" s="604"/>
      <c r="P87" s="604"/>
      <c r="Q87" s="605"/>
      <c r="R87" s="607"/>
      <c r="S87" s="590"/>
      <c r="T87" s="591"/>
      <c r="V87" s="587"/>
      <c r="W87" s="588"/>
      <c r="X87" s="589"/>
      <c r="Y87" s="590"/>
      <c r="Z87" s="591"/>
      <c r="AA87" s="594"/>
      <c r="AB87" s="587"/>
      <c r="AC87" s="588"/>
      <c r="AD87" s="589"/>
      <c r="AE87" s="590"/>
      <c r="AF87" s="591"/>
    </row>
    <row r="88" spans="1:32" ht="13.5" customHeight="1">
      <c r="A88" s="585">
        <v>60</v>
      </c>
      <c r="B88" s="579" t="s">
        <v>10</v>
      </c>
      <c r="C88" s="593">
        <v>-0.01</v>
      </c>
      <c r="D88" s="593">
        <v>-0.01</v>
      </c>
      <c r="E88" s="581">
        <f t="shared" si="15"/>
        <v>0</v>
      </c>
      <c r="F88" s="582">
        <v>0.12</v>
      </c>
      <c r="G88" s="576">
        <v>7</v>
      </c>
      <c r="H88" s="604"/>
      <c r="I88" s="604"/>
      <c r="J88" s="605"/>
      <c r="K88" s="607"/>
      <c r="L88" s="590"/>
      <c r="M88" s="591"/>
      <c r="N88" s="600"/>
      <c r="O88" s="604"/>
      <c r="P88" s="604"/>
      <c r="Q88" s="605"/>
      <c r="R88" s="607"/>
      <c r="S88" s="590"/>
      <c r="T88" s="591"/>
      <c r="V88" s="587"/>
      <c r="W88" s="588"/>
      <c r="X88" s="589"/>
      <c r="Y88" s="590"/>
      <c r="Z88" s="591"/>
      <c r="AA88" s="594"/>
      <c r="AB88" s="587"/>
      <c r="AC88" s="588"/>
      <c r="AD88" s="589"/>
      <c r="AE88" s="590"/>
      <c r="AF88" s="591"/>
    </row>
    <row r="89" spans="1:32" ht="13.5" customHeight="1">
      <c r="A89" s="585">
        <v>300</v>
      </c>
      <c r="B89" s="579" t="s">
        <v>10</v>
      </c>
      <c r="C89" s="593">
        <v>-0.01</v>
      </c>
      <c r="D89" s="593">
        <v>-0.01</v>
      </c>
      <c r="E89" s="581">
        <f t="shared" si="15"/>
        <v>0</v>
      </c>
      <c r="F89" s="582">
        <v>0.12</v>
      </c>
      <c r="G89" s="576">
        <v>8</v>
      </c>
      <c r="H89" s="604"/>
      <c r="I89" s="604"/>
      <c r="J89" s="605"/>
      <c r="K89" s="607"/>
      <c r="L89" s="590"/>
      <c r="M89" s="591"/>
      <c r="N89" s="600"/>
      <c r="O89" s="604"/>
      <c r="P89" s="604"/>
      <c r="Q89" s="605"/>
      <c r="R89" s="607"/>
      <c r="S89" s="590"/>
      <c r="T89" s="591"/>
      <c r="V89" s="587"/>
      <c r="W89" s="588"/>
      <c r="X89" s="589"/>
      <c r="Y89" s="590"/>
      <c r="Z89" s="591"/>
      <c r="AA89" s="594"/>
      <c r="AB89" s="587"/>
      <c r="AC89" s="588"/>
      <c r="AD89" s="589"/>
      <c r="AE89" s="590"/>
      <c r="AF89" s="591"/>
    </row>
    <row r="90" spans="1:32" ht="13.5" customHeight="1">
      <c r="A90" s="585">
        <v>600</v>
      </c>
      <c r="B90" s="579" t="s">
        <v>10</v>
      </c>
      <c r="C90" s="593">
        <v>-0.01</v>
      </c>
      <c r="D90" s="593">
        <v>-0.02</v>
      </c>
      <c r="E90" s="581">
        <f t="shared" si="15"/>
        <v>5.0000000000000001E-3</v>
      </c>
      <c r="F90" s="582">
        <v>0.12</v>
      </c>
      <c r="G90" s="576">
        <v>9</v>
      </c>
      <c r="H90" s="604"/>
      <c r="I90" s="604"/>
      <c r="J90" s="605"/>
      <c r="K90" s="607"/>
      <c r="L90" s="590"/>
      <c r="M90" s="591"/>
      <c r="N90" s="600"/>
      <c r="O90" s="604"/>
      <c r="P90" s="604"/>
      <c r="Q90" s="605"/>
      <c r="R90" s="607"/>
      <c r="S90" s="590"/>
      <c r="T90" s="591"/>
      <c r="V90" s="587"/>
      <c r="W90" s="588"/>
      <c r="X90" s="589"/>
      <c r="Y90" s="590"/>
      <c r="Z90" s="591"/>
      <c r="AA90" s="594"/>
      <c r="AB90" s="587"/>
      <c r="AC90" s="588"/>
      <c r="AD90" s="589"/>
      <c r="AE90" s="590"/>
      <c r="AF90" s="591"/>
    </row>
    <row r="91" spans="1:32" ht="13.5" customHeight="1">
      <c r="A91" s="585">
        <v>900</v>
      </c>
      <c r="B91" s="579" t="s">
        <v>10</v>
      </c>
      <c r="C91" s="593">
        <v>-0.01</v>
      </c>
      <c r="D91" s="593">
        <v>-0.03</v>
      </c>
      <c r="E91" s="581">
        <f t="shared" si="15"/>
        <v>9.9999999999999985E-3</v>
      </c>
      <c r="F91" s="582">
        <v>0.12</v>
      </c>
      <c r="G91" s="576">
        <v>10</v>
      </c>
      <c r="H91" s="604"/>
      <c r="I91" s="604"/>
      <c r="J91" s="605"/>
      <c r="K91" s="607"/>
      <c r="L91" s="590"/>
      <c r="M91" s="591"/>
      <c r="N91" s="600"/>
      <c r="O91" s="604"/>
      <c r="P91" s="604"/>
      <c r="Q91" s="605"/>
      <c r="R91" s="607"/>
      <c r="S91" s="590"/>
      <c r="T91" s="591"/>
      <c r="V91" s="587"/>
      <c r="W91" s="588"/>
      <c r="X91" s="589"/>
      <c r="Y91" s="590"/>
      <c r="Z91" s="591"/>
      <c r="AA91" s="594"/>
      <c r="AB91" s="587"/>
      <c r="AC91" s="588"/>
      <c r="AD91" s="589"/>
      <c r="AE91" s="590"/>
      <c r="AF91" s="591"/>
    </row>
    <row r="92" spans="1:32" ht="13.5" customHeight="1">
      <c r="A92" s="585">
        <v>1200</v>
      </c>
      <c r="B92" s="579" t="s">
        <v>10</v>
      </c>
      <c r="C92" s="593">
        <v>0.02</v>
      </c>
      <c r="D92" s="593">
        <v>-0.03</v>
      </c>
      <c r="E92" s="581">
        <f>IFERROR(IF(OR(C92="-",D92="-"),1/3*F92,0.5*(MAX(C92:D92)-MIN(C92:D92))),0)</f>
        <v>2.5000000000000001E-2</v>
      </c>
      <c r="F92" s="582">
        <v>0.12</v>
      </c>
      <c r="G92" s="576">
        <v>11</v>
      </c>
      <c r="H92" s="604"/>
      <c r="I92" s="604"/>
      <c r="J92" s="605"/>
      <c r="K92" s="607"/>
      <c r="L92" s="590"/>
      <c r="M92" s="591"/>
      <c r="N92" s="600"/>
      <c r="O92" s="604"/>
      <c r="P92" s="604"/>
      <c r="Q92" s="605"/>
      <c r="R92" s="607"/>
      <c r="S92" s="590"/>
      <c r="T92" s="591"/>
      <c r="V92" s="587"/>
      <c r="W92" s="588"/>
      <c r="X92" s="589"/>
      <c r="Y92" s="590"/>
      <c r="Z92" s="591"/>
      <c r="AA92" s="594"/>
      <c r="AB92" s="587"/>
      <c r="AC92" s="588"/>
      <c r="AD92" s="589"/>
      <c r="AE92" s="590"/>
      <c r="AF92" s="591"/>
    </row>
    <row r="93" spans="1:32" ht="13.5" customHeight="1">
      <c r="A93" s="603"/>
      <c r="B93" s="604"/>
      <c r="C93" s="605"/>
      <c r="D93" s="606"/>
      <c r="E93" s="590"/>
      <c r="F93" s="591"/>
      <c r="G93" s="594"/>
      <c r="H93" s="604"/>
      <c r="I93" s="604"/>
      <c r="J93" s="605"/>
      <c r="K93" s="607"/>
      <c r="L93" s="590"/>
      <c r="M93" s="591"/>
      <c r="N93" s="600"/>
      <c r="O93" s="604"/>
      <c r="P93" s="604"/>
      <c r="Q93" s="605"/>
      <c r="R93" s="607"/>
      <c r="S93" s="590"/>
      <c r="T93" s="591"/>
      <c r="V93" s="587"/>
      <c r="W93" s="588"/>
      <c r="X93" s="589"/>
      <c r="Y93" s="590"/>
      <c r="Z93" s="591"/>
      <c r="AA93" s="594"/>
      <c r="AB93" s="587"/>
      <c r="AC93" s="588"/>
      <c r="AD93" s="589"/>
      <c r="AE93" s="590"/>
      <c r="AF93" s="591"/>
    </row>
    <row r="94" spans="1:32" ht="13.5" customHeight="1">
      <c r="A94" s="603"/>
      <c r="B94" s="604"/>
      <c r="C94" s="605"/>
      <c r="D94" s="606"/>
      <c r="E94" s="590"/>
      <c r="F94" s="591"/>
      <c r="G94" s="594"/>
      <c r="H94" s="604"/>
      <c r="I94" s="604"/>
      <c r="J94" s="605"/>
      <c r="K94" s="607"/>
      <c r="L94" s="590"/>
      <c r="M94" s="591"/>
      <c r="N94" s="600"/>
      <c r="O94" s="604"/>
      <c r="P94" s="604"/>
      <c r="Q94" s="605"/>
      <c r="R94" s="607"/>
      <c r="S94" s="590"/>
      <c r="T94" s="591"/>
      <c r="V94" s="587"/>
      <c r="W94" s="588"/>
      <c r="X94" s="589"/>
      <c r="Y94" s="590"/>
      <c r="Z94" s="591"/>
      <c r="AA94" s="594"/>
      <c r="AB94" s="587"/>
      <c r="AC94" s="588"/>
      <c r="AD94" s="589"/>
      <c r="AE94" s="590"/>
      <c r="AF94" s="591"/>
    </row>
    <row r="95" spans="1:32" ht="13.5" customHeight="1">
      <c r="A95" s="603"/>
      <c r="B95" s="604"/>
      <c r="C95" s="605"/>
      <c r="D95" s="606"/>
      <c r="E95" s="590"/>
      <c r="F95" s="591"/>
      <c r="G95" s="594"/>
      <c r="H95" s="604"/>
      <c r="I95" s="604"/>
      <c r="J95" s="605"/>
      <c r="K95" s="607"/>
      <c r="L95" s="590"/>
      <c r="M95" s="591"/>
      <c r="N95" s="600"/>
      <c r="O95" s="604"/>
      <c r="P95" s="604"/>
      <c r="Q95" s="605"/>
      <c r="R95" s="607"/>
      <c r="S95" s="590"/>
      <c r="T95" s="591"/>
      <c r="V95" s="587"/>
      <c r="W95" s="588"/>
      <c r="X95" s="589"/>
      <c r="Y95" s="590"/>
      <c r="Z95" s="591"/>
      <c r="AA95" s="594"/>
      <c r="AB95" s="587"/>
      <c r="AC95" s="588"/>
      <c r="AD95" s="589"/>
      <c r="AE95" s="590"/>
      <c r="AF95" s="591"/>
    </row>
    <row r="96" spans="1:32" ht="13" thickBot="1">
      <c r="A96" s="1277"/>
      <c r="B96" s="1278"/>
      <c r="C96" s="1278"/>
      <c r="D96" s="1278"/>
      <c r="E96" s="1278"/>
      <c r="F96" s="1278"/>
      <c r="G96" s="1278"/>
      <c r="H96" s="1278"/>
      <c r="I96" s="1278"/>
      <c r="J96" s="1278"/>
      <c r="K96" s="1278"/>
      <c r="L96" s="1278"/>
      <c r="M96" s="1278"/>
      <c r="N96" s="1278"/>
      <c r="O96" s="1278"/>
      <c r="P96" s="1278"/>
      <c r="Q96" s="1278"/>
      <c r="R96" s="1278"/>
      <c r="S96" s="1278"/>
      <c r="T96" s="1279"/>
      <c r="V96" s="596"/>
      <c r="W96" s="596"/>
      <c r="X96" s="596"/>
      <c r="Y96" s="596"/>
      <c r="Z96" s="596"/>
      <c r="AA96" s="596"/>
      <c r="AB96" s="596"/>
      <c r="AC96" s="596"/>
      <c r="AD96" s="596"/>
      <c r="AE96" s="596"/>
      <c r="AF96" s="596"/>
    </row>
    <row r="97" spans="1:32" ht="12.75" customHeight="1">
      <c r="A97" s="595"/>
      <c r="B97" s="588"/>
      <c r="C97" s="588"/>
      <c r="D97" s="588"/>
      <c r="E97" s="588"/>
      <c r="F97" s="588"/>
      <c r="G97" s="588"/>
      <c r="H97" s="588"/>
      <c r="I97" s="588"/>
      <c r="J97" s="588"/>
      <c r="K97" s="588"/>
      <c r="L97" s="588"/>
      <c r="M97" s="588"/>
      <c r="N97" s="600"/>
      <c r="O97" s="548"/>
      <c r="P97" s="548"/>
      <c r="Q97" s="548"/>
      <c r="R97" s="548"/>
      <c r="S97" s="548"/>
      <c r="T97" s="548"/>
      <c r="V97" s="588"/>
      <c r="W97" s="588"/>
      <c r="X97" s="588"/>
      <c r="Y97" s="588"/>
      <c r="Z97" s="588"/>
      <c r="AA97" s="588"/>
      <c r="AB97" s="588"/>
      <c r="AC97" s="588"/>
      <c r="AD97" s="588"/>
      <c r="AE97" s="588"/>
      <c r="AF97" s="588"/>
    </row>
    <row r="98" spans="1:32" ht="13.5" thickBot="1">
      <c r="A98" s="599"/>
      <c r="B98" s="600"/>
      <c r="C98" s="600"/>
      <c r="D98" s="600"/>
      <c r="E98" s="600"/>
      <c r="F98" s="600"/>
      <c r="G98" s="600"/>
      <c r="H98" s="600"/>
      <c r="I98" s="600"/>
      <c r="J98" s="600"/>
      <c r="K98" s="600"/>
      <c r="L98" s="600"/>
      <c r="M98" s="600"/>
      <c r="N98" s="600"/>
      <c r="O98" s="600"/>
      <c r="P98" s="600"/>
      <c r="Q98" s="600"/>
      <c r="R98" s="600"/>
      <c r="S98" s="600"/>
      <c r="T98" s="600"/>
    </row>
    <row r="99" spans="1:32" ht="12.75" customHeight="1">
      <c r="A99" s="1260" t="s">
        <v>24</v>
      </c>
      <c r="B99" s="1281"/>
      <c r="C99" s="1255" t="s">
        <v>25</v>
      </c>
      <c r="D99" s="1264" t="s">
        <v>7</v>
      </c>
      <c r="E99" s="1264"/>
      <c r="F99" s="1264"/>
      <c r="G99" s="1266" t="s">
        <v>2</v>
      </c>
      <c r="H99" s="1255" t="s">
        <v>26</v>
      </c>
      <c r="I99" s="608"/>
      <c r="J99" s="563"/>
      <c r="K99" s="1260" t="str">
        <f>A99</f>
        <v>No Urut Titik Ukur</v>
      </c>
      <c r="L99" s="1262"/>
      <c r="M99" s="1255" t="s">
        <v>25</v>
      </c>
      <c r="N99" s="1264" t="s">
        <v>7</v>
      </c>
      <c r="O99" s="1264"/>
      <c r="P99" s="1264"/>
      <c r="Q99" s="1266" t="s">
        <v>2</v>
      </c>
      <c r="R99" s="1255" t="s">
        <v>26</v>
      </c>
      <c r="S99" s="1257"/>
    </row>
    <row r="100" spans="1:32" ht="12.75" customHeight="1">
      <c r="A100" s="1261"/>
      <c r="B100" s="1282"/>
      <c r="C100" s="1256"/>
      <c r="D100" s="1265"/>
      <c r="E100" s="1265"/>
      <c r="F100" s="1265"/>
      <c r="G100" s="1267"/>
      <c r="H100" s="1256"/>
      <c r="I100" s="609"/>
      <c r="K100" s="1261"/>
      <c r="L100" s="1263"/>
      <c r="M100" s="1256"/>
      <c r="N100" s="1265"/>
      <c r="O100" s="1265"/>
      <c r="P100" s="1265"/>
      <c r="Q100" s="1267"/>
      <c r="R100" s="1256"/>
      <c r="S100" s="1258"/>
    </row>
    <row r="101" spans="1:32" ht="14.5" thickBot="1">
      <c r="A101" s="1280"/>
      <c r="B101" s="1283"/>
      <c r="C101" s="549" t="s">
        <v>8</v>
      </c>
      <c r="E101" s="610"/>
      <c r="F101" s="610"/>
      <c r="G101" s="1284"/>
      <c r="H101" s="1259"/>
      <c r="I101" s="611"/>
      <c r="K101" s="1261"/>
      <c r="L101" s="1263"/>
      <c r="M101" s="550" t="s">
        <v>8</v>
      </c>
      <c r="N101" s="612"/>
      <c r="O101" s="612"/>
      <c r="P101" s="612"/>
      <c r="Q101" s="1268"/>
      <c r="R101" s="1256"/>
      <c r="S101" s="1258"/>
    </row>
    <row r="102" spans="1:32" ht="13">
      <c r="A102" s="1242" t="s">
        <v>27</v>
      </c>
      <c r="B102" s="613">
        <v>1</v>
      </c>
      <c r="C102" s="614">
        <f t="shared" ref="C102:H102" si="16">A6</f>
        <v>0</v>
      </c>
      <c r="D102" s="614" t="str">
        <f t="shared" si="16"/>
        <v>-</v>
      </c>
      <c r="E102" s="614">
        <f t="shared" si="16"/>
        <v>0</v>
      </c>
      <c r="F102" s="614">
        <f t="shared" si="16"/>
        <v>0</v>
      </c>
      <c r="G102" s="614">
        <f t="shared" si="16"/>
        <v>0</v>
      </c>
      <c r="H102" s="614">
        <f t="shared" si="16"/>
        <v>0.12</v>
      </c>
      <c r="I102" s="615"/>
      <c r="K102" s="1227" t="s">
        <v>28</v>
      </c>
      <c r="L102" s="613">
        <v>1</v>
      </c>
      <c r="M102" s="616">
        <f t="shared" ref="M102:R102" si="17">A$12</f>
        <v>60</v>
      </c>
      <c r="N102" s="616" t="str">
        <f t="shared" si="17"/>
        <v>-</v>
      </c>
      <c r="O102" s="616">
        <f t="shared" si="17"/>
        <v>-6.0000000000000001E-3</v>
      </c>
      <c r="P102" s="616" t="str">
        <f t="shared" si="17"/>
        <v>-</v>
      </c>
      <c r="Q102" s="616">
        <f t="shared" si="17"/>
        <v>3.9999999999999994E-2</v>
      </c>
      <c r="R102" s="616">
        <f t="shared" si="17"/>
        <v>0.12</v>
      </c>
      <c r="S102" s="617"/>
    </row>
    <row r="103" spans="1:32" ht="13">
      <c r="A103" s="1243"/>
      <c r="B103" s="618">
        <v>2</v>
      </c>
      <c r="C103" s="619">
        <f t="shared" ref="C103:H103" si="18">H6</f>
        <v>0</v>
      </c>
      <c r="D103" s="619" t="str">
        <f t="shared" si="18"/>
        <v>-</v>
      </c>
      <c r="E103" s="619">
        <f t="shared" si="18"/>
        <v>0</v>
      </c>
      <c r="F103" s="619">
        <f t="shared" si="18"/>
        <v>0</v>
      </c>
      <c r="G103" s="619">
        <f t="shared" si="18"/>
        <v>0</v>
      </c>
      <c r="H103" s="619">
        <f t="shared" si="18"/>
        <v>0.12</v>
      </c>
      <c r="I103" s="620"/>
      <c r="K103" s="1227"/>
      <c r="L103" s="618">
        <v>2</v>
      </c>
      <c r="M103" s="619">
        <f t="shared" ref="M103:R103" si="19">H$12</f>
        <v>60</v>
      </c>
      <c r="N103" s="619" t="str">
        <f t="shared" si="19"/>
        <v>-</v>
      </c>
      <c r="O103" s="619">
        <f t="shared" si="19"/>
        <v>3.0000000000000001E-3</v>
      </c>
      <c r="P103" s="619">
        <f t="shared" si="19"/>
        <v>0.01</v>
      </c>
      <c r="Q103" s="619">
        <f t="shared" si="19"/>
        <v>3.5000000000000001E-3</v>
      </c>
      <c r="R103" s="619">
        <f t="shared" si="19"/>
        <v>0.12</v>
      </c>
      <c r="S103" s="621"/>
    </row>
    <row r="104" spans="1:32" ht="13">
      <c r="A104" s="1243"/>
      <c r="B104" s="618">
        <v>3</v>
      </c>
      <c r="C104" s="619">
        <f t="shared" ref="C104:H104" si="20">O6</f>
        <v>0</v>
      </c>
      <c r="D104" s="619" t="str">
        <f t="shared" si="20"/>
        <v>-</v>
      </c>
      <c r="E104" s="619">
        <f t="shared" si="20"/>
        <v>0</v>
      </c>
      <c r="F104" s="619">
        <f t="shared" si="20"/>
        <v>0</v>
      </c>
      <c r="G104" s="619">
        <f t="shared" si="20"/>
        <v>0</v>
      </c>
      <c r="H104" s="619">
        <f t="shared" si="20"/>
        <v>0</v>
      </c>
      <c r="I104" s="620"/>
      <c r="K104" s="1227"/>
      <c r="L104" s="618">
        <v>3</v>
      </c>
      <c r="M104" s="619">
        <f t="shared" ref="M104:R104" si="21">O$12</f>
        <v>60</v>
      </c>
      <c r="N104" s="619" t="str">
        <f t="shared" si="21"/>
        <v>-</v>
      </c>
      <c r="O104" s="619">
        <f t="shared" si="21"/>
        <v>0.01</v>
      </c>
      <c r="P104" s="619">
        <f t="shared" si="21"/>
        <v>0</v>
      </c>
      <c r="Q104" s="619">
        <f t="shared" si="21"/>
        <v>5.0000000000000001E-3</v>
      </c>
      <c r="R104" s="619">
        <f t="shared" si="21"/>
        <v>0.12</v>
      </c>
      <c r="S104" s="621"/>
    </row>
    <row r="105" spans="1:32" ht="13">
      <c r="A105" s="1243"/>
      <c r="B105" s="618">
        <v>4</v>
      </c>
      <c r="C105" s="619">
        <f t="shared" ref="C105:H105" si="22">A21</f>
        <v>0</v>
      </c>
      <c r="D105" s="619" t="str">
        <f t="shared" si="22"/>
        <v>-</v>
      </c>
      <c r="E105" s="619">
        <f t="shared" si="22"/>
        <v>0</v>
      </c>
      <c r="F105" s="619">
        <f t="shared" si="22"/>
        <v>0</v>
      </c>
      <c r="G105" s="619">
        <f t="shared" si="22"/>
        <v>0</v>
      </c>
      <c r="H105" s="619">
        <f t="shared" si="22"/>
        <v>0.12</v>
      </c>
      <c r="I105" s="620"/>
      <c r="K105" s="1227"/>
      <c r="L105" s="618">
        <v>4</v>
      </c>
      <c r="M105" s="619">
        <f t="shared" ref="M105:R105" si="23">A$27</f>
        <v>60</v>
      </c>
      <c r="N105" s="619" t="str">
        <f t="shared" si="23"/>
        <v>-</v>
      </c>
      <c r="O105" s="619">
        <f t="shared" si="23"/>
        <v>-0.01</v>
      </c>
      <c r="P105" s="619">
        <f t="shared" si="23"/>
        <v>2E-3</v>
      </c>
      <c r="Q105" s="619">
        <f t="shared" si="23"/>
        <v>6.0000000000000001E-3</v>
      </c>
      <c r="R105" s="619">
        <f t="shared" si="23"/>
        <v>0.12</v>
      </c>
      <c r="S105" s="621"/>
    </row>
    <row r="106" spans="1:32" ht="13">
      <c r="A106" s="1243"/>
      <c r="B106" s="618">
        <v>5</v>
      </c>
      <c r="C106" s="619">
        <f t="shared" ref="C106:H106" si="24">H21</f>
        <v>0</v>
      </c>
      <c r="D106" s="619" t="str">
        <f t="shared" si="24"/>
        <v>-</v>
      </c>
      <c r="E106" s="619">
        <f t="shared" si="24"/>
        <v>0</v>
      </c>
      <c r="F106" s="619">
        <f t="shared" si="24"/>
        <v>0</v>
      </c>
      <c r="G106" s="619">
        <f t="shared" si="24"/>
        <v>0</v>
      </c>
      <c r="H106" s="619">
        <f t="shared" si="24"/>
        <v>0</v>
      </c>
      <c r="I106" s="620"/>
      <c r="K106" s="1227"/>
      <c r="L106" s="618">
        <v>5</v>
      </c>
      <c r="M106" s="619">
        <f t="shared" ref="M106:R106" si="25">H$27</f>
        <v>60</v>
      </c>
      <c r="N106" s="619" t="str">
        <f t="shared" si="25"/>
        <v>-</v>
      </c>
      <c r="O106" s="619">
        <f t="shared" si="25"/>
        <v>-0.03</v>
      </c>
      <c r="P106" s="619">
        <f t="shared" si="25"/>
        <v>0</v>
      </c>
      <c r="Q106" s="619">
        <f t="shared" si="25"/>
        <v>1.4999999999999999E-2</v>
      </c>
      <c r="R106" s="619">
        <f t="shared" si="25"/>
        <v>0.12</v>
      </c>
      <c r="S106" s="622"/>
    </row>
    <row r="107" spans="1:32" ht="13">
      <c r="A107" s="1243"/>
      <c r="B107" s="618">
        <v>6</v>
      </c>
      <c r="C107" s="619">
        <f t="shared" ref="C107:H107" si="26">O21</f>
        <v>0</v>
      </c>
      <c r="D107" s="619" t="str">
        <f t="shared" si="26"/>
        <v>-</v>
      </c>
      <c r="E107" s="619">
        <f t="shared" si="26"/>
        <v>0</v>
      </c>
      <c r="F107" s="619">
        <f t="shared" si="26"/>
        <v>0</v>
      </c>
      <c r="G107" s="619">
        <f t="shared" si="26"/>
        <v>0</v>
      </c>
      <c r="H107" s="619">
        <f t="shared" si="26"/>
        <v>0</v>
      </c>
      <c r="I107" s="620"/>
      <c r="K107" s="1227"/>
      <c r="L107" s="618">
        <v>6</v>
      </c>
      <c r="M107" s="619">
        <f t="shared" ref="M107:R107" si="27">O$27</f>
        <v>60</v>
      </c>
      <c r="N107" s="619" t="str">
        <f t="shared" si="27"/>
        <v>-</v>
      </c>
      <c r="O107" s="619">
        <f t="shared" si="27"/>
        <v>0.01</v>
      </c>
      <c r="P107" s="619">
        <f t="shared" si="27"/>
        <v>0.02</v>
      </c>
      <c r="Q107" s="619">
        <f t="shared" si="27"/>
        <v>5.0000000000000001E-3</v>
      </c>
      <c r="R107" s="619">
        <f t="shared" si="27"/>
        <v>0.12</v>
      </c>
      <c r="S107" s="621"/>
    </row>
    <row r="108" spans="1:32" ht="13">
      <c r="A108" s="1243"/>
      <c r="B108" s="618">
        <v>7</v>
      </c>
      <c r="C108" s="619">
        <f t="shared" ref="C108:H108" si="28">A37</f>
        <v>0</v>
      </c>
      <c r="D108" s="619" t="str">
        <f t="shared" si="28"/>
        <v>-</v>
      </c>
      <c r="E108" s="619">
        <f t="shared" si="28"/>
        <v>0</v>
      </c>
      <c r="F108" s="619">
        <f t="shared" si="28"/>
        <v>0</v>
      </c>
      <c r="G108" s="619">
        <f t="shared" si="28"/>
        <v>0</v>
      </c>
      <c r="H108" s="619">
        <f t="shared" si="28"/>
        <v>0</v>
      </c>
      <c r="I108" s="620"/>
      <c r="K108" s="1227"/>
      <c r="L108" s="618">
        <v>7</v>
      </c>
      <c r="M108" s="619">
        <f t="shared" ref="M108:R108" si="29">A$43</f>
        <v>60</v>
      </c>
      <c r="N108" s="619" t="str">
        <f t="shared" si="29"/>
        <v>-</v>
      </c>
      <c r="O108" s="619">
        <f t="shared" si="29"/>
        <v>0.03</v>
      </c>
      <c r="P108" s="619">
        <f t="shared" si="29"/>
        <v>0.02</v>
      </c>
      <c r="Q108" s="619">
        <f t="shared" si="29"/>
        <v>4.9999999999999992E-3</v>
      </c>
      <c r="R108" s="619">
        <f t="shared" si="29"/>
        <v>0.12</v>
      </c>
      <c r="S108" s="621"/>
    </row>
    <row r="109" spans="1:32" ht="13">
      <c r="A109" s="1243"/>
      <c r="B109" s="618">
        <v>8</v>
      </c>
      <c r="C109" s="619">
        <f t="shared" ref="C109:H109" si="30">H37</f>
        <v>0</v>
      </c>
      <c r="D109" s="619" t="str">
        <f t="shared" si="30"/>
        <v>-</v>
      </c>
      <c r="E109" s="619">
        <f t="shared" si="30"/>
        <v>0</v>
      </c>
      <c r="F109" s="619" t="str">
        <f t="shared" si="30"/>
        <v>-</v>
      </c>
      <c r="G109" s="619">
        <f t="shared" si="30"/>
        <v>0</v>
      </c>
      <c r="H109" s="619">
        <f t="shared" si="30"/>
        <v>0</v>
      </c>
      <c r="I109" s="620"/>
      <c r="K109" s="1227"/>
      <c r="L109" s="618">
        <v>8</v>
      </c>
      <c r="M109" s="619">
        <f t="shared" ref="M109:R109" si="31">H$43</f>
        <v>60</v>
      </c>
      <c r="N109" s="619" t="str">
        <f t="shared" si="31"/>
        <v>-</v>
      </c>
      <c r="O109" s="619">
        <f t="shared" si="31"/>
        <v>0.01</v>
      </c>
      <c r="P109" s="619" t="str">
        <f t="shared" si="31"/>
        <v>-</v>
      </c>
      <c r="Q109" s="619">
        <f t="shared" si="31"/>
        <v>3.9999999999999994E-2</v>
      </c>
      <c r="R109" s="619">
        <f t="shared" si="31"/>
        <v>0.12</v>
      </c>
      <c r="S109" s="621"/>
    </row>
    <row r="110" spans="1:32" ht="13">
      <c r="A110" s="1243"/>
      <c r="B110" s="618">
        <v>9</v>
      </c>
      <c r="C110" s="619">
        <f t="shared" ref="C110:H110" si="32">O37</f>
        <v>0</v>
      </c>
      <c r="D110" s="619" t="str">
        <f t="shared" si="32"/>
        <v>-</v>
      </c>
      <c r="E110" s="619">
        <f t="shared" si="32"/>
        <v>0</v>
      </c>
      <c r="F110" s="619">
        <f t="shared" si="32"/>
        <v>0</v>
      </c>
      <c r="G110" s="619">
        <f t="shared" si="32"/>
        <v>0</v>
      </c>
      <c r="H110" s="619">
        <f t="shared" si="32"/>
        <v>0</v>
      </c>
      <c r="I110" s="620"/>
      <c r="K110" s="1227"/>
      <c r="L110" s="618">
        <v>9</v>
      </c>
      <c r="M110" s="619">
        <f t="shared" ref="M110:R110" si="33">O$43</f>
        <v>60</v>
      </c>
      <c r="N110" s="619" t="str">
        <f t="shared" si="33"/>
        <v>-</v>
      </c>
      <c r="O110" s="619">
        <f t="shared" si="33"/>
        <v>0.02</v>
      </c>
      <c r="P110" s="619">
        <f t="shared" si="33"/>
        <v>-0.01</v>
      </c>
      <c r="Q110" s="619">
        <f t="shared" si="33"/>
        <v>1.4999999999999999E-2</v>
      </c>
      <c r="R110" s="619">
        <f t="shared" si="33"/>
        <v>0.12</v>
      </c>
      <c r="S110" s="621"/>
    </row>
    <row r="111" spans="1:32" ht="13">
      <c r="A111" s="1243"/>
      <c r="B111" s="618">
        <v>10</v>
      </c>
      <c r="C111" s="619">
        <f t="shared" ref="C111:H111" si="34">A52</f>
        <v>0</v>
      </c>
      <c r="D111" s="619" t="str">
        <f t="shared" si="34"/>
        <v>-</v>
      </c>
      <c r="E111" s="619">
        <f t="shared" si="34"/>
        <v>0</v>
      </c>
      <c r="F111" s="619">
        <f t="shared" si="34"/>
        <v>0</v>
      </c>
      <c r="G111" s="619">
        <f t="shared" si="34"/>
        <v>0</v>
      </c>
      <c r="H111" s="619">
        <f t="shared" si="34"/>
        <v>0</v>
      </c>
      <c r="I111" s="620"/>
      <c r="K111" s="1227"/>
      <c r="L111" s="618">
        <v>10</v>
      </c>
      <c r="M111" s="619">
        <f t="shared" ref="M111:R111" si="35">A$58</f>
        <v>60</v>
      </c>
      <c r="N111" s="619" t="str">
        <f t="shared" si="35"/>
        <v>-</v>
      </c>
      <c r="O111" s="619">
        <f t="shared" si="35"/>
        <v>-0.06</v>
      </c>
      <c r="P111" s="619">
        <f t="shared" si="35"/>
        <v>-0.01</v>
      </c>
      <c r="Q111" s="619">
        <f t="shared" si="35"/>
        <v>2.4999999999999998E-2</v>
      </c>
      <c r="R111" s="619">
        <f t="shared" si="35"/>
        <v>0.12</v>
      </c>
      <c r="S111" s="621"/>
    </row>
    <row r="112" spans="1:32" ht="13">
      <c r="A112" s="1243"/>
      <c r="B112" s="618">
        <v>11</v>
      </c>
      <c r="C112" s="616">
        <f t="shared" ref="C112:H112" si="36">H52</f>
        <v>0</v>
      </c>
      <c r="D112" s="616" t="str">
        <f t="shared" si="36"/>
        <v>-</v>
      </c>
      <c r="E112" s="616">
        <f t="shared" si="36"/>
        <v>0</v>
      </c>
      <c r="F112" s="616">
        <f t="shared" si="36"/>
        <v>0</v>
      </c>
      <c r="G112" s="616">
        <f t="shared" si="36"/>
        <v>0</v>
      </c>
      <c r="H112" s="616">
        <f t="shared" si="36"/>
        <v>0</v>
      </c>
      <c r="I112" s="623"/>
      <c r="K112" s="624"/>
      <c r="L112" s="625">
        <v>11</v>
      </c>
      <c r="M112" s="616">
        <f t="shared" ref="M112:R112" si="37">H$58</f>
        <v>60</v>
      </c>
      <c r="N112" s="616" t="str">
        <f t="shared" si="37"/>
        <v>-</v>
      </c>
      <c r="O112" s="616">
        <f t="shared" si="37"/>
        <v>-0.03</v>
      </c>
      <c r="P112" s="616">
        <f t="shared" si="37"/>
        <v>0.01</v>
      </c>
      <c r="Q112" s="616">
        <f t="shared" si="37"/>
        <v>0.02</v>
      </c>
      <c r="R112" s="616">
        <f t="shared" si="37"/>
        <v>0.12</v>
      </c>
      <c r="S112" s="617"/>
    </row>
    <row r="113" spans="1:19" ht="13">
      <c r="A113" s="1243"/>
      <c r="B113" s="618">
        <v>12</v>
      </c>
      <c r="C113" s="616">
        <f>O52</f>
        <v>0</v>
      </c>
      <c r="D113" s="616" t="str">
        <f t="shared" ref="D113:H113" si="38">P52</f>
        <v>-</v>
      </c>
      <c r="E113" s="616">
        <f t="shared" si="38"/>
        <v>0</v>
      </c>
      <c r="F113" s="616">
        <f t="shared" si="38"/>
        <v>0</v>
      </c>
      <c r="G113" s="616">
        <f t="shared" si="38"/>
        <v>0</v>
      </c>
      <c r="H113" s="616">
        <f t="shared" si="38"/>
        <v>0</v>
      </c>
      <c r="I113" s="623"/>
      <c r="K113" s="624"/>
      <c r="L113" s="618">
        <v>12</v>
      </c>
      <c r="M113" s="616">
        <f t="shared" ref="M113:R113" si="39">O$58</f>
        <v>60</v>
      </c>
      <c r="N113" s="616" t="str">
        <f t="shared" si="39"/>
        <v>-</v>
      </c>
      <c r="O113" s="616">
        <f t="shared" si="39"/>
        <v>0.02</v>
      </c>
      <c r="P113" s="616">
        <f t="shared" si="39"/>
        <v>0.02</v>
      </c>
      <c r="Q113" s="616">
        <f t="shared" si="39"/>
        <v>0</v>
      </c>
      <c r="R113" s="616">
        <f t="shared" si="39"/>
        <v>0.12</v>
      </c>
      <c r="S113" s="617"/>
    </row>
    <row r="114" spans="1:19" ht="13">
      <c r="A114" s="1243"/>
      <c r="B114" s="618">
        <v>13</v>
      </c>
      <c r="C114" s="616">
        <f>A67</f>
        <v>0</v>
      </c>
      <c r="D114" s="616" t="str">
        <f t="shared" ref="D114:H114" si="40">B67</f>
        <v>-</v>
      </c>
      <c r="E114" s="616">
        <f t="shared" si="40"/>
        <v>0</v>
      </c>
      <c r="F114" s="616">
        <f t="shared" si="40"/>
        <v>0</v>
      </c>
      <c r="G114" s="616">
        <f t="shared" si="40"/>
        <v>0</v>
      </c>
      <c r="H114" s="616">
        <f t="shared" si="40"/>
        <v>0</v>
      </c>
      <c r="I114" s="623"/>
      <c r="K114" s="624"/>
      <c r="L114" s="618">
        <v>13</v>
      </c>
      <c r="M114" s="616">
        <f t="shared" ref="M114:R114" si="41">A$73</f>
        <v>60</v>
      </c>
      <c r="N114" s="616" t="str">
        <f t="shared" si="41"/>
        <v>-</v>
      </c>
      <c r="O114" s="616">
        <f t="shared" si="41"/>
        <v>0.02</v>
      </c>
      <c r="P114" s="616">
        <f t="shared" si="41"/>
        <v>0.02</v>
      </c>
      <c r="Q114" s="616">
        <f t="shared" si="41"/>
        <v>0</v>
      </c>
      <c r="R114" s="616">
        <f t="shared" si="41"/>
        <v>0.12</v>
      </c>
      <c r="S114" s="617"/>
    </row>
    <row r="115" spans="1:19" ht="13">
      <c r="A115" s="1243"/>
      <c r="B115" s="618">
        <v>14</v>
      </c>
      <c r="C115" s="616">
        <f t="shared" ref="C115:H115" si="42">H67</f>
        <v>0</v>
      </c>
      <c r="D115" s="616" t="str">
        <f t="shared" si="42"/>
        <v>-</v>
      </c>
      <c r="E115" s="616">
        <f t="shared" si="42"/>
        <v>0</v>
      </c>
      <c r="F115" s="616">
        <f t="shared" si="42"/>
        <v>0</v>
      </c>
      <c r="G115" s="616">
        <f t="shared" si="42"/>
        <v>0</v>
      </c>
      <c r="H115" s="616">
        <f t="shared" si="42"/>
        <v>0</v>
      </c>
      <c r="I115" s="623"/>
      <c r="K115" s="624"/>
      <c r="L115" s="618">
        <v>14</v>
      </c>
      <c r="M115" s="616">
        <f t="shared" ref="M115:R115" si="43">H$73</f>
        <v>60</v>
      </c>
      <c r="N115" s="616" t="str">
        <f t="shared" si="43"/>
        <v>-</v>
      </c>
      <c r="O115" s="616">
        <f t="shared" si="43"/>
        <v>0.03</v>
      </c>
      <c r="P115" s="616">
        <f t="shared" si="43"/>
        <v>-0.01</v>
      </c>
      <c r="Q115" s="616">
        <f t="shared" si="43"/>
        <v>0.02</v>
      </c>
      <c r="R115" s="616">
        <f t="shared" si="43"/>
        <v>0.12</v>
      </c>
      <c r="S115" s="617"/>
    </row>
    <row r="116" spans="1:19" ht="13">
      <c r="A116" s="1243"/>
      <c r="B116" s="618">
        <v>15</v>
      </c>
      <c r="C116" s="616">
        <f t="shared" ref="C116:H116" si="44">O67</f>
        <v>0</v>
      </c>
      <c r="D116" s="616" t="str">
        <f t="shared" si="44"/>
        <v>-</v>
      </c>
      <c r="E116" s="616">
        <f t="shared" si="44"/>
        <v>0</v>
      </c>
      <c r="F116" s="616">
        <f t="shared" si="44"/>
        <v>0</v>
      </c>
      <c r="G116" s="616">
        <f t="shared" si="44"/>
        <v>0</v>
      </c>
      <c r="H116" s="616">
        <f t="shared" si="44"/>
        <v>0</v>
      </c>
      <c r="I116" s="623"/>
      <c r="K116" s="624"/>
      <c r="L116" s="618">
        <v>15</v>
      </c>
      <c r="M116" s="616">
        <f t="shared" ref="M116:R116" si="45">O$73</f>
        <v>60</v>
      </c>
      <c r="N116" s="616" t="str">
        <f t="shared" si="45"/>
        <v>-</v>
      </c>
      <c r="O116" s="616">
        <f t="shared" si="45"/>
        <v>0.04</v>
      </c>
      <c r="P116" s="616">
        <f t="shared" si="45"/>
        <v>0</v>
      </c>
      <c r="Q116" s="616">
        <f t="shared" si="45"/>
        <v>0.02</v>
      </c>
      <c r="R116" s="616">
        <f t="shared" si="45"/>
        <v>0.12</v>
      </c>
      <c r="S116" s="617"/>
    </row>
    <row r="117" spans="1:19" ht="13.5" thickBot="1">
      <c r="A117" s="1244"/>
      <c r="B117" s="626">
        <v>16</v>
      </c>
      <c r="C117" s="627">
        <f>A82</f>
        <v>0</v>
      </c>
      <c r="D117" s="627" t="str">
        <f t="shared" ref="D117:H117" si="46">B82</f>
        <v>-</v>
      </c>
      <c r="E117" s="627">
        <f>C82</f>
        <v>0</v>
      </c>
      <c r="F117" s="627">
        <f t="shared" si="46"/>
        <v>0</v>
      </c>
      <c r="G117" s="627">
        <f t="shared" si="46"/>
        <v>0</v>
      </c>
      <c r="H117" s="627">
        <f t="shared" si="46"/>
        <v>0</v>
      </c>
      <c r="I117" s="628"/>
      <c r="K117" s="624"/>
      <c r="L117" s="629">
        <v>16</v>
      </c>
      <c r="M117" s="616">
        <f t="shared" ref="M117:R117" si="47">A$88</f>
        <v>60</v>
      </c>
      <c r="N117" s="616" t="str">
        <f t="shared" si="47"/>
        <v>-</v>
      </c>
      <c r="O117" s="616">
        <f t="shared" si="47"/>
        <v>-0.01</v>
      </c>
      <c r="P117" s="616">
        <f t="shared" si="47"/>
        <v>-0.01</v>
      </c>
      <c r="Q117" s="616">
        <f t="shared" si="47"/>
        <v>0</v>
      </c>
      <c r="R117" s="616">
        <f t="shared" si="47"/>
        <v>0.12</v>
      </c>
      <c r="S117" s="617"/>
    </row>
    <row r="118" spans="1:19" ht="13">
      <c r="A118" s="1242" t="s">
        <v>29</v>
      </c>
      <c r="B118" s="613">
        <v>1</v>
      </c>
      <c r="C118" s="614">
        <f>A$7</f>
        <v>10</v>
      </c>
      <c r="D118" s="614" t="str">
        <f t="shared" ref="D118:H118" si="48">B$7</f>
        <v>-</v>
      </c>
      <c r="E118" s="614">
        <f t="shared" si="48"/>
        <v>-1E-3</v>
      </c>
      <c r="F118" s="614" t="str">
        <f t="shared" si="48"/>
        <v>-</v>
      </c>
      <c r="G118" s="614">
        <f t="shared" si="48"/>
        <v>3.9999999999999994E-2</v>
      </c>
      <c r="H118" s="614">
        <f t="shared" si="48"/>
        <v>0.12</v>
      </c>
      <c r="I118" s="615"/>
      <c r="K118" s="1226" t="s">
        <v>30</v>
      </c>
      <c r="L118" s="613">
        <v>1</v>
      </c>
      <c r="M118" s="614">
        <f t="shared" ref="M118:R118" si="49">A$13</f>
        <v>300</v>
      </c>
      <c r="N118" s="614" t="str">
        <f t="shared" si="49"/>
        <v>-</v>
      </c>
      <c r="O118" s="614">
        <f t="shared" si="49"/>
        <v>-2E-3</v>
      </c>
      <c r="P118" s="614">
        <f t="shared" si="49"/>
        <v>0</v>
      </c>
      <c r="Q118" s="614">
        <f t="shared" si="49"/>
        <v>1E-3</v>
      </c>
      <c r="R118" s="614">
        <f t="shared" si="49"/>
        <v>0.12</v>
      </c>
      <c r="S118" s="630"/>
    </row>
    <row r="119" spans="1:19" ht="13">
      <c r="A119" s="1243"/>
      <c r="B119" s="618">
        <v>2</v>
      </c>
      <c r="C119" s="619">
        <f>H$7</f>
        <v>10</v>
      </c>
      <c r="D119" s="619" t="str">
        <f t="shared" ref="D119:H119" si="50">I$7</f>
        <v>-</v>
      </c>
      <c r="E119" s="619">
        <f t="shared" si="50"/>
        <v>1E-3</v>
      </c>
      <c r="F119" s="619" t="str">
        <f t="shared" si="50"/>
        <v>-</v>
      </c>
      <c r="G119" s="619">
        <f t="shared" si="50"/>
        <v>3.9999999999999994E-2</v>
      </c>
      <c r="H119" s="619">
        <f t="shared" si="50"/>
        <v>0.12</v>
      </c>
      <c r="I119" s="620"/>
      <c r="K119" s="1227"/>
      <c r="L119" s="618">
        <v>2</v>
      </c>
      <c r="M119" s="619">
        <f t="shared" ref="M119:R119" si="51">H$13</f>
        <v>300</v>
      </c>
      <c r="N119" s="619" t="str">
        <f t="shared" si="51"/>
        <v>-</v>
      </c>
      <c r="O119" s="619">
        <f t="shared" si="51"/>
        <v>3.0000000000000001E-3</v>
      </c>
      <c r="P119" s="619">
        <f t="shared" si="51"/>
        <v>0.01</v>
      </c>
      <c r="Q119" s="619">
        <f t="shared" si="51"/>
        <v>3.5000000000000001E-3</v>
      </c>
      <c r="R119" s="619">
        <f t="shared" si="51"/>
        <v>0.12</v>
      </c>
      <c r="S119" s="631"/>
    </row>
    <row r="120" spans="1:19" ht="13">
      <c r="A120" s="1243"/>
      <c r="B120" s="618">
        <v>3</v>
      </c>
      <c r="C120" s="619">
        <f>O$7</f>
        <v>10</v>
      </c>
      <c r="D120" s="619" t="str">
        <f t="shared" ref="D120:H120" si="52">P$7</f>
        <v>-</v>
      </c>
      <c r="E120" s="619">
        <f t="shared" si="52"/>
        <v>0</v>
      </c>
      <c r="F120" s="619" t="str">
        <f t="shared" si="52"/>
        <v>-</v>
      </c>
      <c r="G120" s="619">
        <f t="shared" si="52"/>
        <v>3.9999999999999994E-2</v>
      </c>
      <c r="H120" s="619">
        <f t="shared" si="52"/>
        <v>0.12</v>
      </c>
      <c r="I120" s="620"/>
      <c r="K120" s="1227"/>
      <c r="L120" s="618">
        <v>3</v>
      </c>
      <c r="M120" s="619">
        <f t="shared" ref="M120:R120" si="53">O$13</f>
        <v>300</v>
      </c>
      <c r="N120" s="619" t="str">
        <f t="shared" si="53"/>
        <v>-</v>
      </c>
      <c r="O120" s="619">
        <f t="shared" si="53"/>
        <v>0.01</v>
      </c>
      <c r="P120" s="619">
        <f t="shared" si="53"/>
        <v>-2E-3</v>
      </c>
      <c r="Q120" s="619">
        <f t="shared" si="53"/>
        <v>6.0000000000000001E-3</v>
      </c>
      <c r="R120" s="619">
        <f t="shared" si="53"/>
        <v>0.12</v>
      </c>
      <c r="S120" s="631"/>
    </row>
    <row r="121" spans="1:19" ht="13">
      <c r="A121" s="1243"/>
      <c r="B121" s="618">
        <v>4</v>
      </c>
      <c r="C121" s="619">
        <f>A$22</f>
        <v>60</v>
      </c>
      <c r="D121" s="619" t="str">
        <f t="shared" ref="D121:H121" si="54">B$22</f>
        <v>-</v>
      </c>
      <c r="E121" s="619">
        <f t="shared" si="54"/>
        <v>-0.01</v>
      </c>
      <c r="F121" s="619">
        <f t="shared" si="54"/>
        <v>2E-3</v>
      </c>
      <c r="G121" s="619">
        <f t="shared" si="54"/>
        <v>6.0000000000000001E-3</v>
      </c>
      <c r="H121" s="619">
        <f t="shared" si="54"/>
        <v>0.12</v>
      </c>
      <c r="I121" s="620"/>
      <c r="K121" s="1227"/>
      <c r="L121" s="618">
        <v>4</v>
      </c>
      <c r="M121" s="619">
        <f t="shared" ref="M121:R121" si="55">A$28</f>
        <v>300</v>
      </c>
      <c r="N121" s="619" t="str">
        <f t="shared" si="55"/>
        <v>-</v>
      </c>
      <c r="O121" s="619">
        <f t="shared" si="55"/>
        <v>-0.01</v>
      </c>
      <c r="P121" s="619">
        <f t="shared" si="55"/>
        <v>1E-3</v>
      </c>
      <c r="Q121" s="619">
        <f t="shared" si="55"/>
        <v>5.4999999999999997E-3</v>
      </c>
      <c r="R121" s="619">
        <f t="shared" si="55"/>
        <v>0.12</v>
      </c>
      <c r="S121" s="631"/>
    </row>
    <row r="122" spans="1:19" ht="13">
      <c r="A122" s="1243"/>
      <c r="B122" s="618">
        <v>5</v>
      </c>
      <c r="C122" s="619">
        <f>H$22</f>
        <v>10</v>
      </c>
      <c r="D122" s="619" t="str">
        <f t="shared" ref="D122:H122" si="56">I$22</f>
        <v>-</v>
      </c>
      <c r="E122" s="619">
        <f t="shared" si="56"/>
        <v>-0.02</v>
      </c>
      <c r="F122" s="619" t="str">
        <f t="shared" si="56"/>
        <v>-</v>
      </c>
      <c r="G122" s="619">
        <f t="shared" si="56"/>
        <v>3.9999999999999994E-2</v>
      </c>
      <c r="H122" s="619">
        <f t="shared" si="56"/>
        <v>0.12</v>
      </c>
      <c r="I122" s="620"/>
      <c r="K122" s="1227"/>
      <c r="L122" s="618">
        <v>5</v>
      </c>
      <c r="M122" s="619">
        <f t="shared" ref="M122:R122" si="57">H$28</f>
        <v>300</v>
      </c>
      <c r="N122" s="619" t="str">
        <f t="shared" si="57"/>
        <v>-</v>
      </c>
      <c r="O122" s="619">
        <f t="shared" si="57"/>
        <v>-0.02</v>
      </c>
      <c r="P122" s="619">
        <f t="shared" si="57"/>
        <v>-0.01</v>
      </c>
      <c r="Q122" s="619">
        <f t="shared" si="57"/>
        <v>5.0000000000000001E-3</v>
      </c>
      <c r="R122" s="619">
        <f t="shared" si="57"/>
        <v>0.12</v>
      </c>
      <c r="S122" s="622"/>
    </row>
    <row r="123" spans="1:19" ht="13">
      <c r="A123" s="1243"/>
      <c r="B123" s="618">
        <v>6</v>
      </c>
      <c r="C123" s="619">
        <f>O$22</f>
        <v>60</v>
      </c>
      <c r="D123" s="619" t="str">
        <f t="shared" ref="D123:H123" si="58">P$22</f>
        <v>-</v>
      </c>
      <c r="E123" s="619">
        <f t="shared" si="58"/>
        <v>0.01</v>
      </c>
      <c r="F123" s="619">
        <f t="shared" si="58"/>
        <v>0.02</v>
      </c>
      <c r="G123" s="619">
        <f t="shared" si="58"/>
        <v>5.0000000000000001E-3</v>
      </c>
      <c r="H123" s="619">
        <f t="shared" si="58"/>
        <v>0.12</v>
      </c>
      <c r="I123" s="620"/>
      <c r="K123" s="1227"/>
      <c r="L123" s="618">
        <v>6</v>
      </c>
      <c r="M123" s="619">
        <f t="shared" ref="M123:R123" si="59">O$28</f>
        <v>300</v>
      </c>
      <c r="N123" s="619" t="str">
        <f t="shared" si="59"/>
        <v>-</v>
      </c>
      <c r="O123" s="619">
        <f t="shared" si="59"/>
        <v>0.01</v>
      </c>
      <c r="P123" s="619">
        <f t="shared" si="59"/>
        <v>0.02</v>
      </c>
      <c r="Q123" s="619">
        <f t="shared" si="59"/>
        <v>5.0000000000000001E-3</v>
      </c>
      <c r="R123" s="619">
        <f t="shared" si="59"/>
        <v>0.12</v>
      </c>
      <c r="S123" s="631"/>
    </row>
    <row r="124" spans="1:19" ht="13">
      <c r="A124" s="1243"/>
      <c r="B124" s="618">
        <v>7</v>
      </c>
      <c r="C124" s="619">
        <f>A$38</f>
        <v>60</v>
      </c>
      <c r="D124" s="619" t="str">
        <f t="shared" ref="D124:H124" si="60">B$38</f>
        <v>-</v>
      </c>
      <c r="E124" s="619">
        <f t="shared" si="60"/>
        <v>0.03</v>
      </c>
      <c r="F124" s="619">
        <f t="shared" si="60"/>
        <v>0.02</v>
      </c>
      <c r="G124" s="619">
        <f t="shared" si="60"/>
        <v>4.9999999999999992E-3</v>
      </c>
      <c r="H124" s="619">
        <f t="shared" si="60"/>
        <v>0.12</v>
      </c>
      <c r="I124" s="620"/>
      <c r="K124" s="1227"/>
      <c r="L124" s="618">
        <v>7</v>
      </c>
      <c r="M124" s="619">
        <f t="shared" ref="M124:R124" si="61">A$44</f>
        <v>300</v>
      </c>
      <c r="N124" s="619" t="str">
        <f t="shared" si="61"/>
        <v>-</v>
      </c>
      <c r="O124" s="619">
        <f t="shared" si="61"/>
        <v>0.02</v>
      </c>
      <c r="P124" s="619">
        <f t="shared" si="61"/>
        <v>0.02</v>
      </c>
      <c r="Q124" s="619">
        <f t="shared" si="61"/>
        <v>0</v>
      </c>
      <c r="R124" s="619">
        <f t="shared" si="61"/>
        <v>0.12</v>
      </c>
      <c r="S124" s="631"/>
    </row>
    <row r="125" spans="1:19" ht="13">
      <c r="A125" s="1243"/>
      <c r="B125" s="618">
        <v>8</v>
      </c>
      <c r="C125" s="619">
        <f>H$38</f>
        <v>60</v>
      </c>
      <c r="D125" s="619" t="str">
        <f t="shared" ref="D125:H125" si="62">I$38</f>
        <v>-</v>
      </c>
      <c r="E125" s="619">
        <f t="shared" si="62"/>
        <v>0.01</v>
      </c>
      <c r="F125" s="619" t="str">
        <f t="shared" si="62"/>
        <v>-</v>
      </c>
      <c r="G125" s="619">
        <f t="shared" si="62"/>
        <v>3.9999999999999994E-2</v>
      </c>
      <c r="H125" s="619">
        <f t="shared" si="62"/>
        <v>0.12</v>
      </c>
      <c r="I125" s="620"/>
      <c r="K125" s="1227"/>
      <c r="L125" s="618">
        <v>8</v>
      </c>
      <c r="M125" s="619">
        <f t="shared" ref="M125:R125" si="63">H$44</f>
        <v>300</v>
      </c>
      <c r="N125" s="619" t="str">
        <f t="shared" si="63"/>
        <v>-</v>
      </c>
      <c r="O125" s="619">
        <f t="shared" si="63"/>
        <v>0.02</v>
      </c>
      <c r="P125" s="619" t="str">
        <f t="shared" si="63"/>
        <v>-</v>
      </c>
      <c r="Q125" s="619">
        <f t="shared" si="63"/>
        <v>3.9999999999999994E-2</v>
      </c>
      <c r="R125" s="619">
        <f t="shared" si="63"/>
        <v>0.12</v>
      </c>
      <c r="S125" s="631"/>
    </row>
    <row r="126" spans="1:19" ht="13">
      <c r="A126" s="1243"/>
      <c r="B126" s="618">
        <v>9</v>
      </c>
      <c r="C126" s="619">
        <f>O$38</f>
        <v>60</v>
      </c>
      <c r="D126" s="619" t="str">
        <f t="shared" ref="D126:H126" si="64">P$38</f>
        <v>-</v>
      </c>
      <c r="E126" s="619">
        <f t="shared" si="64"/>
        <v>0.02</v>
      </c>
      <c r="F126" s="619">
        <f t="shared" si="64"/>
        <v>-0.01</v>
      </c>
      <c r="G126" s="619">
        <f t="shared" si="64"/>
        <v>1.4999999999999999E-2</v>
      </c>
      <c r="H126" s="619">
        <f t="shared" si="64"/>
        <v>0.12</v>
      </c>
      <c r="I126" s="620"/>
      <c r="K126" s="1227"/>
      <c r="L126" s="618">
        <v>9</v>
      </c>
      <c r="M126" s="619">
        <f t="shared" ref="M126:R126" si="65">O$44</f>
        <v>300</v>
      </c>
      <c r="N126" s="619" t="str">
        <f t="shared" si="65"/>
        <v>-</v>
      </c>
      <c r="O126" s="619">
        <f t="shared" si="65"/>
        <v>0.01</v>
      </c>
      <c r="P126" s="619">
        <f t="shared" si="65"/>
        <v>-0.02</v>
      </c>
      <c r="Q126" s="619">
        <f t="shared" si="65"/>
        <v>1.4999999999999999E-2</v>
      </c>
      <c r="R126" s="619">
        <f t="shared" si="65"/>
        <v>0.12</v>
      </c>
      <c r="S126" s="631"/>
    </row>
    <row r="127" spans="1:19" ht="13">
      <c r="A127" s="1243"/>
      <c r="B127" s="618">
        <v>10</v>
      </c>
      <c r="C127" s="619">
        <f>A$53</f>
        <v>10</v>
      </c>
      <c r="D127" s="619" t="str">
        <f t="shared" ref="D127:H127" si="66">B$53</f>
        <v>-</v>
      </c>
      <c r="E127" s="619">
        <f t="shared" si="66"/>
        <v>-7.0000000000000007E-2</v>
      </c>
      <c r="F127" s="619" t="str">
        <f t="shared" si="66"/>
        <v>-</v>
      </c>
      <c r="G127" s="619">
        <f t="shared" si="66"/>
        <v>3.9999999999999994E-2</v>
      </c>
      <c r="H127" s="619">
        <f t="shared" si="66"/>
        <v>0.12</v>
      </c>
      <c r="I127" s="620"/>
      <c r="K127" s="1227"/>
      <c r="L127" s="618">
        <v>10</v>
      </c>
      <c r="M127" s="619">
        <f t="shared" ref="M127:R127" si="67">A$59</f>
        <v>300</v>
      </c>
      <c r="N127" s="619" t="str">
        <f t="shared" si="67"/>
        <v>-</v>
      </c>
      <c r="O127" s="619">
        <f t="shared" si="67"/>
        <v>-0.05</v>
      </c>
      <c r="P127" s="619">
        <f t="shared" si="67"/>
        <v>-0.01</v>
      </c>
      <c r="Q127" s="619">
        <f t="shared" si="67"/>
        <v>0.02</v>
      </c>
      <c r="R127" s="619">
        <f t="shared" si="67"/>
        <v>0.12</v>
      </c>
      <c r="S127" s="621"/>
    </row>
    <row r="128" spans="1:19" ht="13">
      <c r="A128" s="1243"/>
      <c r="B128" s="618">
        <v>11</v>
      </c>
      <c r="C128" s="616">
        <f>H$53</f>
        <v>10</v>
      </c>
      <c r="D128" s="616" t="str">
        <f t="shared" ref="D128:H128" si="68">I$53</f>
        <v>-</v>
      </c>
      <c r="E128" s="616">
        <f t="shared" si="68"/>
        <v>-0.03</v>
      </c>
      <c r="F128" s="616" t="str">
        <f t="shared" si="68"/>
        <v>-</v>
      </c>
      <c r="G128" s="616">
        <f t="shared" si="68"/>
        <v>3.9999999999999994E-2</v>
      </c>
      <c r="H128" s="616">
        <f t="shared" si="68"/>
        <v>0.12</v>
      </c>
      <c r="I128" s="623"/>
      <c r="K128" s="1227"/>
      <c r="L128" s="625">
        <v>11</v>
      </c>
      <c r="M128" s="616">
        <f t="shared" ref="M128:R128" si="69">H$59</f>
        <v>300</v>
      </c>
      <c r="N128" s="616" t="str">
        <f t="shared" si="69"/>
        <v>-</v>
      </c>
      <c r="O128" s="616">
        <f t="shared" si="69"/>
        <v>-0.03</v>
      </c>
      <c r="P128" s="616">
        <f t="shared" si="69"/>
        <v>0.02</v>
      </c>
      <c r="Q128" s="616">
        <f t="shared" si="69"/>
        <v>2.5000000000000001E-2</v>
      </c>
      <c r="R128" s="616">
        <f t="shared" si="69"/>
        <v>0.12</v>
      </c>
      <c r="S128" s="617"/>
    </row>
    <row r="129" spans="1:19" ht="13">
      <c r="A129" s="1243"/>
      <c r="B129" s="618">
        <v>12</v>
      </c>
      <c r="C129" s="616">
        <f>O$53</f>
        <v>10</v>
      </c>
      <c r="D129" s="616" t="str">
        <f t="shared" ref="D129:H129" si="70">P$53</f>
        <v>-</v>
      </c>
      <c r="E129" s="616">
        <f t="shared" si="70"/>
        <v>0.02</v>
      </c>
      <c r="F129" s="616" t="str">
        <f t="shared" si="70"/>
        <v>-</v>
      </c>
      <c r="G129" s="616">
        <f t="shared" si="70"/>
        <v>3.9999999999999994E-2</v>
      </c>
      <c r="H129" s="616">
        <f t="shared" si="70"/>
        <v>0.12</v>
      </c>
      <c r="I129" s="623"/>
      <c r="K129" s="1227"/>
      <c r="L129" s="618">
        <v>12</v>
      </c>
      <c r="M129" s="616">
        <f t="shared" ref="M129:R129" si="71">O$59</f>
        <v>300</v>
      </c>
      <c r="N129" s="616" t="str">
        <f t="shared" si="71"/>
        <v>-</v>
      </c>
      <c r="O129" s="616">
        <f t="shared" si="71"/>
        <v>0.02</v>
      </c>
      <c r="P129" s="616">
        <f t="shared" si="71"/>
        <v>0.02</v>
      </c>
      <c r="Q129" s="616">
        <f t="shared" si="71"/>
        <v>0</v>
      </c>
      <c r="R129" s="616">
        <f t="shared" si="71"/>
        <v>0.12</v>
      </c>
      <c r="S129" s="617"/>
    </row>
    <row r="130" spans="1:19" ht="13">
      <c r="A130" s="1243"/>
      <c r="B130" s="618">
        <v>13</v>
      </c>
      <c r="C130" s="616">
        <f>A$68</f>
        <v>10</v>
      </c>
      <c r="D130" s="616" t="str">
        <f t="shared" ref="D130:H130" si="72">B$68</f>
        <v>-</v>
      </c>
      <c r="E130" s="616">
        <f t="shared" si="72"/>
        <v>0.02</v>
      </c>
      <c r="F130" s="616" t="str">
        <f t="shared" si="72"/>
        <v>-</v>
      </c>
      <c r="G130" s="616">
        <f t="shared" si="72"/>
        <v>3.9999999999999994E-2</v>
      </c>
      <c r="H130" s="616">
        <f t="shared" si="72"/>
        <v>0.12</v>
      </c>
      <c r="I130" s="623"/>
      <c r="K130" s="1227"/>
      <c r="L130" s="618">
        <v>13</v>
      </c>
      <c r="M130" s="616">
        <f t="shared" ref="M130:R130" si="73">A$74</f>
        <v>300</v>
      </c>
      <c r="N130" s="616" t="str">
        <f t="shared" si="73"/>
        <v>-</v>
      </c>
      <c r="O130" s="616">
        <f t="shared" si="73"/>
        <v>0.01</v>
      </c>
      <c r="P130" s="616">
        <f t="shared" si="73"/>
        <v>0.02</v>
      </c>
      <c r="Q130" s="616">
        <f t="shared" si="73"/>
        <v>5.0000000000000001E-3</v>
      </c>
      <c r="R130" s="616">
        <f t="shared" si="73"/>
        <v>0.12</v>
      </c>
      <c r="S130" s="617"/>
    </row>
    <row r="131" spans="1:19" ht="13">
      <c r="A131" s="1243"/>
      <c r="B131" s="618">
        <v>14</v>
      </c>
      <c r="C131" s="616">
        <f>H$68</f>
        <v>10</v>
      </c>
      <c r="D131" s="616" t="str">
        <f t="shared" ref="D131:H131" si="74">I$68</f>
        <v>-</v>
      </c>
      <c r="E131" s="616">
        <f t="shared" si="74"/>
        <v>0.02</v>
      </c>
      <c r="F131" s="616" t="str">
        <f t="shared" si="74"/>
        <v>-</v>
      </c>
      <c r="G131" s="616">
        <f t="shared" si="74"/>
        <v>3.9999999999999994E-2</v>
      </c>
      <c r="H131" s="616">
        <f t="shared" si="74"/>
        <v>0.12</v>
      </c>
      <c r="I131" s="623"/>
      <c r="K131" s="1227"/>
      <c r="L131" s="618">
        <v>14</v>
      </c>
      <c r="M131" s="616">
        <f t="shared" ref="M131:R131" si="75">H$74</f>
        <v>300</v>
      </c>
      <c r="N131" s="616" t="str">
        <f t="shared" si="75"/>
        <v>-</v>
      </c>
      <c r="O131" s="616">
        <f t="shared" si="75"/>
        <v>0.03</v>
      </c>
      <c r="P131" s="616">
        <f t="shared" si="75"/>
        <v>-0.01</v>
      </c>
      <c r="Q131" s="616">
        <f t="shared" si="75"/>
        <v>0.02</v>
      </c>
      <c r="R131" s="616">
        <f t="shared" si="75"/>
        <v>0.12</v>
      </c>
      <c r="S131" s="617"/>
    </row>
    <row r="132" spans="1:19" ht="13">
      <c r="A132" s="1243"/>
      <c r="B132" s="618">
        <v>15</v>
      </c>
      <c r="C132" s="616">
        <f>O$68</f>
        <v>10</v>
      </c>
      <c r="D132" s="616" t="str">
        <f t="shared" ref="D132:H132" si="76">P$68</f>
        <v>-</v>
      </c>
      <c r="E132" s="616">
        <f t="shared" si="76"/>
        <v>0.03</v>
      </c>
      <c r="F132" s="616" t="str">
        <f t="shared" si="76"/>
        <v>-</v>
      </c>
      <c r="G132" s="616">
        <f t="shared" si="76"/>
        <v>3.9999999999999994E-2</v>
      </c>
      <c r="H132" s="616">
        <f t="shared" si="76"/>
        <v>0.12</v>
      </c>
      <c r="I132" s="623"/>
      <c r="K132" s="1227"/>
      <c r="L132" s="618">
        <v>15</v>
      </c>
      <c r="M132" s="616">
        <f t="shared" ref="M132:R132" si="77">O$74</f>
        <v>300</v>
      </c>
      <c r="N132" s="616" t="str">
        <f t="shared" si="77"/>
        <v>-</v>
      </c>
      <c r="O132" s="616">
        <f t="shared" si="77"/>
        <v>0.04</v>
      </c>
      <c r="P132" s="616">
        <f t="shared" si="77"/>
        <v>-0.01</v>
      </c>
      <c r="Q132" s="616">
        <f t="shared" si="77"/>
        <v>2.5000000000000001E-2</v>
      </c>
      <c r="R132" s="616">
        <f t="shared" si="77"/>
        <v>0.12</v>
      </c>
      <c r="S132" s="617"/>
    </row>
    <row r="133" spans="1:19" ht="13.5" thickBot="1">
      <c r="A133" s="1244"/>
      <c r="B133" s="626">
        <v>16</v>
      </c>
      <c r="C133" s="632">
        <f>A$83</f>
        <v>60</v>
      </c>
      <c r="D133" s="632" t="str">
        <f t="shared" ref="D133:H133" si="78">B$83</f>
        <v>-</v>
      </c>
      <c r="E133" s="632">
        <f t="shared" si="78"/>
        <v>-0.01</v>
      </c>
      <c r="F133" s="632">
        <f t="shared" si="78"/>
        <v>-0.01</v>
      </c>
      <c r="G133" s="632">
        <f t="shared" si="78"/>
        <v>0</v>
      </c>
      <c r="H133" s="632">
        <f t="shared" si="78"/>
        <v>0.12</v>
      </c>
      <c r="I133" s="633"/>
      <c r="K133" s="1228"/>
      <c r="L133" s="629">
        <v>16</v>
      </c>
      <c r="M133" s="634">
        <f t="shared" ref="M133:R133" si="79">A$89</f>
        <v>300</v>
      </c>
      <c r="N133" s="634" t="str">
        <f t="shared" si="79"/>
        <v>-</v>
      </c>
      <c r="O133" s="634">
        <f t="shared" si="79"/>
        <v>-0.01</v>
      </c>
      <c r="P133" s="634">
        <f t="shared" si="79"/>
        <v>-0.01</v>
      </c>
      <c r="Q133" s="634">
        <f t="shared" si="79"/>
        <v>0</v>
      </c>
      <c r="R133" s="634">
        <f t="shared" si="79"/>
        <v>0.12</v>
      </c>
      <c r="S133" s="635"/>
    </row>
    <row r="134" spans="1:19" ht="13">
      <c r="A134" s="1242" t="s">
        <v>31</v>
      </c>
      <c r="B134" s="613">
        <v>1</v>
      </c>
      <c r="C134" s="614">
        <f>A$8</f>
        <v>20</v>
      </c>
      <c r="D134" s="614" t="str">
        <f t="shared" ref="D134:H134" si="80">B$8</f>
        <v>-</v>
      </c>
      <c r="E134" s="614">
        <f t="shared" si="80"/>
        <v>-1E-3</v>
      </c>
      <c r="F134" s="614" t="str">
        <f t="shared" si="80"/>
        <v>-</v>
      </c>
      <c r="G134" s="614">
        <f t="shared" si="80"/>
        <v>3.9999999999999994E-2</v>
      </c>
      <c r="H134" s="614">
        <f t="shared" si="80"/>
        <v>0.12</v>
      </c>
      <c r="I134" s="615"/>
      <c r="K134" s="1245" t="s">
        <v>32</v>
      </c>
      <c r="L134" s="613">
        <v>1</v>
      </c>
      <c r="M134" s="614">
        <f t="shared" ref="M134:R134" si="81">A$14</f>
        <v>600</v>
      </c>
      <c r="N134" s="614" t="str">
        <f t="shared" si="81"/>
        <v>-</v>
      </c>
      <c r="O134" s="614">
        <f t="shared" si="81"/>
        <v>-8.0000000000000002E-3</v>
      </c>
      <c r="P134" s="614">
        <f t="shared" si="81"/>
        <v>-0.01</v>
      </c>
      <c r="Q134" s="614">
        <f t="shared" si="81"/>
        <v>1E-3</v>
      </c>
      <c r="R134" s="614">
        <f t="shared" si="81"/>
        <v>0.12</v>
      </c>
      <c r="S134" s="630"/>
    </row>
    <row r="135" spans="1:19" ht="13">
      <c r="A135" s="1243"/>
      <c r="B135" s="618">
        <v>2</v>
      </c>
      <c r="C135" s="619">
        <f>H$8</f>
        <v>20</v>
      </c>
      <c r="D135" s="619" t="str">
        <f t="shared" ref="D135:H135" si="82">I$8</f>
        <v>-</v>
      </c>
      <c r="E135" s="619">
        <f t="shared" si="82"/>
        <v>1E-3</v>
      </c>
      <c r="F135" s="619" t="str">
        <f t="shared" si="82"/>
        <v>-</v>
      </c>
      <c r="G135" s="619">
        <f t="shared" si="82"/>
        <v>3.9999999999999994E-2</v>
      </c>
      <c r="H135" s="619">
        <f t="shared" si="82"/>
        <v>0.12</v>
      </c>
      <c r="I135" s="620"/>
      <c r="K135" s="1246"/>
      <c r="L135" s="618">
        <v>2</v>
      </c>
      <c r="M135" s="619">
        <f t="shared" ref="M135:R135" si="83">H$14</f>
        <v>600</v>
      </c>
      <c r="N135" s="619" t="str">
        <f t="shared" si="83"/>
        <v>-</v>
      </c>
      <c r="O135" s="619">
        <f t="shared" si="83"/>
        <v>4.0000000000000001E-3</v>
      </c>
      <c r="P135" s="619">
        <f t="shared" si="83"/>
        <v>0.01</v>
      </c>
      <c r="Q135" s="619">
        <f t="shared" si="83"/>
        <v>3.0000000000000001E-3</v>
      </c>
      <c r="R135" s="619">
        <f t="shared" si="83"/>
        <v>0.12</v>
      </c>
      <c r="S135" s="631"/>
    </row>
    <row r="136" spans="1:19" ht="13">
      <c r="A136" s="1243"/>
      <c r="B136" s="618">
        <v>3</v>
      </c>
      <c r="C136" s="619">
        <f>O$8</f>
        <v>20</v>
      </c>
      <c r="D136" s="619" t="str">
        <f t="shared" ref="D136:H136" si="84">P$8</f>
        <v>-</v>
      </c>
      <c r="E136" s="619">
        <f t="shared" si="84"/>
        <v>0</v>
      </c>
      <c r="F136" s="619" t="str">
        <f t="shared" si="84"/>
        <v>-</v>
      </c>
      <c r="G136" s="619">
        <f t="shared" si="84"/>
        <v>3.9999999999999994E-2</v>
      </c>
      <c r="H136" s="619">
        <f t="shared" si="84"/>
        <v>0.12</v>
      </c>
      <c r="I136" s="620"/>
      <c r="K136" s="1246"/>
      <c r="L136" s="618">
        <v>3</v>
      </c>
      <c r="M136" s="619">
        <f t="shared" ref="M136:R136" si="85">O$14</f>
        <v>600</v>
      </c>
      <c r="N136" s="619" t="str">
        <f t="shared" si="85"/>
        <v>-</v>
      </c>
      <c r="O136" s="619">
        <f t="shared" si="85"/>
        <v>0.02</v>
      </c>
      <c r="P136" s="619">
        <f t="shared" si="85"/>
        <v>-3.0000000000000001E-3</v>
      </c>
      <c r="Q136" s="619">
        <f t="shared" si="85"/>
        <v>1.15E-2</v>
      </c>
      <c r="R136" s="619">
        <f t="shared" si="85"/>
        <v>0.12</v>
      </c>
      <c r="S136" s="631"/>
    </row>
    <row r="137" spans="1:19" ht="13">
      <c r="A137" s="1243"/>
      <c r="B137" s="618">
        <v>4</v>
      </c>
      <c r="C137" s="619">
        <f>A$23</f>
        <v>60</v>
      </c>
      <c r="D137" s="619" t="str">
        <f t="shared" ref="D137:H137" si="86">B$23</f>
        <v>-</v>
      </c>
      <c r="E137" s="619">
        <f t="shared" si="86"/>
        <v>-0.01</v>
      </c>
      <c r="F137" s="619">
        <f t="shared" si="86"/>
        <v>2E-3</v>
      </c>
      <c r="G137" s="619">
        <f t="shared" si="86"/>
        <v>6.0000000000000001E-3</v>
      </c>
      <c r="H137" s="619">
        <f t="shared" si="86"/>
        <v>0.12</v>
      </c>
      <c r="I137" s="620"/>
      <c r="K137" s="1246"/>
      <c r="L137" s="618">
        <v>4</v>
      </c>
      <c r="M137" s="619">
        <f t="shared" ref="M137:R137" si="87">A$29</f>
        <v>600</v>
      </c>
      <c r="N137" s="619" t="str">
        <f t="shared" si="87"/>
        <v>-</v>
      </c>
      <c r="O137" s="619">
        <f t="shared" si="87"/>
        <v>0.03</v>
      </c>
      <c r="P137" s="619">
        <f t="shared" si="87"/>
        <v>6.0000000000000001E-3</v>
      </c>
      <c r="Q137" s="619">
        <f t="shared" si="87"/>
        <v>1.2E-2</v>
      </c>
      <c r="R137" s="619">
        <f t="shared" si="87"/>
        <v>0.12</v>
      </c>
      <c r="S137" s="631"/>
    </row>
    <row r="138" spans="1:19" ht="13">
      <c r="A138" s="1243"/>
      <c r="B138" s="618">
        <v>5</v>
      </c>
      <c r="C138" s="619">
        <f>H$23</f>
        <v>20</v>
      </c>
      <c r="D138" s="619" t="str">
        <f t="shared" ref="D138:H138" si="88">I$23</f>
        <v>-</v>
      </c>
      <c r="E138" s="619">
        <f t="shared" si="88"/>
        <v>-0.02</v>
      </c>
      <c r="F138" s="619" t="str">
        <f t="shared" si="88"/>
        <v>-</v>
      </c>
      <c r="G138" s="619">
        <f t="shared" si="88"/>
        <v>3.9999999999999994E-2</v>
      </c>
      <c r="H138" s="619">
        <f t="shared" si="88"/>
        <v>0.12</v>
      </c>
      <c r="I138" s="620"/>
      <c r="K138" s="1246"/>
      <c r="L138" s="618">
        <v>5</v>
      </c>
      <c r="M138" s="619">
        <f t="shared" ref="M138:R138" si="89">H$29</f>
        <v>600</v>
      </c>
      <c r="N138" s="619" t="str">
        <f t="shared" si="89"/>
        <v>-</v>
      </c>
      <c r="O138" s="619">
        <f t="shared" si="89"/>
        <v>-0.03</v>
      </c>
      <c r="P138" s="619">
        <f t="shared" si="89"/>
        <v>-0.02</v>
      </c>
      <c r="Q138" s="619">
        <f t="shared" si="89"/>
        <v>4.9999999999999992E-3</v>
      </c>
      <c r="R138" s="619">
        <f t="shared" si="89"/>
        <v>0.12</v>
      </c>
      <c r="S138" s="622"/>
    </row>
    <row r="139" spans="1:19" ht="13">
      <c r="A139" s="1243"/>
      <c r="B139" s="618">
        <v>6</v>
      </c>
      <c r="C139" s="619">
        <f>O$23</f>
        <v>60</v>
      </c>
      <c r="D139" s="619" t="str">
        <f t="shared" ref="D139:H139" si="90">P$23</f>
        <v>-</v>
      </c>
      <c r="E139" s="619">
        <f t="shared" si="90"/>
        <v>0.01</v>
      </c>
      <c r="F139" s="619">
        <f t="shared" si="90"/>
        <v>0.02</v>
      </c>
      <c r="G139" s="619">
        <f t="shared" si="90"/>
        <v>5.0000000000000001E-3</v>
      </c>
      <c r="H139" s="619">
        <f t="shared" si="90"/>
        <v>0.12</v>
      </c>
      <c r="I139" s="620"/>
      <c r="K139" s="1246"/>
      <c r="L139" s="618">
        <v>6</v>
      </c>
      <c r="M139" s="619">
        <f t="shared" ref="M139:R139" si="91">O$29</f>
        <v>600</v>
      </c>
      <c r="N139" s="619" t="str">
        <f t="shared" si="91"/>
        <v>-</v>
      </c>
      <c r="O139" s="619">
        <f t="shared" si="91"/>
        <v>0.01</v>
      </c>
      <c r="P139" s="619">
        <f t="shared" si="91"/>
        <v>0.02</v>
      </c>
      <c r="Q139" s="619">
        <f t="shared" si="91"/>
        <v>5.0000000000000001E-3</v>
      </c>
      <c r="R139" s="619">
        <f t="shared" si="91"/>
        <v>0.12</v>
      </c>
      <c r="S139" s="631"/>
    </row>
    <row r="140" spans="1:19" ht="13">
      <c r="A140" s="1243"/>
      <c r="B140" s="618">
        <v>7</v>
      </c>
      <c r="C140" s="619">
        <f>A$39</f>
        <v>60</v>
      </c>
      <c r="D140" s="619" t="str">
        <f t="shared" ref="D140:H140" si="92">B$39</f>
        <v>-</v>
      </c>
      <c r="E140" s="619">
        <f t="shared" si="92"/>
        <v>0.03</v>
      </c>
      <c r="F140" s="619">
        <f t="shared" si="92"/>
        <v>0.02</v>
      </c>
      <c r="G140" s="619">
        <f t="shared" si="92"/>
        <v>4.9999999999999992E-3</v>
      </c>
      <c r="H140" s="619">
        <f t="shared" si="92"/>
        <v>0.12</v>
      </c>
      <c r="I140" s="620"/>
      <c r="K140" s="1246"/>
      <c r="L140" s="618">
        <v>7</v>
      </c>
      <c r="M140" s="619">
        <f t="shared" ref="M140:R140" si="93">A$45</f>
        <v>600</v>
      </c>
      <c r="N140" s="619" t="str">
        <f t="shared" si="93"/>
        <v>-</v>
      </c>
      <c r="O140" s="619">
        <f t="shared" si="93"/>
        <v>0.04</v>
      </c>
      <c r="P140" s="619">
        <f t="shared" si="93"/>
        <v>0.02</v>
      </c>
      <c r="Q140" s="619">
        <f t="shared" si="93"/>
        <v>0.01</v>
      </c>
      <c r="R140" s="619">
        <f t="shared" si="93"/>
        <v>0.12</v>
      </c>
      <c r="S140" s="631"/>
    </row>
    <row r="141" spans="1:19" ht="13">
      <c r="A141" s="1243"/>
      <c r="B141" s="618">
        <v>8</v>
      </c>
      <c r="C141" s="619">
        <f>H$39</f>
        <v>60</v>
      </c>
      <c r="D141" s="619" t="str">
        <f t="shared" ref="D141:H141" si="94">I$39</f>
        <v>-</v>
      </c>
      <c r="E141" s="619">
        <f t="shared" si="94"/>
        <v>0.01</v>
      </c>
      <c r="F141" s="619" t="str">
        <f t="shared" si="94"/>
        <v>-</v>
      </c>
      <c r="G141" s="619">
        <f t="shared" si="94"/>
        <v>3.9999999999999994E-2</v>
      </c>
      <c r="H141" s="619">
        <f t="shared" si="94"/>
        <v>0.12</v>
      </c>
      <c r="I141" s="620"/>
      <c r="K141" s="1246"/>
      <c r="L141" s="618">
        <v>8</v>
      </c>
      <c r="M141" s="619">
        <f t="shared" ref="M141:R141" si="95">H$45</f>
        <v>600</v>
      </c>
      <c r="N141" s="619" t="str">
        <f t="shared" si="95"/>
        <v>-</v>
      </c>
      <c r="O141" s="619">
        <f t="shared" si="95"/>
        <v>0.02</v>
      </c>
      <c r="P141" s="619" t="str">
        <f t="shared" si="95"/>
        <v>-</v>
      </c>
      <c r="Q141" s="619">
        <f t="shared" si="95"/>
        <v>3.9999999999999994E-2</v>
      </c>
      <c r="R141" s="619">
        <f t="shared" si="95"/>
        <v>0.12</v>
      </c>
      <c r="S141" s="631"/>
    </row>
    <row r="142" spans="1:19" ht="13">
      <c r="A142" s="1243"/>
      <c r="B142" s="618">
        <v>9</v>
      </c>
      <c r="C142" s="619">
        <f>O$39</f>
        <v>60</v>
      </c>
      <c r="D142" s="619" t="str">
        <f t="shared" ref="D142:H142" si="96">P$39</f>
        <v>-</v>
      </c>
      <c r="E142" s="619">
        <f t="shared" si="96"/>
        <v>0.02</v>
      </c>
      <c r="F142" s="619">
        <f t="shared" si="96"/>
        <v>-0.01</v>
      </c>
      <c r="G142" s="619">
        <f t="shared" si="96"/>
        <v>1.4999999999999999E-2</v>
      </c>
      <c r="H142" s="619">
        <f t="shared" si="96"/>
        <v>0.12</v>
      </c>
      <c r="I142" s="620"/>
      <c r="K142" s="1246"/>
      <c r="L142" s="618">
        <v>9</v>
      </c>
      <c r="M142" s="619">
        <f t="shared" ref="M142:R142" si="97">O$45</f>
        <v>600</v>
      </c>
      <c r="N142" s="619" t="str">
        <f t="shared" si="97"/>
        <v>-</v>
      </c>
      <c r="O142" s="619">
        <f t="shared" si="97"/>
        <v>0.01</v>
      </c>
      <c r="P142" s="619">
        <f t="shared" si="97"/>
        <v>-0.02</v>
      </c>
      <c r="Q142" s="619">
        <f t="shared" si="97"/>
        <v>1.4999999999999999E-2</v>
      </c>
      <c r="R142" s="619">
        <f t="shared" si="97"/>
        <v>0.12</v>
      </c>
      <c r="S142" s="631"/>
    </row>
    <row r="143" spans="1:19" ht="13">
      <c r="A143" s="1243"/>
      <c r="B143" s="618">
        <v>10</v>
      </c>
      <c r="C143" s="619">
        <f>A$54</f>
        <v>30</v>
      </c>
      <c r="D143" s="619" t="str">
        <f t="shared" ref="D143:H143" si="98">B$54</f>
        <v>-</v>
      </c>
      <c r="E143" s="619">
        <f t="shared" si="98"/>
        <v>-0.06</v>
      </c>
      <c r="F143" s="619" t="str">
        <f t="shared" si="98"/>
        <v>-</v>
      </c>
      <c r="G143" s="619">
        <f t="shared" si="98"/>
        <v>3.9999999999999994E-2</v>
      </c>
      <c r="H143" s="619">
        <f t="shared" si="98"/>
        <v>0.12</v>
      </c>
      <c r="I143" s="620"/>
      <c r="K143" s="1246"/>
      <c r="L143" s="618">
        <v>10</v>
      </c>
      <c r="M143" s="619">
        <f t="shared" ref="M143:R143" si="99">A$60</f>
        <v>600</v>
      </c>
      <c r="N143" s="619" t="str">
        <f t="shared" si="99"/>
        <v>-</v>
      </c>
      <c r="O143" s="619">
        <f t="shared" si="99"/>
        <v>-0.06</v>
      </c>
      <c r="P143" s="619">
        <f t="shared" si="99"/>
        <v>-0.02</v>
      </c>
      <c r="Q143" s="619">
        <f t="shared" si="99"/>
        <v>1.9999999999999997E-2</v>
      </c>
      <c r="R143" s="619">
        <f t="shared" si="99"/>
        <v>0.12</v>
      </c>
      <c r="S143" s="621"/>
    </row>
    <row r="144" spans="1:19" ht="13">
      <c r="A144" s="1243"/>
      <c r="B144" s="625">
        <v>11</v>
      </c>
      <c r="C144" s="616">
        <f>H$54</f>
        <v>30</v>
      </c>
      <c r="D144" s="616" t="str">
        <f t="shared" ref="D144:H144" si="100">I$54</f>
        <v>-</v>
      </c>
      <c r="E144" s="616">
        <f t="shared" si="100"/>
        <v>-0.04</v>
      </c>
      <c r="F144" s="616" t="str">
        <f t="shared" si="100"/>
        <v>-</v>
      </c>
      <c r="G144" s="616">
        <f t="shared" si="100"/>
        <v>3.9999999999999994E-2</v>
      </c>
      <c r="H144" s="616">
        <f t="shared" si="100"/>
        <v>0.12</v>
      </c>
      <c r="I144" s="623"/>
      <c r="K144" s="1246"/>
      <c r="L144" s="625">
        <v>11</v>
      </c>
      <c r="M144" s="619">
        <f t="shared" ref="M144:R144" si="101">H$60</f>
        <v>600</v>
      </c>
      <c r="N144" s="619" t="str">
        <f t="shared" si="101"/>
        <v>-</v>
      </c>
      <c r="O144" s="619">
        <f t="shared" si="101"/>
        <v>-0.04</v>
      </c>
      <c r="P144" s="619">
        <f t="shared" si="101"/>
        <v>0.02</v>
      </c>
      <c r="Q144" s="619">
        <f t="shared" si="101"/>
        <v>0.03</v>
      </c>
      <c r="R144" s="619">
        <f t="shared" si="101"/>
        <v>0.12</v>
      </c>
      <c r="S144" s="621"/>
    </row>
    <row r="145" spans="1:19" ht="13">
      <c r="A145" s="1243"/>
      <c r="B145" s="618">
        <v>12</v>
      </c>
      <c r="C145" s="616">
        <f>O$54</f>
        <v>20</v>
      </c>
      <c r="D145" s="616" t="str">
        <f t="shared" ref="D145:H145" si="102">P$54</f>
        <v>-</v>
      </c>
      <c r="E145" s="616">
        <f t="shared" si="102"/>
        <v>0.01</v>
      </c>
      <c r="F145" s="616" t="str">
        <f t="shared" si="102"/>
        <v>-</v>
      </c>
      <c r="G145" s="616">
        <f t="shared" si="102"/>
        <v>3.9999999999999994E-2</v>
      </c>
      <c r="H145" s="616">
        <f t="shared" si="102"/>
        <v>0.12</v>
      </c>
      <c r="I145" s="623"/>
      <c r="K145" s="1246"/>
      <c r="L145" s="618">
        <v>12</v>
      </c>
      <c r="M145" s="619">
        <f t="shared" ref="M145:R145" si="103">O$60</f>
        <v>600</v>
      </c>
      <c r="N145" s="619" t="str">
        <f t="shared" si="103"/>
        <v>-</v>
      </c>
      <c r="O145" s="619">
        <f t="shared" si="103"/>
        <v>0.01</v>
      </c>
      <c r="P145" s="619">
        <f t="shared" si="103"/>
        <v>0.03</v>
      </c>
      <c r="Q145" s="619">
        <f t="shared" si="103"/>
        <v>9.9999999999999985E-3</v>
      </c>
      <c r="R145" s="619">
        <f t="shared" si="103"/>
        <v>0.12</v>
      </c>
      <c r="S145" s="621"/>
    </row>
    <row r="146" spans="1:19" ht="13">
      <c r="A146" s="1243"/>
      <c r="B146" s="618">
        <v>13</v>
      </c>
      <c r="C146" s="616">
        <f>A$69</f>
        <v>20</v>
      </c>
      <c r="D146" s="616" t="str">
        <f t="shared" ref="D146:H146" si="104">B$69</f>
        <v>-</v>
      </c>
      <c r="E146" s="616">
        <f t="shared" si="104"/>
        <v>0.03</v>
      </c>
      <c r="F146" s="616" t="str">
        <f t="shared" si="104"/>
        <v>-</v>
      </c>
      <c r="G146" s="616">
        <f t="shared" si="104"/>
        <v>3.9999999999999994E-2</v>
      </c>
      <c r="H146" s="616">
        <f t="shared" si="104"/>
        <v>0.12</v>
      </c>
      <c r="I146" s="623"/>
      <c r="K146" s="1246"/>
      <c r="L146" s="618">
        <v>13</v>
      </c>
      <c r="M146" s="619">
        <f t="shared" ref="M146:R146" si="105">A$75</f>
        <v>600</v>
      </c>
      <c r="N146" s="619" t="str">
        <f t="shared" si="105"/>
        <v>-</v>
      </c>
      <c r="O146" s="619">
        <f t="shared" si="105"/>
        <v>0.01</v>
      </c>
      <c r="P146" s="619">
        <f t="shared" si="105"/>
        <v>0.03</v>
      </c>
      <c r="Q146" s="619">
        <f t="shared" si="105"/>
        <v>9.9999999999999985E-3</v>
      </c>
      <c r="R146" s="619">
        <f t="shared" si="105"/>
        <v>0.12</v>
      </c>
      <c r="S146" s="621"/>
    </row>
    <row r="147" spans="1:19" ht="13">
      <c r="A147" s="1243"/>
      <c r="B147" s="618">
        <v>14</v>
      </c>
      <c r="C147" s="616">
        <f>H$69</f>
        <v>20</v>
      </c>
      <c r="D147" s="616" t="str">
        <f t="shared" ref="D147:H147" si="106">I$69</f>
        <v>-</v>
      </c>
      <c r="E147" s="616">
        <f t="shared" si="106"/>
        <v>0.02</v>
      </c>
      <c r="F147" s="616" t="str">
        <f t="shared" si="106"/>
        <v>-</v>
      </c>
      <c r="G147" s="616">
        <f t="shared" si="106"/>
        <v>3.9999999999999994E-2</v>
      </c>
      <c r="H147" s="616">
        <f t="shared" si="106"/>
        <v>0.12</v>
      </c>
      <c r="I147" s="623"/>
      <c r="K147" s="1246"/>
      <c r="L147" s="618">
        <v>14</v>
      </c>
      <c r="M147" s="619">
        <f t="shared" ref="M147:R147" si="107">H$75</f>
        <v>600</v>
      </c>
      <c r="N147" s="619" t="str">
        <f t="shared" si="107"/>
        <v>-</v>
      </c>
      <c r="O147" s="619">
        <f t="shared" si="107"/>
        <v>0.04</v>
      </c>
      <c r="P147" s="619">
        <f t="shared" si="107"/>
        <v>-0.02</v>
      </c>
      <c r="Q147" s="619">
        <f t="shared" si="107"/>
        <v>0.03</v>
      </c>
      <c r="R147" s="619">
        <f t="shared" si="107"/>
        <v>0.12</v>
      </c>
      <c r="S147" s="621"/>
    </row>
    <row r="148" spans="1:19" ht="13">
      <c r="A148" s="1243"/>
      <c r="B148" s="618">
        <v>15</v>
      </c>
      <c r="C148" s="616">
        <f>O$69</f>
        <v>30</v>
      </c>
      <c r="D148" s="616" t="str">
        <f t="shared" ref="D148:H148" si="108">P$69</f>
        <v>-</v>
      </c>
      <c r="E148" s="616">
        <f t="shared" si="108"/>
        <v>0.03</v>
      </c>
      <c r="F148" s="616" t="str">
        <f t="shared" si="108"/>
        <v>-</v>
      </c>
      <c r="G148" s="616">
        <f t="shared" si="108"/>
        <v>3.9999999999999994E-2</v>
      </c>
      <c r="H148" s="616">
        <f t="shared" si="108"/>
        <v>0.12</v>
      </c>
      <c r="I148" s="623"/>
      <c r="K148" s="1246"/>
      <c r="L148" s="618">
        <v>15</v>
      </c>
      <c r="M148" s="619">
        <f t="shared" ref="M148:R148" si="109">O$75</f>
        <v>600</v>
      </c>
      <c r="N148" s="619" t="str">
        <f t="shared" si="109"/>
        <v>-</v>
      </c>
      <c r="O148" s="619">
        <f t="shared" si="109"/>
        <v>0.04</v>
      </c>
      <c r="P148" s="619">
        <f t="shared" si="109"/>
        <v>-0.02</v>
      </c>
      <c r="Q148" s="619">
        <f t="shared" si="109"/>
        <v>0.03</v>
      </c>
      <c r="R148" s="619">
        <f t="shared" si="109"/>
        <v>0.12</v>
      </c>
      <c r="S148" s="621"/>
    </row>
    <row r="149" spans="1:19" ht="13.5" thickBot="1">
      <c r="A149" s="1244"/>
      <c r="B149" s="626">
        <v>16</v>
      </c>
      <c r="C149" s="632">
        <f>A$84</f>
        <v>60</v>
      </c>
      <c r="D149" s="632" t="str">
        <f t="shared" ref="D149:H149" si="110">B$84</f>
        <v>-</v>
      </c>
      <c r="E149" s="632">
        <f t="shared" si="110"/>
        <v>-0.01</v>
      </c>
      <c r="F149" s="632">
        <f t="shared" si="110"/>
        <v>-0.01</v>
      </c>
      <c r="G149" s="632">
        <f t="shared" si="110"/>
        <v>0</v>
      </c>
      <c r="H149" s="632">
        <f t="shared" si="110"/>
        <v>0.12</v>
      </c>
      <c r="I149" s="633"/>
      <c r="K149" s="1247"/>
      <c r="L149" s="629">
        <v>16</v>
      </c>
      <c r="M149" s="636">
        <f t="shared" ref="M149:R149" si="111">A$90</f>
        <v>600</v>
      </c>
      <c r="N149" s="636" t="str">
        <f t="shared" si="111"/>
        <v>-</v>
      </c>
      <c r="O149" s="636">
        <f t="shared" si="111"/>
        <v>-0.01</v>
      </c>
      <c r="P149" s="636">
        <f t="shared" si="111"/>
        <v>-0.02</v>
      </c>
      <c r="Q149" s="636">
        <f t="shared" si="111"/>
        <v>5.0000000000000001E-3</v>
      </c>
      <c r="R149" s="636">
        <f t="shared" si="111"/>
        <v>0.12</v>
      </c>
      <c r="S149" s="637"/>
    </row>
    <row r="150" spans="1:19" ht="13">
      <c r="A150" s="1226" t="s">
        <v>33</v>
      </c>
      <c r="B150" s="613">
        <v>1</v>
      </c>
      <c r="C150" s="614">
        <f>A$9</f>
        <v>30</v>
      </c>
      <c r="D150" s="614" t="str">
        <f t="shared" ref="D150:H150" si="112">B$9</f>
        <v>-</v>
      </c>
      <c r="E150" s="614">
        <f t="shared" si="112"/>
        <v>-1E-3</v>
      </c>
      <c r="F150" s="614" t="str">
        <f t="shared" si="112"/>
        <v>-</v>
      </c>
      <c r="G150" s="614">
        <f t="shared" si="112"/>
        <v>3.9999999999999994E-2</v>
      </c>
      <c r="H150" s="614">
        <f t="shared" si="112"/>
        <v>0.12</v>
      </c>
      <c r="I150" s="615"/>
      <c r="K150" s="1248" t="s">
        <v>34</v>
      </c>
      <c r="L150" s="613">
        <v>1</v>
      </c>
      <c r="M150" s="638">
        <f t="shared" ref="M150:R150" si="113">A$15</f>
        <v>900</v>
      </c>
      <c r="N150" s="638" t="str">
        <f t="shared" si="113"/>
        <v>-</v>
      </c>
      <c r="O150" s="638">
        <f t="shared" si="113"/>
        <v>-8.0000000000000002E-3</v>
      </c>
      <c r="P150" s="638" t="str">
        <f t="shared" si="113"/>
        <v>-</v>
      </c>
      <c r="Q150" s="638">
        <f t="shared" si="113"/>
        <v>3.9999999999999994E-2</v>
      </c>
      <c r="R150" s="638">
        <f t="shared" si="113"/>
        <v>0.12</v>
      </c>
      <c r="S150" s="639"/>
    </row>
    <row r="151" spans="1:19" ht="13">
      <c r="A151" s="1227"/>
      <c r="B151" s="618">
        <v>2</v>
      </c>
      <c r="C151" s="619">
        <f>H$9</f>
        <v>30</v>
      </c>
      <c r="D151" s="619" t="str">
        <f t="shared" ref="D151:H151" si="114">I$9</f>
        <v>-</v>
      </c>
      <c r="E151" s="619">
        <f t="shared" si="114"/>
        <v>1E-3</v>
      </c>
      <c r="F151" s="619" t="str">
        <f t="shared" si="114"/>
        <v>-</v>
      </c>
      <c r="G151" s="619">
        <f t="shared" si="114"/>
        <v>3.9999999999999994E-2</v>
      </c>
      <c r="H151" s="619">
        <f t="shared" si="114"/>
        <v>0.12</v>
      </c>
      <c r="I151" s="620"/>
      <c r="K151" s="1249"/>
      <c r="L151" s="618">
        <v>2</v>
      </c>
      <c r="M151" s="640">
        <f t="shared" ref="M151:R151" si="115">H$15</f>
        <v>900</v>
      </c>
      <c r="N151" s="640" t="str">
        <f t="shared" si="115"/>
        <v>-</v>
      </c>
      <c r="O151" s="640">
        <f t="shared" si="115"/>
        <v>2E-3</v>
      </c>
      <c r="P151" s="640" t="str">
        <f t="shared" si="115"/>
        <v>-</v>
      </c>
      <c r="Q151" s="640">
        <f t="shared" si="115"/>
        <v>3.9999999999999994E-2</v>
      </c>
      <c r="R151" s="640">
        <f t="shared" si="115"/>
        <v>0.12</v>
      </c>
      <c r="S151" s="641"/>
    </row>
    <row r="152" spans="1:19" ht="13">
      <c r="A152" s="1227"/>
      <c r="B152" s="618">
        <v>3</v>
      </c>
      <c r="C152" s="619">
        <f>O$9</f>
        <v>30</v>
      </c>
      <c r="D152" s="619" t="str">
        <f t="shared" ref="D152:H152" si="116">P$9</f>
        <v>-</v>
      </c>
      <c r="E152" s="619">
        <f t="shared" si="116"/>
        <v>0</v>
      </c>
      <c r="F152" s="619" t="str">
        <f t="shared" si="116"/>
        <v>-</v>
      </c>
      <c r="G152" s="619">
        <f t="shared" si="116"/>
        <v>3.9999999999999994E-2</v>
      </c>
      <c r="H152" s="619">
        <f t="shared" si="116"/>
        <v>0.12</v>
      </c>
      <c r="I152" s="620"/>
      <c r="K152" s="1249"/>
      <c r="L152" s="618">
        <v>3</v>
      </c>
      <c r="M152" s="640">
        <f t="shared" ref="M152:R152" si="117">O$15</f>
        <v>600</v>
      </c>
      <c r="N152" s="640" t="str">
        <f t="shared" si="117"/>
        <v>-</v>
      </c>
      <c r="O152" s="640">
        <f t="shared" si="117"/>
        <v>0.02</v>
      </c>
      <c r="P152" s="640">
        <f t="shared" si="117"/>
        <v>-3.0000000000000001E-3</v>
      </c>
      <c r="Q152" s="640">
        <f t="shared" si="117"/>
        <v>1.15E-2</v>
      </c>
      <c r="R152" s="640">
        <f t="shared" si="117"/>
        <v>0.12</v>
      </c>
      <c r="S152" s="641"/>
    </row>
    <row r="153" spans="1:19" ht="13">
      <c r="A153" s="1227"/>
      <c r="B153" s="618">
        <v>4</v>
      </c>
      <c r="C153" s="619">
        <f>A$24</f>
        <v>60</v>
      </c>
      <c r="D153" s="619" t="str">
        <f t="shared" ref="D153:H153" si="118">B$24</f>
        <v>-</v>
      </c>
      <c r="E153" s="619">
        <f t="shared" si="118"/>
        <v>-0.01</v>
      </c>
      <c r="F153" s="619">
        <f t="shared" si="118"/>
        <v>2E-3</v>
      </c>
      <c r="G153" s="619">
        <f t="shared" si="118"/>
        <v>6.0000000000000001E-3</v>
      </c>
      <c r="H153" s="619">
        <f t="shared" si="118"/>
        <v>0.12</v>
      </c>
      <c r="I153" s="620"/>
      <c r="K153" s="1249"/>
      <c r="L153" s="618">
        <v>4</v>
      </c>
      <c r="M153" s="640">
        <f t="shared" ref="M153:R153" si="119">A$30</f>
        <v>900</v>
      </c>
      <c r="N153" s="640" t="str">
        <f t="shared" si="119"/>
        <v>-</v>
      </c>
      <c r="O153" s="640">
        <f t="shared" si="119"/>
        <v>0.03</v>
      </c>
      <c r="P153" s="640">
        <f t="shared" si="119"/>
        <v>6.0000000000000001E-3</v>
      </c>
      <c r="Q153" s="640">
        <f t="shared" si="119"/>
        <v>1.2E-2</v>
      </c>
      <c r="R153" s="640">
        <f t="shared" si="119"/>
        <v>0.12</v>
      </c>
      <c r="S153" s="641"/>
    </row>
    <row r="154" spans="1:19" ht="13">
      <c r="A154" s="1227"/>
      <c r="B154" s="618">
        <v>5</v>
      </c>
      <c r="C154" s="619">
        <f>H$24</f>
        <v>30</v>
      </c>
      <c r="D154" s="619" t="str">
        <f t="shared" ref="D154:H154" si="120">I$24</f>
        <v>-</v>
      </c>
      <c r="E154" s="619">
        <f t="shared" si="120"/>
        <v>-0.02</v>
      </c>
      <c r="F154" s="619" t="str">
        <f t="shared" si="120"/>
        <v>-</v>
      </c>
      <c r="G154" s="619">
        <f t="shared" si="120"/>
        <v>3.9999999999999994E-2</v>
      </c>
      <c r="H154" s="619">
        <f t="shared" si="120"/>
        <v>0.12</v>
      </c>
      <c r="I154" s="620"/>
      <c r="K154" s="1249"/>
      <c r="L154" s="618">
        <v>5</v>
      </c>
      <c r="M154" s="640">
        <f t="shared" ref="M154:R154" si="121">H$30</f>
        <v>900</v>
      </c>
      <c r="N154" s="640" t="str">
        <f t="shared" si="121"/>
        <v>-</v>
      </c>
      <c r="O154" s="640" t="str">
        <f t="shared" si="121"/>
        <v>-</v>
      </c>
      <c r="P154" s="640">
        <f t="shared" si="121"/>
        <v>-0.02</v>
      </c>
      <c r="Q154" s="640">
        <f t="shared" si="121"/>
        <v>3.9999999999999994E-2</v>
      </c>
      <c r="R154" s="640">
        <f t="shared" si="121"/>
        <v>0.12</v>
      </c>
      <c r="S154" s="641"/>
    </row>
    <row r="155" spans="1:19" ht="13">
      <c r="A155" s="1227"/>
      <c r="B155" s="618">
        <v>6</v>
      </c>
      <c r="C155" s="619">
        <f>O$24</f>
        <v>60</v>
      </c>
      <c r="D155" s="619" t="str">
        <f t="shared" ref="D155:H155" si="122">P$24</f>
        <v>-</v>
      </c>
      <c r="E155" s="619">
        <f t="shared" si="122"/>
        <v>0.01</v>
      </c>
      <c r="F155" s="619">
        <f t="shared" si="122"/>
        <v>0.02</v>
      </c>
      <c r="G155" s="619">
        <f t="shared" si="122"/>
        <v>5.0000000000000001E-3</v>
      </c>
      <c r="H155" s="619">
        <f t="shared" si="122"/>
        <v>0.12</v>
      </c>
      <c r="I155" s="620"/>
      <c r="K155" s="1249"/>
      <c r="L155" s="618">
        <v>6</v>
      </c>
      <c r="M155" s="640">
        <f t="shared" ref="M155:R155" si="123">O$30</f>
        <v>900</v>
      </c>
      <c r="N155" s="640" t="str">
        <f t="shared" si="123"/>
        <v>-</v>
      </c>
      <c r="O155" s="640">
        <f t="shared" si="123"/>
        <v>0.02</v>
      </c>
      <c r="P155" s="640">
        <f t="shared" si="123"/>
        <v>0.03</v>
      </c>
      <c r="Q155" s="640">
        <f t="shared" si="123"/>
        <v>4.9999999999999992E-3</v>
      </c>
      <c r="R155" s="640">
        <f t="shared" si="123"/>
        <v>0.12</v>
      </c>
      <c r="S155" s="641"/>
    </row>
    <row r="156" spans="1:19" ht="13">
      <c r="A156" s="1227"/>
      <c r="B156" s="618">
        <v>7</v>
      </c>
      <c r="C156" s="619">
        <f>A$40</f>
        <v>60</v>
      </c>
      <c r="D156" s="619" t="str">
        <f t="shared" ref="D156:H156" si="124">B$40</f>
        <v>-</v>
      </c>
      <c r="E156" s="619">
        <f t="shared" si="124"/>
        <v>0.03</v>
      </c>
      <c r="F156" s="619">
        <f t="shared" si="124"/>
        <v>0.02</v>
      </c>
      <c r="G156" s="619">
        <f t="shared" si="124"/>
        <v>4.9999999999999992E-3</v>
      </c>
      <c r="H156" s="619">
        <f t="shared" si="124"/>
        <v>0.12</v>
      </c>
      <c r="I156" s="620"/>
      <c r="K156" s="1249"/>
      <c r="L156" s="618">
        <v>7</v>
      </c>
      <c r="M156" s="640">
        <f t="shared" ref="M156:R156" si="125">A$46</f>
        <v>900</v>
      </c>
      <c r="N156" s="640" t="str">
        <f t="shared" si="125"/>
        <v>-</v>
      </c>
      <c r="O156" s="640">
        <f t="shared" si="125"/>
        <v>0.02</v>
      </c>
      <c r="P156" s="640">
        <f t="shared" si="125"/>
        <v>0.03</v>
      </c>
      <c r="Q156" s="640">
        <f t="shared" si="125"/>
        <v>4.9999999999999992E-3</v>
      </c>
      <c r="R156" s="640">
        <f t="shared" si="125"/>
        <v>0.12</v>
      </c>
      <c r="S156" s="641"/>
    </row>
    <row r="157" spans="1:19" ht="13">
      <c r="A157" s="1227"/>
      <c r="B157" s="618">
        <v>8</v>
      </c>
      <c r="C157" s="619">
        <f>H$40</f>
        <v>60</v>
      </c>
      <c r="D157" s="619" t="str">
        <f t="shared" ref="D157:H157" si="126">I$40</f>
        <v>-</v>
      </c>
      <c r="E157" s="619">
        <f t="shared" si="126"/>
        <v>0.01</v>
      </c>
      <c r="F157" s="619" t="str">
        <f t="shared" si="126"/>
        <v>-</v>
      </c>
      <c r="G157" s="619">
        <f t="shared" si="126"/>
        <v>3.9999999999999994E-2</v>
      </c>
      <c r="H157" s="619">
        <f t="shared" si="126"/>
        <v>0.12</v>
      </c>
      <c r="I157" s="620"/>
      <c r="K157" s="1249"/>
      <c r="L157" s="618">
        <v>8</v>
      </c>
      <c r="M157" s="640">
        <f t="shared" ref="M157:R157" si="127">H$46</f>
        <v>900</v>
      </c>
      <c r="N157" s="640" t="str">
        <f t="shared" si="127"/>
        <v>-</v>
      </c>
      <c r="O157" s="640">
        <f t="shared" si="127"/>
        <v>0.02</v>
      </c>
      <c r="P157" s="640" t="str">
        <f t="shared" si="127"/>
        <v>-</v>
      </c>
      <c r="Q157" s="640">
        <f t="shared" si="127"/>
        <v>3.9999999999999994E-2</v>
      </c>
      <c r="R157" s="640">
        <f t="shared" si="127"/>
        <v>0.12</v>
      </c>
      <c r="S157" s="641"/>
    </row>
    <row r="158" spans="1:19" ht="13">
      <c r="A158" s="1227"/>
      <c r="B158" s="618">
        <v>9</v>
      </c>
      <c r="C158" s="619">
        <f>O$40</f>
        <v>60</v>
      </c>
      <c r="D158" s="619" t="str">
        <f t="shared" ref="D158:H158" si="128">P$40</f>
        <v>-</v>
      </c>
      <c r="E158" s="619">
        <f t="shared" si="128"/>
        <v>0.02</v>
      </c>
      <c r="F158" s="619">
        <f t="shared" si="128"/>
        <v>-0.01</v>
      </c>
      <c r="G158" s="619">
        <f t="shared" si="128"/>
        <v>1.4999999999999999E-2</v>
      </c>
      <c r="H158" s="619">
        <f t="shared" si="128"/>
        <v>0.12</v>
      </c>
      <c r="I158" s="620"/>
      <c r="K158" s="1249"/>
      <c r="L158" s="618">
        <v>9</v>
      </c>
      <c r="M158" s="640">
        <f t="shared" ref="M158:R158" si="129">O$46</f>
        <v>900</v>
      </c>
      <c r="N158" s="640" t="str">
        <f t="shared" si="129"/>
        <v>-</v>
      </c>
      <c r="O158" s="640">
        <f t="shared" si="129"/>
        <v>0.02</v>
      </c>
      <c r="P158" s="640">
        <f t="shared" si="129"/>
        <v>-0.02</v>
      </c>
      <c r="Q158" s="640">
        <f t="shared" si="129"/>
        <v>0.02</v>
      </c>
      <c r="R158" s="640">
        <f t="shared" si="129"/>
        <v>0.12</v>
      </c>
      <c r="S158" s="641"/>
    </row>
    <row r="159" spans="1:19" ht="13">
      <c r="A159" s="1227"/>
      <c r="B159" s="618">
        <v>10</v>
      </c>
      <c r="C159" s="619">
        <f>A$55</f>
        <v>60</v>
      </c>
      <c r="D159" s="619" t="str">
        <f t="shared" ref="D159:H159" si="130">B$55</f>
        <v>-</v>
      </c>
      <c r="E159" s="619">
        <f t="shared" si="130"/>
        <v>-0.06</v>
      </c>
      <c r="F159" s="619">
        <f t="shared" si="130"/>
        <v>-0.01</v>
      </c>
      <c r="G159" s="619">
        <f t="shared" si="130"/>
        <v>2.4999999999999998E-2</v>
      </c>
      <c r="H159" s="619">
        <f t="shared" si="130"/>
        <v>0.12</v>
      </c>
      <c r="I159" s="620"/>
      <c r="K159" s="1249"/>
      <c r="L159" s="618">
        <v>10</v>
      </c>
      <c r="M159" s="640">
        <f t="shared" ref="M159:R159" si="131">A$61</f>
        <v>900</v>
      </c>
      <c r="N159" s="640" t="str">
        <f t="shared" si="131"/>
        <v>-</v>
      </c>
      <c r="O159" s="640">
        <f t="shared" si="131"/>
        <v>-0.06</v>
      </c>
      <c r="P159" s="640">
        <f t="shared" si="131"/>
        <v>-0.02</v>
      </c>
      <c r="Q159" s="640">
        <f t="shared" si="131"/>
        <v>1.9999999999999997E-2</v>
      </c>
      <c r="R159" s="640">
        <f t="shared" si="131"/>
        <v>0.12</v>
      </c>
      <c r="S159" s="641"/>
    </row>
    <row r="160" spans="1:19" ht="13">
      <c r="A160" s="1227"/>
      <c r="B160" s="625">
        <v>11</v>
      </c>
      <c r="C160" s="616">
        <f>H$55</f>
        <v>60</v>
      </c>
      <c r="D160" s="616" t="str">
        <f t="shared" ref="D160:H160" si="132">I$55</f>
        <v>-</v>
      </c>
      <c r="E160" s="616">
        <f t="shared" si="132"/>
        <v>-0.03</v>
      </c>
      <c r="F160" s="616">
        <f t="shared" si="132"/>
        <v>0.01</v>
      </c>
      <c r="G160" s="616">
        <f t="shared" si="132"/>
        <v>0.02</v>
      </c>
      <c r="H160" s="616">
        <f t="shared" si="132"/>
        <v>0.12</v>
      </c>
      <c r="I160" s="623"/>
      <c r="K160" s="1249"/>
      <c r="L160" s="625">
        <v>11</v>
      </c>
      <c r="M160" s="640">
        <f t="shared" ref="M160:R160" si="133">H$61</f>
        <v>900</v>
      </c>
      <c r="N160" s="640" t="str">
        <f t="shared" si="133"/>
        <v>-</v>
      </c>
      <c r="O160" s="640">
        <f t="shared" si="133"/>
        <v>-0.03</v>
      </c>
      <c r="P160" s="640">
        <f t="shared" si="133"/>
        <v>0.03</v>
      </c>
      <c r="Q160" s="640">
        <f t="shared" si="133"/>
        <v>0.03</v>
      </c>
      <c r="R160" s="640">
        <f t="shared" si="133"/>
        <v>0.12</v>
      </c>
      <c r="S160" s="641"/>
    </row>
    <row r="161" spans="1:19" ht="13">
      <c r="A161" s="1227"/>
      <c r="B161" s="618">
        <v>12</v>
      </c>
      <c r="C161" s="616">
        <f>O$55</f>
        <v>30</v>
      </c>
      <c r="D161" s="616" t="str">
        <f t="shared" ref="D161:H161" si="134">P$55</f>
        <v>-</v>
      </c>
      <c r="E161" s="616">
        <f t="shared" si="134"/>
        <v>0.01</v>
      </c>
      <c r="F161" s="616" t="str">
        <f t="shared" si="134"/>
        <v>-</v>
      </c>
      <c r="G161" s="616">
        <f t="shared" si="134"/>
        <v>3.9999999999999994E-2</v>
      </c>
      <c r="H161" s="616">
        <f t="shared" si="134"/>
        <v>0.12</v>
      </c>
      <c r="I161" s="623"/>
      <c r="K161" s="1249"/>
      <c r="L161" s="618">
        <v>12</v>
      </c>
      <c r="M161" s="640">
        <f t="shared" ref="M161:R161" si="135">O$61</f>
        <v>900</v>
      </c>
      <c r="N161" s="640" t="str">
        <f t="shared" si="135"/>
        <v>-</v>
      </c>
      <c r="O161" s="640" t="str">
        <f t="shared" si="135"/>
        <v>-</v>
      </c>
      <c r="P161" s="640">
        <f t="shared" si="135"/>
        <v>0.03</v>
      </c>
      <c r="Q161" s="640">
        <f t="shared" si="135"/>
        <v>3.9999999999999994E-2</v>
      </c>
      <c r="R161" s="640">
        <f t="shared" si="135"/>
        <v>0.12</v>
      </c>
      <c r="S161" s="641"/>
    </row>
    <row r="162" spans="1:19" ht="13">
      <c r="A162" s="1227"/>
      <c r="B162" s="618">
        <v>13</v>
      </c>
      <c r="C162" s="616">
        <f>A$70</f>
        <v>30</v>
      </c>
      <c r="D162" s="616" t="str">
        <f t="shared" ref="D162:H162" si="136">B$70</f>
        <v>-</v>
      </c>
      <c r="E162" s="616">
        <f t="shared" si="136"/>
        <v>0.02</v>
      </c>
      <c r="F162" s="616" t="str">
        <f t="shared" si="136"/>
        <v>-</v>
      </c>
      <c r="G162" s="616">
        <f t="shared" si="136"/>
        <v>3.9999999999999994E-2</v>
      </c>
      <c r="H162" s="616">
        <f t="shared" si="136"/>
        <v>0.12</v>
      </c>
      <c r="I162" s="623"/>
      <c r="K162" s="1249"/>
      <c r="L162" s="618">
        <v>13</v>
      </c>
      <c r="M162" s="640">
        <f t="shared" ref="M162:R162" si="137">A$76</f>
        <v>900</v>
      </c>
      <c r="N162" s="640" t="str">
        <f t="shared" si="137"/>
        <v>-</v>
      </c>
      <c r="O162" s="640" t="str">
        <f t="shared" si="137"/>
        <v>-</v>
      </c>
      <c r="P162" s="640">
        <f t="shared" si="137"/>
        <v>0.03</v>
      </c>
      <c r="Q162" s="640">
        <f t="shared" si="137"/>
        <v>3.9999999999999994E-2</v>
      </c>
      <c r="R162" s="640">
        <f t="shared" si="137"/>
        <v>0.12</v>
      </c>
      <c r="S162" s="641"/>
    </row>
    <row r="163" spans="1:19" ht="13">
      <c r="A163" s="1227"/>
      <c r="B163" s="618">
        <v>14</v>
      </c>
      <c r="C163" s="616">
        <f>H$70</f>
        <v>30</v>
      </c>
      <c r="D163" s="616" t="str">
        <f t="shared" ref="D163:H163" si="138">I$70</f>
        <v>-</v>
      </c>
      <c r="E163" s="616">
        <f t="shared" si="138"/>
        <v>0.02</v>
      </c>
      <c r="F163" s="616" t="str">
        <f t="shared" si="138"/>
        <v>-</v>
      </c>
      <c r="G163" s="616">
        <f t="shared" si="138"/>
        <v>3.9999999999999994E-2</v>
      </c>
      <c r="H163" s="616">
        <f t="shared" si="138"/>
        <v>0.12</v>
      </c>
      <c r="I163" s="623"/>
      <c r="K163" s="1249"/>
      <c r="L163" s="618">
        <v>14</v>
      </c>
      <c r="M163" s="640">
        <f t="shared" ref="M163:R163" si="139">H$76</f>
        <v>900</v>
      </c>
      <c r="N163" s="640" t="str">
        <f t="shared" si="139"/>
        <v>-</v>
      </c>
      <c r="O163" s="640" t="str">
        <f t="shared" si="139"/>
        <v>-</v>
      </c>
      <c r="P163" s="640">
        <f t="shared" si="139"/>
        <v>-0.02</v>
      </c>
      <c r="Q163" s="640">
        <f t="shared" si="139"/>
        <v>3.9999999999999994E-2</v>
      </c>
      <c r="R163" s="640">
        <f t="shared" si="139"/>
        <v>0.12</v>
      </c>
      <c r="S163" s="641"/>
    </row>
    <row r="164" spans="1:19" ht="13.5" thickBot="1">
      <c r="A164" s="1227"/>
      <c r="B164" s="629">
        <v>15</v>
      </c>
      <c r="C164" s="616">
        <f>O$70</f>
        <v>60</v>
      </c>
      <c r="D164" s="616" t="str">
        <f t="shared" ref="D164:H164" si="140">P$70</f>
        <v>-</v>
      </c>
      <c r="E164" s="616">
        <f t="shared" si="140"/>
        <v>0.04</v>
      </c>
      <c r="F164" s="616">
        <f t="shared" si="140"/>
        <v>0</v>
      </c>
      <c r="G164" s="616">
        <f t="shared" si="140"/>
        <v>0.02</v>
      </c>
      <c r="H164" s="616">
        <f t="shared" si="140"/>
        <v>0.12</v>
      </c>
      <c r="I164" s="623"/>
      <c r="K164" s="1249"/>
      <c r="L164" s="618">
        <v>15</v>
      </c>
      <c r="M164" s="640">
        <f t="shared" ref="M164:R164" si="141">O$76</f>
        <v>900</v>
      </c>
      <c r="N164" s="640" t="str">
        <f t="shared" si="141"/>
        <v>-</v>
      </c>
      <c r="O164" s="640">
        <f t="shared" si="141"/>
        <v>0.04</v>
      </c>
      <c r="P164" s="640">
        <f t="shared" si="141"/>
        <v>-0.03</v>
      </c>
      <c r="Q164" s="640">
        <f t="shared" si="141"/>
        <v>3.5000000000000003E-2</v>
      </c>
      <c r="R164" s="640">
        <f t="shared" si="141"/>
        <v>0.12</v>
      </c>
      <c r="S164" s="641"/>
    </row>
    <row r="165" spans="1:19" ht="13.5" thickBot="1">
      <c r="A165" s="1228"/>
      <c r="B165" s="626">
        <v>16</v>
      </c>
      <c r="C165" s="632">
        <f>A$85</f>
        <v>60</v>
      </c>
      <c r="D165" s="632" t="str">
        <f t="shared" ref="D165:H165" si="142">B$85</f>
        <v>-</v>
      </c>
      <c r="E165" s="632">
        <f t="shared" si="142"/>
        <v>-0.01</v>
      </c>
      <c r="F165" s="632">
        <f t="shared" si="142"/>
        <v>-0.01</v>
      </c>
      <c r="G165" s="632">
        <f t="shared" si="142"/>
        <v>0</v>
      </c>
      <c r="H165" s="632">
        <f t="shared" si="142"/>
        <v>0.12</v>
      </c>
      <c r="I165" s="633"/>
      <c r="K165" s="1250"/>
      <c r="L165" s="629">
        <v>16</v>
      </c>
      <c r="M165" s="642">
        <f t="shared" ref="M165:R165" si="143">A$91</f>
        <v>900</v>
      </c>
      <c r="N165" s="642" t="str">
        <f t="shared" si="143"/>
        <v>-</v>
      </c>
      <c r="O165" s="642">
        <f t="shared" si="143"/>
        <v>-0.01</v>
      </c>
      <c r="P165" s="642">
        <f t="shared" si="143"/>
        <v>-0.03</v>
      </c>
      <c r="Q165" s="642">
        <f t="shared" si="143"/>
        <v>9.9999999999999985E-3</v>
      </c>
      <c r="R165" s="642">
        <f t="shared" si="143"/>
        <v>0.12</v>
      </c>
      <c r="S165" s="643"/>
    </row>
    <row r="166" spans="1:19" ht="13">
      <c r="A166" s="1245" t="s">
        <v>35</v>
      </c>
      <c r="B166" s="613">
        <v>1</v>
      </c>
      <c r="C166" s="614">
        <f>A$10</f>
        <v>40</v>
      </c>
      <c r="D166" s="614" t="str">
        <f t="shared" ref="D166:H166" si="144">B$10</f>
        <v>-</v>
      </c>
      <c r="E166" s="614">
        <f t="shared" si="144"/>
        <v>-1E-3</v>
      </c>
      <c r="F166" s="614" t="str">
        <f t="shared" si="144"/>
        <v>-</v>
      </c>
      <c r="G166" s="614">
        <f t="shared" si="144"/>
        <v>3.9999999999999994E-2</v>
      </c>
      <c r="H166" s="614">
        <f t="shared" si="144"/>
        <v>0.12</v>
      </c>
      <c r="I166" s="615"/>
      <c r="K166" s="1252" t="s">
        <v>36</v>
      </c>
      <c r="L166" s="613">
        <v>1</v>
      </c>
      <c r="M166" s="644">
        <f t="shared" ref="M166:R166" si="145">A$16</f>
        <v>1200</v>
      </c>
      <c r="N166" s="644" t="str">
        <f t="shared" si="145"/>
        <v>-</v>
      </c>
      <c r="O166" s="644">
        <f t="shared" si="145"/>
        <v>-1.2999999999999999E-2</v>
      </c>
      <c r="P166" s="644" t="str">
        <f t="shared" si="145"/>
        <v>-</v>
      </c>
      <c r="Q166" s="644">
        <f t="shared" si="145"/>
        <v>3.9999999999999994E-2</v>
      </c>
      <c r="R166" s="644">
        <f t="shared" si="145"/>
        <v>0.12</v>
      </c>
      <c r="S166" s="645"/>
    </row>
    <row r="167" spans="1:19" ht="13">
      <c r="A167" s="1246"/>
      <c r="B167" s="618">
        <v>2</v>
      </c>
      <c r="C167" s="619">
        <f>H$10</f>
        <v>40</v>
      </c>
      <c r="D167" s="619" t="str">
        <f t="shared" ref="D167:H167" si="146">I$10</f>
        <v>-</v>
      </c>
      <c r="E167" s="619">
        <f t="shared" si="146"/>
        <v>1E-3</v>
      </c>
      <c r="F167" s="619" t="str">
        <f t="shared" si="146"/>
        <v>-</v>
      </c>
      <c r="G167" s="619">
        <f t="shared" si="146"/>
        <v>3.9999999999999994E-2</v>
      </c>
      <c r="H167" s="619">
        <f t="shared" si="146"/>
        <v>0.12</v>
      </c>
      <c r="I167" s="620"/>
      <c r="K167" s="1253"/>
      <c r="L167" s="618">
        <v>2</v>
      </c>
      <c r="M167" s="646">
        <f t="shared" ref="M167:R167" si="147">H$16</f>
        <v>1200</v>
      </c>
      <c r="N167" s="646" t="str">
        <f t="shared" si="147"/>
        <v>-</v>
      </c>
      <c r="O167" s="646">
        <f t="shared" si="147"/>
        <v>0</v>
      </c>
      <c r="P167" s="646" t="str">
        <f t="shared" si="147"/>
        <v>-</v>
      </c>
      <c r="Q167" s="646">
        <f t="shared" si="147"/>
        <v>3.9999999999999994E-2</v>
      </c>
      <c r="R167" s="646">
        <f t="shared" si="147"/>
        <v>0.12</v>
      </c>
      <c r="S167" s="647"/>
    </row>
    <row r="168" spans="1:19" ht="13">
      <c r="A168" s="1246"/>
      <c r="B168" s="618">
        <v>3</v>
      </c>
      <c r="C168" s="619">
        <f>O$10</f>
        <v>40</v>
      </c>
      <c r="D168" s="619" t="str">
        <f t="shared" ref="D168:H168" si="148">P$10</f>
        <v>-</v>
      </c>
      <c r="E168" s="619">
        <f t="shared" si="148"/>
        <v>0</v>
      </c>
      <c r="F168" s="619" t="str">
        <f t="shared" si="148"/>
        <v>-</v>
      </c>
      <c r="G168" s="619">
        <f t="shared" si="148"/>
        <v>3.9999999999999994E-2</v>
      </c>
      <c r="H168" s="619">
        <f t="shared" si="148"/>
        <v>0.12</v>
      </c>
      <c r="I168" s="620"/>
      <c r="K168" s="1253"/>
      <c r="L168" s="618">
        <v>3</v>
      </c>
      <c r="M168" s="646">
        <f t="shared" ref="M168:R168" si="149">O$16</f>
        <v>600</v>
      </c>
      <c r="N168" s="646" t="str">
        <f t="shared" si="149"/>
        <v>-</v>
      </c>
      <c r="O168" s="646">
        <f t="shared" si="149"/>
        <v>0.02</v>
      </c>
      <c r="P168" s="646">
        <f t="shared" si="149"/>
        <v>-3.0000000000000001E-3</v>
      </c>
      <c r="Q168" s="646">
        <f t="shared" si="149"/>
        <v>1.15E-2</v>
      </c>
      <c r="R168" s="646">
        <f t="shared" si="149"/>
        <v>0.12</v>
      </c>
      <c r="S168" s="647"/>
    </row>
    <row r="169" spans="1:19" ht="13">
      <c r="A169" s="1246"/>
      <c r="B169" s="618">
        <v>4</v>
      </c>
      <c r="C169" s="619">
        <f>A$25</f>
        <v>60</v>
      </c>
      <c r="D169" s="619" t="str">
        <f t="shared" ref="D169:H169" si="150">B$25</f>
        <v>-</v>
      </c>
      <c r="E169" s="619">
        <f t="shared" si="150"/>
        <v>-0.01</v>
      </c>
      <c r="F169" s="619">
        <f t="shared" si="150"/>
        <v>2E-3</v>
      </c>
      <c r="G169" s="619">
        <f t="shared" si="150"/>
        <v>6.0000000000000001E-3</v>
      </c>
      <c r="H169" s="619">
        <f t="shared" si="150"/>
        <v>0.12</v>
      </c>
      <c r="I169" s="620"/>
      <c r="K169" s="1253"/>
      <c r="L169" s="618">
        <v>4</v>
      </c>
      <c r="M169" s="646">
        <f t="shared" ref="M169:R169" si="151">A$31</f>
        <v>1200</v>
      </c>
      <c r="N169" s="646" t="str">
        <f t="shared" si="151"/>
        <v>-</v>
      </c>
      <c r="O169" s="646">
        <f t="shared" si="151"/>
        <v>0.05</v>
      </c>
      <c r="P169" s="646" t="str">
        <f t="shared" si="151"/>
        <v>-</v>
      </c>
      <c r="Q169" s="646">
        <f t="shared" si="151"/>
        <v>3.9999999999999994E-2</v>
      </c>
      <c r="R169" s="646">
        <f t="shared" si="151"/>
        <v>0.12</v>
      </c>
      <c r="S169" s="647"/>
    </row>
    <row r="170" spans="1:19" ht="13">
      <c r="A170" s="1246"/>
      <c r="B170" s="618">
        <v>5</v>
      </c>
      <c r="C170" s="619">
        <f>H$25</f>
        <v>40</v>
      </c>
      <c r="D170" s="619" t="str">
        <f t="shared" ref="D170:H170" si="152">I$25</f>
        <v>-</v>
      </c>
      <c r="E170" s="619">
        <f t="shared" si="152"/>
        <v>-0.02</v>
      </c>
      <c r="F170" s="619" t="str">
        <f t="shared" si="152"/>
        <v>-</v>
      </c>
      <c r="G170" s="619">
        <f t="shared" si="152"/>
        <v>3.9999999999999994E-2</v>
      </c>
      <c r="H170" s="619">
        <f t="shared" si="152"/>
        <v>0.12</v>
      </c>
      <c r="I170" s="620"/>
      <c r="K170" s="1253"/>
      <c r="L170" s="618">
        <v>5</v>
      </c>
      <c r="M170" s="646">
        <f t="shared" ref="M170:R170" si="153">H$31</f>
        <v>1200</v>
      </c>
      <c r="N170" s="646" t="str">
        <f t="shared" si="153"/>
        <v>-</v>
      </c>
      <c r="O170" s="646" t="str">
        <f t="shared" si="153"/>
        <v>-</v>
      </c>
      <c r="P170" s="646">
        <f t="shared" si="153"/>
        <v>-0.02</v>
      </c>
      <c r="Q170" s="646">
        <f t="shared" si="153"/>
        <v>3.9999999999999994E-2</v>
      </c>
      <c r="R170" s="646">
        <f t="shared" si="153"/>
        <v>0.12</v>
      </c>
      <c r="S170" s="647"/>
    </row>
    <row r="171" spans="1:19" ht="13">
      <c r="A171" s="1246"/>
      <c r="B171" s="618">
        <v>6</v>
      </c>
      <c r="C171" s="619">
        <f>O$25</f>
        <v>60</v>
      </c>
      <c r="D171" s="619" t="str">
        <f t="shared" ref="D171:H171" si="154">P$25</f>
        <v>-</v>
      </c>
      <c r="E171" s="619">
        <f t="shared" si="154"/>
        <v>0.01</v>
      </c>
      <c r="F171" s="619">
        <f t="shared" si="154"/>
        <v>0.02</v>
      </c>
      <c r="G171" s="619">
        <f t="shared" si="154"/>
        <v>5.0000000000000001E-3</v>
      </c>
      <c r="H171" s="619">
        <f t="shared" si="154"/>
        <v>0.12</v>
      </c>
      <c r="I171" s="620"/>
      <c r="K171" s="1253"/>
      <c r="L171" s="618">
        <v>6</v>
      </c>
      <c r="M171" s="646">
        <f t="shared" ref="M171:R171" si="155">O$31</f>
        <v>1200</v>
      </c>
      <c r="N171" s="646" t="str">
        <f t="shared" si="155"/>
        <v>-</v>
      </c>
      <c r="O171" s="646">
        <f t="shared" si="155"/>
        <v>0.02</v>
      </c>
      <c r="P171" s="646">
        <f t="shared" si="155"/>
        <v>0.03</v>
      </c>
      <c r="Q171" s="646">
        <f t="shared" si="155"/>
        <v>4.9999999999999992E-3</v>
      </c>
      <c r="R171" s="646">
        <f t="shared" si="155"/>
        <v>0.12</v>
      </c>
      <c r="S171" s="647"/>
    </row>
    <row r="172" spans="1:19" ht="13">
      <c r="A172" s="1246"/>
      <c r="B172" s="618">
        <v>7</v>
      </c>
      <c r="C172" s="619">
        <f>A$41</f>
        <v>60</v>
      </c>
      <c r="D172" s="619" t="str">
        <f t="shared" ref="D172:H172" si="156">B$41</f>
        <v>-</v>
      </c>
      <c r="E172" s="619">
        <f t="shared" si="156"/>
        <v>0.03</v>
      </c>
      <c r="F172" s="619">
        <f t="shared" si="156"/>
        <v>0.02</v>
      </c>
      <c r="G172" s="619">
        <f t="shared" si="156"/>
        <v>4.9999999999999992E-3</v>
      </c>
      <c r="H172" s="619">
        <f t="shared" si="156"/>
        <v>0.12</v>
      </c>
      <c r="I172" s="620"/>
      <c r="K172" s="1253"/>
      <c r="L172" s="618">
        <v>7</v>
      </c>
      <c r="M172" s="646">
        <f t="shared" ref="M172:R172" si="157">A$47</f>
        <v>1200</v>
      </c>
      <c r="N172" s="646" t="str">
        <f t="shared" si="157"/>
        <v>-</v>
      </c>
      <c r="O172" s="646">
        <f t="shared" si="157"/>
        <v>0.03</v>
      </c>
      <c r="P172" s="646">
        <f t="shared" si="157"/>
        <v>0.03</v>
      </c>
      <c r="Q172" s="646">
        <f t="shared" si="157"/>
        <v>0</v>
      </c>
      <c r="R172" s="646">
        <f t="shared" si="157"/>
        <v>0.12</v>
      </c>
      <c r="S172" s="647"/>
    </row>
    <row r="173" spans="1:19" ht="13">
      <c r="A173" s="1246"/>
      <c r="B173" s="618">
        <v>8</v>
      </c>
      <c r="C173" s="619">
        <f>H$41</f>
        <v>60</v>
      </c>
      <c r="D173" s="619" t="str">
        <f t="shared" ref="D173:H173" si="158">I$41</f>
        <v>-</v>
      </c>
      <c r="E173" s="619">
        <f t="shared" si="158"/>
        <v>0.01</v>
      </c>
      <c r="F173" s="619" t="str">
        <f t="shared" si="158"/>
        <v>-</v>
      </c>
      <c r="G173" s="619">
        <f t="shared" si="158"/>
        <v>3.9999999999999994E-2</v>
      </c>
      <c r="H173" s="619">
        <f t="shared" si="158"/>
        <v>0.12</v>
      </c>
      <c r="I173" s="620"/>
      <c r="K173" s="1253"/>
      <c r="L173" s="618">
        <v>8</v>
      </c>
      <c r="M173" s="646">
        <f t="shared" ref="M173:R173" si="159">H$47</f>
        <v>1200</v>
      </c>
      <c r="N173" s="646" t="str">
        <f t="shared" si="159"/>
        <v>-</v>
      </c>
      <c r="O173" s="646">
        <f t="shared" si="159"/>
        <v>0.02</v>
      </c>
      <c r="P173" s="646" t="str">
        <f t="shared" si="159"/>
        <v>-</v>
      </c>
      <c r="Q173" s="646">
        <f t="shared" si="159"/>
        <v>3.9999999999999994E-2</v>
      </c>
      <c r="R173" s="646">
        <f t="shared" si="159"/>
        <v>0.12</v>
      </c>
      <c r="S173" s="647"/>
    </row>
    <row r="174" spans="1:19" ht="13">
      <c r="A174" s="1246"/>
      <c r="B174" s="618">
        <v>9</v>
      </c>
      <c r="C174" s="619">
        <f>O$41</f>
        <v>60</v>
      </c>
      <c r="D174" s="619" t="str">
        <f t="shared" ref="D174:H174" si="160">P$41</f>
        <v>-</v>
      </c>
      <c r="E174" s="619">
        <f t="shared" si="160"/>
        <v>0.02</v>
      </c>
      <c r="F174" s="619">
        <f t="shared" si="160"/>
        <v>-0.01</v>
      </c>
      <c r="G174" s="619">
        <f t="shared" si="160"/>
        <v>1.4999999999999999E-2</v>
      </c>
      <c r="H174" s="619">
        <f t="shared" si="160"/>
        <v>0.12</v>
      </c>
      <c r="I174" s="620"/>
      <c r="K174" s="1253"/>
      <c r="L174" s="618">
        <v>9</v>
      </c>
      <c r="M174" s="646">
        <f t="shared" ref="M174:R174" si="161">O$47</f>
        <v>1200</v>
      </c>
      <c r="N174" s="646" t="str">
        <f t="shared" si="161"/>
        <v>-</v>
      </c>
      <c r="O174" s="646">
        <f t="shared" si="161"/>
        <v>0.02</v>
      </c>
      <c r="P174" s="646">
        <f t="shared" si="161"/>
        <v>-0.03</v>
      </c>
      <c r="Q174" s="646">
        <f t="shared" si="161"/>
        <v>2.5000000000000001E-2</v>
      </c>
      <c r="R174" s="646">
        <f t="shared" si="161"/>
        <v>0.12</v>
      </c>
      <c r="S174" s="647"/>
    </row>
    <row r="175" spans="1:19" ht="13">
      <c r="A175" s="1246"/>
      <c r="B175" s="625">
        <v>10</v>
      </c>
      <c r="C175" s="619">
        <f>A$56</f>
        <v>60</v>
      </c>
      <c r="D175" s="619" t="str">
        <f t="shared" ref="D175:H175" si="162">B$56</f>
        <v>-</v>
      </c>
      <c r="E175" s="619">
        <f t="shared" si="162"/>
        <v>-0.06</v>
      </c>
      <c r="F175" s="619">
        <f t="shared" si="162"/>
        <v>-0.01</v>
      </c>
      <c r="G175" s="619">
        <f t="shared" si="162"/>
        <v>2.4999999999999998E-2</v>
      </c>
      <c r="H175" s="619">
        <f t="shared" si="162"/>
        <v>0.12</v>
      </c>
      <c r="I175" s="620"/>
      <c r="K175" s="1253"/>
      <c r="L175" s="618">
        <v>10</v>
      </c>
      <c r="M175" s="646">
        <f t="shared" ref="M175:R175" si="163">A$62</f>
        <v>1200</v>
      </c>
      <c r="N175" s="646" t="str">
        <f t="shared" si="163"/>
        <v>-</v>
      </c>
      <c r="O175" s="646">
        <f t="shared" si="163"/>
        <v>-0.05</v>
      </c>
      <c r="P175" s="646">
        <f t="shared" si="163"/>
        <v>-0.02</v>
      </c>
      <c r="Q175" s="646">
        <f t="shared" si="163"/>
        <v>1.5000000000000001E-2</v>
      </c>
      <c r="R175" s="646">
        <f t="shared" si="163"/>
        <v>0.12</v>
      </c>
      <c r="S175" s="647"/>
    </row>
    <row r="176" spans="1:19" ht="13">
      <c r="A176" s="1246"/>
      <c r="B176" s="625">
        <v>11</v>
      </c>
      <c r="C176" s="619">
        <f>H$56</f>
        <v>60</v>
      </c>
      <c r="D176" s="619" t="str">
        <f t="shared" ref="D176:H176" si="164">I$56</f>
        <v>-</v>
      </c>
      <c r="E176" s="619">
        <f t="shared" si="164"/>
        <v>-0.03</v>
      </c>
      <c r="F176" s="619">
        <f t="shared" si="164"/>
        <v>0.01</v>
      </c>
      <c r="G176" s="619">
        <f t="shared" si="164"/>
        <v>0.02</v>
      </c>
      <c r="H176" s="619">
        <f t="shared" si="164"/>
        <v>0.12</v>
      </c>
      <c r="I176" s="620"/>
      <c r="K176" s="1253"/>
      <c r="L176" s="625">
        <v>11</v>
      </c>
      <c r="M176" s="646">
        <f t="shared" ref="M176:R176" si="165">H$62</f>
        <v>1200</v>
      </c>
      <c r="N176" s="646" t="str">
        <f t="shared" si="165"/>
        <v>-</v>
      </c>
      <c r="O176" s="646">
        <f t="shared" si="165"/>
        <v>-0.02</v>
      </c>
      <c r="P176" s="646">
        <f t="shared" si="165"/>
        <v>0.04</v>
      </c>
      <c r="Q176" s="646">
        <f t="shared" si="165"/>
        <v>0.03</v>
      </c>
      <c r="R176" s="646">
        <f t="shared" si="165"/>
        <v>0.12</v>
      </c>
      <c r="S176" s="647"/>
    </row>
    <row r="177" spans="1:19" ht="13">
      <c r="A177" s="1246"/>
      <c r="B177" s="618">
        <v>12</v>
      </c>
      <c r="C177" s="619">
        <f>O$56</f>
        <v>40</v>
      </c>
      <c r="D177" s="619" t="str">
        <f t="shared" ref="D177:H177" si="166">P$56</f>
        <v>-</v>
      </c>
      <c r="E177" s="619">
        <f t="shared" si="166"/>
        <v>0.02</v>
      </c>
      <c r="F177" s="619" t="str">
        <f t="shared" si="166"/>
        <v>-</v>
      </c>
      <c r="G177" s="619">
        <f t="shared" si="166"/>
        <v>3.9999999999999994E-2</v>
      </c>
      <c r="H177" s="619">
        <f t="shared" si="166"/>
        <v>0.12</v>
      </c>
      <c r="I177" s="620"/>
      <c r="K177" s="1253"/>
      <c r="L177" s="618">
        <v>12</v>
      </c>
      <c r="M177" s="646">
        <f t="shared" ref="M177:R177" si="167">O$62</f>
        <v>1200</v>
      </c>
      <c r="N177" s="646" t="str">
        <f t="shared" si="167"/>
        <v>-</v>
      </c>
      <c r="O177" s="646" t="str">
        <f t="shared" si="167"/>
        <v>-</v>
      </c>
      <c r="P177" s="646">
        <f t="shared" si="167"/>
        <v>0.03</v>
      </c>
      <c r="Q177" s="646">
        <f t="shared" si="167"/>
        <v>3.9999999999999994E-2</v>
      </c>
      <c r="R177" s="646">
        <f t="shared" si="167"/>
        <v>0.12</v>
      </c>
      <c r="S177" s="647"/>
    </row>
    <row r="178" spans="1:19" ht="13">
      <c r="A178" s="1246"/>
      <c r="B178" s="618">
        <v>13</v>
      </c>
      <c r="C178" s="619">
        <f>A$71</f>
        <v>40</v>
      </c>
      <c r="D178" s="619" t="str">
        <f t="shared" ref="D178:H178" si="168">B$71</f>
        <v>-</v>
      </c>
      <c r="E178" s="619">
        <f t="shared" si="168"/>
        <v>0.01</v>
      </c>
      <c r="F178" s="619" t="str">
        <f t="shared" si="168"/>
        <v>-</v>
      </c>
      <c r="G178" s="619">
        <f t="shared" si="168"/>
        <v>3.9999999999999994E-2</v>
      </c>
      <c r="H178" s="619">
        <f t="shared" si="168"/>
        <v>0.12</v>
      </c>
      <c r="I178" s="620"/>
      <c r="K178" s="1253"/>
      <c r="L178" s="618">
        <v>13</v>
      </c>
      <c r="M178" s="646">
        <f t="shared" ref="M178:R178" si="169">A$77</f>
        <v>1200</v>
      </c>
      <c r="N178" s="646" t="str">
        <f t="shared" si="169"/>
        <v>-</v>
      </c>
      <c r="O178" s="646" t="str">
        <f t="shared" si="169"/>
        <v>-</v>
      </c>
      <c r="P178" s="646">
        <f t="shared" si="169"/>
        <v>0.03</v>
      </c>
      <c r="Q178" s="646">
        <f t="shared" si="169"/>
        <v>3.9999999999999994E-2</v>
      </c>
      <c r="R178" s="646">
        <f t="shared" si="169"/>
        <v>0.12</v>
      </c>
      <c r="S178" s="647"/>
    </row>
    <row r="179" spans="1:19" ht="13">
      <c r="A179" s="1246"/>
      <c r="B179" s="618">
        <v>14</v>
      </c>
      <c r="C179" s="619">
        <f>H$71</f>
        <v>40</v>
      </c>
      <c r="D179" s="619" t="str">
        <f t="shared" ref="D179:H179" si="170">I$71</f>
        <v>-</v>
      </c>
      <c r="E179" s="619">
        <f t="shared" si="170"/>
        <v>0.03</v>
      </c>
      <c r="F179" s="619" t="str">
        <f t="shared" si="170"/>
        <v>-</v>
      </c>
      <c r="G179" s="619">
        <f t="shared" si="170"/>
        <v>3.9999999999999994E-2</v>
      </c>
      <c r="H179" s="619">
        <f t="shared" si="170"/>
        <v>0.12</v>
      </c>
      <c r="I179" s="620"/>
      <c r="K179" s="1253"/>
      <c r="L179" s="618">
        <v>14</v>
      </c>
      <c r="M179" s="646">
        <f t="shared" ref="M179:R179" si="171">H$77</f>
        <v>1200</v>
      </c>
      <c r="N179" s="646" t="str">
        <f t="shared" si="171"/>
        <v>-</v>
      </c>
      <c r="O179" s="646" t="str">
        <f t="shared" si="171"/>
        <v>-</v>
      </c>
      <c r="P179" s="646">
        <f t="shared" si="171"/>
        <v>-0.03</v>
      </c>
      <c r="Q179" s="646">
        <f t="shared" si="171"/>
        <v>3.9999999999999994E-2</v>
      </c>
      <c r="R179" s="646">
        <f t="shared" si="171"/>
        <v>0.12</v>
      </c>
      <c r="S179" s="647"/>
    </row>
    <row r="180" spans="1:19" ht="13">
      <c r="A180" s="1246"/>
      <c r="B180" s="618">
        <v>15</v>
      </c>
      <c r="C180" s="648">
        <f>O$71</f>
        <v>60</v>
      </c>
      <c r="D180" s="648" t="str">
        <f t="shared" ref="D180:H180" si="172">P$71</f>
        <v>-</v>
      </c>
      <c r="E180" s="648">
        <f t="shared" si="172"/>
        <v>0.04</v>
      </c>
      <c r="F180" s="648">
        <f t="shared" si="172"/>
        <v>0</v>
      </c>
      <c r="G180" s="648">
        <f t="shared" si="172"/>
        <v>0.02</v>
      </c>
      <c r="H180" s="648">
        <f t="shared" si="172"/>
        <v>0.12</v>
      </c>
      <c r="I180" s="649"/>
      <c r="K180" s="1253"/>
      <c r="L180" s="618">
        <v>15</v>
      </c>
      <c r="M180" s="646">
        <f t="shared" ref="M180:R180" si="173">O$77</f>
        <v>1200</v>
      </c>
      <c r="N180" s="646" t="str">
        <f t="shared" si="173"/>
        <v>-</v>
      </c>
      <c r="O180" s="646">
        <f t="shared" si="173"/>
        <v>0.04</v>
      </c>
      <c r="P180" s="646">
        <f t="shared" si="173"/>
        <v>-0.04</v>
      </c>
      <c r="Q180" s="646">
        <f t="shared" si="173"/>
        <v>0.04</v>
      </c>
      <c r="R180" s="646">
        <f t="shared" si="173"/>
        <v>0.12</v>
      </c>
      <c r="S180" s="647"/>
    </row>
    <row r="181" spans="1:19" ht="13.5" thickBot="1">
      <c r="A181" s="1251"/>
      <c r="B181" s="629">
        <v>16</v>
      </c>
      <c r="C181" s="650">
        <f>A$86</f>
        <v>60</v>
      </c>
      <c r="D181" s="650" t="str">
        <f t="shared" ref="D181:H181" si="174">B$86</f>
        <v>-</v>
      </c>
      <c r="E181" s="650">
        <f t="shared" si="174"/>
        <v>-0.01</v>
      </c>
      <c r="F181" s="650">
        <f t="shared" si="174"/>
        <v>-0.01</v>
      </c>
      <c r="G181" s="650">
        <f t="shared" si="174"/>
        <v>0</v>
      </c>
      <c r="H181" s="650">
        <f t="shared" si="174"/>
        <v>0.12</v>
      </c>
      <c r="I181" s="651"/>
      <c r="K181" s="1254"/>
      <c r="L181" s="629">
        <v>16</v>
      </c>
      <c r="M181" s="652">
        <f t="shared" ref="M181:R181" si="175">A$92</f>
        <v>1200</v>
      </c>
      <c r="N181" s="652" t="str">
        <f t="shared" si="175"/>
        <v>-</v>
      </c>
      <c r="O181" s="652">
        <f t="shared" si="175"/>
        <v>0.02</v>
      </c>
      <c r="P181" s="652">
        <f t="shared" si="175"/>
        <v>-0.03</v>
      </c>
      <c r="Q181" s="652">
        <f t="shared" si="175"/>
        <v>2.5000000000000001E-2</v>
      </c>
      <c r="R181" s="652">
        <f t="shared" si="175"/>
        <v>0.12</v>
      </c>
      <c r="S181" s="653"/>
    </row>
    <row r="182" spans="1:19" ht="13">
      <c r="A182" s="1226" t="s">
        <v>37</v>
      </c>
      <c r="B182" s="613">
        <v>1</v>
      </c>
      <c r="C182" s="614">
        <f>A$11</f>
        <v>50</v>
      </c>
      <c r="D182" s="614" t="str">
        <f t="shared" ref="D182:H182" si="176">B$11</f>
        <v>-</v>
      </c>
      <c r="E182" s="614">
        <f t="shared" si="176"/>
        <v>-1E-3</v>
      </c>
      <c r="F182" s="614" t="str">
        <f t="shared" si="176"/>
        <v>-</v>
      </c>
      <c r="G182" s="614">
        <f t="shared" si="176"/>
        <v>3.9999999999999994E-2</v>
      </c>
      <c r="H182" s="614">
        <f t="shared" si="176"/>
        <v>0.12</v>
      </c>
      <c r="I182" s="615"/>
      <c r="K182" s="654"/>
      <c r="L182" s="655"/>
      <c r="M182" s="588"/>
      <c r="N182" s="588"/>
      <c r="O182" s="588"/>
      <c r="P182" s="588"/>
      <c r="Q182" s="588"/>
      <c r="R182" s="588"/>
      <c r="S182" s="656"/>
    </row>
    <row r="183" spans="1:19" ht="13">
      <c r="A183" s="1227"/>
      <c r="B183" s="618">
        <v>2</v>
      </c>
      <c r="C183" s="619">
        <f>H$11</f>
        <v>50</v>
      </c>
      <c r="D183" s="619" t="str">
        <f t="shared" ref="D183:H183" si="177">I$11</f>
        <v>-</v>
      </c>
      <c r="E183" s="619">
        <f t="shared" si="177"/>
        <v>1E-3</v>
      </c>
      <c r="F183" s="619" t="str">
        <f t="shared" si="177"/>
        <v>-</v>
      </c>
      <c r="G183" s="619">
        <f t="shared" si="177"/>
        <v>3.9999999999999994E-2</v>
      </c>
      <c r="H183" s="619">
        <f t="shared" si="177"/>
        <v>0.12</v>
      </c>
      <c r="I183" s="620"/>
      <c r="K183" s="654"/>
      <c r="L183" s="655"/>
      <c r="M183" s="588"/>
      <c r="N183" s="588"/>
      <c r="O183" s="588"/>
      <c r="P183" s="588"/>
      <c r="Q183" s="588"/>
      <c r="R183" s="588"/>
      <c r="S183" s="656"/>
    </row>
    <row r="184" spans="1:19" ht="13">
      <c r="A184" s="1227"/>
      <c r="B184" s="618">
        <v>3</v>
      </c>
      <c r="C184" s="619">
        <f>O$11</f>
        <v>50</v>
      </c>
      <c r="D184" s="619" t="str">
        <f t="shared" ref="D184:H184" si="178">P$11</f>
        <v>-</v>
      </c>
      <c r="E184" s="619">
        <f t="shared" si="178"/>
        <v>0</v>
      </c>
      <c r="F184" s="619" t="str">
        <f t="shared" si="178"/>
        <v>-</v>
      </c>
      <c r="G184" s="619">
        <f t="shared" si="178"/>
        <v>3.9999999999999994E-2</v>
      </c>
      <c r="H184" s="619">
        <f t="shared" si="178"/>
        <v>0.12</v>
      </c>
      <c r="I184" s="620"/>
      <c r="K184" s="654"/>
      <c r="L184" s="655"/>
      <c r="M184" s="588"/>
      <c r="N184" s="588"/>
      <c r="O184" s="588"/>
      <c r="P184" s="588"/>
      <c r="Q184" s="588"/>
      <c r="R184" s="588"/>
      <c r="S184" s="656"/>
    </row>
    <row r="185" spans="1:19" ht="13">
      <c r="A185" s="1227"/>
      <c r="B185" s="618">
        <v>4</v>
      </c>
      <c r="C185" s="619">
        <f>A$26</f>
        <v>60</v>
      </c>
      <c r="D185" s="619" t="str">
        <f t="shared" ref="D185:H185" si="179">B$26</f>
        <v>-</v>
      </c>
      <c r="E185" s="619">
        <f t="shared" si="179"/>
        <v>-0.01</v>
      </c>
      <c r="F185" s="619">
        <f t="shared" si="179"/>
        <v>2E-3</v>
      </c>
      <c r="G185" s="619">
        <f t="shared" si="179"/>
        <v>6.0000000000000001E-3</v>
      </c>
      <c r="H185" s="619">
        <f t="shared" si="179"/>
        <v>0.12</v>
      </c>
      <c r="I185" s="620"/>
      <c r="K185" s="654"/>
      <c r="L185" s="655"/>
      <c r="M185" s="588"/>
      <c r="N185" s="588"/>
      <c r="O185" s="588"/>
      <c r="P185" s="588"/>
      <c r="Q185" s="588"/>
      <c r="R185" s="588"/>
      <c r="S185" s="656"/>
    </row>
    <row r="186" spans="1:19" ht="13">
      <c r="A186" s="1227"/>
      <c r="B186" s="618">
        <v>5</v>
      </c>
      <c r="C186" s="619">
        <f>H$26</f>
        <v>50</v>
      </c>
      <c r="D186" s="619" t="str">
        <f t="shared" ref="D186:H186" si="180">I$26</f>
        <v>-</v>
      </c>
      <c r="E186" s="619">
        <f t="shared" si="180"/>
        <v>-0.02</v>
      </c>
      <c r="F186" s="619" t="str">
        <f t="shared" si="180"/>
        <v>-</v>
      </c>
      <c r="G186" s="619">
        <f t="shared" si="180"/>
        <v>3.9999999999999994E-2</v>
      </c>
      <c r="H186" s="619">
        <f t="shared" si="180"/>
        <v>0.12</v>
      </c>
      <c r="I186" s="620"/>
      <c r="K186" s="654"/>
      <c r="L186" s="655"/>
      <c r="M186" s="588"/>
      <c r="N186" s="588"/>
      <c r="O186" s="588"/>
      <c r="P186" s="588"/>
      <c r="Q186" s="588"/>
      <c r="R186" s="588"/>
      <c r="S186" s="656"/>
    </row>
    <row r="187" spans="1:19" ht="13">
      <c r="A187" s="1227"/>
      <c r="B187" s="618">
        <v>6</v>
      </c>
      <c r="C187" s="619">
        <f>O$26</f>
        <v>60</v>
      </c>
      <c r="D187" s="619" t="str">
        <f t="shared" ref="D187:H187" si="181">P$26</f>
        <v>-</v>
      </c>
      <c r="E187" s="619">
        <f t="shared" si="181"/>
        <v>0.01</v>
      </c>
      <c r="F187" s="619">
        <f t="shared" si="181"/>
        <v>0.02</v>
      </c>
      <c r="G187" s="619">
        <f t="shared" si="181"/>
        <v>5.0000000000000001E-3</v>
      </c>
      <c r="H187" s="619">
        <f t="shared" si="181"/>
        <v>0.12</v>
      </c>
      <c r="I187" s="620"/>
      <c r="K187" s="654"/>
      <c r="L187" s="655"/>
      <c r="M187" s="588"/>
      <c r="N187" s="588"/>
      <c r="O187" s="588"/>
      <c r="P187" s="588"/>
      <c r="Q187" s="588"/>
      <c r="R187" s="588"/>
      <c r="S187" s="656"/>
    </row>
    <row r="188" spans="1:19" ht="13">
      <c r="A188" s="1227"/>
      <c r="B188" s="618">
        <v>7</v>
      </c>
      <c r="C188" s="619">
        <f>A$42</f>
        <v>60</v>
      </c>
      <c r="D188" s="619" t="str">
        <f t="shared" ref="D188:H188" si="182">B$42</f>
        <v>-</v>
      </c>
      <c r="E188" s="619">
        <f t="shared" si="182"/>
        <v>0.03</v>
      </c>
      <c r="F188" s="619">
        <f t="shared" si="182"/>
        <v>0.02</v>
      </c>
      <c r="G188" s="619">
        <f t="shared" si="182"/>
        <v>4.9999999999999992E-3</v>
      </c>
      <c r="H188" s="619">
        <f t="shared" si="182"/>
        <v>0.12</v>
      </c>
      <c r="I188" s="620"/>
      <c r="K188" s="654"/>
      <c r="L188" s="655"/>
      <c r="M188" s="588"/>
      <c r="N188" s="588"/>
      <c r="O188" s="588"/>
      <c r="P188" s="588"/>
      <c r="Q188" s="588"/>
      <c r="R188" s="588"/>
      <c r="S188" s="656"/>
    </row>
    <row r="189" spans="1:19" ht="13">
      <c r="A189" s="1227"/>
      <c r="B189" s="618">
        <v>8</v>
      </c>
      <c r="C189" s="619">
        <f>H$42</f>
        <v>60</v>
      </c>
      <c r="D189" s="619" t="str">
        <f t="shared" ref="D189:H189" si="183">I$42</f>
        <v>-</v>
      </c>
      <c r="E189" s="619">
        <f t="shared" si="183"/>
        <v>0.01</v>
      </c>
      <c r="F189" s="619" t="str">
        <f t="shared" si="183"/>
        <v>-</v>
      </c>
      <c r="G189" s="619">
        <f t="shared" si="183"/>
        <v>3.9999999999999994E-2</v>
      </c>
      <c r="H189" s="619">
        <f t="shared" si="183"/>
        <v>0.12</v>
      </c>
      <c r="I189" s="620"/>
      <c r="K189" s="654"/>
      <c r="L189" s="655"/>
      <c r="M189" s="588"/>
      <c r="N189" s="588"/>
      <c r="O189" s="588"/>
      <c r="P189" s="588"/>
      <c r="Q189" s="588"/>
      <c r="R189" s="588"/>
      <c r="S189" s="656"/>
    </row>
    <row r="190" spans="1:19" ht="13">
      <c r="A190" s="1227"/>
      <c r="B190" s="618">
        <v>9</v>
      </c>
      <c r="C190" s="619">
        <f>O$42</f>
        <v>60</v>
      </c>
      <c r="D190" s="619" t="str">
        <f t="shared" ref="D190:H190" si="184">P$42</f>
        <v>-</v>
      </c>
      <c r="E190" s="619">
        <f t="shared" si="184"/>
        <v>0.02</v>
      </c>
      <c r="F190" s="619">
        <f t="shared" si="184"/>
        <v>-0.01</v>
      </c>
      <c r="G190" s="619">
        <f t="shared" si="184"/>
        <v>1.4999999999999999E-2</v>
      </c>
      <c r="H190" s="619">
        <f t="shared" si="184"/>
        <v>0.12</v>
      </c>
      <c r="I190" s="620"/>
      <c r="K190" s="654"/>
      <c r="L190" s="655"/>
      <c r="M190" s="588"/>
      <c r="N190" s="588"/>
      <c r="O190" s="588"/>
      <c r="P190" s="588"/>
      <c r="Q190" s="588"/>
      <c r="R190" s="588"/>
      <c r="S190" s="656"/>
    </row>
    <row r="191" spans="1:19" ht="13">
      <c r="A191" s="1227"/>
      <c r="B191" s="618">
        <v>10</v>
      </c>
      <c r="C191" s="619">
        <f>A$57</f>
        <v>60</v>
      </c>
      <c r="D191" s="619" t="str">
        <f t="shared" ref="D191:H191" si="185">B$57</f>
        <v>-</v>
      </c>
      <c r="E191" s="619">
        <f t="shared" si="185"/>
        <v>-0.06</v>
      </c>
      <c r="F191" s="619">
        <f t="shared" si="185"/>
        <v>-0.01</v>
      </c>
      <c r="G191" s="619">
        <f t="shared" si="185"/>
        <v>2.4999999999999998E-2</v>
      </c>
      <c r="H191" s="619">
        <f t="shared" si="185"/>
        <v>0.12</v>
      </c>
      <c r="I191" s="620"/>
      <c r="K191" s="654"/>
      <c r="L191" s="655"/>
      <c r="M191" s="588"/>
      <c r="N191" s="588"/>
      <c r="O191" s="588"/>
      <c r="P191" s="588"/>
      <c r="Q191" s="588"/>
      <c r="R191" s="588"/>
      <c r="S191" s="656"/>
    </row>
    <row r="192" spans="1:19" ht="13">
      <c r="A192" s="1227"/>
      <c r="B192" s="625">
        <v>11</v>
      </c>
      <c r="C192" s="616">
        <f>H$57</f>
        <v>60</v>
      </c>
      <c r="D192" s="616" t="str">
        <f t="shared" ref="D192:H192" si="186">I$57</f>
        <v>-</v>
      </c>
      <c r="E192" s="616">
        <f t="shared" si="186"/>
        <v>-0.03</v>
      </c>
      <c r="F192" s="616">
        <f t="shared" si="186"/>
        <v>0.01</v>
      </c>
      <c r="G192" s="616">
        <f t="shared" si="186"/>
        <v>0.02</v>
      </c>
      <c r="H192" s="616">
        <f t="shared" si="186"/>
        <v>0.12</v>
      </c>
      <c r="I192" s="623"/>
      <c r="K192" s="654"/>
      <c r="L192" s="655"/>
      <c r="M192" s="588"/>
      <c r="N192" s="588"/>
      <c r="O192" s="588"/>
      <c r="P192" s="588"/>
      <c r="Q192" s="588"/>
      <c r="R192" s="588"/>
      <c r="S192" s="656"/>
    </row>
    <row r="193" spans="1:27" ht="13">
      <c r="A193" s="1227"/>
      <c r="B193" s="618">
        <v>12</v>
      </c>
      <c r="C193" s="616">
        <f>O$57</f>
        <v>50</v>
      </c>
      <c r="D193" s="616" t="str">
        <f t="shared" ref="D193:H193" si="187">P$57</f>
        <v>-</v>
      </c>
      <c r="E193" s="616">
        <f t="shared" si="187"/>
        <v>0.02</v>
      </c>
      <c r="F193" s="616" t="str">
        <f t="shared" si="187"/>
        <v>-</v>
      </c>
      <c r="G193" s="616">
        <f t="shared" si="187"/>
        <v>3.9999999999999994E-2</v>
      </c>
      <c r="H193" s="616">
        <f t="shared" si="187"/>
        <v>0.12</v>
      </c>
      <c r="I193" s="623"/>
      <c r="K193" s="654"/>
      <c r="L193" s="655"/>
      <c r="M193" s="588"/>
      <c r="N193" s="588"/>
      <c r="O193" s="588"/>
      <c r="P193" s="588"/>
      <c r="Q193" s="588"/>
      <c r="R193" s="588"/>
      <c r="S193" s="656"/>
    </row>
    <row r="194" spans="1:27" ht="13">
      <c r="A194" s="1227"/>
      <c r="B194" s="618">
        <v>13</v>
      </c>
      <c r="C194" s="616">
        <f>A$72</f>
        <v>50</v>
      </c>
      <c r="D194" s="616" t="str">
        <f t="shared" ref="D194:H194" si="188">B$72</f>
        <v>-</v>
      </c>
      <c r="E194" s="616">
        <f t="shared" si="188"/>
        <v>0.02</v>
      </c>
      <c r="F194" s="616" t="str">
        <f t="shared" si="188"/>
        <v>-</v>
      </c>
      <c r="G194" s="616">
        <f t="shared" si="188"/>
        <v>3.9999999999999994E-2</v>
      </c>
      <c r="H194" s="616">
        <f t="shared" si="188"/>
        <v>0.12</v>
      </c>
      <c r="I194" s="623"/>
      <c r="K194" s="654"/>
      <c r="L194" s="655"/>
      <c r="M194" s="588"/>
      <c r="N194" s="588"/>
      <c r="O194" s="588"/>
      <c r="P194" s="588"/>
      <c r="Q194" s="588"/>
      <c r="R194" s="588"/>
      <c r="S194" s="656"/>
    </row>
    <row r="195" spans="1:27" ht="13">
      <c r="A195" s="1227"/>
      <c r="B195" s="618">
        <v>14</v>
      </c>
      <c r="C195" s="616">
        <f>H$72</f>
        <v>50</v>
      </c>
      <c r="D195" s="616" t="str">
        <f t="shared" ref="D195:H195" si="189">I$72</f>
        <v>-</v>
      </c>
      <c r="E195" s="616">
        <f t="shared" si="189"/>
        <v>0.03</v>
      </c>
      <c r="F195" s="616" t="str">
        <f t="shared" si="189"/>
        <v>-</v>
      </c>
      <c r="G195" s="616">
        <f t="shared" si="189"/>
        <v>3.9999999999999994E-2</v>
      </c>
      <c r="H195" s="616">
        <f t="shared" si="189"/>
        <v>0.12</v>
      </c>
      <c r="I195" s="623"/>
      <c r="K195" s="654"/>
      <c r="L195" s="655"/>
      <c r="M195" s="588"/>
      <c r="N195" s="588"/>
      <c r="O195" s="588"/>
      <c r="P195" s="588"/>
      <c r="Q195" s="588"/>
      <c r="R195" s="588"/>
      <c r="S195" s="656"/>
    </row>
    <row r="196" spans="1:27" ht="13">
      <c r="A196" s="1227"/>
      <c r="B196" s="618">
        <v>15</v>
      </c>
      <c r="C196" s="616">
        <f>O$72</f>
        <v>60</v>
      </c>
      <c r="D196" s="616" t="str">
        <f t="shared" ref="D196:H196" si="190">P$72</f>
        <v>-</v>
      </c>
      <c r="E196" s="616">
        <f t="shared" si="190"/>
        <v>0.04</v>
      </c>
      <c r="F196" s="616">
        <f t="shared" si="190"/>
        <v>0</v>
      </c>
      <c r="G196" s="616">
        <f t="shared" si="190"/>
        <v>0.02</v>
      </c>
      <c r="H196" s="616">
        <f t="shared" si="190"/>
        <v>0.12</v>
      </c>
      <c r="I196" s="623"/>
      <c r="K196" s="654"/>
      <c r="L196" s="655"/>
      <c r="M196" s="588"/>
      <c r="N196" s="588"/>
      <c r="O196" s="588"/>
      <c r="P196" s="588"/>
      <c r="Q196" s="588"/>
      <c r="R196" s="588"/>
      <c r="S196" s="656"/>
    </row>
    <row r="197" spans="1:27" ht="13.5" thickBot="1">
      <c r="A197" s="1228"/>
      <c r="B197" s="629">
        <v>16</v>
      </c>
      <c r="C197" s="650">
        <f>A$87</f>
        <v>60</v>
      </c>
      <c r="D197" s="650" t="str">
        <f t="shared" ref="D197:H197" si="191">B$87</f>
        <v>-</v>
      </c>
      <c r="E197" s="650">
        <f t="shared" si="191"/>
        <v>-0.01</v>
      </c>
      <c r="F197" s="650">
        <f t="shared" si="191"/>
        <v>-0.01</v>
      </c>
      <c r="G197" s="650">
        <f t="shared" si="191"/>
        <v>0</v>
      </c>
      <c r="H197" s="650">
        <f t="shared" si="191"/>
        <v>0.12</v>
      </c>
      <c r="I197" s="657"/>
      <c r="K197" s="654"/>
      <c r="L197" s="655"/>
      <c r="M197" s="588"/>
      <c r="N197" s="588"/>
      <c r="O197" s="588"/>
      <c r="P197" s="588"/>
      <c r="Q197" s="588"/>
      <c r="R197" s="588"/>
      <c r="S197" s="656"/>
    </row>
    <row r="198" spans="1:27" ht="13">
      <c r="A198" s="658"/>
      <c r="B198" s="558"/>
      <c r="C198" s="655"/>
      <c r="D198" s="560"/>
      <c r="E198" s="659"/>
      <c r="F198" s="659"/>
      <c r="G198" s="659"/>
      <c r="H198" s="659"/>
      <c r="I198" s="659"/>
    </row>
    <row r="199" spans="1:27" ht="13">
      <c r="A199" s="599"/>
      <c r="B199" s="600"/>
      <c r="C199" s="600"/>
      <c r="D199" s="600"/>
      <c r="E199" s="600"/>
      <c r="F199" s="600"/>
      <c r="G199" s="600"/>
      <c r="H199" s="600"/>
      <c r="I199" s="600"/>
      <c r="J199" s="600"/>
      <c r="K199" s="600"/>
      <c r="L199" s="660"/>
      <c r="M199" s="661"/>
      <c r="N199" s="660"/>
      <c r="O199" s="662"/>
      <c r="P199" s="662"/>
      <c r="Q199" s="561"/>
      <c r="R199" s="660"/>
      <c r="S199" s="661"/>
      <c r="T199" s="660"/>
    </row>
    <row r="200" spans="1:27" ht="28.5" customHeight="1">
      <c r="A200" s="552">
        <f>A242</f>
        <v>16</v>
      </c>
      <c r="B200" s="1229" t="str">
        <f>A225</f>
        <v>Stopwatch, Merek : EXTECH, Model : 365535, SN :005018</v>
      </c>
      <c r="C200" s="1230"/>
      <c r="D200" s="1230"/>
      <c r="E200" s="1230"/>
      <c r="F200" s="1231"/>
      <c r="G200" s="553"/>
      <c r="H200" s="551"/>
      <c r="I200" s="551"/>
      <c r="J200" s="1232"/>
      <c r="K200" s="1232"/>
      <c r="L200" s="1232"/>
      <c r="M200" s="1232"/>
      <c r="N200" s="566"/>
      <c r="O200" s="553"/>
      <c r="P200" s="553"/>
      <c r="Q200" s="561"/>
      <c r="R200" s="661"/>
      <c r="S200" s="660"/>
      <c r="T200" s="662"/>
      <c r="AA200" s="663"/>
    </row>
    <row r="201" spans="1:27" ht="13.5">
      <c r="A201" s="664" t="s">
        <v>25</v>
      </c>
      <c r="B201" s="1233" t="s">
        <v>7</v>
      </c>
      <c r="C201" s="1234"/>
      <c r="D201" s="1235"/>
      <c r="E201" s="1236" t="s">
        <v>38</v>
      </c>
      <c r="F201" s="1238" t="s">
        <v>2</v>
      </c>
      <c r="G201" s="1238"/>
      <c r="H201" s="1239" t="s">
        <v>26</v>
      </c>
      <c r="J201" s="1240"/>
      <c r="K201" s="1240"/>
      <c r="L201" s="573"/>
      <c r="M201" s="1241"/>
      <c r="N201" s="566"/>
      <c r="O201" s="566"/>
      <c r="P201" s="566"/>
      <c r="Q201" s="561"/>
      <c r="R201" s="660"/>
      <c r="S201" s="661"/>
      <c r="T201" s="660"/>
    </row>
    <row r="202" spans="1:27" ht="14">
      <c r="A202" s="546" t="s">
        <v>8</v>
      </c>
      <c r="B202" s="546">
        <f>VLOOKUP(B200,A226:M241,10,FALSE)</f>
        <v>2022</v>
      </c>
      <c r="C202" s="664">
        <f>VLOOKUP(B200,A226:M241,11,FALSE)</f>
        <v>2021</v>
      </c>
      <c r="D202" s="664">
        <f>VLOOKUP(B200,A226:M241,12,FALSE)</f>
        <v>2020</v>
      </c>
      <c r="E202" s="1237"/>
      <c r="F202" s="665"/>
      <c r="G202" s="666" t="s">
        <v>39</v>
      </c>
      <c r="H202" s="1239"/>
      <c r="J202" s="573"/>
      <c r="K202" s="573"/>
      <c r="L202" s="573"/>
      <c r="M202" s="1241"/>
      <c r="N202" s="566"/>
      <c r="O202" s="566"/>
      <c r="P202" s="566"/>
      <c r="Q202" s="561"/>
      <c r="R202" s="600"/>
      <c r="S202" s="600"/>
      <c r="T202" s="600"/>
    </row>
    <row r="203" spans="1:27" ht="13">
      <c r="A203" s="667">
        <f>VLOOKUP(A200,B102:H117,2)</f>
        <v>0</v>
      </c>
      <c r="B203" s="646" t="str">
        <f>VLOOKUP($A$200,$B$102:$H$117,3,FALSE)</f>
        <v>-</v>
      </c>
      <c r="C203" s="646">
        <f>VLOOKUP($A$200,$B$102:$H$117,4,FALSE)</f>
        <v>0</v>
      </c>
      <c r="D203" s="646">
        <f>VLOOKUP($A$200,B102:H117,5,FALSE)</f>
        <v>0</v>
      </c>
      <c r="E203" s="668">
        <f>IF(AND(B203="-",C203="-"),D203,IF(B203="-",C203,B203))</f>
        <v>0</v>
      </c>
      <c r="F203" s="669">
        <f>IFERROR(IF(OR(AND(B203="-",C203="-"),AND(B203="-",D203="-")),G203,0.5*(MAX(B203:D203)-MIN(B203:D203))),0)</f>
        <v>0</v>
      </c>
      <c r="G203" s="668">
        <f>1/3*H203</f>
        <v>0</v>
      </c>
      <c r="H203" s="646">
        <f>VLOOKUP($A$200,B102:H117,7,FALSE)</f>
        <v>0</v>
      </c>
      <c r="J203" s="588"/>
      <c r="K203" s="588"/>
      <c r="L203" s="588"/>
      <c r="M203" s="588"/>
      <c r="N203" s="566"/>
      <c r="O203" s="566"/>
      <c r="P203" s="566"/>
      <c r="Q203" s="561"/>
      <c r="R203" s="600"/>
      <c r="S203" s="600"/>
      <c r="T203" s="600"/>
    </row>
    <row r="204" spans="1:27" ht="13">
      <c r="A204" s="667">
        <f>VLOOKUP(A200,B118:H133,2)</f>
        <v>60</v>
      </c>
      <c r="B204" s="646" t="str">
        <f>VLOOKUP($A$200,$B$118:$H$133,3,FALSE)</f>
        <v>-</v>
      </c>
      <c r="C204" s="646">
        <f>VLOOKUP($A$200,$B$118:$H$133,4,FALSE)</f>
        <v>-0.01</v>
      </c>
      <c r="D204" s="646">
        <f>VLOOKUP($A$200,B118:H133,5,FALSE)</f>
        <v>-0.01</v>
      </c>
      <c r="E204" s="668">
        <f t="shared" ref="E204:E213" si="192">IF(AND(B204="-",C204="-"),D204,IF(B204="-",C204,B204))</f>
        <v>-0.01</v>
      </c>
      <c r="F204" s="669">
        <f>IFERROR(IF(OR(AND(B204="-",C204="-"),AND(B204="-",D204="-")),G204,0.5*(MAX(B204:D204)-MIN(B204:D204))),0)</f>
        <v>0</v>
      </c>
      <c r="G204" s="668">
        <f t="shared" ref="G204:G213" si="193">1/3*H204</f>
        <v>3.9999999999999994E-2</v>
      </c>
      <c r="H204" s="646">
        <f>VLOOKUP($A$200,B118:H133,7,FALSE)</f>
        <v>0.12</v>
      </c>
      <c r="J204" s="588"/>
      <c r="K204" s="588"/>
      <c r="L204" s="588"/>
      <c r="M204" s="588"/>
      <c r="N204" s="566"/>
      <c r="O204" s="566"/>
      <c r="P204" s="566"/>
      <c r="Q204" s="561"/>
      <c r="R204" s="600"/>
      <c r="S204" s="600"/>
      <c r="T204" s="600"/>
    </row>
    <row r="205" spans="1:27" ht="13">
      <c r="A205" s="667">
        <f>VLOOKUP(A200,B134:H149,2)</f>
        <v>60</v>
      </c>
      <c r="B205" s="646" t="str">
        <f>VLOOKUP($A$200,$B$134:$H$149,3,FALSE)</f>
        <v>-</v>
      </c>
      <c r="C205" s="646">
        <f>VLOOKUP($A$200,$B$134:$H$149,4,FALSE)</f>
        <v>-0.01</v>
      </c>
      <c r="D205" s="646">
        <f>VLOOKUP($A$200,B134:H149,5,FALSE)</f>
        <v>-0.01</v>
      </c>
      <c r="E205" s="668">
        <f t="shared" si="192"/>
        <v>-0.01</v>
      </c>
      <c r="F205" s="669">
        <f t="shared" ref="F205:F213" si="194">IFERROR(IF(OR(AND(B205="-",C205="-"),AND(B205="-",D205="-")),G205,0.5*(MAX(B205:D205)-MIN(B205:D205))),0)</f>
        <v>0</v>
      </c>
      <c r="G205" s="668">
        <f t="shared" si="193"/>
        <v>3.9999999999999994E-2</v>
      </c>
      <c r="H205" s="646">
        <f>VLOOKUP($A$200,B134:H149,7,FALSE)</f>
        <v>0.12</v>
      </c>
      <c r="J205" s="588"/>
      <c r="K205" s="588"/>
      <c r="L205" s="588"/>
      <c r="M205" s="588"/>
      <c r="N205" s="561"/>
      <c r="O205" s="561"/>
      <c r="P205" s="561"/>
      <c r="Q205" s="561"/>
      <c r="R205" s="600"/>
      <c r="S205" s="600"/>
      <c r="T205" s="600"/>
    </row>
    <row r="206" spans="1:27" ht="13">
      <c r="A206" s="667">
        <f>VLOOKUP(A200,B150:H165,2)</f>
        <v>60</v>
      </c>
      <c r="B206" s="646" t="str">
        <f>VLOOKUP($A$200,$B$150:$H$165,3,FALSE)</f>
        <v>-</v>
      </c>
      <c r="C206" s="646">
        <f>VLOOKUP($A$200,$B$150:$H$165,4,FALSE)</f>
        <v>-0.01</v>
      </c>
      <c r="D206" s="646">
        <f>VLOOKUP($A$200,B150:H165,5,FALSE)</f>
        <v>-0.01</v>
      </c>
      <c r="E206" s="668">
        <f t="shared" si="192"/>
        <v>-0.01</v>
      </c>
      <c r="F206" s="669">
        <f t="shared" si="194"/>
        <v>0</v>
      </c>
      <c r="G206" s="668">
        <f t="shared" si="193"/>
        <v>3.9999999999999994E-2</v>
      </c>
      <c r="H206" s="646">
        <f>VLOOKUP($A$200,B150:H165,7,FALSE)</f>
        <v>0.12</v>
      </c>
      <c r="J206" s="588"/>
      <c r="K206" s="588"/>
      <c r="L206" s="588"/>
      <c r="M206" s="588"/>
      <c r="N206" s="561"/>
      <c r="O206" s="561"/>
      <c r="P206" s="561"/>
      <c r="Q206" s="561"/>
      <c r="R206" s="600"/>
      <c r="S206" s="600"/>
      <c r="T206" s="600"/>
    </row>
    <row r="207" spans="1:27" ht="13">
      <c r="A207" s="667">
        <f>VLOOKUP(A200,B166:H181,2)</f>
        <v>60</v>
      </c>
      <c r="B207" s="646" t="str">
        <f>VLOOKUP($A$200,$B$166:$H$181,3,FALSE)</f>
        <v>-</v>
      </c>
      <c r="C207" s="646">
        <f>VLOOKUP($A$200,$B$166:$H$181,4,FALSE)</f>
        <v>-0.01</v>
      </c>
      <c r="D207" s="646">
        <f>VLOOKUP($A$200,B166:H181,5,FALSE)</f>
        <v>-0.01</v>
      </c>
      <c r="E207" s="668">
        <f t="shared" si="192"/>
        <v>-0.01</v>
      </c>
      <c r="F207" s="669">
        <f t="shared" si="194"/>
        <v>0</v>
      </c>
      <c r="G207" s="668">
        <f t="shared" si="193"/>
        <v>3.9999999999999994E-2</v>
      </c>
      <c r="H207" s="646">
        <f>VLOOKUP($A$200,B166:H181,7,FALSE)</f>
        <v>0.12</v>
      </c>
      <c r="J207" s="588"/>
      <c r="K207" s="588"/>
      <c r="L207" s="588"/>
      <c r="M207" s="588"/>
      <c r="N207" s="561"/>
      <c r="O207" s="561"/>
      <c r="P207" s="561"/>
      <c r="Q207" s="561"/>
      <c r="R207" s="600"/>
      <c r="S207" s="600"/>
      <c r="T207" s="600"/>
    </row>
    <row r="208" spans="1:27" ht="13">
      <c r="A208" s="667">
        <f>VLOOKUP(A200,B182:H197,2)</f>
        <v>60</v>
      </c>
      <c r="B208" s="646" t="str">
        <f>VLOOKUP($A$200,$B$182:$H$197,3,FALSE)</f>
        <v>-</v>
      </c>
      <c r="C208" s="646">
        <f>VLOOKUP($A$200,$B$182:$H$197,4,FALSE)</f>
        <v>-0.01</v>
      </c>
      <c r="D208" s="646">
        <f>VLOOKUP($A$200,B182:H197,5,FALSE)</f>
        <v>-0.01</v>
      </c>
      <c r="E208" s="668">
        <f t="shared" si="192"/>
        <v>-0.01</v>
      </c>
      <c r="F208" s="669">
        <f t="shared" si="194"/>
        <v>0</v>
      </c>
      <c r="G208" s="668">
        <f t="shared" si="193"/>
        <v>3.9999999999999994E-2</v>
      </c>
      <c r="H208" s="646">
        <f>VLOOKUP($A$200,B182:H197,7,FALSE)</f>
        <v>0.12</v>
      </c>
      <c r="J208" s="670"/>
      <c r="K208" s="670"/>
      <c r="L208" s="670"/>
      <c r="M208" s="670"/>
      <c r="N208" s="561"/>
      <c r="O208" s="561"/>
      <c r="P208" s="561"/>
      <c r="Q208" s="561"/>
      <c r="R208" s="600"/>
      <c r="S208" s="600"/>
      <c r="T208" s="600"/>
    </row>
    <row r="209" spans="1:20" ht="13">
      <c r="A209" s="667">
        <f>VLOOKUP(A200,L102:R117,2)</f>
        <v>60</v>
      </c>
      <c r="B209" s="646" t="str">
        <f>VLOOKUP($A$200,$L$102:$R$117,3,FALSE)</f>
        <v>-</v>
      </c>
      <c r="C209" s="646">
        <f>VLOOKUP($A$200,$L$102:$R$117,4,FALSE)</f>
        <v>-0.01</v>
      </c>
      <c r="D209" s="646">
        <f>VLOOKUP($A$200,L102:R117,5,FALSE)</f>
        <v>-0.01</v>
      </c>
      <c r="E209" s="668">
        <f t="shared" si="192"/>
        <v>-0.01</v>
      </c>
      <c r="F209" s="669">
        <f t="shared" si="194"/>
        <v>0</v>
      </c>
      <c r="G209" s="668">
        <f t="shared" si="193"/>
        <v>3.9999999999999994E-2</v>
      </c>
      <c r="H209" s="646">
        <f>VLOOKUP($A$200,L102:R117,7,FALSE)</f>
        <v>0.12</v>
      </c>
      <c r="J209" s="670"/>
      <c r="K209" s="670"/>
      <c r="L209" s="670"/>
      <c r="M209" s="670"/>
      <c r="N209" s="561"/>
      <c r="O209" s="561"/>
      <c r="P209" s="561"/>
      <c r="Q209" s="561"/>
      <c r="R209" s="600"/>
      <c r="S209" s="600"/>
      <c r="T209" s="600"/>
    </row>
    <row r="210" spans="1:20" ht="13">
      <c r="A210" s="667">
        <f>VLOOKUP(A200,L118:R133,2)</f>
        <v>300</v>
      </c>
      <c r="B210" s="646" t="str">
        <f>VLOOKUP($A$200,$L$118:$R$133,3,FALSE)</f>
        <v>-</v>
      </c>
      <c r="C210" s="646">
        <f>VLOOKUP($A$200,$L$118:$R$133,4,FALSE)</f>
        <v>-0.01</v>
      </c>
      <c r="D210" s="646">
        <f>VLOOKUP($A$200,L118:R133,5,FALSE)</f>
        <v>-0.01</v>
      </c>
      <c r="E210" s="668">
        <f t="shared" si="192"/>
        <v>-0.01</v>
      </c>
      <c r="F210" s="669">
        <f t="shared" si="194"/>
        <v>0</v>
      </c>
      <c r="G210" s="668">
        <f t="shared" si="193"/>
        <v>3.9999999999999994E-2</v>
      </c>
      <c r="H210" s="646">
        <f>VLOOKUP($A$200,L118:R133,7,FALSE)</f>
        <v>0.12</v>
      </c>
      <c r="J210" s="670"/>
      <c r="K210" s="670"/>
      <c r="L210" s="670"/>
      <c r="M210" s="670"/>
      <c r="N210" s="561"/>
      <c r="O210" s="561"/>
      <c r="P210" s="561"/>
      <c r="Q210" s="561"/>
      <c r="R210" s="600"/>
      <c r="S210" s="600"/>
      <c r="T210" s="600"/>
    </row>
    <row r="211" spans="1:20" ht="13">
      <c r="A211" s="667">
        <f>VLOOKUP(A200,L134:R149,2)</f>
        <v>600</v>
      </c>
      <c r="B211" s="646" t="str">
        <f>VLOOKUP($A$200,$L$134:$R$149,3,FALSE)</f>
        <v>-</v>
      </c>
      <c r="C211" s="646">
        <f>VLOOKUP($A$200,$L$134:$R$149,4,FALSE)</f>
        <v>-0.01</v>
      </c>
      <c r="D211" s="646">
        <f>VLOOKUP($A$200,L134:R149,5,FALSE)</f>
        <v>-0.02</v>
      </c>
      <c r="E211" s="668">
        <f t="shared" si="192"/>
        <v>-0.01</v>
      </c>
      <c r="F211" s="669">
        <f t="shared" si="194"/>
        <v>5.0000000000000001E-3</v>
      </c>
      <c r="G211" s="668">
        <f t="shared" si="193"/>
        <v>3.9999999999999994E-2</v>
      </c>
      <c r="H211" s="646">
        <f>VLOOKUP($A$200,L134:R149,7,FALSE)</f>
        <v>0.12</v>
      </c>
      <c r="J211" s="670"/>
      <c r="K211" s="670"/>
      <c r="L211" s="670"/>
      <c r="M211" s="670"/>
      <c r="N211" s="561"/>
      <c r="O211" s="561"/>
      <c r="P211" s="561"/>
      <c r="Q211" s="561"/>
      <c r="R211" s="600"/>
      <c r="S211" s="600"/>
      <c r="T211" s="600"/>
    </row>
    <row r="212" spans="1:20" ht="13">
      <c r="A212" s="667">
        <f>VLOOKUP(A200,L150:R165,2)</f>
        <v>900</v>
      </c>
      <c r="B212" s="646" t="str">
        <f>VLOOKUP($A$200,$L$150:$R$165,3,FALSE)</f>
        <v>-</v>
      </c>
      <c r="C212" s="646">
        <f>VLOOKUP($A$200,$L$150:$R$165,4,FALSE)</f>
        <v>-0.01</v>
      </c>
      <c r="D212" s="646">
        <f>VLOOKUP($A$200,L150:R165,5,FALSE)</f>
        <v>-0.03</v>
      </c>
      <c r="E212" s="668">
        <f t="shared" si="192"/>
        <v>-0.01</v>
      </c>
      <c r="F212" s="669">
        <f>IFERROR(IF(OR(AND(B212="-",C212="-"),AND(B212="-",D212="-")),G212,0.5*(MAX(B212:D212)-MIN(B212:D212))),0)</f>
        <v>9.9999999999999985E-3</v>
      </c>
      <c r="G212" s="668">
        <f t="shared" si="193"/>
        <v>3.9999999999999994E-2</v>
      </c>
      <c r="H212" s="646">
        <f>VLOOKUP($A$200,L150:R165,7,FALSE)</f>
        <v>0.12</v>
      </c>
      <c r="J212" s="670"/>
      <c r="K212" s="670"/>
      <c r="L212" s="670"/>
      <c r="M212" s="670"/>
      <c r="N212" s="561"/>
      <c r="O212" s="561"/>
      <c r="P212" s="561"/>
      <c r="Q212" s="561"/>
      <c r="R212" s="600"/>
      <c r="S212" s="600"/>
      <c r="T212" s="600"/>
    </row>
    <row r="213" spans="1:20" ht="13">
      <c r="A213" s="667">
        <f>VLOOKUP(A200,L166:R181,2)</f>
        <v>1200</v>
      </c>
      <c r="B213" s="646" t="str">
        <f>VLOOKUP($A$200,$L$166:$R$181,3,FALSE)</f>
        <v>-</v>
      </c>
      <c r="C213" s="646">
        <f>VLOOKUP($A$200,$L$166:$R$181,4,FALSE)</f>
        <v>0.02</v>
      </c>
      <c r="D213" s="646">
        <f>VLOOKUP($A$200,L166:R181,4,FALSE)</f>
        <v>0.02</v>
      </c>
      <c r="E213" s="668">
        <f t="shared" si="192"/>
        <v>0.02</v>
      </c>
      <c r="F213" s="669">
        <f t="shared" si="194"/>
        <v>0</v>
      </c>
      <c r="G213" s="668">
        <f t="shared" si="193"/>
        <v>3.9999999999999994E-2</v>
      </c>
      <c r="H213" s="646">
        <f>VLOOKUP($A$200,L166:R181,7,FALSE)</f>
        <v>0.12</v>
      </c>
      <c r="J213" s="670"/>
      <c r="K213" s="670"/>
      <c r="L213" s="670"/>
      <c r="M213" s="670"/>
      <c r="N213" s="561"/>
      <c r="O213" s="561"/>
      <c r="P213" s="561"/>
      <c r="Q213" s="561"/>
      <c r="R213" s="600"/>
      <c r="S213" s="600"/>
      <c r="T213" s="600"/>
    </row>
    <row r="214" spans="1:20" ht="13">
      <c r="A214" s="671"/>
      <c r="B214" s="560"/>
      <c r="C214" s="659"/>
      <c r="D214" s="659"/>
      <c r="E214" s="659"/>
      <c r="F214" s="659"/>
      <c r="G214" s="566"/>
      <c r="H214" s="588"/>
      <c r="I214" s="588"/>
      <c r="J214" s="670"/>
      <c r="K214" s="670"/>
      <c r="L214" s="670"/>
      <c r="M214" s="670"/>
      <c r="N214" s="561"/>
      <c r="O214" s="561"/>
      <c r="P214" s="561"/>
      <c r="Q214" s="561"/>
      <c r="R214" s="600"/>
      <c r="S214" s="600"/>
      <c r="T214" s="600"/>
    </row>
    <row r="215" spans="1:20" ht="15" hidden="1">
      <c r="A215" s="1212"/>
      <c r="B215" s="1212"/>
      <c r="C215" s="1212"/>
      <c r="D215" s="1212"/>
      <c r="E215" s="1212"/>
      <c r="F215" s="1185"/>
      <c r="G215" s="1213"/>
      <c r="H215" s="1213"/>
      <c r="I215" s="1213"/>
      <c r="J215" s="1213"/>
      <c r="K215" s="1213"/>
      <c r="L215" s="561"/>
      <c r="M215" s="660"/>
      <c r="N215" s="673"/>
      <c r="O215" s="673"/>
      <c r="P215" s="673"/>
      <c r="Q215" s="674"/>
      <c r="S215" s="600"/>
      <c r="T215" s="600"/>
    </row>
    <row r="216" spans="1:20" ht="13" hidden="1">
      <c r="A216" s="1186"/>
      <c r="B216" s="1186"/>
      <c r="C216" s="1187"/>
      <c r="D216" s="1187"/>
      <c r="E216" s="1188"/>
      <c r="F216" s="1185"/>
      <c r="G216" s="1186"/>
      <c r="H216" s="1187"/>
      <c r="I216" s="1187"/>
      <c r="J216" s="1187"/>
      <c r="K216" s="1188"/>
      <c r="L216" s="561"/>
      <c r="M216" s="660"/>
      <c r="N216" s="673"/>
      <c r="O216" s="673"/>
      <c r="P216" s="673"/>
    </row>
    <row r="217" spans="1:20" ht="13" hidden="1">
      <c r="A217" s="1189"/>
      <c r="B217" s="1189"/>
      <c r="C217" s="1187"/>
      <c r="D217" s="1190"/>
      <c r="E217" s="1187"/>
      <c r="F217" s="1185"/>
      <c r="G217" s="1189"/>
      <c r="H217" s="1187"/>
      <c r="I217" s="1187"/>
      <c r="J217" s="1190"/>
      <c r="K217" s="1188"/>
      <c r="L217" s="561"/>
      <c r="M217" s="660"/>
      <c r="N217" s="673"/>
      <c r="O217" s="673"/>
      <c r="P217" s="673"/>
    </row>
    <row r="218" spans="1:20" ht="13" hidden="1">
      <c r="A218" s="1186"/>
      <c r="B218" s="1186"/>
      <c r="C218" s="1187"/>
      <c r="D218" s="1187"/>
      <c r="E218" s="1187"/>
      <c r="F218" s="1185"/>
      <c r="G218" s="1186"/>
      <c r="H218" s="1187"/>
      <c r="I218" s="1187"/>
      <c r="J218" s="1187"/>
      <c r="K218" s="1188"/>
      <c r="L218" s="561"/>
      <c r="M218" s="660"/>
      <c r="N218" s="673"/>
      <c r="O218" s="673"/>
      <c r="P218" s="673"/>
      <c r="Q218" s="674"/>
      <c r="S218" s="600"/>
      <c r="T218" s="600"/>
    </row>
    <row r="219" spans="1:20" ht="13" hidden="1">
      <c r="A219" s="675"/>
      <c r="B219" s="660"/>
      <c r="C219" s="673"/>
      <c r="D219" s="673"/>
      <c r="E219" s="673"/>
      <c r="F219" s="561"/>
      <c r="G219" s="660"/>
      <c r="H219" s="673"/>
      <c r="I219" s="673"/>
      <c r="J219" s="673"/>
      <c r="K219" s="674"/>
      <c r="L219" s="561"/>
      <c r="M219" s="660"/>
      <c r="N219" s="673"/>
      <c r="O219" s="673"/>
      <c r="P219" s="673"/>
      <c r="Q219" s="674"/>
      <c r="S219" s="600"/>
      <c r="T219" s="600"/>
    </row>
    <row r="220" spans="1:20" ht="13.5" thickBot="1">
      <c r="A220" s="672"/>
      <c r="B220" s="561"/>
      <c r="C220" s="561"/>
      <c r="D220" s="561"/>
      <c r="E220" s="561"/>
      <c r="F220" s="561"/>
      <c r="G220" s="561"/>
      <c r="H220" s="561"/>
      <c r="I220" s="561"/>
      <c r="J220" s="561"/>
      <c r="K220" s="561"/>
      <c r="L220" s="561"/>
      <c r="S220" s="676"/>
      <c r="T220" s="600"/>
    </row>
    <row r="221" spans="1:20" ht="48.75" customHeight="1" thickBot="1">
      <c r="A221" s="677" t="s">
        <v>40</v>
      </c>
      <c r="B221" s="678" t="s">
        <v>41</v>
      </c>
      <c r="C221" s="679" t="s">
        <v>42</v>
      </c>
      <c r="D221" s="678" t="s">
        <v>43</v>
      </c>
      <c r="E221" s="678" t="s">
        <v>44</v>
      </c>
      <c r="F221" s="678" t="s">
        <v>45</v>
      </c>
      <c r="G221" s="678" t="s">
        <v>46</v>
      </c>
      <c r="H221" s="678" t="s">
        <v>47</v>
      </c>
      <c r="I221" s="420" t="s">
        <v>48</v>
      </c>
      <c r="J221" s="679" t="s">
        <v>49</v>
      </c>
      <c r="K221" s="679" t="s">
        <v>50</v>
      </c>
      <c r="L221" s="680" t="s">
        <v>51</v>
      </c>
    </row>
    <row r="222" spans="1:20" ht="13" thickBot="1">
      <c r="A222" s="696">
        <v>15</v>
      </c>
      <c r="B222" s="697">
        <f>ID!G53</f>
        <v>7</v>
      </c>
      <c r="C222" s="701">
        <f>(FORECAST(B222,C203:C213,A203:A213))</f>
        <v>-1.0550450450450451E-2</v>
      </c>
      <c r="D222" s="698">
        <f>B222+C222</f>
        <v>6.9894495495495494</v>
      </c>
      <c r="E222" s="697">
        <f>STDEV([1]ID!F44:K44)</f>
        <v>9.9999999999994316E-2</v>
      </c>
      <c r="F222" s="698">
        <f>A222-D222</f>
        <v>8.0105504504504506</v>
      </c>
      <c r="G222" s="698">
        <f>(F222/A222)*100</f>
        <v>53.403669669669675</v>
      </c>
      <c r="H222" s="702">
        <f>D222-A222</f>
        <v>-8.0105504504504506</v>
      </c>
      <c r="I222" s="699">
        <f>(D222-A222)/A222*100</f>
        <v>-53.403669669669675</v>
      </c>
      <c r="J222" s="698">
        <f>(FORECAST(D222,H203:H213,A203:A213))</f>
        <v>0.10263760971999028</v>
      </c>
      <c r="K222" s="700">
        <f>0.5*0.1</f>
        <v>0.05</v>
      </c>
      <c r="L222" s="703">
        <f>(FORECAST(D222,F203:F213,A203:A213))</f>
        <v>5.7611490950409939E-5</v>
      </c>
    </row>
    <row r="223" spans="1:20">
      <c r="M223" s="566"/>
      <c r="N223" s="566"/>
      <c r="O223" s="566"/>
      <c r="P223" s="566"/>
      <c r="Q223" s="566"/>
    </row>
    <row r="224" spans="1:20" ht="13" thickBot="1"/>
    <row r="225" spans="1:27" ht="15" thickBot="1">
      <c r="A225" s="681" t="str">
        <f>ID!B68</f>
        <v>Stopwatch, Merek : EXTECH, Model : 365535, SN :005018</v>
      </c>
      <c r="B225" s="682"/>
      <c r="C225" s="682"/>
      <c r="D225" s="682"/>
      <c r="E225" s="682"/>
      <c r="F225" s="682"/>
      <c r="G225" s="682"/>
      <c r="H225" s="682"/>
      <c r="I225" s="682"/>
      <c r="J225" s="1214" t="s">
        <v>52</v>
      </c>
      <c r="K225" s="1215"/>
      <c r="L225" s="1216"/>
      <c r="M225" s="683"/>
      <c r="O225" s="1217">
        <f>A242</f>
        <v>16</v>
      </c>
      <c r="P225" s="1218"/>
      <c r="Q225" s="1218"/>
      <c r="R225" s="1218"/>
      <c r="S225" s="1218"/>
      <c r="T225" s="1218"/>
      <c r="U225" s="1218"/>
      <c r="V225" s="1218"/>
      <c r="W225" s="1218"/>
      <c r="X225" s="1218"/>
      <c r="Y225" s="1218"/>
      <c r="Z225" s="1218"/>
      <c r="AA225" s="1219"/>
    </row>
    <row r="226" spans="1:27" ht="13">
      <c r="A226" s="704" t="s">
        <v>53</v>
      </c>
      <c r="B226" s="704"/>
      <c r="C226" s="705"/>
      <c r="D226" s="705"/>
      <c r="E226" s="705"/>
      <c r="F226" s="705"/>
      <c r="G226" s="705"/>
      <c r="H226" s="705"/>
      <c r="I226" s="705"/>
      <c r="J226" s="706">
        <f>B5</f>
        <v>2022</v>
      </c>
      <c r="K226" s="706">
        <f>C5</f>
        <v>2021</v>
      </c>
      <c r="L226" s="706">
        <f>D5</f>
        <v>2016</v>
      </c>
      <c r="M226" s="684">
        <v>1</v>
      </c>
      <c r="O226" s="685">
        <v>1</v>
      </c>
      <c r="P226" s="686"/>
      <c r="Q226" s="687" t="s">
        <v>54</v>
      </c>
      <c r="R226" s="688"/>
      <c r="S226" s="688"/>
      <c r="T226" s="688"/>
      <c r="U226" s="688"/>
      <c r="V226" s="688"/>
      <c r="W226" s="688"/>
      <c r="X226" s="688"/>
      <c r="Y226" s="688"/>
      <c r="Z226" s="688"/>
      <c r="AA226" s="689"/>
    </row>
    <row r="227" spans="1:27" ht="13">
      <c r="A227" s="704" t="s">
        <v>55</v>
      </c>
      <c r="B227" s="704"/>
      <c r="C227" s="707"/>
      <c r="D227" s="707"/>
      <c r="E227" s="707"/>
      <c r="F227" s="707"/>
      <c r="G227" s="707"/>
      <c r="H227" s="707"/>
      <c r="I227" s="707"/>
      <c r="J227" s="708">
        <f>I5</f>
        <v>2022</v>
      </c>
      <c r="K227" s="708">
        <f>J5</f>
        <v>2021</v>
      </c>
      <c r="L227" s="708">
        <f>K5</f>
        <v>2018</v>
      </c>
      <c r="M227" s="690">
        <v>2</v>
      </c>
      <c r="O227" s="685">
        <v>2</v>
      </c>
      <c r="P227" s="686"/>
      <c r="Q227" s="687" t="s">
        <v>54</v>
      </c>
      <c r="R227" s="688"/>
      <c r="S227" s="688"/>
      <c r="T227" s="688"/>
      <c r="U227" s="688"/>
      <c r="V227" s="688"/>
      <c r="W227" s="688"/>
      <c r="X227" s="688"/>
      <c r="Y227" s="688"/>
      <c r="Z227" s="688"/>
      <c r="AA227" s="689"/>
    </row>
    <row r="228" spans="1:27" ht="13">
      <c r="A228" s="704"/>
      <c r="B228" s="704"/>
      <c r="C228" s="709"/>
      <c r="D228" s="709"/>
      <c r="E228" s="709"/>
      <c r="F228" s="709"/>
      <c r="G228" s="709"/>
      <c r="H228" s="709"/>
      <c r="I228" s="709"/>
      <c r="J228" s="708">
        <f>P5</f>
        <v>2022</v>
      </c>
      <c r="K228" s="708">
        <f>Q5</f>
        <v>2018</v>
      </c>
      <c r="L228" s="708">
        <f>R5</f>
        <v>2017</v>
      </c>
      <c r="M228" s="684">
        <v>3</v>
      </c>
      <c r="O228" s="685">
        <v>3</v>
      </c>
      <c r="P228" s="686"/>
      <c r="Q228" s="687" t="s">
        <v>56</v>
      </c>
      <c r="R228" s="688"/>
      <c r="S228" s="688"/>
      <c r="T228" s="688"/>
      <c r="U228" s="688"/>
      <c r="V228" s="688"/>
      <c r="W228" s="688"/>
      <c r="X228" s="688"/>
      <c r="Y228" s="688"/>
      <c r="Z228" s="688"/>
      <c r="AA228" s="689"/>
    </row>
    <row r="229" spans="1:27" ht="13">
      <c r="A229" s="710" t="s">
        <v>57</v>
      </c>
      <c r="B229" s="710"/>
      <c r="C229" s="709"/>
      <c r="D229" s="709"/>
      <c r="E229" s="709"/>
      <c r="F229" s="709"/>
      <c r="G229" s="709"/>
      <c r="H229" s="709"/>
      <c r="I229" s="709"/>
      <c r="J229" s="708">
        <f>B20</f>
        <v>2022</v>
      </c>
      <c r="K229" s="708">
        <f>C20</f>
        <v>2021</v>
      </c>
      <c r="L229" s="708">
        <f>D20</f>
        <v>2019</v>
      </c>
      <c r="M229" s="690">
        <v>4</v>
      </c>
      <c r="O229" s="685">
        <v>4</v>
      </c>
      <c r="P229" s="686"/>
      <c r="Q229" s="687" t="s">
        <v>54</v>
      </c>
      <c r="R229" s="688"/>
      <c r="S229" s="688"/>
      <c r="T229" s="688"/>
      <c r="U229" s="688"/>
      <c r="V229" s="688"/>
      <c r="W229" s="688"/>
      <c r="X229" s="688"/>
      <c r="Y229" s="688"/>
      <c r="Z229" s="688"/>
      <c r="AA229" s="689"/>
    </row>
    <row r="230" spans="1:27" ht="13">
      <c r="A230" s="710" t="s">
        <v>58</v>
      </c>
      <c r="B230" s="710"/>
      <c r="C230" s="709"/>
      <c r="D230" s="709"/>
      <c r="E230" s="709"/>
      <c r="F230" s="709"/>
      <c r="G230" s="709"/>
      <c r="H230" s="709"/>
      <c r="I230" s="709"/>
      <c r="J230" s="708">
        <f>I20</f>
        <v>2022</v>
      </c>
      <c r="K230" s="708">
        <f>J20</f>
        <v>2021</v>
      </c>
      <c r="L230" s="708">
        <f>K20</f>
        <v>2020</v>
      </c>
      <c r="M230" s="684">
        <v>5</v>
      </c>
      <c r="O230" s="685">
        <v>5</v>
      </c>
      <c r="P230" s="686"/>
      <c r="Q230" s="687" t="s">
        <v>54</v>
      </c>
      <c r="R230" s="688"/>
      <c r="S230" s="688"/>
      <c r="T230" s="688"/>
      <c r="U230" s="688"/>
      <c r="V230" s="688"/>
      <c r="W230" s="688"/>
      <c r="X230" s="688"/>
      <c r="Y230" s="688"/>
      <c r="Z230" s="688"/>
      <c r="AA230" s="689"/>
    </row>
    <row r="231" spans="1:27" ht="13">
      <c r="A231" s="710" t="s">
        <v>59</v>
      </c>
      <c r="B231" s="710"/>
      <c r="C231" s="709"/>
      <c r="D231" s="709"/>
      <c r="E231" s="709"/>
      <c r="F231" s="709"/>
      <c r="G231" s="709"/>
      <c r="H231" s="709"/>
      <c r="I231" s="709"/>
      <c r="J231" s="708">
        <f>P20</f>
        <v>2022</v>
      </c>
      <c r="K231" s="708">
        <f>Q20</f>
        <v>2021</v>
      </c>
      <c r="L231" s="708">
        <f>R20</f>
        <v>2020</v>
      </c>
      <c r="M231" s="690">
        <v>6</v>
      </c>
      <c r="O231" s="685">
        <v>6</v>
      </c>
      <c r="P231" s="686"/>
      <c r="Q231" s="687" t="s">
        <v>54</v>
      </c>
      <c r="R231" s="688"/>
      <c r="S231" s="688"/>
      <c r="T231" s="688"/>
      <c r="U231" s="688"/>
      <c r="V231" s="688"/>
      <c r="W231" s="688"/>
      <c r="X231" s="688"/>
      <c r="Y231" s="688"/>
      <c r="Z231" s="688"/>
      <c r="AA231" s="689"/>
    </row>
    <row r="232" spans="1:27" ht="13">
      <c r="A232" s="710" t="s">
        <v>60</v>
      </c>
      <c r="B232" s="710"/>
      <c r="C232" s="709"/>
      <c r="D232" s="709"/>
      <c r="E232" s="709"/>
      <c r="F232" s="709"/>
      <c r="G232" s="709"/>
      <c r="H232" s="709"/>
      <c r="I232" s="709"/>
      <c r="J232" s="708">
        <f>B36</f>
        <v>2022</v>
      </c>
      <c r="K232" s="708">
        <f>C36</f>
        <v>2021</v>
      </c>
      <c r="L232" s="708">
        <f>D36</f>
        <v>2020</v>
      </c>
      <c r="M232" s="684">
        <v>7</v>
      </c>
      <c r="O232" s="685">
        <v>7</v>
      </c>
      <c r="P232" s="686"/>
      <c r="Q232" s="687" t="s">
        <v>54</v>
      </c>
      <c r="R232" s="688"/>
      <c r="S232" s="688"/>
      <c r="T232" s="688"/>
      <c r="U232" s="688"/>
      <c r="V232" s="688"/>
      <c r="W232" s="688"/>
      <c r="X232" s="688"/>
      <c r="Y232" s="688"/>
      <c r="Z232" s="688"/>
      <c r="AA232" s="689"/>
    </row>
    <row r="233" spans="1:27" ht="13">
      <c r="A233" s="710" t="s">
        <v>61</v>
      </c>
      <c r="B233" s="710"/>
      <c r="C233" s="709"/>
      <c r="D233" s="709"/>
      <c r="E233" s="709"/>
      <c r="F233" s="709"/>
      <c r="G233" s="709"/>
      <c r="H233" s="709"/>
      <c r="I233" s="709"/>
      <c r="J233" s="708">
        <f>I36</f>
        <v>2022</v>
      </c>
      <c r="K233" s="708">
        <f>J36</f>
        <v>2020</v>
      </c>
      <c r="L233" s="708" t="str">
        <f>K36</f>
        <v>-</v>
      </c>
      <c r="M233" s="690">
        <v>8</v>
      </c>
      <c r="O233" s="685">
        <v>8</v>
      </c>
      <c r="P233" s="686"/>
      <c r="Q233" s="687" t="s">
        <v>54</v>
      </c>
      <c r="R233" s="688"/>
      <c r="S233" s="688"/>
      <c r="T233" s="688"/>
      <c r="U233" s="688"/>
      <c r="V233" s="688"/>
      <c r="W233" s="688"/>
      <c r="X233" s="688"/>
      <c r="Y233" s="688"/>
      <c r="Z233" s="688"/>
      <c r="AA233" s="689"/>
    </row>
    <row r="234" spans="1:27" ht="13">
      <c r="A234" s="710" t="s">
        <v>62</v>
      </c>
      <c r="B234" s="710"/>
      <c r="C234" s="709"/>
      <c r="D234" s="709"/>
      <c r="E234" s="709"/>
      <c r="F234" s="709"/>
      <c r="G234" s="709"/>
      <c r="H234" s="709"/>
      <c r="I234" s="709"/>
      <c r="J234" s="708">
        <f>P36</f>
        <v>2022</v>
      </c>
      <c r="K234" s="708">
        <f>Q36</f>
        <v>2021</v>
      </c>
      <c r="L234" s="708">
        <f>R36</f>
        <v>2020</v>
      </c>
      <c r="M234" s="684">
        <v>9</v>
      </c>
      <c r="O234" s="685">
        <v>9</v>
      </c>
      <c r="P234" s="686"/>
      <c r="Q234" s="687" t="s">
        <v>54</v>
      </c>
      <c r="R234" s="688"/>
      <c r="S234" s="688"/>
      <c r="T234" s="688"/>
      <c r="U234" s="688"/>
      <c r="V234" s="688"/>
      <c r="W234" s="688"/>
      <c r="X234" s="688"/>
      <c r="Y234" s="688"/>
      <c r="Z234" s="688"/>
      <c r="AA234" s="689"/>
    </row>
    <row r="235" spans="1:27" ht="13">
      <c r="A235" s="710" t="s">
        <v>63</v>
      </c>
      <c r="B235" s="710"/>
      <c r="C235" s="709"/>
      <c r="D235" s="709"/>
      <c r="E235" s="709"/>
      <c r="F235" s="709"/>
      <c r="G235" s="709"/>
      <c r="H235" s="709"/>
      <c r="I235" s="709"/>
      <c r="J235" s="708">
        <f>B51</f>
        <v>2022</v>
      </c>
      <c r="K235" s="708">
        <f>C51</f>
        <v>2021</v>
      </c>
      <c r="L235" s="708">
        <f>D51</f>
        <v>2020</v>
      </c>
      <c r="M235" s="690">
        <v>10</v>
      </c>
      <c r="O235" s="685">
        <v>10</v>
      </c>
      <c r="P235" s="686"/>
      <c r="Q235" s="687" t="s">
        <v>54</v>
      </c>
      <c r="R235" s="688"/>
      <c r="S235" s="688"/>
      <c r="T235" s="688"/>
      <c r="U235" s="688"/>
      <c r="V235" s="688"/>
      <c r="W235" s="688"/>
      <c r="X235" s="688"/>
      <c r="Y235" s="688"/>
      <c r="Z235" s="688"/>
      <c r="AA235" s="689"/>
    </row>
    <row r="236" spans="1:27" ht="13">
      <c r="A236" s="710" t="s">
        <v>64</v>
      </c>
      <c r="B236" s="710"/>
      <c r="C236" s="709"/>
      <c r="D236" s="709"/>
      <c r="E236" s="709"/>
      <c r="F236" s="709"/>
      <c r="G236" s="709"/>
      <c r="H236" s="709"/>
      <c r="I236" s="709"/>
      <c r="J236" s="667">
        <f>I51</f>
        <v>2022</v>
      </c>
      <c r="K236" s="708">
        <f>J51</f>
        <v>2021</v>
      </c>
      <c r="L236" s="711">
        <f>K51</f>
        <v>2020</v>
      </c>
      <c r="M236" s="684">
        <v>11</v>
      </c>
      <c r="O236" s="685">
        <v>11</v>
      </c>
      <c r="P236" s="686"/>
      <c r="Q236" s="687" t="s">
        <v>54</v>
      </c>
      <c r="R236" s="688"/>
      <c r="S236" s="688"/>
      <c r="T236" s="688"/>
      <c r="U236" s="688"/>
      <c r="V236" s="688"/>
      <c r="W236" s="688"/>
      <c r="X236" s="688"/>
      <c r="Y236" s="688"/>
      <c r="Z236" s="688"/>
      <c r="AA236" s="689"/>
    </row>
    <row r="237" spans="1:27" ht="13">
      <c r="A237" s="710" t="s">
        <v>65</v>
      </c>
      <c r="B237" s="710"/>
      <c r="C237" s="709"/>
      <c r="D237" s="709"/>
      <c r="E237" s="709"/>
      <c r="F237" s="709"/>
      <c r="G237" s="709"/>
      <c r="H237" s="709"/>
      <c r="I237" s="709"/>
      <c r="J237" s="708">
        <f>P51</f>
        <v>2022</v>
      </c>
      <c r="K237" s="708">
        <f>Q51</f>
        <v>2021</v>
      </c>
      <c r="L237" s="708">
        <f>R51</f>
        <v>2020</v>
      </c>
      <c r="M237" s="684">
        <v>12</v>
      </c>
      <c r="O237" s="685">
        <v>12</v>
      </c>
      <c r="P237" s="686"/>
      <c r="Q237" s="687" t="s">
        <v>54</v>
      </c>
      <c r="R237" s="688"/>
      <c r="S237" s="688"/>
      <c r="T237" s="688"/>
      <c r="U237" s="688"/>
      <c r="V237" s="688"/>
      <c r="W237" s="688"/>
      <c r="X237" s="688"/>
      <c r="Y237" s="688"/>
      <c r="Z237" s="688"/>
      <c r="AA237" s="689"/>
    </row>
    <row r="238" spans="1:27" ht="13">
      <c r="A238" s="710" t="s">
        <v>66</v>
      </c>
      <c r="B238" s="710"/>
      <c r="C238" s="709"/>
      <c r="D238" s="709"/>
      <c r="E238" s="709"/>
      <c r="F238" s="709"/>
      <c r="G238" s="709"/>
      <c r="H238" s="709"/>
      <c r="I238" s="709"/>
      <c r="J238" s="708">
        <f>B66</f>
        <v>2022</v>
      </c>
      <c r="K238" s="708">
        <f>C66</f>
        <v>2021</v>
      </c>
      <c r="L238" s="708">
        <f>D66</f>
        <v>2020</v>
      </c>
      <c r="M238" s="684">
        <v>13</v>
      </c>
      <c r="O238" s="685">
        <v>13</v>
      </c>
      <c r="P238" s="686"/>
      <c r="Q238" s="687" t="s">
        <v>54</v>
      </c>
      <c r="R238" s="688"/>
      <c r="S238" s="688"/>
      <c r="T238" s="688"/>
      <c r="U238" s="688"/>
      <c r="V238" s="688"/>
      <c r="W238" s="688"/>
      <c r="X238" s="688"/>
      <c r="Y238" s="688"/>
      <c r="Z238" s="688"/>
      <c r="AA238" s="689"/>
    </row>
    <row r="239" spans="1:27" ht="13">
      <c r="A239" s="710" t="s">
        <v>67</v>
      </c>
      <c r="B239" s="710"/>
      <c r="C239" s="709"/>
      <c r="D239" s="709"/>
      <c r="E239" s="709"/>
      <c r="F239" s="709"/>
      <c r="G239" s="709"/>
      <c r="H239" s="709"/>
      <c r="I239" s="709"/>
      <c r="J239" s="708">
        <f>I66</f>
        <v>2022</v>
      </c>
      <c r="K239" s="708">
        <f>J66</f>
        <v>2021</v>
      </c>
      <c r="L239" s="708">
        <f>K66</f>
        <v>2020</v>
      </c>
      <c r="M239" s="684">
        <v>14</v>
      </c>
      <c r="O239" s="685">
        <v>14</v>
      </c>
      <c r="P239" s="686"/>
      <c r="Q239" s="687" t="s">
        <v>54</v>
      </c>
      <c r="R239" s="688"/>
      <c r="S239" s="688"/>
      <c r="T239" s="688"/>
      <c r="U239" s="688"/>
      <c r="V239" s="688"/>
      <c r="W239" s="688"/>
      <c r="X239" s="688"/>
      <c r="Y239" s="688"/>
      <c r="Z239" s="688"/>
      <c r="AA239" s="689"/>
    </row>
    <row r="240" spans="1:27" ht="13">
      <c r="A240" s="710" t="s">
        <v>68</v>
      </c>
      <c r="B240" s="710"/>
      <c r="C240" s="709"/>
      <c r="D240" s="709"/>
      <c r="E240" s="709"/>
      <c r="F240" s="709"/>
      <c r="G240" s="709"/>
      <c r="H240" s="709"/>
      <c r="I240" s="709"/>
      <c r="J240" s="708">
        <f>P66</f>
        <v>2022</v>
      </c>
      <c r="K240" s="708">
        <f>Q66</f>
        <v>2021</v>
      </c>
      <c r="L240" s="708">
        <f>R66</f>
        <v>2020</v>
      </c>
      <c r="M240" s="684">
        <v>15</v>
      </c>
      <c r="O240" s="685">
        <v>15</v>
      </c>
      <c r="P240" s="686"/>
      <c r="Q240" s="687" t="s">
        <v>54</v>
      </c>
      <c r="Z240" s="688"/>
      <c r="AA240" s="689"/>
    </row>
    <row r="241" spans="1:27" ht="13.5" thickBot="1">
      <c r="A241" s="710" t="s">
        <v>69</v>
      </c>
      <c r="B241" s="710"/>
      <c r="C241" s="709"/>
      <c r="D241" s="709"/>
      <c r="E241" s="709"/>
      <c r="F241" s="709"/>
      <c r="G241" s="709"/>
      <c r="H241" s="709"/>
      <c r="I241" s="709"/>
      <c r="J241" s="708">
        <f>B81</f>
        <v>2022</v>
      </c>
      <c r="K241" s="708">
        <f>C81</f>
        <v>2021</v>
      </c>
      <c r="L241" s="708">
        <f>D81</f>
        <v>2020</v>
      </c>
      <c r="M241" s="690">
        <v>16</v>
      </c>
      <c r="O241" s="685">
        <v>16</v>
      </c>
      <c r="P241" s="686"/>
      <c r="Q241" s="687" t="s">
        <v>54</v>
      </c>
      <c r="R241" s="688"/>
      <c r="S241" s="688"/>
      <c r="T241" s="688"/>
      <c r="U241" s="688"/>
      <c r="V241" s="688"/>
      <c r="W241" s="688"/>
      <c r="X241" s="688"/>
      <c r="Y241" s="688"/>
      <c r="Z241" s="692"/>
      <c r="AA241" s="693"/>
    </row>
    <row r="242" spans="1:27" ht="13.5" thickBot="1">
      <c r="A242" s="1220">
        <f>VLOOKUP(A225,A226:M241,13,(FALSE))</f>
        <v>16</v>
      </c>
      <c r="B242" s="1221"/>
      <c r="C242" s="1221"/>
      <c r="D242" s="1221"/>
      <c r="E242" s="1221"/>
      <c r="F242" s="1221"/>
      <c r="G242" s="1221"/>
      <c r="H242" s="1221"/>
      <c r="I242" s="1221"/>
      <c r="J242" s="1221"/>
      <c r="K242" s="1221"/>
      <c r="L242" s="1221"/>
      <c r="M242" s="1222"/>
      <c r="O242" s="1223" t="str">
        <f>VLOOKUP(O225,O226:AA242,3,FALSE)</f>
        <v>Hasil pengujian waktu Pengisian tertelusur ke Satuan Internasional ( SI ) melalui PT KALIMAN</v>
      </c>
      <c r="P242" s="1224"/>
      <c r="Q242" s="1224"/>
      <c r="R242" s="1224"/>
      <c r="S242" s="1224"/>
      <c r="T242" s="1224"/>
      <c r="U242" s="1224"/>
      <c r="V242" s="1224"/>
      <c r="W242" s="1224"/>
      <c r="X242" s="1224"/>
      <c r="Y242" s="1224"/>
      <c r="Z242" s="1224"/>
      <c r="AA242" s="1225"/>
    </row>
    <row r="243" spans="1:27" ht="14.5">
      <c r="A243" s="694"/>
      <c r="B243" s="694"/>
      <c r="C243" s="695"/>
      <c r="D243" s="561"/>
      <c r="E243" s="561"/>
      <c r="F243" s="561"/>
      <c r="G243" s="561"/>
      <c r="H243" s="566"/>
      <c r="I243" s="566"/>
      <c r="J243" s="566"/>
      <c r="K243" s="566"/>
      <c r="L243" s="566"/>
      <c r="M243" s="694"/>
      <c r="N243" s="566"/>
    </row>
    <row r="244" spans="1:27" ht="14">
      <c r="A244" s="691"/>
      <c r="B244" s="691"/>
    </row>
  </sheetData>
  <mergeCells count="109">
    <mergeCell ref="B4:D4"/>
    <mergeCell ref="I4:K4"/>
    <mergeCell ref="P4:R4"/>
    <mergeCell ref="A17:F17"/>
    <mergeCell ref="H17:M17"/>
    <mergeCell ref="O17:T17"/>
    <mergeCell ref="A2:T2"/>
    <mergeCell ref="A3:D3"/>
    <mergeCell ref="E3:E5"/>
    <mergeCell ref="F3:F5"/>
    <mergeCell ref="H3:K3"/>
    <mergeCell ref="L3:L5"/>
    <mergeCell ref="M3:M5"/>
    <mergeCell ref="O3:R3"/>
    <mergeCell ref="S3:S5"/>
    <mergeCell ref="T3:T5"/>
    <mergeCell ref="O18:R18"/>
    <mergeCell ref="S18:S20"/>
    <mergeCell ref="T18:T20"/>
    <mergeCell ref="B19:D19"/>
    <mergeCell ref="I19:K19"/>
    <mergeCell ref="P19:R19"/>
    <mergeCell ref="A18:D18"/>
    <mergeCell ref="E18:E20"/>
    <mergeCell ref="F18:F20"/>
    <mergeCell ref="H18:K18"/>
    <mergeCell ref="L18:L20"/>
    <mergeCell ref="M18:M20"/>
    <mergeCell ref="O34:R34"/>
    <mergeCell ref="S34:S36"/>
    <mergeCell ref="T34:T36"/>
    <mergeCell ref="B35:D35"/>
    <mergeCell ref="I35:K35"/>
    <mergeCell ref="P35:R35"/>
    <mergeCell ref="A34:D34"/>
    <mergeCell ref="E34:E36"/>
    <mergeCell ref="F34:F36"/>
    <mergeCell ref="H34:K34"/>
    <mergeCell ref="L34:L36"/>
    <mergeCell ref="M34:M36"/>
    <mergeCell ref="O49:R49"/>
    <mergeCell ref="S49:S51"/>
    <mergeCell ref="T49:T51"/>
    <mergeCell ref="B50:D50"/>
    <mergeCell ref="I50:K50"/>
    <mergeCell ref="P50:R50"/>
    <mergeCell ref="A48:F48"/>
    <mergeCell ref="H48:M48"/>
    <mergeCell ref="A49:D49"/>
    <mergeCell ref="E49:E51"/>
    <mergeCell ref="F49:F51"/>
    <mergeCell ref="H49:K49"/>
    <mergeCell ref="L49:L51"/>
    <mergeCell ref="M49:M51"/>
    <mergeCell ref="O64:R64"/>
    <mergeCell ref="S64:S66"/>
    <mergeCell ref="T64:T66"/>
    <mergeCell ref="B65:D65"/>
    <mergeCell ref="I65:K65"/>
    <mergeCell ref="P65:R65"/>
    <mergeCell ref="A64:D64"/>
    <mergeCell ref="E64:E66"/>
    <mergeCell ref="F64:F66"/>
    <mergeCell ref="H64:K64"/>
    <mergeCell ref="L64:L66"/>
    <mergeCell ref="M64:M66"/>
    <mergeCell ref="A79:D79"/>
    <mergeCell ref="E79:E81"/>
    <mergeCell ref="F79:F81"/>
    <mergeCell ref="B80:D80"/>
    <mergeCell ref="A96:T96"/>
    <mergeCell ref="A99:A101"/>
    <mergeCell ref="B99:B101"/>
    <mergeCell ref="C99:C100"/>
    <mergeCell ref="D99:F100"/>
    <mergeCell ref="G99:G101"/>
    <mergeCell ref="A134:A149"/>
    <mergeCell ref="K134:K149"/>
    <mergeCell ref="A150:A165"/>
    <mergeCell ref="K150:K165"/>
    <mergeCell ref="A166:A181"/>
    <mergeCell ref="K166:K181"/>
    <mergeCell ref="R99:R101"/>
    <mergeCell ref="S99:S101"/>
    <mergeCell ref="A102:A117"/>
    <mergeCell ref="K102:K111"/>
    <mergeCell ref="A118:A133"/>
    <mergeCell ref="K118:K133"/>
    <mergeCell ref="H99:H101"/>
    <mergeCell ref="K99:K101"/>
    <mergeCell ref="L99:L101"/>
    <mergeCell ref="M99:M100"/>
    <mergeCell ref="N99:P100"/>
    <mergeCell ref="Q99:Q101"/>
    <mergeCell ref="A215:E215"/>
    <mergeCell ref="G215:K215"/>
    <mergeCell ref="J225:L225"/>
    <mergeCell ref="O225:AA225"/>
    <mergeCell ref="A242:M242"/>
    <mergeCell ref="O242:AA242"/>
    <mergeCell ref="A182:A197"/>
    <mergeCell ref="B200:F200"/>
    <mergeCell ref="J200:M200"/>
    <mergeCell ref="B201:D201"/>
    <mergeCell ref="E201:E202"/>
    <mergeCell ref="F201:G201"/>
    <mergeCell ref="H201:H202"/>
    <mergeCell ref="J201:K201"/>
    <mergeCell ref="M201:M202"/>
  </mergeCells>
  <pageMargins left="0.7" right="0.7" top="0.75" bottom="0.75" header="0.3" footer="0.3"/>
  <pageSetup paperSize="9" scale="43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2"/>
  <dimension ref="A1:AQ87"/>
  <sheetViews>
    <sheetView showGridLines="0" tabSelected="1" view="pageBreakPreview" topLeftCell="A22" zoomScale="78" zoomScaleNormal="87" zoomScaleSheetLayoutView="78" workbookViewId="0">
      <selection activeCell="U25" sqref="U25"/>
    </sheetView>
  </sheetViews>
  <sheetFormatPr defaultColWidth="9.1796875" defaultRowHeight="13"/>
  <cols>
    <col min="1" max="1" width="3.7265625" style="4" customWidth="1"/>
    <col min="2" max="2" width="4.26953125" style="4" customWidth="1"/>
    <col min="3" max="3" width="19.1796875" style="4" customWidth="1"/>
    <col min="4" max="9" width="13.7265625" style="4" customWidth="1"/>
    <col min="10" max="10" width="5.26953125" style="4" customWidth="1"/>
    <col min="11" max="11" width="7.26953125" style="4" customWidth="1"/>
    <col min="12" max="12" width="5.453125" style="4" customWidth="1"/>
    <col min="13" max="13" width="2.81640625" style="4" customWidth="1"/>
    <col min="14" max="14" width="6.26953125" style="4" customWidth="1"/>
    <col min="15" max="18" width="3.6328125" style="4" customWidth="1"/>
    <col min="19" max="19" width="3.6328125" style="258" customWidth="1"/>
    <col min="20" max="25" width="3.6328125" style="4" customWidth="1"/>
    <col min="26" max="27" width="4.7265625" style="4" customWidth="1"/>
    <col min="28" max="28" width="10.36328125" style="4" customWidth="1"/>
    <col min="29" max="42" width="9.08984375" style="4" customWidth="1"/>
    <col min="43" max="43" width="7.81640625" style="4" customWidth="1"/>
    <col min="44" max="45" width="5.26953125" style="4" customWidth="1"/>
    <col min="46" max="16384" width="9.1796875" style="4"/>
  </cols>
  <sheetData>
    <row r="1" spans="1:43" ht="18.5">
      <c r="A1" s="1571" t="s">
        <v>437</v>
      </c>
      <c r="B1" s="1571"/>
      <c r="C1" s="1571"/>
      <c r="D1" s="1571"/>
      <c r="E1" s="1571"/>
      <c r="F1" s="1571"/>
      <c r="G1" s="1571"/>
      <c r="H1" s="1571"/>
      <c r="I1" s="1571"/>
      <c r="J1" s="1571"/>
      <c r="K1" s="1571"/>
      <c r="L1" s="1571"/>
      <c r="M1" s="1571"/>
      <c r="N1" s="1571"/>
      <c r="O1" s="18"/>
      <c r="P1" s="18"/>
    </row>
    <row r="2" spans="1:43" ht="17">
      <c r="A2" s="1570" t="str">
        <f>ID!H2&amp;O2&amp;ID!I2</f>
        <v>Nomor Sertifikat : 14 / 23 / XI - 34 / E  - 001.34 DL</v>
      </c>
      <c r="B2" s="1570"/>
      <c r="C2" s="1570"/>
      <c r="D2" s="1570"/>
      <c r="E2" s="1570"/>
      <c r="F2" s="1570"/>
      <c r="G2" s="1570"/>
      <c r="H2" s="1570"/>
      <c r="I2" s="1570"/>
      <c r="J2" s="1570"/>
      <c r="K2" s="1570"/>
      <c r="L2" s="1570"/>
      <c r="M2" s="1570"/>
      <c r="N2" s="1570"/>
      <c r="O2" s="19" t="s">
        <v>123</v>
      </c>
      <c r="P2" s="19"/>
    </row>
    <row r="3" spans="1:43">
      <c r="B3" s="262"/>
      <c r="C3" s="262"/>
      <c r="D3" s="262"/>
      <c r="E3" s="262"/>
      <c r="F3" s="262"/>
      <c r="G3" s="262"/>
      <c r="H3" s="262"/>
      <c r="I3" s="262"/>
      <c r="J3" s="262"/>
      <c r="K3" s="262"/>
      <c r="L3" s="262"/>
      <c r="M3" s="262"/>
      <c r="N3" s="12"/>
      <c r="O3" s="12"/>
      <c r="P3" s="12"/>
    </row>
    <row r="4" spans="1:43" ht="14">
      <c r="A4" s="1572" t="str">
        <f>ID!A4</f>
        <v>Merek</v>
      </c>
      <c r="B4" s="1572"/>
      <c r="C4" s="1572"/>
      <c r="D4" s="730" t="str">
        <f>ID!F4</f>
        <v>Philips</v>
      </c>
      <c r="F4" s="262"/>
      <c r="G4" s="728"/>
      <c r="H4" s="728"/>
      <c r="I4" s="728"/>
      <c r="J4" s="728"/>
      <c r="K4" s="262"/>
      <c r="L4" s="262"/>
      <c r="M4" s="262"/>
      <c r="N4" s="12"/>
      <c r="O4" s="12"/>
      <c r="P4" s="12"/>
    </row>
    <row r="5" spans="1:43" ht="14">
      <c r="A5" s="1572" t="str">
        <f>ID!A5</f>
        <v>Model/Tipe</v>
      </c>
      <c r="B5" s="1572"/>
      <c r="C5" s="1572"/>
      <c r="D5" s="730" t="str">
        <f>ID!F5</f>
        <v>xxx</v>
      </c>
      <c r="F5" s="262"/>
      <c r="G5" s="728"/>
      <c r="H5" s="728"/>
      <c r="I5" s="728"/>
      <c r="J5" s="728"/>
      <c r="K5" s="262"/>
      <c r="L5" s="262"/>
      <c r="M5" s="262"/>
      <c r="N5" s="12"/>
      <c r="O5" s="12"/>
      <c r="P5" s="12"/>
    </row>
    <row r="6" spans="1:43" ht="14">
      <c r="A6" s="1572" t="str">
        <f>ID!A6</f>
        <v>No. Seri</v>
      </c>
      <c r="B6" s="1572"/>
      <c r="C6" s="1572"/>
      <c r="D6" s="730">
        <f>ID!F6</f>
        <v>123456</v>
      </c>
      <c r="F6" s="262"/>
      <c r="G6" s="728"/>
      <c r="H6" s="728"/>
      <c r="I6" s="728"/>
      <c r="J6" s="728"/>
      <c r="K6" s="262"/>
      <c r="L6" s="262"/>
      <c r="M6" s="262"/>
      <c r="N6" s="12"/>
      <c r="O6" s="12"/>
      <c r="P6" s="12"/>
    </row>
    <row r="7" spans="1:43" ht="14">
      <c r="A7" s="1572" t="str">
        <f>ID!A7</f>
        <v>Tanggal Penerimaan Alat</v>
      </c>
      <c r="B7" s="1572"/>
      <c r="C7" s="1572"/>
      <c r="D7" s="730">
        <f>ID!F7</f>
        <v>2210</v>
      </c>
      <c r="F7" s="262"/>
      <c r="G7" s="728"/>
      <c r="H7" s="728"/>
      <c r="I7" s="728"/>
      <c r="J7" s="728"/>
      <c r="K7" s="262"/>
      <c r="L7" s="262"/>
      <c r="M7" s="262"/>
      <c r="N7" s="12"/>
      <c r="O7" s="12"/>
      <c r="P7" s="12"/>
    </row>
    <row r="8" spans="1:43" ht="14">
      <c r="A8" s="1572" t="str">
        <f>ID!A8</f>
        <v>Tanggal Kalibrasi</v>
      </c>
      <c r="B8" s="1572"/>
      <c r="C8" s="1572"/>
      <c r="D8" s="730" t="str">
        <f>ID!F8</f>
        <v>x1</v>
      </c>
      <c r="F8" s="262"/>
      <c r="G8" s="728"/>
      <c r="H8" s="728"/>
      <c r="I8" s="728"/>
      <c r="J8" s="728"/>
      <c r="K8" s="262"/>
      <c r="L8" s="262"/>
      <c r="M8" s="262"/>
      <c r="N8" s="12"/>
      <c r="O8" s="12"/>
      <c r="P8" s="12"/>
    </row>
    <row r="9" spans="1:43" ht="14">
      <c r="A9" s="1572" t="str">
        <f>ID!A9</f>
        <v>Tempat Kalibrasi</v>
      </c>
      <c r="B9" s="1572"/>
      <c r="C9" s="1572"/>
      <c r="D9" s="730" t="str">
        <f>ID!F9</f>
        <v>x2</v>
      </c>
      <c r="F9" s="262"/>
      <c r="G9" s="728"/>
      <c r="H9" s="728"/>
      <c r="I9" s="728"/>
      <c r="J9" s="728"/>
      <c r="K9" s="262"/>
      <c r="L9" s="51"/>
      <c r="M9" s="262"/>
      <c r="N9" s="12"/>
      <c r="O9" s="12"/>
      <c r="P9" s="12"/>
    </row>
    <row r="10" spans="1:43" ht="14">
      <c r="A10" s="1572" t="str">
        <f>ID!A10</f>
        <v>Nama Ruang</v>
      </c>
      <c r="B10" s="1572"/>
      <c r="C10" s="1572"/>
      <c r="D10" s="730" t="str">
        <f>ID!F10</f>
        <v>x3</v>
      </c>
      <c r="F10" s="262"/>
      <c r="G10" s="728"/>
      <c r="H10" s="728"/>
      <c r="I10" s="728"/>
      <c r="J10" s="728"/>
      <c r="K10" s="262"/>
      <c r="L10" s="51"/>
      <c r="M10" s="262"/>
      <c r="N10" s="12"/>
      <c r="O10" s="12"/>
      <c r="P10" s="12"/>
    </row>
    <row r="11" spans="1:43" ht="14">
      <c r="A11" s="1572" t="str">
        <f>ID!A11</f>
        <v>Metode Kerja</v>
      </c>
      <c r="B11" s="1572"/>
      <c r="C11" s="1572"/>
      <c r="D11" s="730" t="str">
        <f>ID!F11</f>
        <v>MK.087-19</v>
      </c>
      <c r="F11" s="262"/>
      <c r="G11" s="728"/>
      <c r="H11" s="728"/>
      <c r="I11" s="728"/>
      <c r="J11" s="728"/>
      <c r="K11" s="262"/>
      <c r="L11" s="262"/>
      <c r="M11" s="262"/>
      <c r="N11" s="12"/>
    </row>
    <row r="12" spans="1:43" ht="14">
      <c r="A12" s="28"/>
      <c r="B12" s="728"/>
      <c r="C12" s="24"/>
      <c r="D12" s="728"/>
      <c r="E12" s="262"/>
      <c r="F12" s="728"/>
      <c r="G12" s="728"/>
      <c r="H12" s="728"/>
      <c r="I12" s="728"/>
      <c r="J12" s="728"/>
      <c r="K12" s="262"/>
      <c r="L12" s="262"/>
      <c r="M12" s="262"/>
      <c r="N12" s="12"/>
    </row>
    <row r="13" spans="1:43" ht="14">
      <c r="A13" s="29" t="s">
        <v>174</v>
      </c>
      <c r="B13" s="731" t="s">
        <v>175</v>
      </c>
      <c r="C13" s="24"/>
      <c r="D13" s="731"/>
      <c r="E13" s="262"/>
      <c r="F13" s="731"/>
      <c r="G13" s="731"/>
      <c r="H13" s="728"/>
      <c r="I13" s="262"/>
      <c r="J13" s="262"/>
      <c r="K13" s="262"/>
      <c r="L13" s="262"/>
      <c r="M13" s="262"/>
      <c r="N13" s="12"/>
    </row>
    <row r="14" spans="1:43" ht="14">
      <c r="A14" s="28"/>
      <c r="B14" s="1594" t="s">
        <v>178</v>
      </c>
      <c r="C14" s="1594"/>
      <c r="D14" s="51" t="str">
        <f>'DB Suhu'!L239&amp;'DB Suhu'!L237&amp;'DB Suhu'!M239&amp;'DB Suhu'!M237&amp;'DB Suhu'!N237&amp;'DB Suhu'!N239</f>
        <v>( 23.9 ± 0.3 °C )</v>
      </c>
      <c r="F14" s="262"/>
      <c r="G14" s="74"/>
      <c r="H14" s="262"/>
      <c r="I14" s="262"/>
      <c r="J14" s="262"/>
      <c r="K14" s="262"/>
      <c r="L14" s="262"/>
      <c r="M14" s="262"/>
      <c r="N14" s="12"/>
    </row>
    <row r="15" spans="1:43" ht="14">
      <c r="A15" s="28"/>
      <c r="B15" s="1594" t="s">
        <v>181</v>
      </c>
      <c r="C15" s="1594"/>
      <c r="D15" s="51" t="str">
        <f>'DB Suhu'!L239&amp;'DB Suhu'!L238&amp;'DB Suhu'!M239&amp;'DB Suhu'!M238&amp;'DB Suhu'!N238&amp;'DB Suhu'!N239</f>
        <v>( 61.9 ± 2.5 %RH )</v>
      </c>
      <c r="F15" s="262"/>
      <c r="G15" s="732"/>
      <c r="H15" s="262"/>
      <c r="I15" s="262"/>
      <c r="J15" s="262"/>
      <c r="K15" s="262"/>
      <c r="L15" s="262"/>
      <c r="M15" s="262"/>
      <c r="N15" s="12"/>
    </row>
    <row r="16" spans="1:43" ht="14">
      <c r="A16" s="28"/>
      <c r="B16" s="1594" t="s">
        <v>182</v>
      </c>
      <c r="C16" s="1594"/>
      <c r="D16" s="733" t="str">
        <f>IFERROR(ESA!N144,"-")</f>
        <v>( 219.9 ± 2.6 ) Volt</v>
      </c>
      <c r="F16" s="262"/>
      <c r="G16" s="732"/>
      <c r="H16" s="51"/>
      <c r="I16" s="262"/>
      <c r="J16" s="262"/>
      <c r="K16" s="262"/>
      <c r="L16" s="262"/>
      <c r="M16" s="262"/>
      <c r="N16" s="12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</row>
    <row r="17" spans="1:43" ht="15" customHeight="1">
      <c r="A17" s="28"/>
      <c r="B17" s="728"/>
      <c r="C17" s="24"/>
      <c r="D17" s="728"/>
      <c r="E17" s="262"/>
      <c r="F17" s="728"/>
      <c r="G17" s="728"/>
      <c r="H17" s="728"/>
      <c r="I17" s="262"/>
      <c r="J17" s="262"/>
      <c r="K17" s="262"/>
      <c r="L17" s="262"/>
      <c r="M17" s="262"/>
      <c r="N17" s="12"/>
      <c r="AB17" s="1160"/>
      <c r="AC17" s="1160"/>
      <c r="AD17" s="1160"/>
      <c r="AE17" s="1160"/>
      <c r="AF17" s="1160"/>
      <c r="AG17" s="1160"/>
      <c r="AH17" s="1641" t="str">
        <f>IF(ID!F16="-",AH18,IF(I25="-",AH19,IF(OR(I27="-",AB21=AE29),AH22,IF(OR(I27=K27,AE23&gt;AF23),"",IF(I27&gt;K27,"-",AH23)))))</f>
        <v>Alat tidak boleh digunakan pada instalasi tanpa dilengkapi grounding</v>
      </c>
      <c r="AI17" s="1641"/>
      <c r="AJ17" s="1641"/>
      <c r="AK17" s="1641"/>
      <c r="AL17" s="1641"/>
      <c r="AM17" s="1641"/>
      <c r="AN17" s="1641"/>
      <c r="AO17" s="1641"/>
      <c r="AP17" s="1641"/>
      <c r="AQ17"/>
    </row>
    <row r="18" spans="1:43" ht="15.5">
      <c r="A18" s="29" t="s">
        <v>183</v>
      </c>
      <c r="B18" s="731" t="s">
        <v>184</v>
      </c>
      <c r="C18" s="24"/>
      <c r="D18" s="731"/>
      <c r="E18" s="262"/>
      <c r="F18" s="731"/>
      <c r="G18" s="731"/>
      <c r="H18" s="731"/>
      <c r="I18" s="93"/>
      <c r="J18" s="262"/>
      <c r="K18" s="262"/>
      <c r="L18" s="262"/>
      <c r="M18" s="262"/>
      <c r="N18" s="12"/>
      <c r="Q18" s="4" t="s">
        <v>123</v>
      </c>
      <c r="AB18" s="1160"/>
      <c r="AC18" s="1160"/>
      <c r="AD18" s="1160"/>
      <c r="AE18" s="1160"/>
      <c r="AF18" s="1160"/>
      <c r="AG18" s="1160"/>
      <c r="AH18" s="1642" t="s">
        <v>158</v>
      </c>
      <c r="AI18" s="1642"/>
      <c r="AJ18" s="1642"/>
      <c r="AK18" s="1642"/>
      <c r="AL18" s="1642"/>
      <c r="AM18" s="1642"/>
      <c r="AN18" s="1642"/>
      <c r="AO18" s="1642"/>
      <c r="AP18" s="1642"/>
      <c r="AQ18"/>
    </row>
    <row r="19" spans="1:43" ht="15.5">
      <c r="A19" s="28"/>
      <c r="B19" s="1595" t="s">
        <v>186</v>
      </c>
      <c r="C19" s="1595"/>
      <c r="D19" s="728" t="str">
        <f>ID!F19</f>
        <v>Baik</v>
      </c>
      <c r="F19" s="262"/>
      <c r="G19" s="728"/>
      <c r="H19" s="728"/>
      <c r="I19" s="262"/>
      <c r="J19" s="262"/>
      <c r="K19" s="262"/>
      <c r="L19" s="262"/>
      <c r="M19" s="262"/>
      <c r="N19" s="1639">
        <f>SUM(Z19:Z21)</f>
        <v>10</v>
      </c>
      <c r="Z19" s="257">
        <f>IF(D19='kata-kata'!$K$9,5,0)</f>
        <v>5</v>
      </c>
      <c r="AB19" s="1160"/>
      <c r="AC19" s="1160"/>
      <c r="AD19" s="1160"/>
      <c r="AE19" s="1160"/>
      <c r="AF19" s="1160"/>
      <c r="AG19" s="1160"/>
      <c r="AH19" s="1642" t="s">
        <v>424</v>
      </c>
      <c r="AI19" s="1642"/>
      <c r="AJ19" s="1642"/>
      <c r="AK19" s="1642"/>
      <c r="AL19" s="1642"/>
      <c r="AM19" s="1642"/>
      <c r="AN19" s="1642"/>
      <c r="AO19" s="1642"/>
      <c r="AP19" s="1642"/>
      <c r="AQ19"/>
    </row>
    <row r="20" spans="1:43" ht="15.5">
      <c r="A20" s="28"/>
      <c r="B20" s="1595" t="s">
        <v>189</v>
      </c>
      <c r="C20" s="1595"/>
      <c r="D20" s="728" t="str">
        <f>ID!F20</f>
        <v>Baik</v>
      </c>
      <c r="F20" s="262"/>
      <c r="G20" s="728"/>
      <c r="H20" s="728"/>
      <c r="I20" s="262"/>
      <c r="J20" s="262"/>
      <c r="K20" s="262"/>
      <c r="L20" s="262"/>
      <c r="M20" s="262"/>
      <c r="N20" s="1640"/>
      <c r="Z20" s="257">
        <f>IF(D20='kata-kata'!$K$9,5,0)</f>
        <v>5</v>
      </c>
      <c r="AB20" s="1160"/>
      <c r="AC20" s="1160"/>
      <c r="AD20" s="1160"/>
      <c r="AE20" s="1160"/>
      <c r="AF20" s="1160"/>
      <c r="AG20" s="1160"/>
      <c r="AH20" s="1160"/>
      <c r="AI20" s="1160"/>
      <c r="AJ20" s="1160"/>
      <c r="AK20" s="1160"/>
      <c r="AL20" s="1160"/>
      <c r="AM20" s="1160"/>
      <c r="AN20" s="1160"/>
      <c r="AO20" s="1160"/>
      <c r="AP20" s="1160"/>
      <c r="AQ20"/>
    </row>
    <row r="21" spans="1:43" ht="15" customHeight="1">
      <c r="A21" s="29"/>
      <c r="B21" s="731"/>
      <c r="C21" s="24"/>
      <c r="D21" s="728"/>
      <c r="E21" s="728"/>
      <c r="F21" s="728"/>
      <c r="G21" s="728"/>
      <c r="H21" s="728"/>
      <c r="I21" s="262"/>
      <c r="J21" s="262"/>
      <c r="K21" s="262"/>
      <c r="L21" s="262"/>
      <c r="M21" s="262"/>
      <c r="N21" s="12"/>
      <c r="Z21" s="258"/>
      <c r="AB21" s="1643" t="str">
        <f>IF(OR(I27="-",I28="-"),AE29,AE28)</f>
        <v>G</v>
      </c>
      <c r="AC21" s="1643"/>
      <c r="AD21" s="1386" t="s">
        <v>200</v>
      </c>
      <c r="AE21" s="1386" t="s">
        <v>425</v>
      </c>
      <c r="AF21" s="1386" t="s">
        <v>214</v>
      </c>
      <c r="AG21" s="1160"/>
      <c r="AH21" s="1160"/>
      <c r="AI21" s="1160"/>
      <c r="AJ21" s="1160"/>
      <c r="AK21" s="1160"/>
      <c r="AL21" s="1160"/>
      <c r="AM21" s="1160"/>
      <c r="AN21" s="1160"/>
      <c r="AO21" s="1160"/>
      <c r="AP21" s="1160"/>
      <c r="AQ21"/>
    </row>
    <row r="22" spans="1:43" ht="15.5" customHeight="1">
      <c r="A22" s="29" t="s">
        <v>110</v>
      </c>
      <c r="B22" s="731" t="s">
        <v>190</v>
      </c>
      <c r="C22" s="24"/>
      <c r="D22" s="728"/>
      <c r="E22" s="728"/>
      <c r="F22" s="728"/>
      <c r="G22" s="728"/>
      <c r="H22" s="728"/>
      <c r="I22" s="262"/>
      <c r="J22" s="262"/>
      <c r="K22" s="262"/>
      <c r="L22" s="262"/>
      <c r="M22" s="262"/>
      <c r="N22" s="12"/>
      <c r="AB22" s="1643"/>
      <c r="AC22" s="1643"/>
      <c r="AD22" s="1386"/>
      <c r="AE22" s="1386"/>
      <c r="AF22" s="1386"/>
      <c r="AG22" s="1160"/>
      <c r="AH22" s="1642" t="s">
        <v>426</v>
      </c>
      <c r="AI22" s="1642"/>
      <c r="AJ22" s="1642"/>
      <c r="AK22" s="1642"/>
      <c r="AL22" s="1642"/>
      <c r="AM22" s="1642"/>
      <c r="AN22" s="1642"/>
      <c r="AO22" s="1642"/>
      <c r="AP22" s="1642"/>
      <c r="AQ22"/>
    </row>
    <row r="23" spans="1:43" s="270" customFormat="1" ht="23.25" customHeight="1">
      <c r="B23" s="1381" t="s">
        <v>87</v>
      </c>
      <c r="C23" s="1635" t="s">
        <v>116</v>
      </c>
      <c r="D23" s="1636"/>
      <c r="E23" s="1636"/>
      <c r="F23" s="1636"/>
      <c r="G23" s="1636"/>
      <c r="H23" s="1636"/>
      <c r="I23" s="1403" t="s">
        <v>117</v>
      </c>
      <c r="J23" s="1404"/>
      <c r="K23" s="1403" t="s">
        <v>191</v>
      </c>
      <c r="L23" s="1404"/>
      <c r="N23" s="274"/>
      <c r="Z23" s="277"/>
      <c r="AB23" s="964" t="s">
        <v>427</v>
      </c>
      <c r="AC23" s="963" t="s">
        <v>422</v>
      </c>
      <c r="AD23" s="261">
        <f>ID!P28</f>
        <v>10</v>
      </c>
      <c r="AE23" s="962">
        <f>ESA!P142</f>
        <v>10.326850490257243</v>
      </c>
      <c r="AF23" s="1184">
        <v>100</v>
      </c>
      <c r="AG23" s="1160"/>
      <c r="AH23" s="1642" t="s">
        <v>428</v>
      </c>
      <c r="AI23" s="1642"/>
      <c r="AJ23" s="1642"/>
      <c r="AK23" s="1642"/>
      <c r="AL23" s="1642"/>
      <c r="AM23" s="1642"/>
      <c r="AN23" s="1642"/>
      <c r="AO23" s="1642"/>
      <c r="AP23" s="1642"/>
      <c r="AQ23"/>
    </row>
    <row r="24" spans="1:43" s="270" customFormat="1" ht="23.25" customHeight="1">
      <c r="B24" s="1382"/>
      <c r="C24" s="1637"/>
      <c r="D24" s="1638"/>
      <c r="E24" s="1638"/>
      <c r="F24" s="1638"/>
      <c r="G24" s="1638"/>
      <c r="H24" s="1638"/>
      <c r="I24" s="1405"/>
      <c r="J24" s="1406"/>
      <c r="K24" s="1405"/>
      <c r="L24" s="1406"/>
      <c r="N24" s="274"/>
      <c r="AB24" s="1160"/>
      <c r="AC24" s="1160"/>
      <c r="AD24" s="1160"/>
      <c r="AE24" s="1160"/>
      <c r="AF24" s="1160"/>
      <c r="AG24" s="1160"/>
      <c r="AH24" s="1160"/>
      <c r="AI24" s="1160"/>
      <c r="AJ24" s="1160"/>
      <c r="AK24" s="1160"/>
      <c r="AL24" s="1160"/>
      <c r="AM24" s="1160"/>
      <c r="AN24" s="1160"/>
      <c r="AO24" s="1160"/>
      <c r="AP24" s="1160"/>
      <c r="AQ24"/>
    </row>
    <row r="25" spans="1:43" ht="15" customHeight="1">
      <c r="B25" s="39">
        <v>1</v>
      </c>
      <c r="C25" s="1601" t="str">
        <f>ID!C25</f>
        <v>Resistansi Isolasi</v>
      </c>
      <c r="D25" s="1602"/>
      <c r="E25" s="1602"/>
      <c r="F25" s="1602"/>
      <c r="G25" s="1602"/>
      <c r="H25" s="1602"/>
      <c r="I25" s="734" t="str">
        <f>ESA!P138</f>
        <v>OL</v>
      </c>
      <c r="J25" s="735" t="str">
        <f>IF(I25="-","",IF(I25="OL","","MΩ"))</f>
        <v/>
      </c>
      <c r="K25" s="1627" t="str">
        <f>ID!L25</f>
        <v>≥ 2</v>
      </c>
      <c r="L25" s="1628"/>
      <c r="M25" s="57"/>
      <c r="N25" s="1617">
        <f>IF(O27="OVER",0,IF(O28="OVER",0,SUM(O25:O28)))</f>
        <v>30</v>
      </c>
      <c r="O25" s="1209">
        <f>IF(I25="OL",10,IF(I25="-",10,IF(I25&lt;2,10,0)))</f>
        <v>10</v>
      </c>
      <c r="Z25" s="1159"/>
      <c r="AB25" s="1160"/>
      <c r="AC25" s="1160"/>
      <c r="AD25" s="1160"/>
      <c r="AE25" s="1160"/>
      <c r="AF25" s="1160"/>
      <c r="AG25" s="1160"/>
      <c r="AH25" s="1160"/>
      <c r="AI25" s="1160"/>
      <c r="AJ25" s="1160"/>
      <c r="AK25" s="1160"/>
      <c r="AL25" s="1160"/>
      <c r="AM25" s="1160"/>
      <c r="AN25" s="1160"/>
      <c r="AO25" s="1160"/>
      <c r="AP25" s="1160"/>
      <c r="AQ25"/>
    </row>
    <row r="26" spans="1:43" ht="15.5" customHeight="1">
      <c r="B26" s="39">
        <v>2</v>
      </c>
      <c r="C26" s="1601" t="str">
        <f>ID!C26</f>
        <v>Resistansi Pembumian Protektif (kabel tidak dapat dilepas)</v>
      </c>
      <c r="D26" s="1602"/>
      <c r="E26" s="1602"/>
      <c r="F26" s="1602"/>
      <c r="G26" s="1602"/>
      <c r="H26" s="1602"/>
      <c r="I26" s="736">
        <f>ESA!P139</f>
        <v>9.8954375461743974E-2</v>
      </c>
      <c r="J26" s="735" t="str">
        <f>IF(I26="-","",IF(I26="OL","","Ω"))</f>
        <v>Ω</v>
      </c>
      <c r="K26" s="1629" t="str">
        <f>ID!L26</f>
        <v>≤ 0.3</v>
      </c>
      <c r="L26" s="1630"/>
      <c r="M26" s="57"/>
      <c r="N26" s="1617"/>
      <c r="O26" s="1209">
        <f>IF(I26="OL",10,IF(I26="-",10,IF(I26&lt;'kata-kata'!J49,10,0)))</f>
        <v>10</v>
      </c>
      <c r="Z26" s="1159"/>
      <c r="AB26" s="1160"/>
      <c r="AC26" s="1160"/>
      <c r="AD26" s="1160"/>
      <c r="AE26" s="1160"/>
      <c r="AF26" s="1160"/>
      <c r="AG26" s="1160"/>
      <c r="AH26" s="1616" t="s">
        <v>128</v>
      </c>
      <c r="AI26" s="1616"/>
      <c r="AJ26" s="1616"/>
      <c r="AK26" s="1616"/>
      <c r="AL26" s="1616"/>
      <c r="AM26" s="1616"/>
      <c r="AN26" s="1616"/>
      <c r="AO26" s="1160"/>
      <c r="AP26" s="1160"/>
      <c r="AQ26"/>
    </row>
    <row r="27" spans="1:43" ht="15.5" customHeight="1">
      <c r="B27" s="39">
        <v>3</v>
      </c>
      <c r="C27" s="1601" t="str">
        <f>ID!C27</f>
        <v>Arus bocor peralatan untuk peralatan elektromedik kelas I</v>
      </c>
      <c r="D27" s="1602"/>
      <c r="E27" s="1602"/>
      <c r="F27" s="1602"/>
      <c r="G27" s="1602"/>
      <c r="H27" s="1602"/>
      <c r="I27" s="734">
        <f>ESA!P140</f>
        <v>600.38581721898936</v>
      </c>
      <c r="J27" s="735" t="str">
        <f>IF(I27="-","",IF(I27="OL","","µA"))</f>
        <v>µA</v>
      </c>
      <c r="K27" s="1627" t="str">
        <f>ID!L27</f>
        <v>≤ 500</v>
      </c>
      <c r="L27" s="1628"/>
      <c r="M27" s="57"/>
      <c r="N27" s="1617"/>
      <c r="O27" s="1209">
        <f>IF(I27="OL",0,IF(I27="-",0,IF(I27&lt;'kata-kata'!K49,0,IF(AE23&gt;AF23,"OVER",0))))</f>
        <v>0</v>
      </c>
      <c r="Z27" s="1159"/>
      <c r="AB27" s="1386" t="s">
        <v>429</v>
      </c>
      <c r="AC27" s="1383" t="s">
        <v>214</v>
      </c>
      <c r="AD27" s="760"/>
      <c r="AE27" s="964" t="s">
        <v>430</v>
      </c>
      <c r="AF27" s="1160"/>
      <c r="AG27" s="1160"/>
      <c r="AH27" s="1161" t="s">
        <v>310</v>
      </c>
      <c r="AI27" s="282"/>
      <c r="AJ27" s="282"/>
      <c r="AK27" s="282"/>
      <c r="AL27" s="282"/>
      <c r="AM27" s="283"/>
      <c r="AN27" s="1162">
        <v>0.2</v>
      </c>
      <c r="AO27" s="1160" t="s">
        <v>431</v>
      </c>
      <c r="AP27" s="1160"/>
      <c r="AQ27"/>
    </row>
    <row r="28" spans="1:43" ht="15.5" customHeight="1">
      <c r="B28" s="39">
        <v>4</v>
      </c>
      <c r="C28" s="1601" t="str">
        <f>ID!C28</f>
        <v>Arus bocor bagian yang diaplikasikan</v>
      </c>
      <c r="D28" s="1602"/>
      <c r="E28" s="1602"/>
      <c r="F28" s="1602"/>
      <c r="G28" s="1602"/>
      <c r="H28" s="1602"/>
      <c r="I28" s="734">
        <f>ESA!P141</f>
        <v>34.329249136849732</v>
      </c>
      <c r="J28" s="735" t="str">
        <f>IF(I28="-","",IF(I28="OL","","µA"))</f>
        <v>µA</v>
      </c>
      <c r="K28" s="1627" t="str">
        <f>ID!L28</f>
        <v>≤ 50</v>
      </c>
      <c r="L28" s="1628"/>
      <c r="M28" s="57"/>
      <c r="N28" s="1617"/>
      <c r="O28" s="1209">
        <f>IF(I28="-",0,IF(I28&gt;50,"OVER",10))</f>
        <v>10</v>
      </c>
      <c r="Z28" s="1159"/>
      <c r="AB28" s="1386"/>
      <c r="AC28" s="1384"/>
      <c r="AD28" s="760"/>
      <c r="AE28" s="964" t="s">
        <v>142</v>
      </c>
      <c r="AF28" s="1160"/>
      <c r="AG28" s="1160"/>
      <c r="AH28" s="1163" t="s">
        <v>311</v>
      </c>
      <c r="AI28" s="1164"/>
      <c r="AJ28" s="1164"/>
      <c r="AK28" s="1164"/>
      <c r="AL28" s="1164"/>
      <c r="AM28" s="1165"/>
      <c r="AN28" s="1162">
        <v>0.3</v>
      </c>
      <c r="AO28" s="1160" t="s">
        <v>432</v>
      </c>
      <c r="AP28" s="1160"/>
      <c r="AQ28"/>
    </row>
    <row r="29" spans="1:43" ht="12.75" customHeight="1">
      <c r="B29" s="737"/>
      <c r="C29" s="738"/>
      <c r="D29" s="738"/>
      <c r="E29" s="738"/>
      <c r="F29" s="738"/>
      <c r="G29" s="738"/>
      <c r="H29" s="738"/>
      <c r="I29" s="739"/>
      <c r="J29" s="740"/>
      <c r="K29" s="76"/>
      <c r="L29" s="704"/>
      <c r="M29" s="57"/>
      <c r="N29" s="741"/>
      <c r="Z29" s="258"/>
      <c r="AB29" s="962">
        <f>IF(OR(AD23="",C27=AH30,AB21=AE29),I27,IF(I27&gt;'kata-kata'!K49,AE23,I27))</f>
        <v>10.326850490257243</v>
      </c>
      <c r="AC29" s="964">
        <f>IF(OR(AD23="",C27=AH30,AB21=AE29),K27,IF(I27&gt;'kata-kata'!K49,AF23,K27))</f>
        <v>100</v>
      </c>
      <c r="AD29" s="760"/>
      <c r="AE29" s="964" t="s">
        <v>144</v>
      </c>
      <c r="AF29" s="1160"/>
      <c r="AG29" s="1160"/>
      <c r="AH29" s="1166" t="s">
        <v>313</v>
      </c>
      <c r="AI29" s="1167"/>
      <c r="AJ29" s="1167"/>
      <c r="AK29" s="1167"/>
      <c r="AL29" s="1167"/>
      <c r="AM29" s="1165"/>
      <c r="AN29" s="1168">
        <v>500</v>
      </c>
      <c r="AO29" s="1160"/>
      <c r="AP29" s="1160"/>
      <c r="AQ29"/>
    </row>
    <row r="30" spans="1:43" ht="15" customHeight="1">
      <c r="A30" s="30" t="s">
        <v>209</v>
      </c>
      <c r="B30" s="30" t="str">
        <f>ID!B30</f>
        <v xml:space="preserve">Pengujian Kinerja </v>
      </c>
      <c r="C30" s="24"/>
      <c r="D30" s="262"/>
      <c r="E30" s="262"/>
      <c r="F30" s="262"/>
      <c r="G30" s="262"/>
      <c r="H30" s="262"/>
      <c r="I30" s="742"/>
      <c r="J30" s="743"/>
      <c r="K30" s="262"/>
      <c r="L30" s="262"/>
      <c r="M30" s="262"/>
      <c r="N30" s="12"/>
      <c r="AB30" s="1160"/>
      <c r="AC30" s="760"/>
      <c r="AD30" s="760"/>
      <c r="AE30" s="760"/>
      <c r="AF30" s="760"/>
      <c r="AG30" s="760"/>
      <c r="AH30" s="1166" t="s">
        <v>314</v>
      </c>
      <c r="AI30" s="1167"/>
      <c r="AJ30" s="1167"/>
      <c r="AK30" s="1167"/>
      <c r="AL30" s="1167"/>
      <c r="AM30" s="1165"/>
      <c r="AN30" s="1168">
        <v>100</v>
      </c>
      <c r="AO30" s="1160"/>
      <c r="AP30" s="1160"/>
      <c r="AQ30"/>
    </row>
    <row r="31" spans="1:43" ht="6" customHeight="1">
      <c r="A31" s="30"/>
      <c r="B31" s="30"/>
      <c r="C31" s="24"/>
      <c r="D31" s="262"/>
      <c r="E31" s="262"/>
      <c r="F31" s="262"/>
      <c r="G31" s="262"/>
      <c r="H31" s="262"/>
      <c r="I31" s="742"/>
      <c r="J31" s="743"/>
      <c r="K31" s="262"/>
      <c r="L31" s="262"/>
      <c r="M31" s="262"/>
      <c r="N31" s="12"/>
      <c r="AB31" s="258"/>
    </row>
    <row r="32" spans="1:43" ht="15" customHeight="1">
      <c r="A32" s="30"/>
      <c r="B32" s="30" t="str">
        <f>ID!B32</f>
        <v>a. Kalibrasi Akurasi Energi</v>
      </c>
      <c r="C32" s="24"/>
      <c r="D32" s="262"/>
      <c r="E32" s="262"/>
      <c r="F32" s="262"/>
      <c r="G32" s="262"/>
      <c r="H32" s="262"/>
      <c r="I32" s="742"/>
      <c r="J32" s="743"/>
      <c r="K32" s="262"/>
      <c r="L32" s="262"/>
      <c r="M32" s="262"/>
      <c r="N32" s="12"/>
      <c r="AB32" s="258"/>
    </row>
    <row r="33" spans="2:35" s="270" customFormat="1" ht="15" customHeight="1">
      <c r="B33" s="1599" t="s">
        <v>87</v>
      </c>
      <c r="C33" s="1600" t="s">
        <v>116</v>
      </c>
      <c r="D33" s="1599" t="s">
        <v>345</v>
      </c>
      <c r="E33" s="1599" t="s">
        <v>111</v>
      </c>
      <c r="F33" s="1599" t="s">
        <v>346</v>
      </c>
      <c r="G33" s="1599" t="s">
        <v>347</v>
      </c>
      <c r="H33" s="1599" t="s">
        <v>348</v>
      </c>
      <c r="I33" s="1599" t="s">
        <v>349</v>
      </c>
      <c r="J33" s="1599"/>
      <c r="L33" s="1603" t="s">
        <v>350</v>
      </c>
      <c r="M33" s="1604"/>
      <c r="Q33" s="273"/>
      <c r="AA33" s="274"/>
      <c r="AC33" s="537"/>
    </row>
    <row r="34" spans="2:35" s="270" customFormat="1" ht="15" customHeight="1">
      <c r="B34" s="1599"/>
      <c r="C34" s="1600"/>
      <c r="D34" s="1599"/>
      <c r="E34" s="1599"/>
      <c r="F34" s="1599"/>
      <c r="G34" s="1599"/>
      <c r="H34" s="1599"/>
      <c r="I34" s="1599"/>
      <c r="J34" s="1599"/>
      <c r="L34" s="1603"/>
      <c r="M34" s="1604"/>
      <c r="Q34" s="273"/>
      <c r="AC34" s="537"/>
    </row>
    <row r="35" spans="2:35" s="270" customFormat="1" ht="15" customHeight="1">
      <c r="B35" s="1599"/>
      <c r="C35" s="1600"/>
      <c r="D35" s="1599"/>
      <c r="E35" s="1599"/>
      <c r="F35" s="1599"/>
      <c r="G35" s="1599"/>
      <c r="H35" s="1599"/>
      <c r="I35" s="1599"/>
      <c r="J35" s="1599"/>
      <c r="L35" s="1603"/>
      <c r="M35" s="1604"/>
      <c r="Q35" s="540"/>
      <c r="AC35" s="537"/>
    </row>
    <row r="36" spans="2:35" ht="14.25" customHeight="1">
      <c r="B36" s="378">
        <v>1</v>
      </c>
      <c r="C36" s="1621" t="str">
        <f>ID!C35</f>
        <v>Energi ( J )</v>
      </c>
      <c r="D36" s="378">
        <f>IF(E36="-","-",ID!D35)</f>
        <v>5</v>
      </c>
      <c r="E36" s="71">
        <f>IF(I36="-","-",ID!I35)</f>
        <v>5.2375662290099534</v>
      </c>
      <c r="F36" s="56">
        <f>IFERROR('Input Data Sertifikat Defib'!I103,"-")</f>
        <v>0.23756622900995339</v>
      </c>
      <c r="G36" s="56">
        <f>IFERROR('Input Data Sertifikat Defib'!J103,"-")</f>
        <v>4.5358133648814993</v>
      </c>
      <c r="H36" s="1624">
        <v>15</v>
      </c>
      <c r="I36" s="1573">
        <f>IFERROR('Input Data Sertifikat Defib'!N103,"-")</f>
        <v>11.607472917768806</v>
      </c>
      <c r="J36" s="1574"/>
      <c r="K36" s="744"/>
      <c r="L36" s="1605">
        <f>IF(E36="-","-",(ABS(G36)+I36))</f>
        <v>16.143286282650305</v>
      </c>
      <c r="M36" s="1606"/>
      <c r="N36" s="1613">
        <f>IF(AA43&gt;=70,1,0)</f>
        <v>1</v>
      </c>
      <c r="O36" s="1618">
        <f>50*AA44</f>
        <v>50</v>
      </c>
      <c r="P36" s="713"/>
      <c r="Q36" s="91"/>
      <c r="R36" s="21"/>
      <c r="S36" s="21"/>
      <c r="Z36" s="539" t="str">
        <f>IF(L36&lt;=15,"YES","NO")</f>
        <v>NO</v>
      </c>
      <c r="AC36" s="350"/>
      <c r="AF36" s="1609"/>
      <c r="AG36" s="1609"/>
      <c r="AH36" s="1609"/>
    </row>
    <row r="37" spans="2:35" ht="14.25" customHeight="1">
      <c r="B37" s="378">
        <v>2</v>
      </c>
      <c r="C37" s="1622"/>
      <c r="D37" s="378">
        <f>IF(E37="-","-",ID!D36)</f>
        <v>10</v>
      </c>
      <c r="E37" s="71">
        <f>IF(I37="-","-",ID!I36)</f>
        <v>10.729337726692501</v>
      </c>
      <c r="F37" s="56">
        <f>IFERROR('Input Data Sertifikat Defib'!I104,"-")</f>
        <v>0.72933772669250096</v>
      </c>
      <c r="G37" s="56">
        <f>IFERROR('Input Data Sertifikat Defib'!J104,"-")</f>
        <v>6.7976024734318017</v>
      </c>
      <c r="H37" s="1625"/>
      <c r="I37" s="1573">
        <f>IFERROR('Input Data Sertifikat Defib'!N104,"-")</f>
        <v>9.4862631848882213</v>
      </c>
      <c r="J37" s="1574"/>
      <c r="K37" s="744"/>
      <c r="L37" s="1605">
        <f t="shared" ref="L37:L44" si="0">IF(E37="-","-",(ABS(G37)+ABS(I37)))</f>
        <v>16.283865658320025</v>
      </c>
      <c r="M37" s="1606"/>
      <c r="N37" s="1614"/>
      <c r="O37" s="1619"/>
      <c r="P37" s="712"/>
      <c r="Q37" s="91"/>
      <c r="R37" s="21"/>
      <c r="S37" s="21"/>
      <c r="Z37" s="539" t="str">
        <f t="shared" ref="Z37:Z44" si="1">IF(L37&lt;=15,"YES","NO")</f>
        <v>NO</v>
      </c>
      <c r="AC37" s="350"/>
      <c r="AF37" s="1609"/>
      <c r="AG37" s="1609"/>
      <c r="AH37" s="1609"/>
    </row>
    <row r="38" spans="2:35" ht="14.25" customHeight="1">
      <c r="B38" s="378">
        <v>3</v>
      </c>
      <c r="C38" s="1622"/>
      <c r="D38" s="378">
        <f>IF(E38="-","-",ID!D37)</f>
        <v>20</v>
      </c>
      <c r="E38" s="71">
        <f>IF(I38="-","-",ID!I37)</f>
        <v>20.215124859053262</v>
      </c>
      <c r="F38" s="56">
        <f>IFERROR('Input Data Sertifikat Defib'!I105,"-")</f>
        <v>0.21512485905326173</v>
      </c>
      <c r="G38" s="56">
        <f>IFERROR('Input Data Sertifikat Defib'!J105,"-")</f>
        <v>1.0641777409399424</v>
      </c>
      <c r="H38" s="1625"/>
      <c r="I38" s="1573">
        <f>IFERROR('Input Data Sertifikat Defib'!N105,"-")</f>
        <v>2.9387581825439906</v>
      </c>
      <c r="J38" s="1574"/>
      <c r="K38" s="744"/>
      <c r="L38" s="1605">
        <f t="shared" si="0"/>
        <v>4.0029359234839328</v>
      </c>
      <c r="M38" s="1606"/>
      <c r="N38" s="1614"/>
      <c r="O38" s="1619"/>
      <c r="P38" s="712"/>
      <c r="Q38" s="91"/>
      <c r="R38" s="21"/>
      <c r="S38" s="21"/>
      <c r="Z38" s="539" t="str">
        <f t="shared" si="1"/>
        <v>YES</v>
      </c>
      <c r="AC38" s="350"/>
      <c r="AF38" s="1609"/>
      <c r="AG38" s="1609"/>
      <c r="AH38" s="1609"/>
    </row>
    <row r="39" spans="2:35" ht="14.25" customHeight="1">
      <c r="B39" s="378">
        <v>4</v>
      </c>
      <c r="C39" s="1622"/>
      <c r="D39" s="378">
        <f>IF(E39="-","-",ID!D38)</f>
        <v>30</v>
      </c>
      <c r="E39" s="71">
        <f>IF(I39="-","-",ID!I38)</f>
        <v>30.200163945748802</v>
      </c>
      <c r="F39" s="56">
        <f>IFERROR('Input Data Sertifikat Defib'!I106,"-")</f>
        <v>0.20016394574880181</v>
      </c>
      <c r="G39" s="56">
        <f>IFERROR('Input Data Sertifikat Defib'!J106,"-")</f>
        <v>0.66279092427568875</v>
      </c>
      <c r="H39" s="1625"/>
      <c r="I39" s="1573">
        <f>IFERROR('Input Data Sertifikat Defib'!N106,"-")</f>
        <v>1.9913332333467579</v>
      </c>
      <c r="J39" s="1574"/>
      <c r="K39" s="744"/>
      <c r="L39" s="1605">
        <f t="shared" si="0"/>
        <v>2.6541241576224466</v>
      </c>
      <c r="M39" s="1606"/>
      <c r="N39" s="1614"/>
      <c r="O39" s="1619"/>
      <c r="P39" s="712"/>
      <c r="Q39" s="91"/>
      <c r="R39" s="21"/>
      <c r="S39" s="21"/>
      <c r="Z39" s="539" t="str">
        <f t="shared" si="1"/>
        <v>YES</v>
      </c>
      <c r="AC39" s="350"/>
      <c r="AF39" s="1609"/>
      <c r="AG39" s="1609"/>
      <c r="AH39" s="1609"/>
    </row>
    <row r="40" spans="2:35" ht="14.25" customHeight="1">
      <c r="B40" s="378">
        <v>5</v>
      </c>
      <c r="C40" s="1622"/>
      <c r="D40" s="378">
        <f>IF(E40="-","-",ID!D39)</f>
        <v>50</v>
      </c>
      <c r="E40" s="71">
        <f>IF(I40="-","-",ID!I39)</f>
        <v>51.501580664032623</v>
      </c>
      <c r="F40" s="56">
        <f>IFERROR('Input Data Sertifikat Defib'!I107,"-")</f>
        <v>1.5015806640326232</v>
      </c>
      <c r="G40" s="56">
        <f>IFERROR('Input Data Sertifikat Defib'!J107,"-")</f>
        <v>2.915601122668626</v>
      </c>
      <c r="H40" s="1625"/>
      <c r="I40" s="1573">
        <f>IFERROR('Input Data Sertifikat Defib'!N107,"-")</f>
        <v>10.698392127617335</v>
      </c>
      <c r="J40" s="1574"/>
      <c r="K40" s="744"/>
      <c r="L40" s="1605">
        <f t="shared" si="0"/>
        <v>13.613993250285962</v>
      </c>
      <c r="M40" s="1606"/>
      <c r="N40" s="1614"/>
      <c r="O40" s="1619"/>
      <c r="P40" s="712"/>
      <c r="Q40" s="91"/>
      <c r="R40" s="21"/>
      <c r="S40" s="21"/>
      <c r="Z40" s="539" t="str">
        <f t="shared" si="1"/>
        <v>YES</v>
      </c>
      <c r="AC40" s="350"/>
      <c r="AF40" s="1609"/>
      <c r="AG40" s="1609"/>
      <c r="AH40" s="1609"/>
    </row>
    <row r="41" spans="2:35" ht="14.25" customHeight="1">
      <c r="B41" s="378">
        <v>6</v>
      </c>
      <c r="C41" s="1622"/>
      <c r="D41" s="378">
        <f>IF(E41="-","-",ID!D40)</f>
        <v>100</v>
      </c>
      <c r="E41" s="71">
        <f>IF(I41="-","-",ID!I40)</f>
        <v>98.764099007724852</v>
      </c>
      <c r="F41" s="56">
        <f>IFERROR('Input Data Sertifikat Defib'!I108,"-")</f>
        <v>-1.2359009922751483</v>
      </c>
      <c r="G41" s="56">
        <f>IFERROR('Input Data Sertifikat Defib'!J108,"-")</f>
        <v>-1.2513666450584255</v>
      </c>
      <c r="H41" s="1625"/>
      <c r="I41" s="1573">
        <f>IFERROR('Input Data Sertifikat Defib'!N108,"-")</f>
        <v>5.2137210979759336</v>
      </c>
      <c r="J41" s="1574"/>
      <c r="K41" s="744"/>
      <c r="L41" s="1605">
        <f t="shared" si="0"/>
        <v>6.465087743034359</v>
      </c>
      <c r="M41" s="1606"/>
      <c r="N41" s="1614"/>
      <c r="O41" s="1619"/>
      <c r="P41" s="712"/>
      <c r="Q41" s="91"/>
      <c r="R41" s="21"/>
      <c r="S41" s="21"/>
      <c r="Z41" s="539" t="str">
        <f t="shared" si="1"/>
        <v>YES</v>
      </c>
      <c r="AC41" s="350"/>
      <c r="AF41" s="1609"/>
      <c r="AG41" s="1609"/>
      <c r="AH41" s="1609"/>
    </row>
    <row r="42" spans="2:35" ht="14.25" customHeight="1">
      <c r="B42" s="378">
        <v>7</v>
      </c>
      <c r="C42" s="1622"/>
      <c r="D42" s="378">
        <f>IF(E42="-","-",ID!D41)</f>
        <v>150</v>
      </c>
      <c r="E42" s="71">
        <f>IF(I42="-","-",ID!I41)</f>
        <v>149.68779834987208</v>
      </c>
      <c r="F42" s="56">
        <f>IFERROR('Input Data Sertifikat Defib'!I109,"-")</f>
        <v>-0.31220165012791767</v>
      </c>
      <c r="G42" s="56">
        <f>IFERROR('Input Data Sertifikat Defib'!J109,"-")</f>
        <v>-0.20856853636005429</v>
      </c>
      <c r="H42" s="1625"/>
      <c r="I42" s="1573">
        <f>IFERROR('Input Data Sertifikat Defib'!N109,"-")</f>
        <v>2.0169147119234996</v>
      </c>
      <c r="J42" s="1574"/>
      <c r="K42" s="744"/>
      <c r="L42" s="1605">
        <f t="shared" si="0"/>
        <v>2.2254832482835538</v>
      </c>
      <c r="M42" s="1606"/>
      <c r="N42" s="1614"/>
      <c r="O42" s="1619"/>
      <c r="P42" s="712"/>
      <c r="Q42" s="91"/>
      <c r="R42" s="21"/>
      <c r="S42" s="21"/>
      <c r="Z42" s="539" t="str">
        <f t="shared" si="1"/>
        <v>YES</v>
      </c>
      <c r="AC42" s="350"/>
      <c r="AF42" s="1609"/>
      <c r="AG42" s="1609"/>
      <c r="AH42" s="1609"/>
    </row>
    <row r="43" spans="2:35" ht="14.25" customHeight="1">
      <c r="B43" s="378">
        <v>8</v>
      </c>
      <c r="C43" s="1622"/>
      <c r="D43" s="378">
        <f>IF(E43="-","-",ID!D42)</f>
        <v>200</v>
      </c>
      <c r="E43" s="71">
        <f>IF(I43="-","-",ID!I42)</f>
        <v>201.94283623691209</v>
      </c>
      <c r="F43" s="56">
        <f>IFERROR('Input Data Sertifikat Defib'!I110,"-")</f>
        <v>1.9428362369120862</v>
      </c>
      <c r="G43" s="56">
        <f>IFERROR('Input Data Sertifikat Defib'!J110,"-")</f>
        <v>0.96207237311098304</v>
      </c>
      <c r="H43" s="1625"/>
      <c r="I43" s="1573">
        <f>IFERROR('Input Data Sertifikat Defib'!N110,"-")</f>
        <v>3.8987925874589338</v>
      </c>
      <c r="J43" s="1574"/>
      <c r="K43" s="744"/>
      <c r="L43" s="1605">
        <f t="shared" si="0"/>
        <v>4.8608649605699163</v>
      </c>
      <c r="M43" s="1606"/>
      <c r="N43" s="1614"/>
      <c r="O43" s="1619"/>
      <c r="P43" s="712"/>
      <c r="Q43" s="91"/>
      <c r="R43" s="21"/>
      <c r="S43" s="21"/>
      <c r="Z43" s="539" t="str">
        <f t="shared" si="1"/>
        <v>YES</v>
      </c>
      <c r="AA43" s="257">
        <f>(COUNTIF(Z36:Z44,"YES")/(COUNTA(Z36:Z44))*100)</f>
        <v>77.777777777777786</v>
      </c>
      <c r="AC43" s="350"/>
      <c r="AF43" s="1609"/>
      <c r="AG43" s="1609"/>
      <c r="AH43" s="1609"/>
    </row>
    <row r="44" spans="2:35" ht="14.25" customHeight="1">
      <c r="B44" s="378">
        <v>9</v>
      </c>
      <c r="C44" s="1623"/>
      <c r="D44" s="378">
        <f>IF(E44="-","-",ID!D43)</f>
        <v>300</v>
      </c>
      <c r="E44" s="71">
        <f>IF(I44="-","-",ID!I43)</f>
        <v>291.80818801717197</v>
      </c>
      <c r="F44" s="56">
        <f>IFERROR('Input Data Sertifikat Defib'!I111,"-")</f>
        <v>-8.1918119828280282</v>
      </c>
      <c r="G44" s="56">
        <f>IFERROR('Input Data Sertifikat Defib'!J111,"-")</f>
        <v>-2.807259124046912</v>
      </c>
      <c r="H44" s="1626"/>
      <c r="I44" s="1573">
        <f>IFERROR('Input Data Sertifikat Defib'!N111,"-")</f>
        <v>5.7033768424757421</v>
      </c>
      <c r="J44" s="1574"/>
      <c r="K44" s="744"/>
      <c r="L44" s="1605">
        <f t="shared" si="0"/>
        <v>8.5106359665226545</v>
      </c>
      <c r="M44" s="1606"/>
      <c r="N44" s="1615"/>
      <c r="O44" s="1619"/>
      <c r="P44" s="712"/>
      <c r="Q44" s="91"/>
      <c r="R44" s="21"/>
      <c r="S44" s="21"/>
      <c r="Z44" s="539" t="str">
        <f t="shared" si="1"/>
        <v>YES</v>
      </c>
      <c r="AA44" s="257">
        <f>N36*N50*N54</f>
        <v>1</v>
      </c>
      <c r="AC44" s="350"/>
      <c r="AF44" s="1609"/>
      <c r="AG44" s="1609"/>
      <c r="AH44" s="1609"/>
    </row>
    <row r="45" spans="2:35" ht="14.25" customHeight="1">
      <c r="B45" s="82"/>
      <c r="C45" s="32"/>
      <c r="D45" s="82"/>
      <c r="E45" s="729"/>
      <c r="F45" s="723"/>
      <c r="G45" s="723"/>
      <c r="H45" s="745"/>
      <c r="I45" s="746"/>
      <c r="J45" s="746"/>
      <c r="N45" s="744"/>
      <c r="O45" s="1619"/>
      <c r="P45" s="538"/>
      <c r="Q45" s="91"/>
      <c r="R45" s="21"/>
      <c r="S45" s="21"/>
      <c r="Z45" s="258"/>
      <c r="AA45" s="258"/>
      <c r="AB45" s="53"/>
      <c r="AC45" s="350"/>
      <c r="AF45" s="366"/>
      <c r="AG45" s="366"/>
      <c r="AH45" s="366"/>
    </row>
    <row r="46" spans="2:35" ht="15" customHeight="1">
      <c r="B46" s="1596" t="str">
        <f>ID!B45</f>
        <v>b. Kalibrasi Energi Maksimum 10 kali Pengisian</v>
      </c>
      <c r="C46" s="1596"/>
      <c r="D46" s="1596"/>
      <c r="E46" s="1596"/>
      <c r="F46" s="1596"/>
      <c r="G46" s="31"/>
      <c r="H46" s="31"/>
      <c r="I46" s="31"/>
      <c r="J46" s="31"/>
      <c r="K46" s="57"/>
      <c r="L46" s="1608"/>
      <c r="M46" s="1608"/>
      <c r="O46" s="1619"/>
      <c r="P46" s="21"/>
      <c r="Q46" s="91"/>
      <c r="R46" s="21"/>
      <c r="S46" s="21"/>
      <c r="T46" s="22"/>
      <c r="AF46" s="58"/>
      <c r="AG46" s="58"/>
      <c r="AH46" s="58"/>
      <c r="AI46" s="24"/>
    </row>
    <row r="47" spans="2:35" s="270" customFormat="1" ht="15" customHeight="1">
      <c r="B47" s="1599" t="s">
        <v>87</v>
      </c>
      <c r="C47" s="1600" t="s">
        <v>116</v>
      </c>
      <c r="D47" s="1599" t="s">
        <v>345</v>
      </c>
      <c r="E47" s="1599" t="s">
        <v>111</v>
      </c>
      <c r="F47" s="1599" t="s">
        <v>346</v>
      </c>
      <c r="G47" s="1599" t="s">
        <v>347</v>
      </c>
      <c r="H47" s="1599" t="s">
        <v>348</v>
      </c>
      <c r="I47" s="1599" t="s">
        <v>349</v>
      </c>
      <c r="J47" s="1599"/>
      <c r="L47" s="1607" t="s">
        <v>350</v>
      </c>
      <c r="M47" s="1607"/>
      <c r="O47" s="1619"/>
      <c r="P47" s="271"/>
      <c r="Q47" s="540"/>
      <c r="R47" s="271"/>
      <c r="AC47" s="537"/>
      <c r="AF47" s="276"/>
      <c r="AG47" s="276"/>
      <c r="AH47" s="276"/>
    </row>
    <row r="48" spans="2:35" s="270" customFormat="1" ht="12.75" customHeight="1">
      <c r="B48" s="1599"/>
      <c r="C48" s="1600"/>
      <c r="D48" s="1599"/>
      <c r="E48" s="1599"/>
      <c r="F48" s="1599"/>
      <c r="G48" s="1599"/>
      <c r="H48" s="1599"/>
      <c r="I48" s="1599"/>
      <c r="J48" s="1599"/>
      <c r="L48" s="1607"/>
      <c r="M48" s="1607"/>
      <c r="O48" s="1619"/>
      <c r="P48" s="271"/>
      <c r="Q48" s="540"/>
      <c r="R48" s="271"/>
      <c r="AC48" s="537"/>
      <c r="AF48" s="276"/>
      <c r="AG48" s="276"/>
      <c r="AH48" s="276"/>
    </row>
    <row r="49" spans="1:42" s="270" customFormat="1" ht="17.25" customHeight="1">
      <c r="B49" s="1599"/>
      <c r="C49" s="1600"/>
      <c r="D49" s="1599"/>
      <c r="E49" s="1599"/>
      <c r="F49" s="1599"/>
      <c r="G49" s="1599"/>
      <c r="H49" s="1599"/>
      <c r="I49" s="1599"/>
      <c r="J49" s="1599"/>
      <c r="L49" s="1607"/>
      <c r="M49" s="1607"/>
      <c r="O49" s="1619"/>
      <c r="P49" s="271"/>
      <c r="Q49" s="540"/>
      <c r="R49" s="271"/>
      <c r="AC49" s="537"/>
      <c r="AF49" s="276"/>
      <c r="AG49" s="276"/>
      <c r="AH49" s="276"/>
    </row>
    <row r="50" spans="1:42" ht="35.25" customHeight="1">
      <c r="B50" s="378">
        <v>1</v>
      </c>
      <c r="C50" s="724" t="str">
        <f>C36</f>
        <v>Energi ( J )</v>
      </c>
      <c r="D50" s="378">
        <f>IF(E50="-","-",ID!D48)</f>
        <v>200</v>
      </c>
      <c r="E50" s="71">
        <f>IF(ID!K48="-","-",ID!K48)</f>
        <v>199.94582841957299</v>
      </c>
      <c r="F50" s="72">
        <f>IFERROR('Input Data Sertifikat Defib'!I114,"-")</f>
        <v>-5.4171580427009758E-2</v>
      </c>
      <c r="G50" s="72">
        <f>IFERROR('Input Data Sertifikat Defib'!J114,"-")</f>
        <v>-2.7093128601480148E-2</v>
      </c>
      <c r="H50" s="747">
        <f>IF(E50="-","-",15)</f>
        <v>15</v>
      </c>
      <c r="I50" s="1633">
        <f>IFERROR('Input Data Sertifikat Defib'!N114,"-")</f>
        <v>0.57090667120547522</v>
      </c>
      <c r="J50" s="1634"/>
      <c r="K50" s="744"/>
      <c r="L50" s="1611">
        <f>IF(E50="-","-",ABS(G50)+I50)</f>
        <v>0.59799979980695539</v>
      </c>
      <c r="M50" s="1611"/>
      <c r="N50" s="748">
        <f>IF(Z50="YES",1,0)</f>
        <v>1</v>
      </c>
      <c r="O50" s="1619"/>
      <c r="Q50" s="91"/>
      <c r="R50" s="21"/>
      <c r="S50" s="4"/>
      <c r="Z50" s="541" t="str">
        <f>IF(L50&lt;=15,"YES","NO")</f>
        <v>YES</v>
      </c>
      <c r="AC50" s="542"/>
      <c r="AD50" s="543"/>
      <c r="AF50" s="58"/>
      <c r="AG50" s="58"/>
      <c r="AH50" s="58"/>
    </row>
    <row r="51" spans="1:42" ht="15" customHeight="1">
      <c r="B51" s="82"/>
      <c r="C51" s="32"/>
      <c r="D51" s="82"/>
      <c r="E51" s="729"/>
      <c r="F51" s="723"/>
      <c r="G51" s="723"/>
      <c r="H51" s="745"/>
      <c r="I51" s="746"/>
      <c r="J51" s="746"/>
      <c r="N51" s="744"/>
      <c r="O51" s="1619"/>
      <c r="P51" s="538"/>
      <c r="Q51" s="91"/>
      <c r="R51" s="21"/>
      <c r="S51" s="21"/>
      <c r="Z51" s="258"/>
      <c r="AA51" s="258"/>
      <c r="AB51" s="53"/>
      <c r="AC51" s="350"/>
      <c r="AF51" s="366"/>
      <c r="AG51" s="366"/>
      <c r="AH51" s="366"/>
    </row>
    <row r="52" spans="1:42" s="3" customFormat="1" ht="14">
      <c r="B52" s="30" t="str">
        <f>ID!B51</f>
        <v>c. Waktu Pengisian</v>
      </c>
      <c r="D52" s="30"/>
      <c r="E52" s="28"/>
      <c r="F52" s="28"/>
      <c r="G52" s="28"/>
      <c r="H52" s="28"/>
      <c r="I52" s="28"/>
      <c r="J52" s="28"/>
      <c r="K52" s="57"/>
      <c r="L52" s="28"/>
      <c r="M52" s="28"/>
      <c r="O52" s="1619"/>
      <c r="P52" s="21"/>
      <c r="Q52" s="91"/>
      <c r="R52" s="21"/>
      <c r="S52" s="21"/>
      <c r="T52" s="22"/>
      <c r="Z52" s="23"/>
      <c r="AA52" s="4"/>
      <c r="AB52" s="21"/>
      <c r="AC52" s="21"/>
      <c r="AD52" s="22"/>
      <c r="AE52" s="21"/>
      <c r="AF52" s="21"/>
      <c r="AG52" s="22"/>
    </row>
    <row r="53" spans="1:42" s="277" customFormat="1" ht="32.25" customHeight="1">
      <c r="B53" s="725" t="s">
        <v>9</v>
      </c>
      <c r="C53" s="749" t="s">
        <v>116</v>
      </c>
      <c r="D53" s="750" t="s">
        <v>351</v>
      </c>
      <c r="E53" s="1597" t="str">
        <f>ID!G52</f>
        <v xml:space="preserve"> Pembacaan Standar</v>
      </c>
      <c r="F53" s="1598"/>
      <c r="G53" s="751" t="s">
        <v>352</v>
      </c>
      <c r="I53" s="752"/>
      <c r="J53" s="753"/>
      <c r="K53" s="753"/>
      <c r="L53" s="1612" t="s">
        <v>353</v>
      </c>
      <c r="M53" s="1612"/>
      <c r="O53" s="1619"/>
      <c r="P53" s="271"/>
      <c r="Q53" s="275"/>
      <c r="R53" s="272"/>
      <c r="AH53" s="271"/>
      <c r="AI53" s="271"/>
    </row>
    <row r="54" spans="1:42" ht="14">
      <c r="B54" s="386">
        <v>1</v>
      </c>
      <c r="C54" s="754" t="str">
        <f>ID!C53</f>
        <v>Waktu Charging (s)</v>
      </c>
      <c r="D54" s="378">
        <v>300</v>
      </c>
      <c r="E54" s="1631">
        <f>IFERROR('DB Stopwatch (2)'!D222,"-")</f>
        <v>6.9894495495495494</v>
      </c>
      <c r="F54" s="1632"/>
      <c r="G54" s="755" t="str">
        <f>IF(E54="-","-","≤ 15 ")</f>
        <v xml:space="preserve">≤ 15 </v>
      </c>
      <c r="I54" s="756"/>
      <c r="J54" s="757">
        <f>IF(N54&lt;=15,$N$31,$N$32)</f>
        <v>0</v>
      </c>
      <c r="K54" s="758"/>
      <c r="L54" s="1610">
        <f>E54</f>
        <v>6.9894495495495494</v>
      </c>
      <c r="M54" s="1610"/>
      <c r="N54" s="759">
        <f>IF(Z54="YES",1,0)</f>
        <v>1</v>
      </c>
      <c r="O54" s="1620"/>
      <c r="P54" s="91"/>
      <c r="Q54" s="91"/>
      <c r="R54" s="21"/>
      <c r="S54" s="22"/>
      <c r="Z54" s="541" t="str">
        <f>IF(L54&lt;=15,"YES","NO")</f>
        <v>YES</v>
      </c>
      <c r="AC54" s="26"/>
      <c r="AD54" s="25"/>
      <c r="AE54" s="25"/>
      <c r="AF54" s="26"/>
      <c r="AI54" s="21"/>
    </row>
    <row r="55" spans="1:42" ht="15" customHeight="1">
      <c r="B55" s="82"/>
      <c r="C55" s="32"/>
      <c r="D55" s="82"/>
      <c r="E55" s="729"/>
      <c r="F55" s="723"/>
      <c r="G55" s="723"/>
      <c r="H55" s="745"/>
      <c r="I55" s="746"/>
      <c r="J55" s="746"/>
      <c r="N55" s="744"/>
      <c r="O55" s="21"/>
      <c r="P55" s="538"/>
      <c r="Q55" s="91"/>
      <c r="R55" s="21"/>
      <c r="S55" s="21"/>
      <c r="Z55" s="258"/>
      <c r="AA55" s="258"/>
      <c r="AB55" s="53"/>
      <c r="AC55" s="350"/>
      <c r="AF55" s="366"/>
      <c r="AG55" s="366"/>
      <c r="AH55" s="366"/>
    </row>
    <row r="56" spans="1:42" ht="6.75" customHeight="1">
      <c r="B56" s="32"/>
      <c r="C56" s="32"/>
      <c r="D56" s="263"/>
      <c r="E56" s="34"/>
      <c r="F56" s="74"/>
      <c r="G56" s="75"/>
      <c r="H56" s="76"/>
      <c r="I56" s="51"/>
      <c r="J56" s="57"/>
      <c r="K56" s="262"/>
      <c r="L56" s="77"/>
      <c r="M56" s="77"/>
      <c r="N56" s="23"/>
      <c r="Q56" s="22"/>
      <c r="R56" s="21"/>
      <c r="S56" s="260"/>
      <c r="AG56" s="24"/>
      <c r="AI56" s="90"/>
      <c r="AL56" s="25"/>
      <c r="AM56" s="26"/>
      <c r="AP56" s="21"/>
    </row>
    <row r="57" spans="1:42" ht="13.5" customHeight="1">
      <c r="A57" s="36" t="s">
        <v>227</v>
      </c>
      <c r="B57" s="761" t="s">
        <v>269</v>
      </c>
      <c r="C57" s="762"/>
      <c r="D57" s="266"/>
      <c r="E57" s="267"/>
      <c r="F57" s="267"/>
      <c r="G57" s="267"/>
      <c r="H57" s="267"/>
      <c r="I57" s="267"/>
      <c r="J57" s="268"/>
      <c r="K57" s="268"/>
      <c r="L57" s="268"/>
      <c r="M57" s="268"/>
      <c r="N57" s="15"/>
      <c r="AG57" s="24"/>
      <c r="AI57" s="90"/>
      <c r="AL57" s="25"/>
      <c r="AM57" s="26"/>
      <c r="AP57" s="21"/>
    </row>
    <row r="58" spans="1:42" ht="13.5" customHeight="1">
      <c r="A58" s="8"/>
      <c r="B58" s="265" t="str">
        <f>ID!B56</f>
        <v>Ketidakpastian Pengukuran Energi dilaporkan pada tingkat kepercayaan 95 % dengan faktor cakupan k = 2</v>
      </c>
      <c r="C58" s="762"/>
      <c r="D58" s="266"/>
      <c r="E58" s="267"/>
      <c r="F58" s="267"/>
      <c r="G58" s="267"/>
      <c r="H58" s="267"/>
      <c r="I58" s="267"/>
      <c r="J58" s="268"/>
      <c r="K58" s="268"/>
      <c r="L58" s="268"/>
      <c r="M58" s="268"/>
      <c r="N58" s="15"/>
      <c r="Q58" s="22"/>
      <c r="R58" s="259"/>
      <c r="S58" s="260"/>
      <c r="AG58" s="24"/>
      <c r="AI58" s="90"/>
      <c r="AL58" s="25"/>
      <c r="AM58" s="26"/>
      <c r="AP58" s="21"/>
    </row>
    <row r="59" spans="1:42" ht="13.5" customHeight="1">
      <c r="A59" s="8"/>
      <c r="B59" s="265" t="str">
        <f>ID!B57</f>
        <v>Ketidakpastian Waktu Pengisian dilaporkan pada tingkat kepercayaan 95 % dengan faktor cakupan k = 2</v>
      </c>
      <c r="C59" s="762"/>
      <c r="D59" s="266"/>
      <c r="E59" s="267"/>
      <c r="F59" s="267"/>
      <c r="G59" s="267"/>
      <c r="H59" s="267"/>
      <c r="I59" s="267"/>
      <c r="J59" s="268"/>
      <c r="K59" s="268"/>
      <c r="L59" s="268"/>
      <c r="M59" s="268"/>
      <c r="N59" s="15"/>
      <c r="Q59" s="22"/>
      <c r="S59" s="260"/>
      <c r="AG59" s="24"/>
      <c r="AI59" s="90"/>
      <c r="AL59" s="25"/>
      <c r="AM59" s="26"/>
      <c r="AP59" s="21"/>
    </row>
    <row r="60" spans="1:42" ht="14.5">
      <c r="A60" s="8"/>
      <c r="B60" s="265" t="str">
        <f>ID!B58</f>
        <v>Hasil pengukuran keselamatan listrik tertelusur ke Satuan Internasional ( SI ) melalui PT. Kaliman</v>
      </c>
      <c r="C60" s="762"/>
      <c r="D60" s="269"/>
      <c r="E60" s="269"/>
      <c r="F60" s="269"/>
      <c r="G60" s="269"/>
      <c r="H60" s="269"/>
      <c r="I60" s="269"/>
      <c r="J60" s="269"/>
      <c r="K60" s="268"/>
      <c r="L60" s="268"/>
      <c r="M60" s="268"/>
      <c r="N60" s="17"/>
      <c r="Q60" s="22"/>
      <c r="S60" s="260"/>
      <c r="AG60" s="24"/>
      <c r="AI60" s="91"/>
      <c r="AL60" s="25"/>
      <c r="AM60" s="26"/>
      <c r="AP60" s="21"/>
    </row>
    <row r="61" spans="1:42" ht="14.5">
      <c r="A61" s="8"/>
      <c r="B61" s="265" t="str">
        <f>ID!B59</f>
        <v>Hasil kalibrasi Akurasi dan Energi Maksimum tertelusurke Satuan Internasional melalui CALTEK PTE LTD</v>
      </c>
      <c r="C61" s="8"/>
      <c r="D61" s="269"/>
      <c r="E61" s="269"/>
      <c r="F61" s="269"/>
      <c r="G61" s="269"/>
      <c r="H61" s="269"/>
      <c r="I61" s="269"/>
      <c r="J61" s="269"/>
      <c r="K61" s="268"/>
      <c r="L61" s="268"/>
      <c r="M61" s="268"/>
      <c r="N61" s="17"/>
      <c r="Q61" s="22"/>
      <c r="S61" s="260"/>
      <c r="AG61" s="24"/>
      <c r="AI61" s="23"/>
      <c r="AL61" s="25"/>
      <c r="AM61" s="26"/>
      <c r="AP61" s="21"/>
    </row>
    <row r="62" spans="1:42" ht="14.5">
      <c r="A62" s="8"/>
      <c r="B62" s="265" t="str">
        <f>ID!B60</f>
        <v>Hasil pengujian waktu Pengisian tertelusur ke Satuan Internasional ( SI ) melalui PT KALIMAN</v>
      </c>
      <c r="C62" s="8"/>
      <c r="D62" s="269"/>
      <c r="E62" s="269"/>
      <c r="F62" s="269"/>
      <c r="G62" s="269"/>
      <c r="H62" s="269"/>
      <c r="I62" s="269"/>
      <c r="J62" s="269"/>
      <c r="K62" s="268"/>
      <c r="L62" s="268"/>
      <c r="M62" s="268"/>
      <c r="N62" s="17"/>
      <c r="Q62" s="22"/>
      <c r="S62" s="260"/>
      <c r="AG62" s="24"/>
      <c r="AI62" s="23"/>
      <c r="AL62" s="25"/>
      <c r="AM62" s="26"/>
      <c r="AP62" s="21"/>
    </row>
    <row r="63" spans="1:42" ht="14.5">
      <c r="A63" s="8"/>
      <c r="B63" s="265" t="str">
        <f>ID!B61</f>
        <v>Alat tidak boleh digunakan pada instalasi tanpa dilengkapi grounding</v>
      </c>
      <c r="C63" s="8"/>
      <c r="D63" s="269"/>
      <c r="E63" s="269"/>
      <c r="F63" s="269"/>
      <c r="G63" s="269"/>
      <c r="H63" s="269"/>
      <c r="I63" s="269"/>
      <c r="J63" s="269"/>
      <c r="K63" s="268"/>
      <c r="L63" s="268"/>
      <c r="M63" s="268"/>
      <c r="N63" s="17"/>
      <c r="Q63" s="22"/>
      <c r="S63" s="260"/>
      <c r="AG63" s="24"/>
      <c r="AI63" s="23"/>
      <c r="AL63" s="25"/>
      <c r="AM63" s="26"/>
      <c r="AP63" s="21"/>
    </row>
    <row r="64" spans="1:42" ht="14.5">
      <c r="A64" s="8"/>
      <c r="B64" s="265"/>
      <c r="C64" s="8"/>
      <c r="D64" s="269"/>
      <c r="E64" s="269"/>
      <c r="F64" s="269"/>
      <c r="G64" s="269"/>
      <c r="H64" s="269"/>
      <c r="I64" s="269"/>
      <c r="J64" s="269"/>
      <c r="K64" s="268"/>
      <c r="L64" s="268"/>
      <c r="M64" s="268"/>
      <c r="N64" s="17"/>
      <c r="Q64" s="22"/>
      <c r="S64" s="260"/>
      <c r="AG64" s="24"/>
      <c r="AI64" s="23"/>
      <c r="AL64" s="25"/>
      <c r="AM64" s="26"/>
      <c r="AP64" s="21"/>
    </row>
    <row r="65" spans="1:42" ht="14">
      <c r="A65" s="37" t="s">
        <v>230</v>
      </c>
      <c r="B65" s="763" t="s">
        <v>273</v>
      </c>
      <c r="C65" s="762"/>
      <c r="D65" s="269"/>
      <c r="E65" s="764"/>
      <c r="F65" s="764"/>
      <c r="G65" s="764"/>
      <c r="H65" s="764"/>
      <c r="I65" s="764"/>
      <c r="J65" s="764"/>
      <c r="K65" s="764"/>
      <c r="L65" s="764"/>
      <c r="M65" s="764"/>
      <c r="N65" s="765"/>
      <c r="Q65" s="22"/>
      <c r="S65" s="260"/>
      <c r="AG65" s="24"/>
      <c r="AI65" s="90"/>
      <c r="AL65" s="25"/>
      <c r="AM65" s="26"/>
      <c r="AP65" s="21"/>
    </row>
    <row r="66" spans="1:42" ht="14">
      <c r="A66" s="37"/>
      <c r="B66" s="269" t="str">
        <f>ID!B66</f>
        <v>Defibrillator Analyzer, Merek : Fluke, Model : Impulse 7000 D, SN : 1837053</v>
      </c>
      <c r="C66" s="762"/>
      <c r="D66" s="269"/>
      <c r="E66" s="764"/>
      <c r="F66" s="764"/>
      <c r="G66" s="764"/>
      <c r="H66" s="764"/>
      <c r="I66" s="764"/>
      <c r="J66" s="764"/>
      <c r="K66" s="764"/>
      <c r="L66" s="764"/>
      <c r="M66" s="764"/>
      <c r="N66" s="765"/>
      <c r="Q66" s="22"/>
      <c r="S66" s="260"/>
      <c r="AG66" s="24"/>
      <c r="AI66" s="90"/>
      <c r="AL66" s="25"/>
      <c r="AM66" s="26"/>
      <c r="AP66" s="21"/>
    </row>
    <row r="67" spans="1:42" ht="14">
      <c r="A67" s="37"/>
      <c r="B67" s="269" t="str">
        <f>ID!B68</f>
        <v>Stopwatch, Merek : EXTECH, Model : 365535, SN :005018</v>
      </c>
      <c r="C67" s="762"/>
      <c r="D67" s="269"/>
      <c r="E67" s="764"/>
      <c r="F67" s="764"/>
      <c r="G67" s="764"/>
      <c r="H67" s="764"/>
      <c r="I67" s="764"/>
      <c r="J67" s="764"/>
      <c r="K67" s="764"/>
      <c r="L67" s="764"/>
      <c r="M67" s="764"/>
      <c r="N67" s="765"/>
      <c r="Q67" s="22"/>
      <c r="S67" s="260"/>
      <c r="AG67" s="24"/>
      <c r="AI67" s="90"/>
      <c r="AL67" s="25"/>
      <c r="AM67" s="26"/>
      <c r="AP67" s="21"/>
    </row>
    <row r="68" spans="1:42" ht="14.5">
      <c r="A68" s="8"/>
      <c r="B68" s="766" t="str">
        <f>ID!B70</f>
        <v>Electrical Safety Analyzer, Merek : Fluke, Model : ESA 615, SN : 3148908</v>
      </c>
      <c r="C68" s="762"/>
      <c r="D68" s="269"/>
      <c r="E68" s="764"/>
      <c r="F68" s="764"/>
      <c r="G68" s="764"/>
      <c r="H68" s="764"/>
      <c r="I68" s="764"/>
      <c r="J68" s="764"/>
      <c r="K68" s="764"/>
      <c r="L68" s="764"/>
      <c r="M68" s="764"/>
      <c r="N68" s="765"/>
      <c r="AG68" s="14"/>
      <c r="AH68" s="13"/>
      <c r="AI68" s="91"/>
    </row>
    <row r="69" spans="1:42" ht="14.5">
      <c r="A69" s="8"/>
      <c r="B69" s="766"/>
      <c r="C69" s="762"/>
      <c r="D69" s="269"/>
      <c r="E69" s="764"/>
      <c r="F69" s="764"/>
      <c r="G69" s="764"/>
      <c r="H69" s="764"/>
      <c r="I69" s="764"/>
      <c r="J69" s="764"/>
      <c r="K69" s="764"/>
      <c r="L69" s="764"/>
      <c r="M69" s="764"/>
      <c r="N69" s="765"/>
      <c r="AG69" s="15"/>
      <c r="AH69" s="16"/>
      <c r="AI69" s="92"/>
      <c r="AJ69" s="8"/>
    </row>
    <row r="70" spans="1:42" ht="6" customHeight="1">
      <c r="A70" s="8"/>
      <c r="B70" s="269"/>
      <c r="C70" s="767"/>
      <c r="D70" s="269"/>
      <c r="E70" s="764"/>
      <c r="F70" s="764"/>
      <c r="G70" s="764"/>
      <c r="H70" s="764"/>
      <c r="I70" s="764"/>
      <c r="J70" s="764"/>
      <c r="K70" s="764"/>
      <c r="L70" s="764"/>
      <c r="M70" s="764"/>
      <c r="N70" s="765"/>
      <c r="AG70" s="15"/>
      <c r="AH70" s="16"/>
      <c r="AI70" s="8"/>
      <c r="AJ70" s="8"/>
    </row>
    <row r="71" spans="1:42" ht="12.75" customHeight="1">
      <c r="A71" s="37" t="s">
        <v>243</v>
      </c>
      <c r="B71" s="768" t="s">
        <v>277</v>
      </c>
      <c r="C71" s="762"/>
      <c r="D71" s="269"/>
      <c r="E71" s="764"/>
      <c r="F71" s="764"/>
      <c r="G71" s="764"/>
      <c r="H71" s="764"/>
      <c r="I71" s="764"/>
      <c r="J71" s="764"/>
      <c r="K71" s="764"/>
      <c r="L71" s="764"/>
      <c r="M71" s="764"/>
      <c r="N71" s="765"/>
      <c r="AG71" s="1575"/>
      <c r="AH71" s="1575"/>
      <c r="AI71" s="8"/>
      <c r="AJ71" s="8"/>
    </row>
    <row r="72" spans="1:42" ht="17.25" customHeight="1">
      <c r="A72" s="8"/>
      <c r="B72" s="1576" t="str">
        <f>ID!B75</f>
        <v>Alat yang dikalibrasi dalam batas toleransi dan dinyatakan LAIK PAKAI, dimana hasil atau skor akhir sama dengan atau melampaui 70 % berdasarkan Keputusan Direktur Jenderal Pelayanan Kesehatan No : HK.02.02/V/0412/2020</v>
      </c>
      <c r="C72" s="1576"/>
      <c r="D72" s="1576"/>
      <c r="E72" s="1576"/>
      <c r="F72" s="1576"/>
      <c r="G72" s="1576"/>
      <c r="H72" s="1576"/>
      <c r="I72" s="1576"/>
      <c r="J72" s="1576"/>
      <c r="K72" s="1576"/>
      <c r="L72" s="1576"/>
      <c r="M72" s="1576"/>
      <c r="N72" s="765"/>
      <c r="AG72" s="1575"/>
      <c r="AH72" s="1575"/>
      <c r="AI72" s="8"/>
      <c r="AJ72" s="8"/>
      <c r="AK72" s="22"/>
    </row>
    <row r="73" spans="1:42" ht="24" customHeight="1">
      <c r="A73" s="8"/>
      <c r="B73" s="1576"/>
      <c r="C73" s="1576"/>
      <c r="D73" s="1576"/>
      <c r="E73" s="1576"/>
      <c r="F73" s="1576"/>
      <c r="G73" s="1576"/>
      <c r="H73" s="1576"/>
      <c r="I73" s="1576"/>
      <c r="J73" s="1576"/>
      <c r="K73" s="1576"/>
      <c r="L73" s="1576"/>
      <c r="M73" s="1576"/>
      <c r="N73" s="765"/>
      <c r="AG73" s="1575"/>
      <c r="AH73" s="1575"/>
      <c r="AI73" s="8"/>
      <c r="AJ73" s="8"/>
    </row>
    <row r="74" spans="1:42" ht="3.75" customHeight="1">
      <c r="A74" s="8"/>
      <c r="B74" s="763"/>
      <c r="C74" s="768"/>
      <c r="D74" s="269"/>
      <c r="E74" s="764"/>
      <c r="F74" s="764"/>
      <c r="G74" s="764"/>
      <c r="H74" s="764"/>
      <c r="I74" s="764"/>
      <c r="J74" s="764"/>
      <c r="K74" s="764"/>
      <c r="L74" s="764"/>
      <c r="M74" s="764"/>
      <c r="N74" s="765"/>
      <c r="AG74" s="15"/>
      <c r="AH74" s="15"/>
      <c r="AI74" s="8"/>
      <c r="AJ74" s="8"/>
    </row>
    <row r="75" spans="1:42" ht="14.5">
      <c r="A75" s="37" t="s">
        <v>278</v>
      </c>
      <c r="B75" s="763" t="str">
        <f>ID!B77</f>
        <v>Petugas Kalibrasi</v>
      </c>
      <c r="C75" s="762"/>
      <c r="D75" s="763"/>
      <c r="E75" s="764"/>
      <c r="F75" s="764"/>
      <c r="G75" s="764"/>
      <c r="H75" s="764"/>
      <c r="I75" s="764"/>
      <c r="J75" s="764"/>
      <c r="K75" s="762"/>
      <c r="L75" s="762"/>
      <c r="M75" s="764"/>
      <c r="N75" s="765"/>
      <c r="AG75" s="15"/>
      <c r="AH75" s="15"/>
      <c r="AI75" s="8"/>
      <c r="AJ75" s="8"/>
    </row>
    <row r="76" spans="1:42" ht="14.5">
      <c r="A76" s="8"/>
      <c r="B76" s="265" t="str">
        <f>ID!B78</f>
        <v>Muhammad Iqbal Saiful Rahman</v>
      </c>
      <c r="C76" s="762"/>
      <c r="D76" s="269"/>
      <c r="E76" s="764"/>
      <c r="F76" s="764"/>
      <c r="G76" s="764"/>
      <c r="H76" s="764"/>
      <c r="I76" s="764"/>
      <c r="J76" s="764"/>
      <c r="K76" s="762"/>
      <c r="L76" s="762"/>
      <c r="M76" s="764"/>
      <c r="N76" s="765"/>
      <c r="AG76" s="15"/>
      <c r="AH76" s="15"/>
      <c r="AI76" s="8"/>
      <c r="AJ76" s="8"/>
    </row>
    <row r="77" spans="1:42">
      <c r="A77" s="8"/>
      <c r="B77" s="762"/>
      <c r="C77" s="762"/>
      <c r="D77" s="762"/>
      <c r="E77" s="762"/>
      <c r="F77" s="762"/>
      <c r="G77" s="762"/>
      <c r="H77" s="762"/>
      <c r="I77" s="762"/>
      <c r="J77" s="762"/>
      <c r="K77" s="762"/>
      <c r="L77" s="762"/>
      <c r="M77" s="762"/>
      <c r="N77" s="8"/>
    </row>
    <row r="78" spans="1:42">
      <c r="A78" s="8"/>
      <c r="B78" s="8"/>
      <c r="C78" s="8"/>
      <c r="D78" s="8"/>
      <c r="E78" s="8"/>
      <c r="F78" s="8"/>
      <c r="G78" s="8"/>
      <c r="H78" s="8"/>
      <c r="I78" s="8"/>
      <c r="J78" s="8"/>
      <c r="K78" s="1585" t="s">
        <v>354</v>
      </c>
      <c r="L78" s="1585"/>
      <c r="M78" s="1577"/>
      <c r="N78" s="1577"/>
    </row>
    <row r="79" spans="1:42">
      <c r="A79" s="8"/>
      <c r="B79" s="8"/>
      <c r="C79" s="8"/>
      <c r="D79" s="8"/>
      <c r="E79" s="8"/>
      <c r="F79" s="8"/>
      <c r="G79" s="8"/>
      <c r="H79" s="8"/>
      <c r="I79" s="8"/>
      <c r="J79" s="8"/>
      <c r="K79" s="1592">
        <f>N19+N25+O36</f>
        <v>90</v>
      </c>
      <c r="L79" s="1593"/>
      <c r="M79" s="1590"/>
      <c r="N79" s="1591"/>
    </row>
    <row r="80" spans="1:42">
      <c r="A80" s="8"/>
      <c r="B80" s="8"/>
      <c r="C80" s="1582" t="s">
        <v>355</v>
      </c>
      <c r="D80" s="1583"/>
      <c r="E80" s="1583"/>
      <c r="F80" s="1584"/>
      <c r="G80" s="1580" t="s">
        <v>246</v>
      </c>
      <c r="H80" s="1581"/>
      <c r="I80" s="769" t="s">
        <v>356</v>
      </c>
      <c r="J80" s="8"/>
      <c r="K80" s="1593"/>
      <c r="L80" s="1593"/>
      <c r="M80" s="1591"/>
      <c r="N80" s="1591"/>
    </row>
    <row r="81" spans="1:33">
      <c r="A81" s="8"/>
      <c r="B81" s="8"/>
      <c r="C81" s="770" t="s">
        <v>357</v>
      </c>
      <c r="D81" s="1586" t="str">
        <f>ID!B78</f>
        <v>Muhammad Iqbal Saiful Rahman</v>
      </c>
      <c r="E81" s="1586"/>
      <c r="F81" s="1587"/>
      <c r="G81" s="1578" t="str">
        <f>ID!B81</f>
        <v>26 September 2019</v>
      </c>
      <c r="H81" s="1579"/>
      <c r="I81" s="771"/>
      <c r="J81" s="8"/>
      <c r="K81" s="1593"/>
      <c r="L81" s="1593"/>
      <c r="M81" s="1591"/>
      <c r="N81" s="1591"/>
    </row>
    <row r="82" spans="1:33">
      <c r="A82" s="8"/>
      <c r="B82" s="8"/>
      <c r="C82" s="770" t="s">
        <v>321</v>
      </c>
      <c r="D82" s="1588"/>
      <c r="E82" s="1588"/>
      <c r="F82" s="1589"/>
      <c r="G82" s="1578"/>
      <c r="H82" s="1579"/>
      <c r="I82" s="771"/>
      <c r="J82" s="8"/>
      <c r="K82" s="1593"/>
      <c r="L82" s="1593"/>
      <c r="M82" s="1591"/>
      <c r="N82" s="1591"/>
    </row>
    <row r="83" spans="1:33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AG83" s="12"/>
    </row>
    <row r="84" spans="1:33">
      <c r="AG84" s="12"/>
    </row>
    <row r="85" spans="1:33">
      <c r="AG85" s="12"/>
    </row>
    <row r="86" spans="1:33">
      <c r="AG86" s="12"/>
    </row>
    <row r="87" spans="1:33">
      <c r="AG87" s="12"/>
    </row>
  </sheetData>
  <sheetProtection formatCells="0" formatColumns="0" formatRows="0" insertColumns="0" insertRows="0" deleteColumns="0" deleteRows="0"/>
  <mergeCells count="104">
    <mergeCell ref="AH23:AP23"/>
    <mergeCell ref="I23:J24"/>
    <mergeCell ref="K23:L24"/>
    <mergeCell ref="N19:N20"/>
    <mergeCell ref="AH17:AP17"/>
    <mergeCell ref="AH18:AP18"/>
    <mergeCell ref="AH19:AP19"/>
    <mergeCell ref="AB21:AC22"/>
    <mergeCell ref="AD21:AD22"/>
    <mergeCell ref="AE21:AE22"/>
    <mergeCell ref="AF21:AF22"/>
    <mergeCell ref="AH22:AP22"/>
    <mergeCell ref="AH26:AN26"/>
    <mergeCell ref="AB27:AB28"/>
    <mergeCell ref="AC27:AC28"/>
    <mergeCell ref="N25:N28"/>
    <mergeCell ref="AG36:AG44"/>
    <mergeCell ref="AH36:AH44"/>
    <mergeCell ref="O36:O54"/>
    <mergeCell ref="C36:C44"/>
    <mergeCell ref="H36:H44"/>
    <mergeCell ref="I37:J37"/>
    <mergeCell ref="I38:J38"/>
    <mergeCell ref="K25:L25"/>
    <mergeCell ref="K26:L26"/>
    <mergeCell ref="K27:L27"/>
    <mergeCell ref="K28:L28"/>
    <mergeCell ref="L40:M40"/>
    <mergeCell ref="L39:M39"/>
    <mergeCell ref="C25:H25"/>
    <mergeCell ref="F33:F35"/>
    <mergeCell ref="G33:G35"/>
    <mergeCell ref="H33:H35"/>
    <mergeCell ref="I33:J35"/>
    <mergeCell ref="E54:F54"/>
    <mergeCell ref="I50:J50"/>
    <mergeCell ref="L33:M35"/>
    <mergeCell ref="L36:M36"/>
    <mergeCell ref="L37:M37"/>
    <mergeCell ref="L38:M38"/>
    <mergeCell ref="C26:H26"/>
    <mergeCell ref="I36:J36"/>
    <mergeCell ref="G47:G49"/>
    <mergeCell ref="H47:H49"/>
    <mergeCell ref="I40:J40"/>
    <mergeCell ref="I41:J41"/>
    <mergeCell ref="I42:J42"/>
    <mergeCell ref="I43:J43"/>
    <mergeCell ref="I44:J44"/>
    <mergeCell ref="L47:M49"/>
    <mergeCell ref="L46:M46"/>
    <mergeCell ref="L41:M41"/>
    <mergeCell ref="L42:M42"/>
    <mergeCell ref="L43:M43"/>
    <mergeCell ref="L44:M44"/>
    <mergeCell ref="I47:J49"/>
    <mergeCell ref="B14:C14"/>
    <mergeCell ref="B15:C15"/>
    <mergeCell ref="B16:C16"/>
    <mergeCell ref="B19:C19"/>
    <mergeCell ref="B46:F46"/>
    <mergeCell ref="E53:F53"/>
    <mergeCell ref="B47:B49"/>
    <mergeCell ref="C47:C49"/>
    <mergeCell ref="D47:D49"/>
    <mergeCell ref="E47:E49"/>
    <mergeCell ref="F47:F49"/>
    <mergeCell ref="B23:B24"/>
    <mergeCell ref="C28:H28"/>
    <mergeCell ref="C27:H27"/>
    <mergeCell ref="B20:C20"/>
    <mergeCell ref="B33:B35"/>
    <mergeCell ref="C33:C35"/>
    <mergeCell ref="D33:D35"/>
    <mergeCell ref="E33:E35"/>
    <mergeCell ref="C23:H24"/>
    <mergeCell ref="I39:J39"/>
    <mergeCell ref="AG71:AH73"/>
    <mergeCell ref="B72:M73"/>
    <mergeCell ref="M78:N78"/>
    <mergeCell ref="G81:H81"/>
    <mergeCell ref="G82:H82"/>
    <mergeCell ref="G80:H80"/>
    <mergeCell ref="C80:F80"/>
    <mergeCell ref="K78:L78"/>
    <mergeCell ref="D81:F81"/>
    <mergeCell ref="D82:F82"/>
    <mergeCell ref="M79:N82"/>
    <mergeCell ref="K79:L82"/>
    <mergeCell ref="AF36:AF44"/>
    <mergeCell ref="L54:M54"/>
    <mergeCell ref="L50:M50"/>
    <mergeCell ref="L53:M53"/>
    <mergeCell ref="N36:N44"/>
    <mergeCell ref="A2:N2"/>
    <mergeCell ref="A1:N1"/>
    <mergeCell ref="A4:C4"/>
    <mergeCell ref="A5:C5"/>
    <mergeCell ref="A6:C6"/>
    <mergeCell ref="A8:C8"/>
    <mergeCell ref="A9:C9"/>
    <mergeCell ref="A10:C10"/>
    <mergeCell ref="A11:C11"/>
    <mergeCell ref="A7:C7"/>
  </mergeCells>
  <phoneticPr fontId="0" type="noConversion"/>
  <printOptions horizontalCentered="1"/>
  <pageMargins left="0.31496062992125984" right="0.23622047244094491" top="0.39370078740157483" bottom="0.27559055118110237" header="0.27559055118110237" footer="0.15748031496062992"/>
  <pageSetup paperSize="9" scale="65" orientation="portrait" horizontalDpi="4294967294" verticalDpi="4294967294" r:id="rId1"/>
  <headerFooter>
    <oddHeader>&amp;R&amp;8KL.LP.012-18 / REV : 0</oddHeader>
    <oddFooter>&amp;R&amp;K00-034Defib BSM 10.2.2022</oddFooter>
  </headerFooter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BA808ADF-E779-41C2-A8C2-B67E6FABAEA6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70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K79:L82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E3D84-F5A1-4EE4-AB61-8C4EED7CC8FB}">
  <sheetPr>
    <tabColor rgb="FFFF0000"/>
  </sheetPr>
  <dimension ref="A1:AO176"/>
  <sheetViews>
    <sheetView topLeftCell="A97" zoomScale="91" zoomScaleNormal="91" zoomScaleSheetLayoutView="64" workbookViewId="0">
      <selection activeCell="E60" sqref="E60"/>
    </sheetView>
  </sheetViews>
  <sheetFormatPr defaultColWidth="9.1796875" defaultRowHeight="12.5"/>
  <cols>
    <col min="1" max="1" width="5.1796875" style="62" customWidth="1"/>
    <col min="2" max="2" width="18.26953125" style="62" customWidth="1"/>
    <col min="3" max="3" width="11.81640625" style="62" customWidth="1"/>
    <col min="4" max="4" width="9.1796875" style="62"/>
    <col min="5" max="7" width="11.81640625" style="62" customWidth="1"/>
    <col min="8" max="8" width="18.54296875" style="62" customWidth="1"/>
    <col min="9" max="9" width="21" style="62" customWidth="1"/>
    <col min="10" max="10" width="13.26953125" style="62" customWidth="1"/>
    <col min="11" max="11" width="12.1796875" style="62" customWidth="1"/>
    <col min="12" max="14" width="13.26953125" style="62" customWidth="1"/>
    <col min="15" max="15" width="18" style="62" customWidth="1"/>
    <col min="16" max="16" width="19.453125" style="62" customWidth="1"/>
    <col min="17" max="17" width="13.1796875" style="62" customWidth="1"/>
    <col min="18" max="18" width="9.1796875" style="62"/>
    <col min="19" max="21" width="13.1796875" style="62" customWidth="1"/>
    <col min="22" max="22" width="17.7265625" style="62" customWidth="1"/>
    <col min="23" max="23" width="11.54296875" style="62" customWidth="1"/>
    <col min="24" max="24" width="9.1796875" style="62"/>
    <col min="25" max="25" width="15.81640625" style="62" customWidth="1"/>
    <col min="26" max="26" width="12.26953125" style="62" customWidth="1"/>
    <col min="27" max="27" width="12.7265625" style="62" customWidth="1"/>
    <col min="28" max="30" width="9.1796875" style="62"/>
    <col min="31" max="31" width="17.7265625" style="62" customWidth="1"/>
    <col min="32" max="32" width="11.54296875" style="62" customWidth="1"/>
    <col min="33" max="33" width="12.1796875" style="62" customWidth="1"/>
    <col min="34" max="36" width="9.1796875" style="62"/>
    <col min="37" max="37" width="15.81640625" style="62" customWidth="1"/>
    <col min="38" max="38" width="12.26953125" style="62" customWidth="1"/>
    <col min="39" max="39" width="12.7265625" style="62" customWidth="1"/>
    <col min="40" max="42" width="9.1796875" style="62"/>
    <col min="43" max="43" width="15.81640625" style="62" customWidth="1"/>
    <col min="44" max="44" width="12.26953125" style="62" customWidth="1"/>
    <col min="45" max="45" width="12.7265625" style="62" customWidth="1"/>
    <col min="46" max="16384" width="9.1796875" style="62"/>
  </cols>
  <sheetData>
    <row r="1" spans="1:22">
      <c r="A1" s="389"/>
      <c r="B1" s="389"/>
      <c r="C1" s="389"/>
      <c r="E1" s="389"/>
      <c r="F1" s="389"/>
      <c r="G1" s="389"/>
      <c r="H1" s="389"/>
      <c r="I1" s="389"/>
      <c r="J1" s="389"/>
      <c r="L1" s="389"/>
      <c r="M1" s="389"/>
      <c r="N1" s="389"/>
      <c r="O1" s="389"/>
      <c r="P1" s="389"/>
      <c r="Q1" s="389"/>
      <c r="S1" s="389"/>
      <c r="T1" s="389"/>
      <c r="U1" s="389"/>
      <c r="V1" s="389"/>
    </row>
    <row r="2" spans="1:22" ht="13" thickBot="1">
      <c r="A2" s="389"/>
      <c r="B2" s="1676" t="s">
        <v>358</v>
      </c>
      <c r="C2" s="1676"/>
      <c r="D2" s="1676"/>
      <c r="E2" s="1676"/>
      <c r="F2" s="1676"/>
      <c r="G2" s="1676"/>
      <c r="I2" s="390" t="s">
        <v>275</v>
      </c>
      <c r="P2" s="390" t="s">
        <v>359</v>
      </c>
      <c r="V2" s="389"/>
    </row>
    <row r="3" spans="1:22" ht="14">
      <c r="A3" s="389"/>
      <c r="B3" s="1649" t="s">
        <v>360</v>
      </c>
      <c r="C3" s="1649"/>
      <c r="D3" s="1649"/>
      <c r="E3" s="1649"/>
      <c r="F3" s="1646" t="s">
        <v>2</v>
      </c>
      <c r="G3" s="1650" t="s">
        <v>3</v>
      </c>
      <c r="I3" s="1649" t="s">
        <v>360</v>
      </c>
      <c r="J3" s="1649"/>
      <c r="K3" s="1649"/>
      <c r="L3" s="1649"/>
      <c r="M3" s="1644" t="s">
        <v>2</v>
      </c>
      <c r="N3" s="1645" t="s">
        <v>3</v>
      </c>
      <c r="P3" s="1649" t="s">
        <v>360</v>
      </c>
      <c r="Q3" s="1649"/>
      <c r="R3" s="1649"/>
      <c r="S3" s="1649"/>
      <c r="T3" s="1644" t="s">
        <v>2</v>
      </c>
      <c r="U3" s="1645" t="s">
        <v>3</v>
      </c>
      <c r="V3" s="389"/>
    </row>
    <row r="4" spans="1:22" ht="13">
      <c r="A4" s="389"/>
      <c r="B4" s="969" t="s">
        <v>361</v>
      </c>
      <c r="C4" s="1644" t="s">
        <v>7</v>
      </c>
      <c r="D4" s="1644"/>
      <c r="E4" s="1644"/>
      <c r="F4" s="1647"/>
      <c r="G4" s="1651"/>
      <c r="I4" s="969" t="s">
        <v>361</v>
      </c>
      <c r="J4" s="1644" t="s">
        <v>7</v>
      </c>
      <c r="K4" s="1644"/>
      <c r="L4" s="1644"/>
      <c r="M4" s="1644"/>
      <c r="N4" s="1645"/>
      <c r="P4" s="969" t="s">
        <v>361</v>
      </c>
      <c r="Q4" s="1644" t="s">
        <v>7</v>
      </c>
      <c r="R4" s="1644"/>
      <c r="S4" s="1644"/>
      <c r="T4" s="1644"/>
      <c r="U4" s="1645"/>
      <c r="V4" s="389"/>
    </row>
    <row r="5" spans="1:22" ht="14">
      <c r="A5" s="389"/>
      <c r="B5" s="965" t="s">
        <v>362</v>
      </c>
      <c r="C5" s="969">
        <v>2017</v>
      </c>
      <c r="D5" s="969">
        <v>2017</v>
      </c>
      <c r="E5" s="969">
        <v>2018</v>
      </c>
      <c r="F5" s="1648"/>
      <c r="G5" s="1652"/>
      <c r="I5" s="965" t="s">
        <v>362</v>
      </c>
      <c r="J5" s="969">
        <v>2016</v>
      </c>
      <c r="K5" s="969">
        <v>2016</v>
      </c>
      <c r="L5" s="969">
        <v>2018</v>
      </c>
      <c r="M5" s="1644"/>
      <c r="N5" s="1645"/>
      <c r="P5" s="965" t="s">
        <v>362</v>
      </c>
      <c r="Q5" s="969">
        <v>2015</v>
      </c>
      <c r="R5" s="969">
        <v>2015</v>
      </c>
      <c r="S5" s="969">
        <v>2017</v>
      </c>
      <c r="T5" s="1644"/>
      <c r="U5" s="1645"/>
      <c r="V5" s="389"/>
    </row>
    <row r="6" spans="1:22">
      <c r="A6" s="389"/>
      <c r="B6" s="392">
        <v>0</v>
      </c>
      <c r="C6" s="392" t="s">
        <v>10</v>
      </c>
      <c r="D6" s="392" t="s">
        <v>10</v>
      </c>
      <c r="E6" s="393">
        <v>1.0000000000000001E-5</v>
      </c>
      <c r="F6" s="66">
        <f>1/3*G6</f>
        <v>1.5999999999999999E-3</v>
      </c>
      <c r="G6" s="717">
        <v>4.7999999999999996E-3</v>
      </c>
      <c r="I6" s="392">
        <v>0</v>
      </c>
      <c r="J6" s="392">
        <v>0</v>
      </c>
      <c r="K6" s="392">
        <v>0</v>
      </c>
      <c r="L6" s="393">
        <v>1.0000000000000001E-5</v>
      </c>
      <c r="M6" s="978">
        <f>IF(0.5*(MAX(J6:L6)-MIN(J6:L6))=0,0.00001,0.5*(MAX(J6:L6)-MIN(J6:L6)))</f>
        <v>5.0000000000000004E-6</v>
      </c>
      <c r="N6" s="392">
        <v>4.7999999999999996E-3</v>
      </c>
      <c r="P6" s="392">
        <v>0</v>
      </c>
      <c r="Q6" s="392" t="s">
        <v>10</v>
      </c>
      <c r="R6" s="392" t="s">
        <v>10</v>
      </c>
      <c r="S6" s="393">
        <v>1.0000000000000001E-5</v>
      </c>
      <c r="T6" s="66">
        <f t="shared" ref="T6:T15" si="0">0.5*(MAX(Q6:S6)-MIN(Q6:S6))</f>
        <v>0</v>
      </c>
      <c r="U6" s="392">
        <v>4.7999999999999996E-3</v>
      </c>
      <c r="V6" s="389"/>
    </row>
    <row r="7" spans="1:22">
      <c r="A7" s="389"/>
      <c r="B7" s="718">
        <v>10</v>
      </c>
      <c r="C7" s="392" t="s">
        <v>10</v>
      </c>
      <c r="D7" s="392" t="s">
        <v>10</v>
      </c>
      <c r="E7" s="393">
        <v>1.0000000000000001E-5</v>
      </c>
      <c r="F7" s="66">
        <f t="shared" ref="F7:F15" si="1">1/3*G7</f>
        <v>1.5999999999999997E-2</v>
      </c>
      <c r="G7" s="719">
        <f t="shared" ref="G7:G15" si="2">$G$6*B7</f>
        <v>4.7999999999999994E-2</v>
      </c>
      <c r="I7" s="718">
        <v>10</v>
      </c>
      <c r="J7" s="392" t="s">
        <v>10</v>
      </c>
      <c r="K7" s="392" t="s">
        <v>10</v>
      </c>
      <c r="L7" s="393">
        <v>1.0000000000000001E-5</v>
      </c>
      <c r="M7" s="978">
        <f t="shared" ref="M7:M15" si="3">IF(0.5*(MAX(J7:L7)-MIN(J7:L7))=0,0.00001,0.5*(MAX(J7:L7)-MIN(J7:L7)))</f>
        <v>1.0000000000000001E-5</v>
      </c>
      <c r="N7" s="392">
        <f>$N$6*I7</f>
        <v>4.7999999999999994E-2</v>
      </c>
      <c r="P7" s="718">
        <v>10</v>
      </c>
      <c r="Q7" s="392">
        <v>0.1</v>
      </c>
      <c r="R7" s="392">
        <v>0.1</v>
      </c>
      <c r="S7" s="393">
        <v>1.0000000000000001E-5</v>
      </c>
      <c r="T7" s="66">
        <f t="shared" si="0"/>
        <v>4.9995000000000005E-2</v>
      </c>
      <c r="U7" s="392">
        <f>$U$6*P7</f>
        <v>4.7999999999999994E-2</v>
      </c>
      <c r="V7" s="389"/>
    </row>
    <row r="8" spans="1:22">
      <c r="A8" s="389"/>
      <c r="B8" s="392">
        <v>20</v>
      </c>
      <c r="C8" s="392" t="s">
        <v>10</v>
      </c>
      <c r="D8" s="392" t="s">
        <v>10</v>
      </c>
      <c r="E8" s="393">
        <v>0.1</v>
      </c>
      <c r="F8" s="66">
        <f t="shared" si="1"/>
        <v>3.1999999999999994E-2</v>
      </c>
      <c r="G8" s="395">
        <f t="shared" si="2"/>
        <v>9.5999999999999988E-2</v>
      </c>
      <c r="I8" s="392">
        <v>20</v>
      </c>
      <c r="J8" s="392">
        <v>0</v>
      </c>
      <c r="K8" s="392">
        <v>0</v>
      </c>
      <c r="L8" s="393">
        <v>0.1</v>
      </c>
      <c r="M8" s="978">
        <f t="shared" si="3"/>
        <v>0.05</v>
      </c>
      <c r="N8" s="392">
        <f t="shared" ref="N8:N15" si="4">$N$6*I8</f>
        <v>9.5999999999999988E-2</v>
      </c>
      <c r="P8" s="392">
        <v>20</v>
      </c>
      <c r="Q8" s="392" t="s">
        <v>10</v>
      </c>
      <c r="R8" s="392" t="s">
        <v>10</v>
      </c>
      <c r="S8" s="393">
        <v>1.0000000000000001E-5</v>
      </c>
      <c r="T8" s="66">
        <f t="shared" si="0"/>
        <v>0</v>
      </c>
      <c r="U8" s="392">
        <f t="shared" ref="U8:U15" si="5">$U$6*P8</f>
        <v>9.5999999999999988E-2</v>
      </c>
      <c r="V8" s="389"/>
    </row>
    <row r="9" spans="1:22">
      <c r="A9" s="389"/>
      <c r="B9" s="392">
        <v>30</v>
      </c>
      <c r="C9" s="392" t="s">
        <v>10</v>
      </c>
      <c r="D9" s="392" t="s">
        <v>10</v>
      </c>
      <c r="E9" s="393">
        <v>0.1</v>
      </c>
      <c r="F9" s="66">
        <f t="shared" si="1"/>
        <v>4.7999999999999994E-2</v>
      </c>
      <c r="G9" s="395">
        <f t="shared" si="2"/>
        <v>0.14399999999999999</v>
      </c>
      <c r="I9" s="718">
        <v>30</v>
      </c>
      <c r="J9" s="392" t="s">
        <v>10</v>
      </c>
      <c r="K9" s="392" t="s">
        <v>10</v>
      </c>
      <c r="L9" s="393">
        <v>0.1</v>
      </c>
      <c r="M9" s="978">
        <f t="shared" si="3"/>
        <v>1.0000000000000001E-5</v>
      </c>
      <c r="N9" s="392">
        <f t="shared" si="4"/>
        <v>0.14399999999999999</v>
      </c>
      <c r="P9" s="718">
        <v>30</v>
      </c>
      <c r="Q9" s="392" t="s">
        <v>10</v>
      </c>
      <c r="R9" s="392" t="s">
        <v>10</v>
      </c>
      <c r="S9" s="393">
        <v>1.0000000000000001E-5</v>
      </c>
      <c r="T9" s="66">
        <f t="shared" si="0"/>
        <v>0</v>
      </c>
      <c r="U9" s="392">
        <f t="shared" si="5"/>
        <v>0.14399999999999999</v>
      </c>
      <c r="V9" s="389"/>
    </row>
    <row r="10" spans="1:22">
      <c r="A10" s="389"/>
      <c r="B10" s="392">
        <v>50</v>
      </c>
      <c r="C10" s="395" t="s">
        <v>10</v>
      </c>
      <c r="D10" s="395" t="s">
        <v>10</v>
      </c>
      <c r="E10" s="393">
        <v>0.2</v>
      </c>
      <c r="F10" s="66">
        <f t="shared" si="1"/>
        <v>7.9999999999999988E-2</v>
      </c>
      <c r="G10" s="395">
        <f t="shared" si="2"/>
        <v>0.24</v>
      </c>
      <c r="I10" s="392">
        <v>50</v>
      </c>
      <c r="J10" s="395">
        <v>0</v>
      </c>
      <c r="K10" s="395">
        <v>0</v>
      </c>
      <c r="L10" s="393">
        <v>0.2</v>
      </c>
      <c r="M10" s="978">
        <f t="shared" si="3"/>
        <v>0.1</v>
      </c>
      <c r="N10" s="392">
        <f t="shared" si="4"/>
        <v>0.24</v>
      </c>
      <c r="P10" s="392">
        <v>50</v>
      </c>
      <c r="Q10" s="395">
        <v>0.5</v>
      </c>
      <c r="R10" s="395">
        <v>0.5</v>
      </c>
      <c r="S10" s="393">
        <v>0.1</v>
      </c>
      <c r="T10" s="66">
        <f t="shared" si="0"/>
        <v>0.2</v>
      </c>
      <c r="U10" s="392">
        <f t="shared" si="5"/>
        <v>0.24</v>
      </c>
      <c r="V10" s="389"/>
    </row>
    <row r="11" spans="1:22">
      <c r="A11" s="389"/>
      <c r="B11" s="392">
        <v>100</v>
      </c>
      <c r="C11" s="395" t="s">
        <v>10</v>
      </c>
      <c r="D11" s="395" t="s">
        <v>10</v>
      </c>
      <c r="E11" s="393">
        <v>0.3</v>
      </c>
      <c r="F11" s="66">
        <f t="shared" si="1"/>
        <v>0.15999999999999998</v>
      </c>
      <c r="G11" s="395">
        <f t="shared" si="2"/>
        <v>0.48</v>
      </c>
      <c r="I11" s="392">
        <v>100</v>
      </c>
      <c r="J11" s="395">
        <v>0</v>
      </c>
      <c r="K11" s="395">
        <v>0</v>
      </c>
      <c r="L11" s="393">
        <v>0.3</v>
      </c>
      <c r="M11" s="978">
        <f t="shared" si="3"/>
        <v>0.15</v>
      </c>
      <c r="N11" s="392">
        <f t="shared" si="4"/>
        <v>0.48</v>
      </c>
      <c r="P11" s="392">
        <v>100</v>
      </c>
      <c r="Q11" s="395">
        <v>0.5</v>
      </c>
      <c r="R11" s="395">
        <v>0.5</v>
      </c>
      <c r="S11" s="393">
        <v>0.3</v>
      </c>
      <c r="T11" s="66">
        <f t="shared" si="0"/>
        <v>0.1</v>
      </c>
      <c r="U11" s="392">
        <f t="shared" si="5"/>
        <v>0.48</v>
      </c>
      <c r="V11" s="389"/>
    </row>
    <row r="12" spans="1:22">
      <c r="A12" s="389"/>
      <c r="B12" s="65">
        <v>150</v>
      </c>
      <c r="C12" s="395" t="s">
        <v>10</v>
      </c>
      <c r="D12" s="395" t="s">
        <v>10</v>
      </c>
      <c r="E12" s="393">
        <v>1.0000000000000001E-5</v>
      </c>
      <c r="F12" s="66">
        <f t="shared" si="1"/>
        <v>0.24</v>
      </c>
      <c r="G12" s="395">
        <f t="shared" si="2"/>
        <v>0.72</v>
      </c>
      <c r="I12" s="65">
        <v>150</v>
      </c>
      <c r="J12" s="395">
        <v>0</v>
      </c>
      <c r="K12" s="395">
        <v>0</v>
      </c>
      <c r="L12" s="393">
        <v>1.0000000000000001E-5</v>
      </c>
      <c r="M12" s="978">
        <f t="shared" si="3"/>
        <v>5.0000000000000004E-6</v>
      </c>
      <c r="N12" s="392">
        <f t="shared" si="4"/>
        <v>0.72</v>
      </c>
      <c r="P12" s="65">
        <v>150</v>
      </c>
      <c r="Q12" s="395" t="s">
        <v>10</v>
      </c>
      <c r="R12" s="395" t="s">
        <v>10</v>
      </c>
      <c r="S12" s="393">
        <v>1.0000000000000001E-5</v>
      </c>
      <c r="T12" s="66">
        <f t="shared" si="0"/>
        <v>0</v>
      </c>
      <c r="U12" s="392">
        <f t="shared" si="5"/>
        <v>0.72</v>
      </c>
      <c r="V12" s="389"/>
    </row>
    <row r="13" spans="1:22">
      <c r="A13" s="389"/>
      <c r="B13" s="65">
        <v>200</v>
      </c>
      <c r="C13" s="395" t="s">
        <v>10</v>
      </c>
      <c r="D13" s="395" t="s">
        <v>10</v>
      </c>
      <c r="E13" s="393">
        <v>1</v>
      </c>
      <c r="F13" s="66">
        <f t="shared" si="1"/>
        <v>0.31999999999999995</v>
      </c>
      <c r="G13" s="395">
        <f t="shared" si="2"/>
        <v>0.96</v>
      </c>
      <c r="I13" s="65">
        <v>200</v>
      </c>
      <c r="J13" s="395">
        <v>0</v>
      </c>
      <c r="K13" s="395">
        <v>0</v>
      </c>
      <c r="L13" s="393">
        <v>1</v>
      </c>
      <c r="M13" s="978">
        <f t="shared" si="3"/>
        <v>0.5</v>
      </c>
      <c r="N13" s="392">
        <f t="shared" si="4"/>
        <v>0.96</v>
      </c>
      <c r="P13" s="65">
        <v>200</v>
      </c>
      <c r="Q13" s="395" t="s">
        <v>10</v>
      </c>
      <c r="R13" s="395" t="s">
        <v>10</v>
      </c>
      <c r="S13" s="393">
        <v>1</v>
      </c>
      <c r="T13" s="66">
        <f t="shared" si="0"/>
        <v>0</v>
      </c>
      <c r="U13" s="392">
        <f t="shared" si="5"/>
        <v>0.96</v>
      </c>
      <c r="V13" s="389"/>
    </row>
    <row r="14" spans="1:22">
      <c r="A14" s="389"/>
      <c r="B14" s="65">
        <v>250</v>
      </c>
      <c r="C14" s="395" t="s">
        <v>10</v>
      </c>
      <c r="D14" s="395" t="s">
        <v>10</v>
      </c>
      <c r="E14" s="393">
        <v>1.0000000000000001E-5</v>
      </c>
      <c r="F14" s="66">
        <f>1/3*G14</f>
        <v>0.39999999999999997</v>
      </c>
      <c r="G14" s="393">
        <f t="shared" si="2"/>
        <v>1.2</v>
      </c>
      <c r="I14" s="720">
        <v>250</v>
      </c>
      <c r="J14" s="395" t="s">
        <v>10</v>
      </c>
      <c r="K14" s="395" t="s">
        <v>10</v>
      </c>
      <c r="L14" s="393">
        <v>1.0000000000000001E-5</v>
      </c>
      <c r="M14" s="978">
        <f t="shared" si="3"/>
        <v>1.0000000000000001E-5</v>
      </c>
      <c r="N14" s="392">
        <f t="shared" si="4"/>
        <v>1.2</v>
      </c>
      <c r="P14" s="720">
        <v>250</v>
      </c>
      <c r="Q14" s="395" t="s">
        <v>10</v>
      </c>
      <c r="R14" s="395" t="s">
        <v>10</v>
      </c>
      <c r="S14" s="393">
        <v>1.0000000000000001E-5</v>
      </c>
      <c r="T14" s="66">
        <f t="shared" si="0"/>
        <v>0</v>
      </c>
      <c r="U14" s="392">
        <f t="shared" si="5"/>
        <v>1.2</v>
      </c>
      <c r="V14" s="389"/>
    </row>
    <row r="15" spans="1:22">
      <c r="A15" s="389"/>
      <c r="B15" s="65">
        <v>360</v>
      </c>
      <c r="C15" s="395" t="s">
        <v>10</v>
      </c>
      <c r="D15" s="395" t="s">
        <v>10</v>
      </c>
      <c r="E15" s="393">
        <v>-1</v>
      </c>
      <c r="F15" s="66">
        <f t="shared" si="1"/>
        <v>0.57599999999999985</v>
      </c>
      <c r="G15" s="393">
        <f t="shared" si="2"/>
        <v>1.7279999999999998</v>
      </c>
      <c r="I15" s="65">
        <v>360</v>
      </c>
      <c r="J15" s="395">
        <v>0</v>
      </c>
      <c r="K15" s="395">
        <v>0</v>
      </c>
      <c r="L15" s="393">
        <v>-1</v>
      </c>
      <c r="M15" s="978">
        <f t="shared" si="3"/>
        <v>0.5</v>
      </c>
      <c r="N15" s="392">
        <f t="shared" si="4"/>
        <v>1.7279999999999998</v>
      </c>
      <c r="P15" s="65">
        <v>360</v>
      </c>
      <c r="Q15" s="395" t="s">
        <v>10</v>
      </c>
      <c r="R15" s="395" t="s">
        <v>10</v>
      </c>
      <c r="S15" s="393">
        <v>1</v>
      </c>
      <c r="T15" s="66">
        <f t="shared" si="0"/>
        <v>0</v>
      </c>
      <c r="U15" s="392">
        <f t="shared" si="5"/>
        <v>1.7279999999999998</v>
      </c>
      <c r="V15" s="389"/>
    </row>
    <row r="16" spans="1:22" ht="13">
      <c r="A16" s="389"/>
      <c r="B16" s="969" t="s">
        <v>363</v>
      </c>
      <c r="C16" s="969" t="s">
        <v>7</v>
      </c>
      <c r="D16" s="969" t="s">
        <v>7</v>
      </c>
      <c r="E16" s="969"/>
      <c r="F16" s="969" t="s">
        <v>2</v>
      </c>
      <c r="G16" s="977" t="s">
        <v>3</v>
      </c>
      <c r="I16" s="969" t="s">
        <v>363</v>
      </c>
      <c r="J16" s="969" t="s">
        <v>7</v>
      </c>
      <c r="K16" s="969" t="s">
        <v>7</v>
      </c>
      <c r="L16" s="969"/>
      <c r="M16" s="1644" t="s">
        <v>2</v>
      </c>
      <c r="N16" s="1645" t="s">
        <v>3</v>
      </c>
      <c r="P16" s="969" t="s">
        <v>363</v>
      </c>
      <c r="Q16" s="969" t="s">
        <v>7</v>
      </c>
      <c r="R16" s="969" t="s">
        <v>7</v>
      </c>
      <c r="S16" s="969"/>
      <c r="T16" s="1644" t="s">
        <v>2</v>
      </c>
      <c r="U16" s="1645" t="s">
        <v>3</v>
      </c>
      <c r="V16" s="389"/>
    </row>
    <row r="17" spans="1:22" ht="13">
      <c r="A17" s="389"/>
      <c r="B17" s="969" t="s">
        <v>283</v>
      </c>
      <c r="C17" s="969">
        <f>C5</f>
        <v>2017</v>
      </c>
      <c r="D17" s="969">
        <f>D5</f>
        <v>2017</v>
      </c>
      <c r="E17" s="969">
        <f>E5</f>
        <v>2018</v>
      </c>
      <c r="F17" s="969"/>
      <c r="G17" s="977"/>
      <c r="I17" s="969" t="s">
        <v>283</v>
      </c>
      <c r="J17" s="969">
        <v>2016</v>
      </c>
      <c r="K17" s="969">
        <v>2016</v>
      </c>
      <c r="L17" s="969">
        <v>2018</v>
      </c>
      <c r="M17" s="1644"/>
      <c r="N17" s="1645"/>
      <c r="P17" s="969" t="s">
        <v>283</v>
      </c>
      <c r="Q17" s="969">
        <v>2017</v>
      </c>
      <c r="R17" s="969">
        <v>2017</v>
      </c>
      <c r="S17" s="969">
        <v>2018</v>
      </c>
      <c r="T17" s="1644"/>
      <c r="U17" s="1645"/>
      <c r="V17" s="389"/>
    </row>
    <row r="18" spans="1:22">
      <c r="A18" s="389"/>
      <c r="B18" s="392">
        <v>0</v>
      </c>
      <c r="C18" s="392" t="s">
        <v>10</v>
      </c>
      <c r="D18" s="392" t="s">
        <v>10</v>
      </c>
      <c r="E18" s="393">
        <v>1.0000000000000001E-5</v>
      </c>
      <c r="F18" s="395">
        <f t="shared" ref="F18:F23" si="6">0.5*(MAX(C18:E18)-MIN(C18:E18))</f>
        <v>0</v>
      </c>
      <c r="G18" s="65">
        <v>1.1999999999999999E-3</v>
      </c>
      <c r="I18" s="392">
        <v>0</v>
      </c>
      <c r="J18" s="392">
        <v>0</v>
      </c>
      <c r="K18" s="392">
        <v>0</v>
      </c>
      <c r="L18" s="393">
        <v>1.0000000000000001E-5</v>
      </c>
      <c r="M18" s="978">
        <f t="shared" ref="M18:M23" si="7">IF(0.5*(MAX(J18:L18)-MIN(J18:L18))=0,0.00001,0.5*(MAX(J18:L18)-MIN(J18:L18)))</f>
        <v>5.0000000000000004E-6</v>
      </c>
      <c r="N18" s="65">
        <v>1.2999999999999999E-3</v>
      </c>
      <c r="P18" s="392">
        <v>0</v>
      </c>
      <c r="Q18" s="392" t="s">
        <v>10</v>
      </c>
      <c r="R18" s="392" t="s">
        <v>10</v>
      </c>
      <c r="S18" s="393">
        <v>1.0000000000000001E-5</v>
      </c>
      <c r="T18" s="395">
        <f t="shared" ref="T18:T23" si="8">0.5*(MAX(Q18:S18)-MIN(Q18:S18))</f>
        <v>0</v>
      </c>
      <c r="U18" s="65">
        <v>5.4999999999999997E-3</v>
      </c>
      <c r="V18" s="389"/>
    </row>
    <row r="19" spans="1:22">
      <c r="A19" s="389"/>
      <c r="B19" s="392">
        <v>30</v>
      </c>
      <c r="C19" s="392" t="s">
        <v>10</v>
      </c>
      <c r="D19" s="392" t="s">
        <v>10</v>
      </c>
      <c r="E19" s="393">
        <v>1.0000000000000001E-5</v>
      </c>
      <c r="F19" s="395">
        <f t="shared" si="6"/>
        <v>0</v>
      </c>
      <c r="G19" s="65">
        <f>$G$18*B19</f>
        <v>3.5999999999999997E-2</v>
      </c>
      <c r="I19" s="392">
        <v>30</v>
      </c>
      <c r="J19" s="392">
        <v>0</v>
      </c>
      <c r="K19" s="392">
        <v>0</v>
      </c>
      <c r="L19" s="393">
        <v>1.0000000000000001E-5</v>
      </c>
      <c r="M19" s="978">
        <f>IF(0.5*(MAX(J19:L19)-MIN(J19:L19))=0,0.00001,0.5*(MAX(J19:L19)-MIN(J19:L19)))</f>
        <v>5.0000000000000004E-6</v>
      </c>
      <c r="N19" s="65">
        <f>$N$18*I19</f>
        <v>3.9E-2</v>
      </c>
      <c r="P19" s="392">
        <v>30</v>
      </c>
      <c r="Q19" s="392">
        <v>0</v>
      </c>
      <c r="R19" s="392">
        <v>0</v>
      </c>
      <c r="S19" s="393">
        <v>1.0000000000000001E-5</v>
      </c>
      <c r="T19" s="395">
        <f t="shared" si="8"/>
        <v>5.0000000000000004E-6</v>
      </c>
      <c r="U19" s="65">
        <f>$U$18*P19</f>
        <v>0.16499999999999998</v>
      </c>
      <c r="V19" s="389"/>
    </row>
    <row r="20" spans="1:22">
      <c r="A20" s="389"/>
      <c r="B20" s="392">
        <v>60</v>
      </c>
      <c r="C20" s="392" t="s">
        <v>10</v>
      </c>
      <c r="D20" s="392" t="s">
        <v>10</v>
      </c>
      <c r="E20" s="393">
        <v>1.0000000000000001E-5</v>
      </c>
      <c r="F20" s="395">
        <f t="shared" si="6"/>
        <v>0</v>
      </c>
      <c r="G20" s="65">
        <f t="shared" ref="G20:G23" si="9">$G$18*B20</f>
        <v>7.1999999999999995E-2</v>
      </c>
      <c r="I20" s="392">
        <v>60</v>
      </c>
      <c r="J20" s="392">
        <v>0</v>
      </c>
      <c r="K20" s="392">
        <v>0</v>
      </c>
      <c r="L20" s="393">
        <v>1.0000000000000001E-5</v>
      </c>
      <c r="M20" s="978">
        <f t="shared" si="7"/>
        <v>5.0000000000000004E-6</v>
      </c>
      <c r="N20" s="65">
        <f t="shared" ref="N20:N23" si="10">$N$18*I20</f>
        <v>7.8E-2</v>
      </c>
      <c r="P20" s="392">
        <v>60</v>
      </c>
      <c r="Q20" s="392">
        <v>0</v>
      </c>
      <c r="R20" s="392">
        <v>0</v>
      </c>
      <c r="S20" s="393">
        <v>1.0000000000000001E-5</v>
      </c>
      <c r="T20" s="395">
        <f t="shared" si="8"/>
        <v>5.0000000000000004E-6</v>
      </c>
      <c r="U20" s="65">
        <f t="shared" ref="U20:U23" si="11">$U$18*P20</f>
        <v>0.32999999999999996</v>
      </c>
      <c r="V20" s="389"/>
    </row>
    <row r="21" spans="1:22">
      <c r="A21" s="389"/>
      <c r="B21" s="718">
        <v>120</v>
      </c>
      <c r="C21" s="392" t="s">
        <v>10</v>
      </c>
      <c r="D21" s="392" t="s">
        <v>10</v>
      </c>
      <c r="E21" s="393">
        <v>1.0000000000000001E-5</v>
      </c>
      <c r="F21" s="395">
        <f t="shared" si="6"/>
        <v>0</v>
      </c>
      <c r="G21" s="65">
        <f t="shared" si="9"/>
        <v>0.14399999999999999</v>
      </c>
      <c r="I21" s="718">
        <v>120</v>
      </c>
      <c r="J21" s="392">
        <v>0</v>
      </c>
      <c r="K21" s="392">
        <v>0</v>
      </c>
      <c r="L21" s="393">
        <v>1.0000000000000001E-5</v>
      </c>
      <c r="M21" s="978">
        <f t="shared" si="7"/>
        <v>5.0000000000000004E-6</v>
      </c>
      <c r="N21" s="65">
        <f t="shared" si="10"/>
        <v>0.156</v>
      </c>
      <c r="P21" s="718">
        <v>120</v>
      </c>
      <c r="Q21" s="392" t="s">
        <v>10</v>
      </c>
      <c r="R21" s="392" t="s">
        <v>10</v>
      </c>
      <c r="S21" s="393">
        <v>1.0000000000000001E-5</v>
      </c>
      <c r="T21" s="395">
        <f t="shared" si="8"/>
        <v>0</v>
      </c>
      <c r="U21" s="65">
        <f t="shared" si="11"/>
        <v>0.65999999999999992</v>
      </c>
      <c r="V21" s="389"/>
    </row>
    <row r="22" spans="1:22">
      <c r="A22" s="389"/>
      <c r="B22" s="718">
        <v>180</v>
      </c>
      <c r="C22" s="392" t="s">
        <v>10</v>
      </c>
      <c r="D22" s="392" t="s">
        <v>10</v>
      </c>
      <c r="E22" s="393">
        <v>1.0000000000000001E-5</v>
      </c>
      <c r="F22" s="395">
        <f t="shared" si="6"/>
        <v>0</v>
      </c>
      <c r="G22" s="65">
        <f t="shared" si="9"/>
        <v>0.21599999999999997</v>
      </c>
      <c r="I22" s="718">
        <v>180</v>
      </c>
      <c r="J22" s="392">
        <v>0</v>
      </c>
      <c r="K22" s="392">
        <v>0</v>
      </c>
      <c r="L22" s="393">
        <v>1.0000000000000001E-5</v>
      </c>
      <c r="M22" s="978">
        <f t="shared" si="7"/>
        <v>5.0000000000000004E-6</v>
      </c>
      <c r="N22" s="65">
        <f t="shared" si="10"/>
        <v>0.23399999999999999</v>
      </c>
      <c r="P22" s="718">
        <v>180</v>
      </c>
      <c r="Q22" s="392" t="s">
        <v>10</v>
      </c>
      <c r="R22" s="392" t="s">
        <v>10</v>
      </c>
      <c r="S22" s="393">
        <v>1.0000000000000001E-5</v>
      </c>
      <c r="T22" s="395">
        <f t="shared" si="8"/>
        <v>0</v>
      </c>
      <c r="U22" s="65">
        <f t="shared" si="11"/>
        <v>0.99</v>
      </c>
      <c r="V22" s="389"/>
    </row>
    <row r="23" spans="1:22">
      <c r="A23" s="389"/>
      <c r="B23" s="718">
        <v>240</v>
      </c>
      <c r="C23" s="392" t="s">
        <v>10</v>
      </c>
      <c r="D23" s="392" t="s">
        <v>10</v>
      </c>
      <c r="E23" s="393">
        <v>1.0000000000000001E-5</v>
      </c>
      <c r="F23" s="395">
        <f t="shared" si="6"/>
        <v>0</v>
      </c>
      <c r="G23" s="65">
        <f t="shared" si="9"/>
        <v>0.28799999999999998</v>
      </c>
      <c r="I23" s="718">
        <v>240</v>
      </c>
      <c r="J23" s="392">
        <v>0</v>
      </c>
      <c r="K23" s="392">
        <v>0</v>
      </c>
      <c r="L23" s="393">
        <v>1.0000000000000001E-5</v>
      </c>
      <c r="M23" s="978">
        <f t="shared" si="7"/>
        <v>5.0000000000000004E-6</v>
      </c>
      <c r="N23" s="65">
        <f t="shared" si="10"/>
        <v>0.312</v>
      </c>
      <c r="P23" s="718">
        <v>240</v>
      </c>
      <c r="Q23" s="392" t="s">
        <v>10</v>
      </c>
      <c r="R23" s="392" t="s">
        <v>10</v>
      </c>
      <c r="S23" s="393">
        <v>1.0000000000000001E-5</v>
      </c>
      <c r="T23" s="395">
        <f t="shared" si="8"/>
        <v>0</v>
      </c>
      <c r="U23" s="65">
        <f t="shared" si="11"/>
        <v>1.3199999999999998</v>
      </c>
      <c r="V23" s="389"/>
    </row>
    <row r="24" spans="1:22">
      <c r="A24" s="389"/>
      <c r="V24" s="389"/>
    </row>
    <row r="25" spans="1:22">
      <c r="A25" s="389"/>
      <c r="V25" s="389"/>
    </row>
    <row r="26" spans="1:22">
      <c r="A26" s="389"/>
      <c r="V26" s="389"/>
    </row>
    <row r="27" spans="1:22" ht="13" thickBot="1">
      <c r="A27" s="389"/>
      <c r="B27" s="62" t="s">
        <v>364</v>
      </c>
      <c r="I27" s="62" t="s">
        <v>365</v>
      </c>
      <c r="P27" s="62" t="s">
        <v>366</v>
      </c>
      <c r="V27" s="389"/>
    </row>
    <row r="28" spans="1:22" ht="14">
      <c r="A28" s="389"/>
      <c r="B28" s="1649" t="s">
        <v>360</v>
      </c>
      <c r="C28" s="1649"/>
      <c r="D28" s="1649"/>
      <c r="E28" s="1649"/>
      <c r="F28" s="969" t="s">
        <v>2</v>
      </c>
      <c r="G28" s="977" t="s">
        <v>3</v>
      </c>
      <c r="I28" s="1649" t="s">
        <v>360</v>
      </c>
      <c r="J28" s="1649"/>
      <c r="K28" s="1649"/>
      <c r="L28" s="1649"/>
      <c r="M28" s="1644" t="s">
        <v>2</v>
      </c>
      <c r="N28" s="1645" t="s">
        <v>3</v>
      </c>
      <c r="P28" s="1649" t="s">
        <v>360</v>
      </c>
      <c r="Q28" s="1649"/>
      <c r="R28" s="1649"/>
      <c r="S28" s="1649"/>
      <c r="T28" s="1646" t="s">
        <v>2</v>
      </c>
      <c r="U28" s="1650" t="s">
        <v>3</v>
      </c>
      <c r="V28" s="389"/>
    </row>
    <row r="29" spans="1:22" ht="13">
      <c r="A29" s="389"/>
      <c r="B29" s="969" t="s">
        <v>361</v>
      </c>
      <c r="C29" s="1644" t="s">
        <v>7</v>
      </c>
      <c r="D29" s="1644"/>
      <c r="E29" s="1644"/>
      <c r="F29" s="969"/>
      <c r="G29" s="977"/>
      <c r="I29" s="969" t="s">
        <v>361</v>
      </c>
      <c r="J29" s="1644" t="s">
        <v>7</v>
      </c>
      <c r="K29" s="1644"/>
      <c r="L29" s="1644"/>
      <c r="M29" s="1644"/>
      <c r="N29" s="1645"/>
      <c r="P29" s="969" t="s">
        <v>361</v>
      </c>
      <c r="Q29" s="1644" t="s">
        <v>7</v>
      </c>
      <c r="R29" s="1644"/>
      <c r="S29" s="1644"/>
      <c r="T29" s="1647"/>
      <c r="U29" s="1651"/>
      <c r="V29" s="389"/>
    </row>
    <row r="30" spans="1:22" ht="14">
      <c r="A30" s="389"/>
      <c r="B30" s="965" t="s">
        <v>362</v>
      </c>
      <c r="C30" s="969">
        <v>2017</v>
      </c>
      <c r="D30" s="969">
        <v>2017</v>
      </c>
      <c r="E30" s="969">
        <v>2018</v>
      </c>
      <c r="F30" s="969"/>
      <c r="G30" s="977"/>
      <c r="I30" s="965" t="s">
        <v>362</v>
      </c>
      <c r="J30" s="969">
        <v>2017</v>
      </c>
      <c r="K30" s="969">
        <v>2017</v>
      </c>
      <c r="L30" s="969">
        <v>2018</v>
      </c>
      <c r="M30" s="1644"/>
      <c r="N30" s="1645"/>
      <c r="P30" s="965" t="s">
        <v>362</v>
      </c>
      <c r="Q30" s="969">
        <v>2017</v>
      </c>
      <c r="R30" s="969">
        <v>2017</v>
      </c>
      <c r="S30" s="969">
        <v>2018</v>
      </c>
      <c r="T30" s="1648"/>
      <c r="U30" s="1652"/>
      <c r="V30" s="389"/>
    </row>
    <row r="31" spans="1:22">
      <c r="A31" s="389"/>
      <c r="B31" s="392">
        <v>0</v>
      </c>
      <c r="C31" s="392" t="s">
        <v>10</v>
      </c>
      <c r="D31" s="392" t="s">
        <v>10</v>
      </c>
      <c r="E31" s="393">
        <v>1.0000000000000001E-5</v>
      </c>
      <c r="F31" s="978">
        <f t="shared" ref="F31:F40" si="12">IF(0.5*(MAX(C31:E31)-MIN(C31:E31))=0,0.00001,0.5*(MAX(C31:E31)-MIN(C31:E31)))</f>
        <v>1.0000000000000001E-5</v>
      </c>
      <c r="G31" s="392">
        <v>4.7999999999999996E-3</v>
      </c>
      <c r="I31" s="392">
        <v>0</v>
      </c>
      <c r="J31" s="392" t="s">
        <v>10</v>
      </c>
      <c r="K31" s="392" t="s">
        <v>10</v>
      </c>
      <c r="L31" s="393">
        <v>1.0000000000000001E-5</v>
      </c>
      <c r="M31" s="978">
        <f t="shared" ref="M31:M40" si="13">IF(0.5*(MAX(J31:L31)-MIN(J31:L31))=0,0.00001,0.5*(MAX(J31:L31)-MIN(J31:L31)))</f>
        <v>1.0000000000000001E-5</v>
      </c>
      <c r="N31" s="392">
        <v>4.7999999999999996E-3</v>
      </c>
      <c r="P31" s="392">
        <v>0</v>
      </c>
      <c r="Q31" s="392" t="s">
        <v>10</v>
      </c>
      <c r="R31" s="392" t="s">
        <v>10</v>
      </c>
      <c r="S31" s="393">
        <v>1.0000000000000001E-5</v>
      </c>
      <c r="T31" s="66">
        <f t="shared" ref="T31:T40" si="14">0.5*(MAX(Q31:S31)-MIN(Q31:S31))</f>
        <v>0</v>
      </c>
      <c r="U31" s="394">
        <v>4.7999999999999996E-3</v>
      </c>
      <c r="V31" s="389"/>
    </row>
    <row r="32" spans="1:22">
      <c r="A32" s="389"/>
      <c r="B32" s="392">
        <v>10</v>
      </c>
      <c r="C32" s="392" t="s">
        <v>10</v>
      </c>
      <c r="D32" s="392" t="s">
        <v>10</v>
      </c>
      <c r="E32" s="393">
        <v>1.0000000000000001E-5</v>
      </c>
      <c r="F32" s="978">
        <f t="shared" si="12"/>
        <v>1.0000000000000001E-5</v>
      </c>
      <c r="G32" s="392">
        <f>$G$31*B32</f>
        <v>4.7999999999999994E-2</v>
      </c>
      <c r="I32" s="392">
        <v>10</v>
      </c>
      <c r="J32" s="392" t="s">
        <v>10</v>
      </c>
      <c r="K32" s="392" t="s">
        <v>10</v>
      </c>
      <c r="L32" s="393">
        <v>1.0000000000000001E-5</v>
      </c>
      <c r="M32" s="978">
        <f t="shared" si="13"/>
        <v>1.0000000000000001E-5</v>
      </c>
      <c r="N32" s="392">
        <f>$N$31*I32</f>
        <v>4.7999999999999994E-2</v>
      </c>
      <c r="P32" s="392">
        <v>10</v>
      </c>
      <c r="Q32" s="392" t="s">
        <v>10</v>
      </c>
      <c r="R32" s="392" t="s">
        <v>10</v>
      </c>
      <c r="S32" s="393">
        <v>1.0000000000000001E-5</v>
      </c>
      <c r="T32" s="66">
        <f t="shared" si="14"/>
        <v>0</v>
      </c>
      <c r="U32" s="394">
        <f>$N$31*P32</f>
        <v>4.7999999999999994E-2</v>
      </c>
      <c r="V32" s="389"/>
    </row>
    <row r="33" spans="1:22">
      <c r="A33" s="389"/>
      <c r="B33" s="392">
        <v>20</v>
      </c>
      <c r="C33" s="392" t="s">
        <v>10</v>
      </c>
      <c r="D33" s="392" t="s">
        <v>10</v>
      </c>
      <c r="E33" s="393">
        <v>0.1</v>
      </c>
      <c r="F33" s="978">
        <f t="shared" si="12"/>
        <v>1.0000000000000001E-5</v>
      </c>
      <c r="G33" s="392">
        <f t="shared" ref="G33:G40" si="15">$G$31*B33</f>
        <v>9.5999999999999988E-2</v>
      </c>
      <c r="I33" s="392">
        <v>20</v>
      </c>
      <c r="J33" s="392" t="s">
        <v>10</v>
      </c>
      <c r="K33" s="392" t="s">
        <v>10</v>
      </c>
      <c r="L33" s="393">
        <v>0.1</v>
      </c>
      <c r="M33" s="978">
        <f t="shared" si="13"/>
        <v>1.0000000000000001E-5</v>
      </c>
      <c r="N33" s="392">
        <f t="shared" ref="N33:N40" si="16">$N$31*I33</f>
        <v>9.5999999999999988E-2</v>
      </c>
      <c r="P33" s="392">
        <v>20</v>
      </c>
      <c r="Q33" s="392" t="s">
        <v>10</v>
      </c>
      <c r="R33" s="392" t="s">
        <v>10</v>
      </c>
      <c r="S33" s="393">
        <v>0.1</v>
      </c>
      <c r="T33" s="66">
        <f t="shared" si="14"/>
        <v>0</v>
      </c>
      <c r="U33" s="394">
        <f t="shared" ref="U33:U40" si="17">$N$31*P33</f>
        <v>9.5999999999999988E-2</v>
      </c>
      <c r="V33" s="389"/>
    </row>
    <row r="34" spans="1:22">
      <c r="A34" s="389"/>
      <c r="B34" s="392">
        <v>30</v>
      </c>
      <c r="C34" s="392" t="s">
        <v>10</v>
      </c>
      <c r="D34" s="392" t="s">
        <v>10</v>
      </c>
      <c r="E34" s="393">
        <v>0.1</v>
      </c>
      <c r="F34" s="978">
        <f t="shared" si="12"/>
        <v>1.0000000000000001E-5</v>
      </c>
      <c r="G34" s="392">
        <f t="shared" si="15"/>
        <v>0.14399999999999999</v>
      </c>
      <c r="I34" s="392">
        <v>30</v>
      </c>
      <c r="J34" s="392" t="s">
        <v>10</v>
      </c>
      <c r="K34" s="392" t="s">
        <v>10</v>
      </c>
      <c r="L34" s="393">
        <v>0.1</v>
      </c>
      <c r="M34" s="978">
        <f t="shared" si="13"/>
        <v>1.0000000000000001E-5</v>
      </c>
      <c r="N34" s="392">
        <f t="shared" si="16"/>
        <v>0.14399999999999999</v>
      </c>
      <c r="P34" s="392">
        <v>30</v>
      </c>
      <c r="Q34" s="392" t="s">
        <v>10</v>
      </c>
      <c r="R34" s="392" t="s">
        <v>10</v>
      </c>
      <c r="S34" s="393">
        <v>0.1</v>
      </c>
      <c r="T34" s="66">
        <f t="shared" si="14"/>
        <v>0</v>
      </c>
      <c r="U34" s="394">
        <f t="shared" si="17"/>
        <v>0.14399999999999999</v>
      </c>
      <c r="V34" s="389"/>
    </row>
    <row r="35" spans="1:22">
      <c r="A35" s="389"/>
      <c r="B35" s="392">
        <v>50</v>
      </c>
      <c r="C35" s="395" t="s">
        <v>10</v>
      </c>
      <c r="D35" s="395" t="s">
        <v>10</v>
      </c>
      <c r="E35" s="393">
        <v>0.2</v>
      </c>
      <c r="F35" s="978">
        <f t="shared" si="12"/>
        <v>1.0000000000000001E-5</v>
      </c>
      <c r="G35" s="392">
        <f t="shared" si="15"/>
        <v>0.24</v>
      </c>
      <c r="I35" s="392">
        <v>50</v>
      </c>
      <c r="J35" s="395" t="s">
        <v>10</v>
      </c>
      <c r="K35" s="395" t="s">
        <v>10</v>
      </c>
      <c r="L35" s="393">
        <v>0.2</v>
      </c>
      <c r="M35" s="978">
        <f t="shared" si="13"/>
        <v>1.0000000000000001E-5</v>
      </c>
      <c r="N35" s="392">
        <f t="shared" si="16"/>
        <v>0.24</v>
      </c>
      <c r="P35" s="392">
        <v>50</v>
      </c>
      <c r="Q35" s="395" t="s">
        <v>10</v>
      </c>
      <c r="R35" s="395" t="s">
        <v>10</v>
      </c>
      <c r="S35" s="393">
        <v>0.2</v>
      </c>
      <c r="T35" s="66">
        <f t="shared" si="14"/>
        <v>0</v>
      </c>
      <c r="U35" s="394">
        <f t="shared" si="17"/>
        <v>0.24</v>
      </c>
      <c r="V35" s="389"/>
    </row>
    <row r="36" spans="1:22">
      <c r="A36" s="389"/>
      <c r="B36" s="392">
        <v>100</v>
      </c>
      <c r="C36" s="395" t="s">
        <v>10</v>
      </c>
      <c r="D36" s="395" t="s">
        <v>10</v>
      </c>
      <c r="E36" s="393">
        <v>0.3</v>
      </c>
      <c r="F36" s="978">
        <f t="shared" si="12"/>
        <v>1.0000000000000001E-5</v>
      </c>
      <c r="G36" s="392">
        <f t="shared" si="15"/>
        <v>0.48</v>
      </c>
      <c r="I36" s="392">
        <v>100</v>
      </c>
      <c r="J36" s="395" t="s">
        <v>10</v>
      </c>
      <c r="K36" s="395" t="s">
        <v>10</v>
      </c>
      <c r="L36" s="393">
        <v>0.3</v>
      </c>
      <c r="M36" s="978">
        <f t="shared" si="13"/>
        <v>1.0000000000000001E-5</v>
      </c>
      <c r="N36" s="392">
        <f t="shared" si="16"/>
        <v>0.48</v>
      </c>
      <c r="P36" s="392">
        <v>100</v>
      </c>
      <c r="Q36" s="395" t="s">
        <v>10</v>
      </c>
      <c r="R36" s="395" t="s">
        <v>10</v>
      </c>
      <c r="S36" s="393">
        <v>0.3</v>
      </c>
      <c r="T36" s="66">
        <f t="shared" si="14"/>
        <v>0</v>
      </c>
      <c r="U36" s="394">
        <f t="shared" si="17"/>
        <v>0.48</v>
      </c>
      <c r="V36" s="389"/>
    </row>
    <row r="37" spans="1:22">
      <c r="A37" s="389"/>
      <c r="B37" s="65">
        <v>150</v>
      </c>
      <c r="C37" s="395" t="s">
        <v>10</v>
      </c>
      <c r="D37" s="395" t="s">
        <v>10</v>
      </c>
      <c r="E37" s="393">
        <v>1.0000000000000001E-5</v>
      </c>
      <c r="F37" s="978">
        <f t="shared" si="12"/>
        <v>1.0000000000000001E-5</v>
      </c>
      <c r="G37" s="392">
        <f t="shared" si="15"/>
        <v>0.72</v>
      </c>
      <c r="I37" s="65">
        <v>150</v>
      </c>
      <c r="J37" s="395" t="s">
        <v>10</v>
      </c>
      <c r="K37" s="395" t="s">
        <v>10</v>
      </c>
      <c r="L37" s="393">
        <v>1.0000000000000001E-5</v>
      </c>
      <c r="M37" s="978">
        <f t="shared" si="13"/>
        <v>1.0000000000000001E-5</v>
      </c>
      <c r="N37" s="392">
        <f t="shared" si="16"/>
        <v>0.72</v>
      </c>
      <c r="P37" s="65">
        <v>150</v>
      </c>
      <c r="Q37" s="395" t="s">
        <v>10</v>
      </c>
      <c r="R37" s="395" t="s">
        <v>10</v>
      </c>
      <c r="S37" s="393">
        <v>1.0000000000000001E-5</v>
      </c>
      <c r="T37" s="66">
        <f t="shared" si="14"/>
        <v>0</v>
      </c>
      <c r="U37" s="394">
        <f t="shared" si="17"/>
        <v>0.72</v>
      </c>
      <c r="V37" s="389"/>
    </row>
    <row r="38" spans="1:22">
      <c r="A38" s="389"/>
      <c r="B38" s="65">
        <v>200</v>
      </c>
      <c r="C38" s="395" t="s">
        <v>10</v>
      </c>
      <c r="D38" s="395" t="s">
        <v>10</v>
      </c>
      <c r="E38" s="393">
        <v>1</v>
      </c>
      <c r="F38" s="978">
        <f t="shared" si="12"/>
        <v>1.0000000000000001E-5</v>
      </c>
      <c r="G38" s="392">
        <f t="shared" si="15"/>
        <v>0.96</v>
      </c>
      <c r="I38" s="65">
        <v>200</v>
      </c>
      <c r="J38" s="395" t="s">
        <v>10</v>
      </c>
      <c r="K38" s="395" t="s">
        <v>10</v>
      </c>
      <c r="L38" s="393">
        <v>1</v>
      </c>
      <c r="M38" s="978">
        <f t="shared" si="13"/>
        <v>1.0000000000000001E-5</v>
      </c>
      <c r="N38" s="392">
        <f t="shared" si="16"/>
        <v>0.96</v>
      </c>
      <c r="P38" s="65">
        <v>200</v>
      </c>
      <c r="Q38" s="395" t="s">
        <v>10</v>
      </c>
      <c r="R38" s="395" t="s">
        <v>10</v>
      </c>
      <c r="S38" s="393">
        <v>1</v>
      </c>
      <c r="T38" s="66">
        <f t="shared" si="14"/>
        <v>0</v>
      </c>
      <c r="U38" s="394">
        <f t="shared" si="17"/>
        <v>0.96</v>
      </c>
      <c r="V38" s="389"/>
    </row>
    <row r="39" spans="1:22">
      <c r="A39" s="389"/>
      <c r="B39" s="65">
        <v>250</v>
      </c>
      <c r="C39" s="395" t="s">
        <v>10</v>
      </c>
      <c r="D39" s="395" t="s">
        <v>10</v>
      </c>
      <c r="E39" s="393">
        <v>1.0000000000000001E-5</v>
      </c>
      <c r="F39" s="978">
        <f t="shared" si="12"/>
        <v>1.0000000000000001E-5</v>
      </c>
      <c r="G39" s="392">
        <f t="shared" si="15"/>
        <v>1.2</v>
      </c>
      <c r="I39" s="65">
        <v>250</v>
      </c>
      <c r="J39" s="395" t="s">
        <v>10</v>
      </c>
      <c r="K39" s="395" t="s">
        <v>10</v>
      </c>
      <c r="L39" s="393">
        <v>1.0000000000000001E-5</v>
      </c>
      <c r="M39" s="978">
        <f t="shared" si="13"/>
        <v>1.0000000000000001E-5</v>
      </c>
      <c r="N39" s="392">
        <f t="shared" si="16"/>
        <v>1.2</v>
      </c>
      <c r="P39" s="65">
        <v>250</v>
      </c>
      <c r="Q39" s="395" t="s">
        <v>10</v>
      </c>
      <c r="R39" s="395" t="s">
        <v>10</v>
      </c>
      <c r="S39" s="393">
        <v>1.0000000000000001E-5</v>
      </c>
      <c r="T39" s="66">
        <f t="shared" si="14"/>
        <v>0</v>
      </c>
      <c r="U39" s="394">
        <f t="shared" si="17"/>
        <v>1.2</v>
      </c>
      <c r="V39" s="389"/>
    </row>
    <row r="40" spans="1:22">
      <c r="A40" s="389"/>
      <c r="B40" s="65">
        <v>360</v>
      </c>
      <c r="C40" s="395" t="s">
        <v>10</v>
      </c>
      <c r="D40" s="395" t="s">
        <v>10</v>
      </c>
      <c r="E40" s="393">
        <v>-1</v>
      </c>
      <c r="F40" s="978">
        <f t="shared" si="12"/>
        <v>1.0000000000000001E-5</v>
      </c>
      <c r="G40" s="392">
        <f t="shared" si="15"/>
        <v>1.7279999999999998</v>
      </c>
      <c r="I40" s="65">
        <v>360</v>
      </c>
      <c r="J40" s="395" t="s">
        <v>10</v>
      </c>
      <c r="K40" s="395" t="s">
        <v>10</v>
      </c>
      <c r="L40" s="393">
        <v>-1</v>
      </c>
      <c r="M40" s="978">
        <f t="shared" si="13"/>
        <v>1.0000000000000001E-5</v>
      </c>
      <c r="N40" s="392">
        <f t="shared" si="16"/>
        <v>1.7279999999999998</v>
      </c>
      <c r="P40" s="65">
        <v>360</v>
      </c>
      <c r="Q40" s="395" t="s">
        <v>10</v>
      </c>
      <c r="R40" s="395" t="s">
        <v>10</v>
      </c>
      <c r="S40" s="393">
        <v>-1</v>
      </c>
      <c r="T40" s="66">
        <f t="shared" si="14"/>
        <v>0</v>
      </c>
      <c r="U40" s="394">
        <f t="shared" si="17"/>
        <v>1.7279999999999998</v>
      </c>
      <c r="V40" s="389"/>
    </row>
    <row r="41" spans="1:22" ht="13">
      <c r="A41" s="389"/>
      <c r="B41" s="969" t="s">
        <v>363</v>
      </c>
      <c r="C41" s="969" t="s">
        <v>7</v>
      </c>
      <c r="D41" s="969" t="s">
        <v>7</v>
      </c>
      <c r="E41" s="969"/>
      <c r="F41" s="969" t="s">
        <v>2</v>
      </c>
      <c r="G41" s="977" t="s">
        <v>3</v>
      </c>
      <c r="I41" s="392" t="s">
        <v>363</v>
      </c>
      <c r="J41" s="969" t="s">
        <v>7</v>
      </c>
      <c r="K41" s="969" t="s">
        <v>7</v>
      </c>
      <c r="L41" s="969"/>
      <c r="M41" s="1644" t="s">
        <v>2</v>
      </c>
      <c r="N41" s="1645" t="s">
        <v>3</v>
      </c>
      <c r="P41" s="392" t="s">
        <v>363</v>
      </c>
      <c r="Q41" s="969" t="s">
        <v>7</v>
      </c>
      <c r="R41" s="969" t="s">
        <v>7</v>
      </c>
      <c r="S41" s="969"/>
      <c r="T41" s="1644" t="s">
        <v>2</v>
      </c>
      <c r="U41" s="1653" t="s">
        <v>3</v>
      </c>
      <c r="V41" s="389"/>
    </row>
    <row r="42" spans="1:22" ht="13">
      <c r="A42" s="389"/>
      <c r="B42" s="969" t="s">
        <v>283</v>
      </c>
      <c r="C42" s="969">
        <v>2017</v>
      </c>
      <c r="D42" s="969">
        <v>2017</v>
      </c>
      <c r="E42" s="969">
        <v>2018</v>
      </c>
      <c r="F42" s="969"/>
      <c r="G42" s="977"/>
      <c r="I42" s="392" t="s">
        <v>283</v>
      </c>
      <c r="J42" s="969">
        <v>2017</v>
      </c>
      <c r="K42" s="969">
        <v>2017</v>
      </c>
      <c r="L42" s="969">
        <v>2018</v>
      </c>
      <c r="M42" s="1644"/>
      <c r="N42" s="1645"/>
      <c r="P42" s="392" t="s">
        <v>283</v>
      </c>
      <c r="Q42" s="969">
        <v>2017</v>
      </c>
      <c r="R42" s="969">
        <v>2017</v>
      </c>
      <c r="S42" s="969">
        <v>2018</v>
      </c>
      <c r="T42" s="1644"/>
      <c r="U42" s="1653"/>
      <c r="V42" s="389"/>
    </row>
    <row r="43" spans="1:22">
      <c r="A43" s="389"/>
      <c r="B43" s="392">
        <v>0</v>
      </c>
      <c r="C43" s="392" t="s">
        <v>10</v>
      </c>
      <c r="D43" s="392" t="s">
        <v>10</v>
      </c>
      <c r="E43" s="393">
        <v>1.0000000000000001E-5</v>
      </c>
      <c r="F43" s="978">
        <f t="shared" ref="F43:F48" si="18">IF(0.5*(MAX(C43:E43)-MIN(C43:E43))=0,0.00001,0.5*(MAX(C43:E43)-MIN(C43:E43)))</f>
        <v>1.0000000000000001E-5</v>
      </c>
      <c r="G43" s="65">
        <v>1.1999999999999999E-3</v>
      </c>
      <c r="I43" s="392">
        <v>0</v>
      </c>
      <c r="J43" s="392" t="s">
        <v>10</v>
      </c>
      <c r="K43" s="392" t="s">
        <v>10</v>
      </c>
      <c r="L43" s="393">
        <v>1.0000000000000001E-5</v>
      </c>
      <c r="M43" s="978">
        <f t="shared" ref="M43:M48" si="19">IF(0.5*(MAX(J43:L43)-MIN(J43:L43))=0,0.00001,0.5*(MAX(J43:L43)-MIN(J43:L43)))</f>
        <v>1.0000000000000001E-5</v>
      </c>
      <c r="N43" s="65">
        <v>1.1999999999999999E-3</v>
      </c>
      <c r="P43" s="392">
        <v>0</v>
      </c>
      <c r="Q43" s="392" t="s">
        <v>10</v>
      </c>
      <c r="R43" s="392" t="s">
        <v>10</v>
      </c>
      <c r="S43" s="393">
        <v>1.0000000000000001E-5</v>
      </c>
      <c r="T43" s="395">
        <f t="shared" ref="T43:T48" si="20">0.5*(MAX(Q43:S43)-MIN(Q43:S43))</f>
        <v>0</v>
      </c>
      <c r="U43" s="67">
        <v>1.1999999999999999E-3</v>
      </c>
      <c r="V43" s="389"/>
    </row>
    <row r="44" spans="1:22">
      <c r="A44" s="389"/>
      <c r="B44" s="392">
        <v>30</v>
      </c>
      <c r="C44" s="392" t="s">
        <v>10</v>
      </c>
      <c r="D44" s="392" t="s">
        <v>10</v>
      </c>
      <c r="E44" s="393">
        <v>1.0000000000000001E-5</v>
      </c>
      <c r="F44" s="978">
        <f>IF(0.5*(MAX(C44:E44)-MIN(C44:E44))=0,0.00001,0.5*(MAX(C44:E44)-MIN(C44:E44)))</f>
        <v>1.0000000000000001E-5</v>
      </c>
      <c r="G44" s="65">
        <f>$G$43*B44</f>
        <v>3.5999999999999997E-2</v>
      </c>
      <c r="I44" s="392">
        <v>30</v>
      </c>
      <c r="J44" s="392" t="s">
        <v>10</v>
      </c>
      <c r="K44" s="392" t="s">
        <v>10</v>
      </c>
      <c r="L44" s="393">
        <v>1.0000000000000001E-5</v>
      </c>
      <c r="M44" s="978">
        <f>IF(0.5*(MAX(J44:L44)-MIN(J44:L44))=0,0.00001,0.5*(MAX(J44:L44)-MIN(J44:L44)))</f>
        <v>1.0000000000000001E-5</v>
      </c>
      <c r="N44" s="65">
        <f>$N$43*I44</f>
        <v>3.5999999999999997E-2</v>
      </c>
      <c r="P44" s="392">
        <v>30</v>
      </c>
      <c r="Q44" s="392" t="s">
        <v>10</v>
      </c>
      <c r="R44" s="392" t="s">
        <v>10</v>
      </c>
      <c r="S44" s="393">
        <v>1.0000000000000001E-5</v>
      </c>
      <c r="T44" s="395">
        <f t="shared" si="20"/>
        <v>0</v>
      </c>
      <c r="U44" s="67">
        <f>$N$43*P44</f>
        <v>3.5999999999999997E-2</v>
      </c>
      <c r="V44" s="389"/>
    </row>
    <row r="45" spans="1:22">
      <c r="A45" s="389"/>
      <c r="B45" s="392">
        <v>60</v>
      </c>
      <c r="C45" s="392" t="s">
        <v>10</v>
      </c>
      <c r="D45" s="392" t="s">
        <v>10</v>
      </c>
      <c r="E45" s="393">
        <v>1.0000000000000001E-5</v>
      </c>
      <c r="F45" s="978">
        <f t="shared" si="18"/>
        <v>1.0000000000000001E-5</v>
      </c>
      <c r="G45" s="65">
        <f t="shared" ref="G45:G48" si="21">$G$43*B45</f>
        <v>7.1999999999999995E-2</v>
      </c>
      <c r="I45" s="392">
        <v>60</v>
      </c>
      <c r="J45" s="392" t="s">
        <v>10</v>
      </c>
      <c r="K45" s="392" t="s">
        <v>10</v>
      </c>
      <c r="L45" s="393">
        <v>1.0000000000000001E-5</v>
      </c>
      <c r="M45" s="978">
        <f t="shared" si="19"/>
        <v>1.0000000000000001E-5</v>
      </c>
      <c r="N45" s="65">
        <f t="shared" ref="N45:N48" si="22">$N$43*I45</f>
        <v>7.1999999999999995E-2</v>
      </c>
      <c r="P45" s="392">
        <v>60</v>
      </c>
      <c r="Q45" s="392" t="s">
        <v>10</v>
      </c>
      <c r="R45" s="392" t="s">
        <v>10</v>
      </c>
      <c r="S45" s="393">
        <v>1.0000000000000001E-5</v>
      </c>
      <c r="T45" s="395">
        <f t="shared" si="20"/>
        <v>0</v>
      </c>
      <c r="U45" s="67">
        <f t="shared" ref="U45:U48" si="23">$N$43*P45</f>
        <v>7.1999999999999995E-2</v>
      </c>
      <c r="V45" s="389"/>
    </row>
    <row r="46" spans="1:22">
      <c r="A46" s="389"/>
      <c r="B46" s="392">
        <v>120</v>
      </c>
      <c r="C46" s="392" t="s">
        <v>10</v>
      </c>
      <c r="D46" s="392" t="s">
        <v>10</v>
      </c>
      <c r="E46" s="393">
        <v>1.0000000000000001E-5</v>
      </c>
      <c r="F46" s="978">
        <f t="shared" si="18"/>
        <v>1.0000000000000001E-5</v>
      </c>
      <c r="G46" s="65">
        <f t="shared" si="21"/>
        <v>0.14399999999999999</v>
      </c>
      <c r="I46" s="392">
        <v>120</v>
      </c>
      <c r="J46" s="392" t="s">
        <v>10</v>
      </c>
      <c r="K46" s="392" t="s">
        <v>10</v>
      </c>
      <c r="L46" s="393">
        <v>1.0000000000000001E-5</v>
      </c>
      <c r="M46" s="978">
        <f t="shared" si="19"/>
        <v>1.0000000000000001E-5</v>
      </c>
      <c r="N46" s="65">
        <f t="shared" si="22"/>
        <v>0.14399999999999999</v>
      </c>
      <c r="P46" s="392">
        <v>120</v>
      </c>
      <c r="Q46" s="392" t="s">
        <v>10</v>
      </c>
      <c r="R46" s="392" t="s">
        <v>10</v>
      </c>
      <c r="S46" s="393">
        <v>1.0000000000000001E-5</v>
      </c>
      <c r="T46" s="395">
        <f t="shared" si="20"/>
        <v>0</v>
      </c>
      <c r="U46" s="67">
        <f t="shared" si="23"/>
        <v>0.14399999999999999</v>
      </c>
      <c r="V46" s="389"/>
    </row>
    <row r="47" spans="1:22">
      <c r="A47" s="389"/>
      <c r="B47" s="392">
        <v>180</v>
      </c>
      <c r="C47" s="392" t="s">
        <v>10</v>
      </c>
      <c r="D47" s="392" t="s">
        <v>10</v>
      </c>
      <c r="E47" s="393">
        <v>1.0000000000000001E-5</v>
      </c>
      <c r="F47" s="978">
        <f t="shared" si="18"/>
        <v>1.0000000000000001E-5</v>
      </c>
      <c r="G47" s="65">
        <f t="shared" si="21"/>
        <v>0.21599999999999997</v>
      </c>
      <c r="I47" s="392">
        <v>180</v>
      </c>
      <c r="J47" s="392" t="s">
        <v>10</v>
      </c>
      <c r="K47" s="392" t="s">
        <v>10</v>
      </c>
      <c r="L47" s="393">
        <v>1.0000000000000001E-5</v>
      </c>
      <c r="M47" s="978">
        <f t="shared" si="19"/>
        <v>1.0000000000000001E-5</v>
      </c>
      <c r="N47" s="65">
        <f t="shared" si="22"/>
        <v>0.21599999999999997</v>
      </c>
      <c r="P47" s="392">
        <v>180</v>
      </c>
      <c r="Q47" s="392" t="s">
        <v>10</v>
      </c>
      <c r="R47" s="392" t="s">
        <v>10</v>
      </c>
      <c r="S47" s="393">
        <v>1.0000000000000001E-5</v>
      </c>
      <c r="T47" s="395">
        <f t="shared" si="20"/>
        <v>0</v>
      </c>
      <c r="U47" s="67">
        <f t="shared" si="23"/>
        <v>0.21599999999999997</v>
      </c>
      <c r="V47" s="389"/>
    </row>
    <row r="48" spans="1:22" ht="13" thickBot="1">
      <c r="A48" s="389"/>
      <c r="B48" s="392">
        <v>240</v>
      </c>
      <c r="C48" s="392" t="s">
        <v>10</v>
      </c>
      <c r="D48" s="392" t="s">
        <v>10</v>
      </c>
      <c r="E48" s="393">
        <v>1.0000000000000001E-5</v>
      </c>
      <c r="F48" s="978">
        <f t="shared" si="18"/>
        <v>1.0000000000000001E-5</v>
      </c>
      <c r="G48" s="65">
        <f t="shared" si="21"/>
        <v>0.28799999999999998</v>
      </c>
      <c r="I48" s="392">
        <v>240</v>
      </c>
      <c r="J48" s="392" t="s">
        <v>10</v>
      </c>
      <c r="K48" s="392" t="s">
        <v>10</v>
      </c>
      <c r="L48" s="393">
        <v>1.0000000000000001E-5</v>
      </c>
      <c r="M48" s="978">
        <f t="shared" si="19"/>
        <v>1.0000000000000001E-5</v>
      </c>
      <c r="N48" s="65">
        <f t="shared" si="22"/>
        <v>0.28799999999999998</v>
      </c>
      <c r="P48" s="392">
        <v>240</v>
      </c>
      <c r="Q48" s="392" t="s">
        <v>10</v>
      </c>
      <c r="R48" s="392" t="s">
        <v>10</v>
      </c>
      <c r="S48" s="393">
        <v>1.0000000000000001E-5</v>
      </c>
      <c r="T48" s="397">
        <f t="shared" si="20"/>
        <v>0</v>
      </c>
      <c r="U48" s="68">
        <f t="shared" si="23"/>
        <v>0.28799999999999998</v>
      </c>
      <c r="V48" s="389"/>
    </row>
    <row r="49" spans="1:22">
      <c r="A49" s="389"/>
      <c r="V49" s="389"/>
    </row>
    <row r="50" spans="1:22">
      <c r="A50" s="389"/>
      <c r="V50" s="389"/>
    </row>
    <row r="51" spans="1:22">
      <c r="A51" s="389"/>
      <c r="V51" s="389"/>
    </row>
    <row r="52" spans="1:22" ht="13" thickBot="1">
      <c r="A52" s="389"/>
      <c r="B52" s="62" t="s">
        <v>367</v>
      </c>
      <c r="I52" s="62" t="s">
        <v>367</v>
      </c>
      <c r="P52" s="62" t="s">
        <v>367</v>
      </c>
      <c r="V52" s="389"/>
    </row>
    <row r="53" spans="1:22" ht="14">
      <c r="A53" s="389"/>
      <c r="B53" s="1649" t="s">
        <v>360</v>
      </c>
      <c r="C53" s="1649"/>
      <c r="D53" s="1649"/>
      <c r="E53" s="1649"/>
      <c r="F53" s="970" t="s">
        <v>2</v>
      </c>
      <c r="G53" s="973" t="s">
        <v>3</v>
      </c>
      <c r="I53" s="1649" t="s">
        <v>360</v>
      </c>
      <c r="J53" s="1649"/>
      <c r="K53" s="1649"/>
      <c r="L53" s="1649"/>
      <c r="M53" s="1646" t="s">
        <v>2</v>
      </c>
      <c r="N53" s="1650" t="s">
        <v>3</v>
      </c>
      <c r="P53" s="1649" t="s">
        <v>360</v>
      </c>
      <c r="Q53" s="1649"/>
      <c r="R53" s="1649"/>
      <c r="S53" s="1649"/>
      <c r="T53" s="1646" t="s">
        <v>2</v>
      </c>
      <c r="U53" s="1650" t="s">
        <v>3</v>
      </c>
      <c r="V53" s="389"/>
    </row>
    <row r="54" spans="1:22" ht="13">
      <c r="A54" s="389"/>
      <c r="B54" s="969" t="s">
        <v>361</v>
      </c>
      <c r="C54" s="1644" t="s">
        <v>7</v>
      </c>
      <c r="D54" s="1644"/>
      <c r="E54" s="1644"/>
      <c r="F54" s="971"/>
      <c r="G54" s="974"/>
      <c r="I54" s="969" t="s">
        <v>361</v>
      </c>
      <c r="J54" s="1644" t="s">
        <v>7</v>
      </c>
      <c r="K54" s="1644"/>
      <c r="L54" s="1644"/>
      <c r="M54" s="1647"/>
      <c r="N54" s="1651"/>
      <c r="P54" s="969" t="s">
        <v>361</v>
      </c>
      <c r="Q54" s="1644" t="s">
        <v>7</v>
      </c>
      <c r="R54" s="1644"/>
      <c r="S54" s="1644"/>
      <c r="T54" s="1647"/>
      <c r="U54" s="1651"/>
      <c r="V54" s="389"/>
    </row>
    <row r="55" spans="1:22" ht="14">
      <c r="A55" s="389"/>
      <c r="B55" s="61" t="s">
        <v>362</v>
      </c>
      <c r="C55" s="969">
        <v>2017</v>
      </c>
      <c r="D55" s="969">
        <v>2017</v>
      </c>
      <c r="E55" s="968">
        <v>2018</v>
      </c>
      <c r="F55" s="972"/>
      <c r="G55" s="975"/>
      <c r="I55" s="61" t="s">
        <v>362</v>
      </c>
      <c r="J55" s="969">
        <v>2017</v>
      </c>
      <c r="K55" s="969">
        <v>2017</v>
      </c>
      <c r="L55" s="968">
        <v>2018</v>
      </c>
      <c r="M55" s="1648"/>
      <c r="N55" s="1652"/>
      <c r="P55" s="61" t="s">
        <v>362</v>
      </c>
      <c r="Q55" s="969">
        <v>2017</v>
      </c>
      <c r="R55" s="969">
        <v>2017</v>
      </c>
      <c r="S55" s="968">
        <v>2018</v>
      </c>
      <c r="T55" s="1648"/>
      <c r="U55" s="1652"/>
      <c r="V55" s="389"/>
    </row>
    <row r="56" spans="1:22">
      <c r="A56" s="389"/>
      <c r="B56" s="391">
        <v>0</v>
      </c>
      <c r="C56" s="392" t="s">
        <v>10</v>
      </c>
      <c r="D56" s="392" t="s">
        <v>10</v>
      </c>
      <c r="E56" s="393">
        <v>1.0000000000000001E-5</v>
      </c>
      <c r="F56" s="978">
        <f t="shared" ref="F56:F65" si="24">IF(0.5*(MAX(C56:E56)-MIN(C56:E56))=0,0.00001,0.5*(MAX(C56:E56)-MIN(C56:E56)))</f>
        <v>1.0000000000000001E-5</v>
      </c>
      <c r="G56" s="394">
        <v>4.7999999999999996E-3</v>
      </c>
      <c r="I56" s="391">
        <v>0</v>
      </c>
      <c r="J56" s="392" t="s">
        <v>10</v>
      </c>
      <c r="K56" s="392" t="s">
        <v>10</v>
      </c>
      <c r="L56" s="978">
        <f t="shared" ref="L56:L65" si="25">IF(0.5*(MAX(I56:K56)-MIN(I56:K56))=0,0.00001,0.5*(MAX(I56:K56)-MIN(I56:K56)))</f>
        <v>1.0000000000000001E-5</v>
      </c>
      <c r="M56" s="66">
        <f t="shared" ref="M56:M65" si="26">0.5*(MAX(J56:L56)-MIN(J56:L56))</f>
        <v>0</v>
      </c>
      <c r="N56" s="394">
        <v>4.7999999999999996E-3</v>
      </c>
      <c r="P56" s="391">
        <v>0</v>
      </c>
      <c r="Q56" s="392" t="s">
        <v>10</v>
      </c>
      <c r="R56" s="392" t="s">
        <v>10</v>
      </c>
      <c r="S56" s="393">
        <v>1.0000000000000001E-5</v>
      </c>
      <c r="T56" s="978">
        <f t="shared" ref="T56:T65" si="27">IF(0.5*(MAX(Q56:S56)-MIN(Q56:S56))=0,0.00001,0.5*(MAX(Q56:S56)-MIN(Q56:S56)))</f>
        <v>1.0000000000000001E-5</v>
      </c>
      <c r="U56" s="394">
        <v>4.7999999999999996E-3</v>
      </c>
      <c r="V56" s="389"/>
    </row>
    <row r="57" spans="1:22">
      <c r="A57" s="389"/>
      <c r="B57" s="391">
        <v>10</v>
      </c>
      <c r="C57" s="392" t="s">
        <v>10</v>
      </c>
      <c r="D57" s="392" t="s">
        <v>10</v>
      </c>
      <c r="E57" s="393">
        <v>1.0000000000000001E-5</v>
      </c>
      <c r="F57" s="978">
        <f t="shared" si="24"/>
        <v>1.0000000000000001E-5</v>
      </c>
      <c r="G57" s="394">
        <f>$N$31*B57</f>
        <v>4.7999999999999994E-2</v>
      </c>
      <c r="I57" s="391">
        <v>10</v>
      </c>
      <c r="J57" s="392" t="s">
        <v>10</v>
      </c>
      <c r="K57" s="392" t="s">
        <v>10</v>
      </c>
      <c r="L57" s="978">
        <f t="shared" si="25"/>
        <v>1.0000000000000001E-5</v>
      </c>
      <c r="M57" s="66">
        <f t="shared" si="26"/>
        <v>0</v>
      </c>
      <c r="N57" s="394">
        <f>$N$31*I57</f>
        <v>4.7999999999999994E-2</v>
      </c>
      <c r="P57" s="391">
        <v>10</v>
      </c>
      <c r="Q57" s="392" t="s">
        <v>10</v>
      </c>
      <c r="R57" s="392" t="s">
        <v>10</v>
      </c>
      <c r="S57" s="393">
        <v>1.0000000000000001E-5</v>
      </c>
      <c r="T57" s="978">
        <f t="shared" si="27"/>
        <v>1.0000000000000001E-5</v>
      </c>
      <c r="U57" s="394">
        <f>$N$31*P57</f>
        <v>4.7999999999999994E-2</v>
      </c>
      <c r="V57" s="389"/>
    </row>
    <row r="58" spans="1:22">
      <c r="A58" s="389"/>
      <c r="B58" s="391">
        <v>20</v>
      </c>
      <c r="C58" s="392" t="s">
        <v>10</v>
      </c>
      <c r="D58" s="392" t="s">
        <v>10</v>
      </c>
      <c r="E58" s="393">
        <v>0.1</v>
      </c>
      <c r="F58" s="978">
        <f t="shared" si="24"/>
        <v>1.0000000000000001E-5</v>
      </c>
      <c r="G58" s="394">
        <f t="shared" ref="G58:G65" si="28">$N$31*B58</f>
        <v>9.5999999999999988E-2</v>
      </c>
      <c r="I58" s="391">
        <v>20</v>
      </c>
      <c r="J58" s="392" t="s">
        <v>10</v>
      </c>
      <c r="K58" s="392" t="s">
        <v>10</v>
      </c>
      <c r="L58" s="978">
        <f t="shared" si="25"/>
        <v>1.0000000000000001E-5</v>
      </c>
      <c r="M58" s="66">
        <f t="shared" si="26"/>
        <v>0</v>
      </c>
      <c r="N58" s="394">
        <f t="shared" ref="N58:N65" si="29">$N$31*I58</f>
        <v>9.5999999999999988E-2</v>
      </c>
      <c r="P58" s="391">
        <v>20</v>
      </c>
      <c r="Q58" s="392" t="s">
        <v>10</v>
      </c>
      <c r="R58" s="392" t="s">
        <v>10</v>
      </c>
      <c r="S58" s="393">
        <v>0.1</v>
      </c>
      <c r="T58" s="978">
        <f t="shared" si="27"/>
        <v>1.0000000000000001E-5</v>
      </c>
      <c r="U58" s="394">
        <f t="shared" ref="U58:U65" si="30">$N$31*P58</f>
        <v>9.5999999999999988E-2</v>
      </c>
      <c r="V58" s="389"/>
    </row>
    <row r="59" spans="1:22">
      <c r="A59" s="389"/>
      <c r="B59" s="391">
        <v>30</v>
      </c>
      <c r="C59" s="392" t="s">
        <v>10</v>
      </c>
      <c r="D59" s="392" t="s">
        <v>10</v>
      </c>
      <c r="E59" s="393">
        <v>0.1</v>
      </c>
      <c r="F59" s="978">
        <f t="shared" si="24"/>
        <v>1.0000000000000001E-5</v>
      </c>
      <c r="G59" s="394">
        <f t="shared" si="28"/>
        <v>0.14399999999999999</v>
      </c>
      <c r="I59" s="391">
        <v>30</v>
      </c>
      <c r="J59" s="392" t="s">
        <v>10</v>
      </c>
      <c r="K59" s="392" t="s">
        <v>10</v>
      </c>
      <c r="L59" s="978">
        <f t="shared" si="25"/>
        <v>1.0000000000000001E-5</v>
      </c>
      <c r="M59" s="66">
        <f t="shared" si="26"/>
        <v>0</v>
      </c>
      <c r="N59" s="394">
        <f t="shared" si="29"/>
        <v>0.14399999999999999</v>
      </c>
      <c r="P59" s="391">
        <v>30</v>
      </c>
      <c r="Q59" s="392" t="s">
        <v>10</v>
      </c>
      <c r="R59" s="392" t="s">
        <v>10</v>
      </c>
      <c r="S59" s="393">
        <v>0.1</v>
      </c>
      <c r="T59" s="978">
        <f t="shared" si="27"/>
        <v>1.0000000000000001E-5</v>
      </c>
      <c r="U59" s="394">
        <f t="shared" si="30"/>
        <v>0.14399999999999999</v>
      </c>
      <c r="V59" s="389"/>
    </row>
    <row r="60" spans="1:22">
      <c r="A60" s="389"/>
      <c r="B60" s="391">
        <v>50</v>
      </c>
      <c r="C60" s="395" t="s">
        <v>10</v>
      </c>
      <c r="D60" s="395" t="s">
        <v>10</v>
      </c>
      <c r="E60" s="393">
        <v>0.2</v>
      </c>
      <c r="F60" s="978">
        <f t="shared" si="24"/>
        <v>1.0000000000000001E-5</v>
      </c>
      <c r="G60" s="394">
        <f t="shared" si="28"/>
        <v>0.24</v>
      </c>
      <c r="I60" s="391">
        <v>50</v>
      </c>
      <c r="J60" s="395" t="s">
        <v>10</v>
      </c>
      <c r="K60" s="395" t="s">
        <v>10</v>
      </c>
      <c r="L60" s="978">
        <f t="shared" si="25"/>
        <v>1.0000000000000001E-5</v>
      </c>
      <c r="M60" s="66">
        <f>0.5*(MAX(J60:L60)-MIN(J60:L60))</f>
        <v>0</v>
      </c>
      <c r="N60" s="394">
        <f t="shared" si="29"/>
        <v>0.24</v>
      </c>
      <c r="P60" s="391">
        <v>50</v>
      </c>
      <c r="Q60" s="395" t="s">
        <v>10</v>
      </c>
      <c r="R60" s="395" t="s">
        <v>10</v>
      </c>
      <c r="S60" s="393">
        <v>0.2</v>
      </c>
      <c r="T60" s="978">
        <f t="shared" si="27"/>
        <v>1.0000000000000001E-5</v>
      </c>
      <c r="U60" s="394">
        <f t="shared" si="30"/>
        <v>0.24</v>
      </c>
      <c r="V60" s="389"/>
    </row>
    <row r="61" spans="1:22">
      <c r="A61" s="389"/>
      <c r="B61" s="391">
        <v>100</v>
      </c>
      <c r="C61" s="395" t="s">
        <v>10</v>
      </c>
      <c r="D61" s="395" t="s">
        <v>10</v>
      </c>
      <c r="E61" s="393">
        <v>0.3</v>
      </c>
      <c r="F61" s="978">
        <f t="shared" si="24"/>
        <v>1.0000000000000001E-5</v>
      </c>
      <c r="G61" s="394">
        <f t="shared" si="28"/>
        <v>0.48</v>
      </c>
      <c r="I61" s="391">
        <v>100</v>
      </c>
      <c r="J61" s="395" t="s">
        <v>10</v>
      </c>
      <c r="K61" s="395" t="s">
        <v>10</v>
      </c>
      <c r="L61" s="978">
        <f t="shared" si="25"/>
        <v>1.0000000000000001E-5</v>
      </c>
      <c r="M61" s="66">
        <f t="shared" si="26"/>
        <v>0</v>
      </c>
      <c r="N61" s="394">
        <f t="shared" si="29"/>
        <v>0.48</v>
      </c>
      <c r="P61" s="391">
        <v>100</v>
      </c>
      <c r="Q61" s="395" t="s">
        <v>10</v>
      </c>
      <c r="R61" s="395" t="s">
        <v>10</v>
      </c>
      <c r="S61" s="393">
        <v>0.3</v>
      </c>
      <c r="T61" s="978">
        <f t="shared" si="27"/>
        <v>1.0000000000000001E-5</v>
      </c>
      <c r="U61" s="394">
        <f t="shared" si="30"/>
        <v>0.48</v>
      </c>
      <c r="V61" s="389"/>
    </row>
    <row r="62" spans="1:22">
      <c r="A62" s="389"/>
      <c r="B62" s="64">
        <v>150</v>
      </c>
      <c r="C62" s="395" t="s">
        <v>10</v>
      </c>
      <c r="D62" s="395" t="s">
        <v>10</v>
      </c>
      <c r="E62" s="393">
        <v>1.0000000000000001E-5</v>
      </c>
      <c r="F62" s="978">
        <f t="shared" si="24"/>
        <v>1.0000000000000001E-5</v>
      </c>
      <c r="G62" s="394">
        <f t="shared" si="28"/>
        <v>0.72</v>
      </c>
      <c r="I62" s="64">
        <v>150</v>
      </c>
      <c r="J62" s="395" t="s">
        <v>10</v>
      </c>
      <c r="K62" s="395" t="s">
        <v>10</v>
      </c>
      <c r="L62" s="978">
        <f t="shared" si="25"/>
        <v>1.0000000000000001E-5</v>
      </c>
      <c r="M62" s="66">
        <f t="shared" si="26"/>
        <v>0</v>
      </c>
      <c r="N62" s="394">
        <f t="shared" si="29"/>
        <v>0.72</v>
      </c>
      <c r="P62" s="64">
        <v>150</v>
      </c>
      <c r="Q62" s="395" t="s">
        <v>10</v>
      </c>
      <c r="R62" s="395" t="s">
        <v>10</v>
      </c>
      <c r="S62" s="393">
        <v>1.0000000000000001E-5</v>
      </c>
      <c r="T62" s="978">
        <f t="shared" si="27"/>
        <v>1.0000000000000001E-5</v>
      </c>
      <c r="U62" s="394">
        <f t="shared" si="30"/>
        <v>0.72</v>
      </c>
      <c r="V62" s="389"/>
    </row>
    <row r="63" spans="1:22">
      <c r="A63" s="389"/>
      <c r="B63" s="64">
        <v>200</v>
      </c>
      <c r="C63" s="395" t="s">
        <v>10</v>
      </c>
      <c r="D63" s="395" t="s">
        <v>10</v>
      </c>
      <c r="E63" s="393">
        <v>1</v>
      </c>
      <c r="F63" s="978">
        <f t="shared" si="24"/>
        <v>1.0000000000000001E-5</v>
      </c>
      <c r="G63" s="394">
        <f t="shared" si="28"/>
        <v>0.96</v>
      </c>
      <c r="I63" s="64">
        <v>200</v>
      </c>
      <c r="J63" s="395" t="s">
        <v>10</v>
      </c>
      <c r="K63" s="395" t="s">
        <v>10</v>
      </c>
      <c r="L63" s="978">
        <f t="shared" si="25"/>
        <v>1.0000000000000001E-5</v>
      </c>
      <c r="M63" s="66">
        <f t="shared" si="26"/>
        <v>0</v>
      </c>
      <c r="N63" s="394">
        <f t="shared" si="29"/>
        <v>0.96</v>
      </c>
      <c r="P63" s="64">
        <v>200</v>
      </c>
      <c r="Q63" s="395" t="s">
        <v>10</v>
      </c>
      <c r="R63" s="395" t="s">
        <v>10</v>
      </c>
      <c r="S63" s="393">
        <v>1</v>
      </c>
      <c r="T63" s="978">
        <f t="shared" si="27"/>
        <v>1.0000000000000001E-5</v>
      </c>
      <c r="U63" s="394">
        <f t="shared" si="30"/>
        <v>0.96</v>
      </c>
      <c r="V63" s="389"/>
    </row>
    <row r="64" spans="1:22">
      <c r="A64" s="389"/>
      <c r="B64" s="64">
        <v>250</v>
      </c>
      <c r="C64" s="395" t="s">
        <v>10</v>
      </c>
      <c r="D64" s="395" t="s">
        <v>10</v>
      </c>
      <c r="E64" s="393">
        <v>1.0000000000000001E-5</v>
      </c>
      <c r="F64" s="978">
        <f t="shared" si="24"/>
        <v>1.0000000000000001E-5</v>
      </c>
      <c r="G64" s="394">
        <f t="shared" si="28"/>
        <v>1.2</v>
      </c>
      <c r="I64" s="64">
        <v>250</v>
      </c>
      <c r="J64" s="395" t="s">
        <v>10</v>
      </c>
      <c r="K64" s="395" t="s">
        <v>10</v>
      </c>
      <c r="L64" s="978">
        <f t="shared" si="25"/>
        <v>1.0000000000000001E-5</v>
      </c>
      <c r="M64" s="66">
        <f t="shared" si="26"/>
        <v>0</v>
      </c>
      <c r="N64" s="394">
        <f t="shared" si="29"/>
        <v>1.2</v>
      </c>
      <c r="P64" s="64">
        <v>250</v>
      </c>
      <c r="Q64" s="395" t="s">
        <v>10</v>
      </c>
      <c r="R64" s="395" t="s">
        <v>10</v>
      </c>
      <c r="S64" s="393">
        <v>1.0000000000000001E-5</v>
      </c>
      <c r="T64" s="978">
        <f t="shared" si="27"/>
        <v>1.0000000000000001E-5</v>
      </c>
      <c r="U64" s="394">
        <f t="shared" si="30"/>
        <v>1.2</v>
      </c>
      <c r="V64" s="389"/>
    </row>
    <row r="65" spans="1:22">
      <c r="A65" s="389"/>
      <c r="B65" s="64">
        <v>360</v>
      </c>
      <c r="C65" s="395" t="s">
        <v>10</v>
      </c>
      <c r="D65" s="395" t="s">
        <v>10</v>
      </c>
      <c r="E65" s="393">
        <v>-1</v>
      </c>
      <c r="F65" s="978">
        <f t="shared" si="24"/>
        <v>1.0000000000000001E-5</v>
      </c>
      <c r="G65" s="394">
        <f t="shared" si="28"/>
        <v>1.7279999999999998</v>
      </c>
      <c r="I65" s="64">
        <v>360</v>
      </c>
      <c r="J65" s="395" t="s">
        <v>10</v>
      </c>
      <c r="K65" s="395" t="s">
        <v>10</v>
      </c>
      <c r="L65" s="978">
        <f t="shared" si="25"/>
        <v>1.0000000000000001E-5</v>
      </c>
      <c r="M65" s="66">
        <f t="shared" si="26"/>
        <v>0</v>
      </c>
      <c r="N65" s="394">
        <f t="shared" si="29"/>
        <v>1.7279999999999998</v>
      </c>
      <c r="P65" s="64">
        <v>360</v>
      </c>
      <c r="Q65" s="395" t="s">
        <v>10</v>
      </c>
      <c r="R65" s="395" t="s">
        <v>10</v>
      </c>
      <c r="S65" s="393">
        <v>-1</v>
      </c>
      <c r="T65" s="978">
        <f t="shared" si="27"/>
        <v>1.0000000000000001E-5</v>
      </c>
      <c r="U65" s="394">
        <f t="shared" si="30"/>
        <v>1.7279999999999998</v>
      </c>
      <c r="V65" s="389"/>
    </row>
    <row r="66" spans="1:22" ht="13">
      <c r="A66" s="389"/>
      <c r="B66" s="391" t="s">
        <v>363</v>
      </c>
      <c r="C66" s="969" t="s">
        <v>7</v>
      </c>
      <c r="D66" s="969" t="s">
        <v>7</v>
      </c>
      <c r="E66" s="969"/>
      <c r="F66" s="969" t="s">
        <v>2</v>
      </c>
      <c r="G66" s="976" t="s">
        <v>3</v>
      </c>
      <c r="I66" s="391" t="s">
        <v>363</v>
      </c>
      <c r="J66" s="969" t="s">
        <v>7</v>
      </c>
      <c r="K66" s="969" t="s">
        <v>7</v>
      </c>
      <c r="L66" s="969" t="s">
        <v>2</v>
      </c>
      <c r="M66" s="1644" t="s">
        <v>2</v>
      </c>
      <c r="N66" s="1653" t="s">
        <v>3</v>
      </c>
      <c r="P66" s="391" t="s">
        <v>363</v>
      </c>
      <c r="Q66" s="969" t="s">
        <v>7</v>
      </c>
      <c r="R66" s="969" t="s">
        <v>7</v>
      </c>
      <c r="S66" s="969"/>
      <c r="T66" s="969" t="s">
        <v>2</v>
      </c>
      <c r="U66" s="1653" t="s">
        <v>3</v>
      </c>
      <c r="V66" s="389"/>
    </row>
    <row r="67" spans="1:22" ht="13">
      <c r="A67" s="389"/>
      <c r="B67" s="391" t="s">
        <v>283</v>
      </c>
      <c r="C67" s="969">
        <v>2017</v>
      </c>
      <c r="D67" s="969">
        <v>2017</v>
      </c>
      <c r="E67" s="969">
        <v>2018</v>
      </c>
      <c r="F67" s="969"/>
      <c r="G67" s="976"/>
      <c r="I67" s="391" t="s">
        <v>283</v>
      </c>
      <c r="J67" s="969">
        <v>2017</v>
      </c>
      <c r="K67" s="969">
        <v>2017</v>
      </c>
      <c r="L67" s="969"/>
      <c r="M67" s="1644"/>
      <c r="N67" s="1653"/>
      <c r="P67" s="391" t="s">
        <v>283</v>
      </c>
      <c r="Q67" s="969">
        <v>2017</v>
      </c>
      <c r="R67" s="969">
        <v>2017</v>
      </c>
      <c r="S67" s="969">
        <v>2018</v>
      </c>
      <c r="T67" s="969"/>
      <c r="U67" s="1653"/>
      <c r="V67" s="389"/>
    </row>
    <row r="68" spans="1:22">
      <c r="A68" s="389"/>
      <c r="B68" s="391">
        <v>0</v>
      </c>
      <c r="C68" s="392" t="s">
        <v>10</v>
      </c>
      <c r="D68" s="392" t="s">
        <v>10</v>
      </c>
      <c r="E68" s="393">
        <v>1.0000000000000001E-5</v>
      </c>
      <c r="F68" s="978">
        <f t="shared" ref="F68:F73" si="31">IF(0.5*(MAX(C68:E68)-MIN(C68:E68))=0,0.00001,0.5*(MAX(C68:E68)-MIN(C68:E68)))</f>
        <v>1.0000000000000001E-5</v>
      </c>
      <c r="G68" s="67">
        <v>1.1999999999999999E-3</v>
      </c>
      <c r="I68" s="391">
        <v>0</v>
      </c>
      <c r="J68" s="392" t="s">
        <v>10</v>
      </c>
      <c r="K68" s="392" t="s">
        <v>10</v>
      </c>
      <c r="L68" s="978">
        <f t="shared" ref="L68:L73" si="32">IF(0.5*(MAX(I68:K68)-MIN(I68:K68))=0,0.00001,0.5*(MAX(I68:K68)-MIN(I68:K68)))</f>
        <v>1.0000000000000001E-5</v>
      </c>
      <c r="M68" s="395">
        <f t="shared" ref="M68:M73" si="33">0.5*(MAX(J68:L68)-MIN(J68:L68))</f>
        <v>0</v>
      </c>
      <c r="N68" s="67">
        <v>1.1999999999999999E-3</v>
      </c>
      <c r="P68" s="391">
        <v>0</v>
      </c>
      <c r="Q68" s="392" t="s">
        <v>10</v>
      </c>
      <c r="R68" s="392" t="s">
        <v>10</v>
      </c>
      <c r="S68" s="393">
        <v>1.0000000000000001E-5</v>
      </c>
      <c r="T68" s="978">
        <f t="shared" ref="T68:T73" si="34">IF(0.5*(MAX(Q68:S68)-MIN(Q68:S68))=0,0.00001,0.5*(MAX(Q68:S68)-MIN(Q68:S68)))</f>
        <v>1.0000000000000001E-5</v>
      </c>
      <c r="U68" s="67">
        <v>1.1999999999999999E-3</v>
      </c>
      <c r="V68" s="389"/>
    </row>
    <row r="69" spans="1:22">
      <c r="A69" s="389"/>
      <c r="B69" s="391">
        <v>30</v>
      </c>
      <c r="C69" s="392" t="s">
        <v>10</v>
      </c>
      <c r="D69" s="392" t="s">
        <v>10</v>
      </c>
      <c r="E69" s="393">
        <v>1.0000000000000001E-5</v>
      </c>
      <c r="F69" s="978">
        <f>IF(0.5*(MAX(C69:E69)-MIN(C69:E69))=0,0.00001,0.5*(MAX(C69:E69)-MIN(C69:E69)))</f>
        <v>1.0000000000000001E-5</v>
      </c>
      <c r="G69" s="67">
        <f>$N$43*B69</f>
        <v>3.5999999999999997E-2</v>
      </c>
      <c r="I69" s="391">
        <v>30</v>
      </c>
      <c r="J69" s="392" t="s">
        <v>10</v>
      </c>
      <c r="K69" s="392" t="s">
        <v>10</v>
      </c>
      <c r="L69" s="978">
        <f>IF(0.5*(MAX(I69:K69)-MIN(I69:K69))=0,0.00001,0.5*(MAX(I69:K69)-MIN(I69:K69)))</f>
        <v>1.0000000000000001E-5</v>
      </c>
      <c r="M69" s="395">
        <f t="shared" si="33"/>
        <v>0</v>
      </c>
      <c r="N69" s="67">
        <f>$N$43*I69</f>
        <v>3.5999999999999997E-2</v>
      </c>
      <c r="P69" s="391">
        <v>30</v>
      </c>
      <c r="Q69" s="392" t="s">
        <v>10</v>
      </c>
      <c r="R69" s="392" t="s">
        <v>10</v>
      </c>
      <c r="S69" s="393">
        <v>1.0000000000000001E-5</v>
      </c>
      <c r="T69" s="978">
        <f>IF(0.5*(MAX(Q69:S69)-MIN(Q69:S69))=0,0.00001,0.5*(MAX(Q69:S69)-MIN(Q69:S69)))</f>
        <v>1.0000000000000001E-5</v>
      </c>
      <c r="U69" s="67">
        <f>$N$43*P69</f>
        <v>3.5999999999999997E-2</v>
      </c>
      <c r="V69" s="389"/>
    </row>
    <row r="70" spans="1:22">
      <c r="A70" s="389"/>
      <c r="B70" s="391">
        <v>60</v>
      </c>
      <c r="C70" s="392" t="s">
        <v>10</v>
      </c>
      <c r="D70" s="392" t="s">
        <v>10</v>
      </c>
      <c r="E70" s="393">
        <v>1.0000000000000001E-5</v>
      </c>
      <c r="F70" s="978">
        <f t="shared" si="31"/>
        <v>1.0000000000000001E-5</v>
      </c>
      <c r="G70" s="67">
        <f t="shared" ref="G70:G73" si="35">$N$43*B70</f>
        <v>7.1999999999999995E-2</v>
      </c>
      <c r="I70" s="391">
        <v>60</v>
      </c>
      <c r="J70" s="392" t="s">
        <v>10</v>
      </c>
      <c r="K70" s="392" t="s">
        <v>10</v>
      </c>
      <c r="L70" s="978">
        <f t="shared" si="32"/>
        <v>1.0000000000000001E-5</v>
      </c>
      <c r="M70" s="395">
        <f t="shared" si="33"/>
        <v>0</v>
      </c>
      <c r="N70" s="67">
        <f t="shared" ref="N70:N73" si="36">$N$43*I70</f>
        <v>7.1999999999999995E-2</v>
      </c>
      <c r="P70" s="391">
        <v>60</v>
      </c>
      <c r="Q70" s="392" t="s">
        <v>10</v>
      </c>
      <c r="R70" s="392" t="s">
        <v>10</v>
      </c>
      <c r="S70" s="393">
        <v>1.0000000000000001E-5</v>
      </c>
      <c r="T70" s="978">
        <f t="shared" si="34"/>
        <v>1.0000000000000001E-5</v>
      </c>
      <c r="U70" s="67">
        <f t="shared" ref="U70:U73" si="37">$N$43*P70</f>
        <v>7.1999999999999995E-2</v>
      </c>
      <c r="V70" s="389"/>
    </row>
    <row r="71" spans="1:22">
      <c r="A71" s="389"/>
      <c r="B71" s="391">
        <v>120</v>
      </c>
      <c r="C71" s="392" t="s">
        <v>10</v>
      </c>
      <c r="D71" s="392" t="s">
        <v>10</v>
      </c>
      <c r="E71" s="393">
        <v>1.0000000000000001E-5</v>
      </c>
      <c r="F71" s="978">
        <f t="shared" si="31"/>
        <v>1.0000000000000001E-5</v>
      </c>
      <c r="G71" s="67">
        <f t="shared" si="35"/>
        <v>0.14399999999999999</v>
      </c>
      <c r="I71" s="391">
        <v>120</v>
      </c>
      <c r="J71" s="392" t="s">
        <v>10</v>
      </c>
      <c r="K71" s="392" t="s">
        <v>10</v>
      </c>
      <c r="L71" s="978">
        <f t="shared" si="32"/>
        <v>1.0000000000000001E-5</v>
      </c>
      <c r="M71" s="395">
        <f t="shared" si="33"/>
        <v>0</v>
      </c>
      <c r="N71" s="67">
        <f t="shared" si="36"/>
        <v>0.14399999999999999</v>
      </c>
      <c r="P71" s="391">
        <v>120</v>
      </c>
      <c r="Q71" s="392" t="s">
        <v>10</v>
      </c>
      <c r="R71" s="392" t="s">
        <v>10</v>
      </c>
      <c r="S71" s="393">
        <v>1.0000000000000001E-5</v>
      </c>
      <c r="T71" s="978">
        <f t="shared" si="34"/>
        <v>1.0000000000000001E-5</v>
      </c>
      <c r="U71" s="67">
        <f t="shared" si="37"/>
        <v>0.14399999999999999</v>
      </c>
      <c r="V71" s="389"/>
    </row>
    <row r="72" spans="1:22">
      <c r="A72" s="389"/>
      <c r="B72" s="391">
        <v>180</v>
      </c>
      <c r="C72" s="392" t="s">
        <v>10</v>
      </c>
      <c r="D72" s="392" t="s">
        <v>10</v>
      </c>
      <c r="E72" s="393">
        <v>1.0000000000000001E-5</v>
      </c>
      <c r="F72" s="978">
        <f t="shared" si="31"/>
        <v>1.0000000000000001E-5</v>
      </c>
      <c r="G72" s="67">
        <f t="shared" si="35"/>
        <v>0.21599999999999997</v>
      </c>
      <c r="I72" s="391">
        <v>180</v>
      </c>
      <c r="J72" s="392" t="s">
        <v>10</v>
      </c>
      <c r="K72" s="392" t="s">
        <v>10</v>
      </c>
      <c r="L72" s="978">
        <f t="shared" si="32"/>
        <v>1.0000000000000001E-5</v>
      </c>
      <c r="M72" s="395">
        <f t="shared" si="33"/>
        <v>0</v>
      </c>
      <c r="N72" s="67">
        <f t="shared" si="36"/>
        <v>0.21599999999999997</v>
      </c>
      <c r="P72" s="391">
        <v>180</v>
      </c>
      <c r="Q72" s="392" t="s">
        <v>10</v>
      </c>
      <c r="R72" s="392" t="s">
        <v>10</v>
      </c>
      <c r="S72" s="393">
        <v>1.0000000000000001E-5</v>
      </c>
      <c r="T72" s="978">
        <f t="shared" si="34"/>
        <v>1.0000000000000001E-5</v>
      </c>
      <c r="U72" s="67">
        <f t="shared" si="37"/>
        <v>0.21599999999999997</v>
      </c>
      <c r="V72" s="389"/>
    </row>
    <row r="73" spans="1:22" ht="13" thickBot="1">
      <c r="A73" s="389"/>
      <c r="B73" s="398">
        <v>240</v>
      </c>
      <c r="C73" s="396" t="s">
        <v>10</v>
      </c>
      <c r="D73" s="396" t="s">
        <v>10</v>
      </c>
      <c r="E73" s="393">
        <v>1.0000000000000001E-5</v>
      </c>
      <c r="F73" s="978">
        <f t="shared" si="31"/>
        <v>1.0000000000000001E-5</v>
      </c>
      <c r="G73" s="68">
        <f t="shared" si="35"/>
        <v>0.28799999999999998</v>
      </c>
      <c r="I73" s="398">
        <v>240</v>
      </c>
      <c r="J73" s="396" t="s">
        <v>10</v>
      </c>
      <c r="K73" s="396" t="s">
        <v>10</v>
      </c>
      <c r="L73" s="978">
        <f t="shared" si="32"/>
        <v>1.0000000000000001E-5</v>
      </c>
      <c r="M73" s="397">
        <f t="shared" si="33"/>
        <v>0</v>
      </c>
      <c r="N73" s="68">
        <f t="shared" si="36"/>
        <v>0.28799999999999998</v>
      </c>
      <c r="P73" s="398">
        <v>240</v>
      </c>
      <c r="Q73" s="396" t="s">
        <v>10</v>
      </c>
      <c r="R73" s="396" t="s">
        <v>10</v>
      </c>
      <c r="S73" s="393">
        <v>1.0000000000000001E-5</v>
      </c>
      <c r="T73" s="978">
        <f t="shared" si="34"/>
        <v>1.0000000000000001E-5</v>
      </c>
      <c r="U73" s="68">
        <f t="shared" si="37"/>
        <v>0.28799999999999998</v>
      </c>
      <c r="V73" s="389"/>
    </row>
    <row r="74" spans="1:22">
      <c r="A74" s="389"/>
      <c r="B74" s="389"/>
      <c r="C74" s="389"/>
      <c r="E74" s="389"/>
      <c r="F74" s="389"/>
      <c r="G74" s="389"/>
      <c r="H74" s="389"/>
      <c r="I74" s="389"/>
      <c r="J74" s="389"/>
      <c r="L74" s="389"/>
      <c r="M74" s="389"/>
      <c r="N74" s="389"/>
      <c r="O74" s="389"/>
      <c r="P74" s="389"/>
      <c r="Q74" s="389"/>
      <c r="S74" s="389"/>
      <c r="T74" s="389"/>
      <c r="U74" s="389"/>
      <c r="V74" s="389"/>
    </row>
    <row r="76" spans="1:22" ht="13" thickBot="1"/>
    <row r="77" spans="1:22" ht="24.75" customHeight="1">
      <c r="B77" s="1677" t="str">
        <f t="shared" ref="B77:B98" si="38">IF($B$120=$B$121,B2,IF($B$120=$B$122,I2,IF($B$120=$B$123,P2,IF($B$120=$B$124,B27,IF($B$120=$B$125,I27,IF($B$120=$B$126,P27,IF($B$120=$B$127,B52,IF($B$120=$B$128,I52,IF($B$120=$B$129,P52,IF($B$120=$B$121,B2,IF($B$120=$B$121,B2,IF($B$120=$B$121,B2))))))))))))</f>
        <v>Defibrillator Analyzer, Merek : Fluke, Model : Impulse 7000 D, SN : 1837053</v>
      </c>
      <c r="C77" s="1678"/>
      <c r="D77" s="1678"/>
      <c r="E77" s="1678"/>
      <c r="F77" s="1678"/>
      <c r="G77" s="1679"/>
      <c r="J77" s="1654" t="s">
        <v>111</v>
      </c>
      <c r="K77" s="1657" t="s">
        <v>368</v>
      </c>
      <c r="L77" s="1657" t="s">
        <v>112</v>
      </c>
      <c r="M77" s="399" t="s">
        <v>51</v>
      </c>
      <c r="N77" s="400" t="s">
        <v>49</v>
      </c>
    </row>
    <row r="78" spans="1:22" ht="13">
      <c r="B78" s="1680" t="str">
        <f t="shared" si="38"/>
        <v>KOREKSI DEFIBRILLATOR ANALYZER</v>
      </c>
      <c r="C78" s="1681"/>
      <c r="D78" s="1681"/>
      <c r="E78" s="1682"/>
      <c r="F78" s="63" t="str">
        <f>IF($B$120=$B$121,F3,IF($B$120=$B$122,M3,IF($B$120=$B$123,T3,IF($B$120=$B$124,F28,IF($B$120=$B$125,M28,IF($B$120=$B$126,T28,IF($B$120=$B$127,F53,IF($B$120=$B$128,M53,IF($B$120=$B$129,T53,IF($B$120=$B$121,F3,IF($B$120=$B$121,F3,IF($B$120=$B$121,F3))))))))))))</f>
        <v>DRIFT</v>
      </c>
      <c r="G78" s="63" t="str">
        <f>IF($B$120=$B$121,G3,IF($B$120=$B$122,N3,IF($B$120=$B$123,U3,IF($B$120=$B$124,G28,IF($B$120=$B$125,N28,IF($B$120=$B$126,U28,IF($B$120=$B$127,G53,IF($B$120=$B$128,N53,IF($B$120=$B$129,U53,IF($B$120=$B$121,G3,IF($B$120=$B$121,G3,IF($B$120=$B$121,G3))))))))))))</f>
        <v>U95 STD</v>
      </c>
      <c r="J78" s="1655"/>
      <c r="K78" s="1658"/>
      <c r="L78" s="1658"/>
      <c r="M78" s="401"/>
      <c r="N78" s="402"/>
    </row>
    <row r="79" spans="1:22" ht="13">
      <c r="B79" s="63" t="str">
        <f t="shared" si="38"/>
        <v>Setting Energi</v>
      </c>
      <c r="C79" s="1680" t="str">
        <f t="shared" ref="C79:C98" si="39">IF($B$120=$B$121,C4,IF($B$120=$B$122,J4,IF($B$120=$B$123,Q4,IF($B$120=$B$124,C29,IF($B$120=$B$125,J29,IF($B$120=$B$126,Q29,IF($B$120=$B$127,C54,IF($B$120=$B$128,J54,IF($B$120=$B$129,Q54,IF($B$120=$B$121,C4,IF($B$120=$B$121,C4,IF($B$120=$B$121,C4))))))))))))</f>
        <v>Tahun</v>
      </c>
      <c r="D79" s="1681"/>
      <c r="E79" s="1682"/>
      <c r="F79" s="63"/>
      <c r="G79" s="63"/>
      <c r="J79" s="1656"/>
      <c r="K79" s="1658"/>
      <c r="L79" s="1658"/>
      <c r="M79" s="403"/>
      <c r="N79" s="404"/>
    </row>
    <row r="80" spans="1:22" ht="13">
      <c r="B80" s="63" t="str">
        <f t="shared" si="38"/>
        <v>( Joule )</v>
      </c>
      <c r="C80" s="63">
        <f t="shared" si="39"/>
        <v>2016</v>
      </c>
      <c r="D80" s="63">
        <f t="shared" ref="D80:D90" si="40">IF($B$120=$B$121,D5,IF($B$120=$B$122,K5,IF($B$120=$B$123,R5,IF($B$120=$B$124,D30,IF($B$120=$B$125,K30,IF($B$120=$B$126,R30,IF($B$120=$B$127,D55,IF($B$120=$B$128,K55,IF($B$120=$B$129,R55,IF($B$120=$B$121,D5,IF($B$120=$B$121,D5,IF($B$120=$B$121,D5))))))))))))</f>
        <v>2016</v>
      </c>
      <c r="E80" s="63">
        <f t="shared" ref="E80:E90" si="41">IF($B$120=$B$121,E5,IF($B$120=$B$122,L5,IF($B$120=$B$123,S5,IF($B$120=$B$124,E30,IF($B$120=$B$125,L30,IF($B$120=$B$126,S30,IF($B$120=$B$127,E55,IF($B$120=$B$128,L55,IF($B$120=$B$129,S55,IF($B$120=$B$121,E5,IF($B$120=$B$121,E5,IF($B$120=$B$121,E5))))))))))))</f>
        <v>2018</v>
      </c>
      <c r="F80" s="63">
        <f t="shared" ref="F80:F90" si="42">IF($B$120=$B$121,F5,IF($B$120=$B$122,M5,IF($B$120=$B$123,T5,IF($B$120=$B$124,F30,IF($B$120=$B$125,M30,IF($B$120=$B$126,T30,IF($B$120=$B$127,F55,IF($B$120=$B$128,M55,IF($B$120=$B$129,T55,IF($B$120=$B$121,F5,IF($B$120=$B$121,F5,IF($B$120=$B$121,F5))))))))))))</f>
        <v>0</v>
      </c>
      <c r="G80" s="63">
        <f t="shared" ref="G80:G90" si="43">IF($B$120=$B$121,G5,IF($B$120=$B$122,N5,IF($B$120=$B$123,U5,IF($B$120=$B$124,G30,IF($B$120=$B$125,N30,IF($B$120=$B$126,U30,IF($B$120=$B$127,G55,IF($B$120=$B$128,N55,IF($B$120=$B$129,U55,IF($B$120=$B$121,G5,IF($B$120=$B$121,G5,IF($B$120=$B$121,G5))))))))))))</f>
        <v>0</v>
      </c>
      <c r="J80" s="405">
        <f t="shared" ref="J80:J88" si="44">C103</f>
        <v>5</v>
      </c>
      <c r="K80" s="979">
        <f>(FORECAST(J80,$E$81:$E$90,$B$81:$B$90))</f>
        <v>0.23756622900995367</v>
      </c>
      <c r="L80" s="980">
        <f>J80+K80</f>
        <v>5.2375662290099534</v>
      </c>
      <c r="M80" s="981">
        <f>(FORECAST(L80,$F$81:$F$90,$B$81:$B$90))</f>
        <v>3.5598751371960242E-3</v>
      </c>
      <c r="N80" s="982">
        <f>(FORECAST(L80,$G$81:$G$90,$B$81:$B$90))</f>
        <v>2.6097225298425682E-2</v>
      </c>
    </row>
    <row r="81" spans="2:38" ht="13">
      <c r="B81" s="63">
        <f t="shared" si="38"/>
        <v>0</v>
      </c>
      <c r="C81" s="63">
        <f t="shared" si="39"/>
        <v>0</v>
      </c>
      <c r="D81" s="63">
        <f t="shared" si="40"/>
        <v>0</v>
      </c>
      <c r="E81" s="63">
        <f t="shared" si="41"/>
        <v>1.0000000000000001E-5</v>
      </c>
      <c r="F81" s="63">
        <f t="shared" si="42"/>
        <v>5.0000000000000004E-6</v>
      </c>
      <c r="G81" s="63">
        <f t="shared" si="43"/>
        <v>4.7999999999999996E-3</v>
      </c>
      <c r="J81" s="405">
        <f t="shared" si="44"/>
        <v>10.5</v>
      </c>
      <c r="K81" s="406">
        <f>(FORECAST(J81,$E$81:$E$90,$B$81:$B$90))</f>
        <v>0.22933772669250058</v>
      </c>
      <c r="L81" s="406">
        <f t="shared" ref="L81:L88" si="45">J81+K81</f>
        <v>10.729337726692501</v>
      </c>
      <c r="M81" s="407">
        <f t="shared" ref="M81:M87" si="46">(FORECAST(L81,$F$81:$F$90,$B$81:$B$90))</f>
        <v>9.7730741302838493E-3</v>
      </c>
      <c r="N81" s="408">
        <f t="shared" ref="N81:N87" si="47">(FORECAST(L81,$G$81:$G$90,$B$81:$B$90))</f>
        <v>5.2434294258344394E-2</v>
      </c>
      <c r="AL81" s="409"/>
    </row>
    <row r="82" spans="2:38" ht="13">
      <c r="B82" s="63">
        <f t="shared" si="38"/>
        <v>10</v>
      </c>
      <c r="C82" s="63" t="str">
        <f t="shared" si="39"/>
        <v>-</v>
      </c>
      <c r="D82" s="63" t="str">
        <f t="shared" si="40"/>
        <v>-</v>
      </c>
      <c r="E82" s="63">
        <f t="shared" si="41"/>
        <v>1.0000000000000001E-5</v>
      </c>
      <c r="F82" s="63">
        <f t="shared" si="42"/>
        <v>1.0000000000000001E-5</v>
      </c>
      <c r="G82" s="63">
        <f t="shared" si="43"/>
        <v>4.7999999999999994E-2</v>
      </c>
      <c r="J82" s="405">
        <f t="shared" si="44"/>
        <v>20</v>
      </c>
      <c r="K82" s="980">
        <f t="shared" ref="K82:K88" si="48">(FORECAST(J82,$E$81:$E$90,$B$81:$B$90))</f>
        <v>0.21512485905326345</v>
      </c>
      <c r="L82" s="980">
        <f t="shared" si="45"/>
        <v>20.215124859053262</v>
      </c>
      <c r="M82" s="981">
        <f t="shared" si="46"/>
        <v>2.0504963300162819E-2</v>
      </c>
      <c r="N82" s="982">
        <f t="shared" si="47"/>
        <v>9.7925595189113063E-2</v>
      </c>
    </row>
    <row r="83" spans="2:38" ht="13">
      <c r="B83" s="63">
        <f t="shared" si="38"/>
        <v>20</v>
      </c>
      <c r="C83" s="63">
        <f t="shared" si="39"/>
        <v>0</v>
      </c>
      <c r="D83" s="63">
        <f t="shared" si="40"/>
        <v>0</v>
      </c>
      <c r="E83" s="63">
        <f t="shared" si="41"/>
        <v>0.1</v>
      </c>
      <c r="F83" s="63">
        <f t="shared" si="42"/>
        <v>0.05</v>
      </c>
      <c r="G83" s="63">
        <f t="shared" si="43"/>
        <v>9.5999999999999988E-2</v>
      </c>
      <c r="J83" s="405">
        <f t="shared" si="44"/>
        <v>30</v>
      </c>
      <c r="K83" s="406">
        <f t="shared" si="48"/>
        <v>0.20016394574880331</v>
      </c>
      <c r="L83" s="406">
        <f t="shared" si="45"/>
        <v>30.200163945748802</v>
      </c>
      <c r="M83" s="407">
        <f t="shared" si="46"/>
        <v>3.1801688742140684E-2</v>
      </c>
      <c r="N83" s="408">
        <f t="shared" si="47"/>
        <v>0.14581117511623798</v>
      </c>
    </row>
    <row r="84" spans="2:38" ht="13">
      <c r="B84" s="63">
        <f t="shared" si="38"/>
        <v>30</v>
      </c>
      <c r="C84" s="63" t="str">
        <f t="shared" si="39"/>
        <v>-</v>
      </c>
      <c r="D84" s="63" t="str">
        <f t="shared" si="40"/>
        <v>-</v>
      </c>
      <c r="E84" s="63">
        <f t="shared" si="41"/>
        <v>0.1</v>
      </c>
      <c r="F84" s="63">
        <f t="shared" si="42"/>
        <v>1.0000000000000001E-5</v>
      </c>
      <c r="G84" s="63">
        <f t="shared" si="43"/>
        <v>0.14399999999999999</v>
      </c>
      <c r="J84" s="405">
        <f t="shared" si="44"/>
        <v>51.333333333333336</v>
      </c>
      <c r="K84" s="406">
        <f t="shared" si="48"/>
        <v>0.16824733069928832</v>
      </c>
      <c r="L84" s="406">
        <f t="shared" si="45"/>
        <v>51.501580664032623</v>
      </c>
      <c r="M84" s="407">
        <f t="shared" si="46"/>
        <v>5.5901369685026792E-2</v>
      </c>
      <c r="N84" s="408">
        <f t="shared" si="47"/>
        <v>0.24796707896077116</v>
      </c>
    </row>
    <row r="85" spans="2:38" ht="13">
      <c r="B85" s="63">
        <f t="shared" si="38"/>
        <v>50</v>
      </c>
      <c r="C85" s="63">
        <f t="shared" si="39"/>
        <v>0</v>
      </c>
      <c r="D85" s="63">
        <f t="shared" si="40"/>
        <v>0</v>
      </c>
      <c r="E85" s="63">
        <f t="shared" si="41"/>
        <v>0.2</v>
      </c>
      <c r="F85" s="63">
        <f t="shared" si="42"/>
        <v>0.1</v>
      </c>
      <c r="G85" s="63">
        <f t="shared" si="43"/>
        <v>0.24</v>
      </c>
      <c r="J85" s="405">
        <f t="shared" si="44"/>
        <v>98.666666666666671</v>
      </c>
      <c r="K85" s="406">
        <f t="shared" si="48"/>
        <v>9.7432341058176941E-2</v>
      </c>
      <c r="L85" s="406">
        <f t="shared" si="45"/>
        <v>98.764099007724852</v>
      </c>
      <c r="M85" s="407">
        <f t="shared" si="46"/>
        <v>0.10937253677705536</v>
      </c>
      <c r="N85" s="408">
        <f t="shared" si="47"/>
        <v>0.47462549061582915</v>
      </c>
    </row>
    <row r="86" spans="2:38" ht="13">
      <c r="B86" s="63">
        <f t="shared" si="38"/>
        <v>100</v>
      </c>
      <c r="C86" s="63">
        <f t="shared" si="39"/>
        <v>0</v>
      </c>
      <c r="D86" s="63">
        <f t="shared" si="40"/>
        <v>0</v>
      </c>
      <c r="E86" s="63">
        <f t="shared" si="41"/>
        <v>0.3</v>
      </c>
      <c r="F86" s="63">
        <f t="shared" si="42"/>
        <v>0.15</v>
      </c>
      <c r="G86" s="63">
        <f t="shared" si="43"/>
        <v>0.48</v>
      </c>
      <c r="J86" s="405">
        <f t="shared" si="44"/>
        <v>149.66666666666666</v>
      </c>
      <c r="K86" s="406">
        <f t="shared" si="48"/>
        <v>2.1131683205430213E-2</v>
      </c>
      <c r="L86" s="406">
        <f t="shared" si="45"/>
        <v>149.68779834987208</v>
      </c>
      <c r="M86" s="407">
        <f t="shared" si="46"/>
        <v>0.16698583653114243</v>
      </c>
      <c r="N86" s="408">
        <f t="shared" si="47"/>
        <v>0.71884194824416614</v>
      </c>
    </row>
    <row r="87" spans="2:38" ht="13">
      <c r="B87" s="63">
        <f t="shared" si="38"/>
        <v>150</v>
      </c>
      <c r="C87" s="63">
        <f t="shared" si="39"/>
        <v>0</v>
      </c>
      <c r="D87" s="63">
        <f t="shared" si="40"/>
        <v>0</v>
      </c>
      <c r="E87" s="63">
        <f t="shared" si="41"/>
        <v>1.0000000000000001E-5</v>
      </c>
      <c r="F87" s="63">
        <f t="shared" si="42"/>
        <v>5.0000000000000004E-6</v>
      </c>
      <c r="G87" s="63">
        <f t="shared" si="43"/>
        <v>0.72</v>
      </c>
      <c r="J87" s="405">
        <f t="shared" si="44"/>
        <v>202</v>
      </c>
      <c r="K87" s="406">
        <f t="shared" si="48"/>
        <v>-5.7163763087911212E-2</v>
      </c>
      <c r="L87" s="406">
        <f t="shared" si="45"/>
        <v>201.94283623691209</v>
      </c>
      <c r="M87" s="407">
        <f t="shared" si="46"/>
        <v>0.22610536634415992</v>
      </c>
      <c r="N87" s="408">
        <f t="shared" si="47"/>
        <v>0.96944314986278668</v>
      </c>
    </row>
    <row r="88" spans="2:38" ht="13">
      <c r="B88" s="63">
        <f t="shared" si="38"/>
        <v>200</v>
      </c>
      <c r="C88" s="63">
        <f t="shared" si="39"/>
        <v>0</v>
      </c>
      <c r="D88" s="63">
        <f t="shared" si="40"/>
        <v>0</v>
      </c>
      <c r="E88" s="63">
        <f t="shared" si="41"/>
        <v>1</v>
      </c>
      <c r="F88" s="63">
        <f t="shared" si="42"/>
        <v>0.5</v>
      </c>
      <c r="G88" s="63">
        <f t="shared" si="43"/>
        <v>0.96</v>
      </c>
      <c r="J88" s="405">
        <f t="shared" si="44"/>
        <v>292</v>
      </c>
      <c r="K88" s="406">
        <f t="shared" si="48"/>
        <v>-0.19181198282805256</v>
      </c>
      <c r="L88" s="406">
        <f t="shared" si="45"/>
        <v>291.80818801717197</v>
      </c>
      <c r="M88" s="407">
        <f>(FORECAST(L88,$F$81:$F$90,$B$81:$B$90))</f>
        <v>0.32777589532196072</v>
      </c>
      <c r="N88" s="408">
        <f>(FORECAST(L88,$G$81:$G$90,$B$81:$B$90))</f>
        <v>1.4004133692069112</v>
      </c>
    </row>
    <row r="89" spans="2:38" ht="13">
      <c r="B89" s="63">
        <f t="shared" si="38"/>
        <v>250</v>
      </c>
      <c r="C89" s="63" t="str">
        <f t="shared" si="39"/>
        <v>-</v>
      </c>
      <c r="D89" s="63" t="str">
        <f t="shared" si="40"/>
        <v>-</v>
      </c>
      <c r="E89" s="63">
        <f t="shared" si="41"/>
        <v>1.0000000000000001E-5</v>
      </c>
      <c r="F89" s="63">
        <f t="shared" si="42"/>
        <v>1.0000000000000001E-5</v>
      </c>
      <c r="G89" s="63">
        <f t="shared" si="43"/>
        <v>1.2</v>
      </c>
      <c r="J89" s="410"/>
      <c r="K89" s="411"/>
      <c r="L89" s="411"/>
      <c r="M89" s="411"/>
      <c r="N89" s="412"/>
    </row>
    <row r="90" spans="2:38" ht="13">
      <c r="B90" s="63">
        <f t="shared" si="38"/>
        <v>360</v>
      </c>
      <c r="C90" s="63">
        <f t="shared" si="39"/>
        <v>0</v>
      </c>
      <c r="D90" s="63">
        <f t="shared" si="40"/>
        <v>0</v>
      </c>
      <c r="E90" s="63">
        <f t="shared" si="41"/>
        <v>-1</v>
      </c>
      <c r="F90" s="63">
        <f t="shared" si="42"/>
        <v>0.5</v>
      </c>
      <c r="G90" s="63">
        <f t="shared" si="43"/>
        <v>1.7279999999999998</v>
      </c>
      <c r="J90" s="1670" t="s">
        <v>369</v>
      </c>
      <c r="K90" s="1671"/>
      <c r="L90" s="1671"/>
      <c r="M90" s="1671"/>
      <c r="N90" s="1672"/>
    </row>
    <row r="91" spans="2:38" ht="13.5" thickBot="1">
      <c r="B91" s="63" t="str">
        <f t="shared" si="38"/>
        <v>ECG Normal Wave</v>
      </c>
      <c r="C91" s="1680" t="str">
        <f t="shared" si="39"/>
        <v>Tahun</v>
      </c>
      <c r="D91" s="1681"/>
      <c r="E91" s="1682"/>
      <c r="F91" s="63" t="str">
        <f t="shared" ref="F91:G98" si="49">IF($B$120=$B$121,F16,IF($B$120=$B$122,M16,IF($B$120=$B$123,T16,IF($B$120=$B$124,F41,IF($B$120=$B$125,M41,IF($B$120=$B$126,T41,IF($B$120=$B$127,F66,IF($B$120=$B$128,M66,IF($B$120=$B$129,T66,IF($B$120=$B$121,F16,IF($B$120=$B$121,F16,IF($B$120=$B$121,F16))))))))))))</f>
        <v>DRIFT</v>
      </c>
      <c r="G91" s="63" t="str">
        <f t="shared" si="49"/>
        <v>U95 STD</v>
      </c>
      <c r="J91" s="413">
        <f>C114</f>
        <v>200</v>
      </c>
      <c r="K91" s="414">
        <f>(FORECAST(C114,$E$81:$E$90,$B$81:$B$90))</f>
        <v>-5.4171580427019195E-2</v>
      </c>
      <c r="L91" s="415">
        <f>J91+K91</f>
        <v>199.94582841957299</v>
      </c>
      <c r="M91" s="407">
        <f>(FORECAST(L91,$F$81:$F$90,$B$81:$B$90))</f>
        <v>0.22384602125576436</v>
      </c>
      <c r="N91" s="408">
        <f t="shared" ref="N91" si="50">(FORECAST(L91,$G$81:$G$90,$B$81:$B$90))</f>
        <v>0.95986603387736169</v>
      </c>
    </row>
    <row r="92" spans="2:38" ht="13">
      <c r="B92" s="63" t="str">
        <f t="shared" si="38"/>
        <v>( BPM )</v>
      </c>
      <c r="C92" s="63">
        <f t="shared" si="39"/>
        <v>2016</v>
      </c>
      <c r="D92" s="63">
        <f t="shared" ref="D92:E98" si="51">IF($B$120=$B$121,D17,IF($B$120=$B$122,K17,IF($B$120=$B$123,R17,IF($B$120=$B$124,D42,IF($B$120=$B$125,K42,IF($B$120=$B$126,R42,IF($B$120=$B$127,D67,IF($B$120=$B$128,K67,IF($B$120=$B$129,R67,IF($B$120=$B$121,D17,IF($B$120=$B$121,D17,IF($B$120=$B$121,D17))))))))))))</f>
        <v>2016</v>
      </c>
      <c r="E92" s="63">
        <f t="shared" si="51"/>
        <v>2018</v>
      </c>
      <c r="F92" s="63">
        <f t="shared" si="49"/>
        <v>0</v>
      </c>
      <c r="G92" s="63">
        <f t="shared" si="49"/>
        <v>0</v>
      </c>
    </row>
    <row r="93" spans="2:38" ht="13">
      <c r="B93" s="63">
        <f t="shared" si="38"/>
        <v>0</v>
      </c>
      <c r="C93" s="63">
        <f t="shared" si="39"/>
        <v>0</v>
      </c>
      <c r="D93" s="63">
        <f t="shared" si="51"/>
        <v>0</v>
      </c>
      <c r="E93" s="63">
        <f t="shared" si="51"/>
        <v>1.0000000000000001E-5</v>
      </c>
      <c r="F93" s="63">
        <f t="shared" si="49"/>
        <v>5.0000000000000004E-6</v>
      </c>
      <c r="G93" s="63">
        <f t="shared" si="49"/>
        <v>1.2999999999999999E-3</v>
      </c>
    </row>
    <row r="94" spans="2:38" ht="13">
      <c r="B94" s="63">
        <f t="shared" si="38"/>
        <v>30</v>
      </c>
      <c r="C94" s="63">
        <f t="shared" si="39"/>
        <v>0</v>
      </c>
      <c r="D94" s="63">
        <f t="shared" si="51"/>
        <v>0</v>
      </c>
      <c r="E94" s="63">
        <f t="shared" si="51"/>
        <v>1.0000000000000001E-5</v>
      </c>
      <c r="F94" s="63">
        <f t="shared" si="49"/>
        <v>5.0000000000000004E-6</v>
      </c>
      <c r="G94" s="63">
        <f t="shared" si="49"/>
        <v>3.9E-2</v>
      </c>
    </row>
    <row r="95" spans="2:38" ht="13">
      <c r="B95" s="63">
        <f t="shared" si="38"/>
        <v>60</v>
      </c>
      <c r="C95" s="63">
        <f t="shared" si="39"/>
        <v>0</v>
      </c>
      <c r="D95" s="63">
        <f t="shared" si="51"/>
        <v>0</v>
      </c>
      <c r="E95" s="63">
        <f t="shared" si="51"/>
        <v>1.0000000000000001E-5</v>
      </c>
      <c r="F95" s="63">
        <f t="shared" si="49"/>
        <v>5.0000000000000004E-6</v>
      </c>
      <c r="G95" s="63">
        <f t="shared" si="49"/>
        <v>7.8E-2</v>
      </c>
    </row>
    <row r="96" spans="2:38" ht="13">
      <c r="B96" s="63">
        <f t="shared" si="38"/>
        <v>120</v>
      </c>
      <c r="C96" s="63">
        <f t="shared" si="39"/>
        <v>0</v>
      </c>
      <c r="D96" s="63">
        <f t="shared" si="51"/>
        <v>0</v>
      </c>
      <c r="E96" s="63">
        <f t="shared" si="51"/>
        <v>1.0000000000000001E-5</v>
      </c>
      <c r="F96" s="63">
        <f t="shared" si="49"/>
        <v>5.0000000000000004E-6</v>
      </c>
      <c r="G96" s="63">
        <f t="shared" si="49"/>
        <v>0.156</v>
      </c>
    </row>
    <row r="97" spans="2:41" ht="13.5" thickBot="1">
      <c r="B97" s="63">
        <f t="shared" si="38"/>
        <v>180</v>
      </c>
      <c r="C97" s="63">
        <f t="shared" si="39"/>
        <v>0</v>
      </c>
      <c r="D97" s="63">
        <f t="shared" si="51"/>
        <v>0</v>
      </c>
      <c r="E97" s="63">
        <f t="shared" si="51"/>
        <v>1.0000000000000001E-5</v>
      </c>
      <c r="F97" s="63">
        <f t="shared" si="49"/>
        <v>5.0000000000000004E-6</v>
      </c>
      <c r="G97" s="63">
        <f t="shared" si="49"/>
        <v>0.23399999999999999</v>
      </c>
    </row>
    <row r="98" spans="2:41" ht="13.5" thickBot="1">
      <c r="B98" s="63">
        <f t="shared" si="38"/>
        <v>240</v>
      </c>
      <c r="C98" s="63">
        <f t="shared" si="39"/>
        <v>0</v>
      </c>
      <c r="D98" s="63">
        <f t="shared" si="51"/>
        <v>0</v>
      </c>
      <c r="E98" s="63">
        <f t="shared" si="51"/>
        <v>1.0000000000000001E-5</v>
      </c>
      <c r="F98" s="63">
        <f t="shared" si="49"/>
        <v>5.0000000000000004E-6</v>
      </c>
      <c r="G98" s="63">
        <f t="shared" si="49"/>
        <v>0.312</v>
      </c>
      <c r="AO98" s="416"/>
    </row>
    <row r="101" spans="2:41" ht="13" thickBot="1"/>
    <row r="102" spans="2:41" ht="21.5" thickBot="1">
      <c r="B102" s="417" t="s">
        <v>40</v>
      </c>
      <c r="C102" s="418" t="s">
        <v>41</v>
      </c>
      <c r="D102" s="419" t="s">
        <v>42</v>
      </c>
      <c r="E102" s="418" t="s">
        <v>43</v>
      </c>
      <c r="F102" s="418" t="s">
        <v>44</v>
      </c>
      <c r="G102" s="418" t="s">
        <v>45</v>
      </c>
      <c r="H102" s="418" t="s">
        <v>46</v>
      </c>
      <c r="I102" s="418" t="s">
        <v>47</v>
      </c>
      <c r="J102" s="420" t="s">
        <v>48</v>
      </c>
      <c r="K102" s="421"/>
      <c r="L102" s="419" t="s">
        <v>50</v>
      </c>
      <c r="M102" s="422" t="s">
        <v>370</v>
      </c>
      <c r="N102" s="423" t="s">
        <v>77</v>
      </c>
    </row>
    <row r="103" spans="2:41">
      <c r="B103" s="424">
        <f>ID!D35</f>
        <v>5</v>
      </c>
      <c r="C103" s="425">
        <f>ID!H35</f>
        <v>5</v>
      </c>
      <c r="D103" s="426">
        <f t="shared" ref="D103:D111" si="52">K80</f>
        <v>0.23756622900995367</v>
      </c>
      <c r="E103" s="425">
        <f t="shared" ref="E103:E111" si="53">L80</f>
        <v>5.2375662290099534</v>
      </c>
      <c r="F103" s="427">
        <f>ID!J35</f>
        <v>1.0000000000000001E-5</v>
      </c>
      <c r="G103" s="425">
        <f>B103-E103</f>
        <v>-0.23756622900995339</v>
      </c>
      <c r="H103" s="427">
        <f>(G103/B103)*100</f>
        <v>-4.7513245801990678</v>
      </c>
      <c r="I103" s="428">
        <f>E103-B103</f>
        <v>0.23756622900995339</v>
      </c>
      <c r="J103" s="429">
        <f>(E103-B103)/E103*100</f>
        <v>4.5358133648814993</v>
      </c>
      <c r="K103" s="430"/>
      <c r="L103" s="431">
        <f>0.5*1</f>
        <v>0.5</v>
      </c>
      <c r="M103" s="432">
        <f>M80</f>
        <v>3.5598751371960242E-3</v>
      </c>
      <c r="N103" s="433">
        <f>Budget!J16</f>
        <v>11.607472917768806</v>
      </c>
    </row>
    <row r="104" spans="2:41">
      <c r="B104" s="424">
        <f>ID!D36</f>
        <v>10</v>
      </c>
      <c r="C104" s="425">
        <f>ID!H36</f>
        <v>10.5</v>
      </c>
      <c r="D104" s="407">
        <f t="shared" si="52"/>
        <v>0.22933772669250058</v>
      </c>
      <c r="E104" s="425">
        <f t="shared" si="53"/>
        <v>10.729337726692501</v>
      </c>
      <c r="F104" s="427">
        <f>ID!J36</f>
        <v>0.5</v>
      </c>
      <c r="G104" s="434">
        <f t="shared" ref="G104:G111" si="54">B104-E104</f>
        <v>-0.72933772669250096</v>
      </c>
      <c r="H104" s="435">
        <f t="shared" ref="H104:H111" si="55">(G104/B104)*100</f>
        <v>-7.2933772669250096</v>
      </c>
      <c r="I104" s="436">
        <f t="shared" ref="I104:I111" si="56">E104-B104</f>
        <v>0.72933772669250096</v>
      </c>
      <c r="J104" s="429">
        <f t="shared" ref="J104:J111" si="57">(E104-B104)/E104*100</f>
        <v>6.7976024734318017</v>
      </c>
      <c r="K104" s="437"/>
      <c r="L104" s="438">
        <f t="shared" ref="L104:L111" si="58">0.5*1</f>
        <v>0.5</v>
      </c>
      <c r="M104" s="432">
        <f t="shared" ref="M104:M111" si="59">M81</f>
        <v>9.7730741302838493E-3</v>
      </c>
      <c r="N104" s="439">
        <f>Budget!J28</f>
        <v>9.4862631848882213</v>
      </c>
    </row>
    <row r="105" spans="2:41">
      <c r="B105" s="424">
        <f>ID!D37</f>
        <v>20</v>
      </c>
      <c r="C105" s="425">
        <f>ID!H37</f>
        <v>20</v>
      </c>
      <c r="D105" s="406">
        <f t="shared" si="52"/>
        <v>0.21512485905326345</v>
      </c>
      <c r="E105" s="425">
        <f t="shared" si="53"/>
        <v>20.215124859053262</v>
      </c>
      <c r="F105" s="427">
        <f>ID!J37</f>
        <v>1.0000000000000001E-5</v>
      </c>
      <c r="G105" s="434">
        <f t="shared" si="54"/>
        <v>-0.21512485905326173</v>
      </c>
      <c r="H105" s="435">
        <f t="shared" si="55"/>
        <v>-1.0756242952663086</v>
      </c>
      <c r="I105" s="436">
        <f t="shared" si="56"/>
        <v>0.21512485905326173</v>
      </c>
      <c r="J105" s="429">
        <f t="shared" si="57"/>
        <v>1.0641777409399424</v>
      </c>
      <c r="K105" s="437"/>
      <c r="L105" s="438">
        <f t="shared" si="58"/>
        <v>0.5</v>
      </c>
      <c r="M105" s="432">
        <f t="shared" si="59"/>
        <v>2.0504963300162819E-2</v>
      </c>
      <c r="N105" s="439">
        <f>Budget!J40</f>
        <v>2.9387581825439906</v>
      </c>
    </row>
    <row r="106" spans="2:41">
      <c r="B106" s="424">
        <f>ID!D38</f>
        <v>30</v>
      </c>
      <c r="C106" s="425">
        <f>ID!H38</f>
        <v>30</v>
      </c>
      <c r="D106" s="406">
        <f t="shared" si="52"/>
        <v>0.20016394574880331</v>
      </c>
      <c r="E106" s="425">
        <f t="shared" si="53"/>
        <v>30.200163945748802</v>
      </c>
      <c r="F106" s="427">
        <f>ID!J38</f>
        <v>1.0000000000000001E-5</v>
      </c>
      <c r="G106" s="434">
        <f t="shared" si="54"/>
        <v>-0.20016394574880181</v>
      </c>
      <c r="H106" s="435">
        <f t="shared" si="55"/>
        <v>-0.66721315249600599</v>
      </c>
      <c r="I106" s="436">
        <f t="shared" si="56"/>
        <v>0.20016394574880181</v>
      </c>
      <c r="J106" s="429">
        <f t="shared" si="57"/>
        <v>0.66279092427568875</v>
      </c>
      <c r="K106" s="437"/>
      <c r="L106" s="438">
        <f t="shared" si="58"/>
        <v>0.5</v>
      </c>
      <c r="M106" s="432">
        <f t="shared" si="59"/>
        <v>3.1801688742140684E-2</v>
      </c>
      <c r="N106" s="439">
        <f>Budget!J52</f>
        <v>1.9913332333467579</v>
      </c>
    </row>
    <row r="107" spans="2:41">
      <c r="B107" s="424">
        <f>ID!D39</f>
        <v>50</v>
      </c>
      <c r="C107" s="425">
        <f>ID!H39</f>
        <v>51.333333333333336</v>
      </c>
      <c r="D107" s="406">
        <f t="shared" si="52"/>
        <v>0.16824733069928832</v>
      </c>
      <c r="E107" s="425">
        <f t="shared" si="53"/>
        <v>51.501580664032623</v>
      </c>
      <c r="F107" s="427">
        <f>ID!J39</f>
        <v>2.3094010767585029</v>
      </c>
      <c r="G107" s="434">
        <f t="shared" si="54"/>
        <v>-1.5015806640326232</v>
      </c>
      <c r="H107" s="435">
        <f t="shared" si="55"/>
        <v>-3.0031613280652465</v>
      </c>
      <c r="I107" s="436">
        <f t="shared" si="56"/>
        <v>1.5015806640326232</v>
      </c>
      <c r="J107" s="429">
        <f t="shared" si="57"/>
        <v>2.915601122668626</v>
      </c>
      <c r="K107" s="437"/>
      <c r="L107" s="438">
        <f t="shared" si="58"/>
        <v>0.5</v>
      </c>
      <c r="M107" s="432">
        <f t="shared" si="59"/>
        <v>5.5901369685026792E-2</v>
      </c>
      <c r="N107" s="439">
        <f>Budget!J64</f>
        <v>10.698392127617335</v>
      </c>
    </row>
    <row r="108" spans="2:41">
      <c r="B108" s="424">
        <f>ID!D40</f>
        <v>100</v>
      </c>
      <c r="C108" s="425">
        <f>ID!H40</f>
        <v>98.666666666666671</v>
      </c>
      <c r="D108" s="406">
        <f t="shared" si="52"/>
        <v>9.7432341058176941E-2</v>
      </c>
      <c r="E108" s="425">
        <f t="shared" si="53"/>
        <v>98.764099007724852</v>
      </c>
      <c r="F108" s="427">
        <f>ID!J40</f>
        <v>2.3094010767585034</v>
      </c>
      <c r="G108" s="434">
        <f t="shared" si="54"/>
        <v>1.2359009922751483</v>
      </c>
      <c r="H108" s="435">
        <f t="shared" si="55"/>
        <v>1.2359009922751483</v>
      </c>
      <c r="I108" s="436">
        <f t="shared" si="56"/>
        <v>-1.2359009922751483</v>
      </c>
      <c r="J108" s="429">
        <f t="shared" si="57"/>
        <v>-1.2513666450584255</v>
      </c>
      <c r="K108" s="437"/>
      <c r="L108" s="438">
        <f t="shared" si="58"/>
        <v>0.5</v>
      </c>
      <c r="M108" s="432">
        <f t="shared" si="59"/>
        <v>0.10937253677705536</v>
      </c>
      <c r="N108" s="439">
        <f>Budget!V16</f>
        <v>5.2137210979759336</v>
      </c>
    </row>
    <row r="109" spans="2:41">
      <c r="B109" s="424">
        <f>ID!D41</f>
        <v>150</v>
      </c>
      <c r="C109" s="425">
        <f>ID!H41</f>
        <v>149.66666666666666</v>
      </c>
      <c r="D109" s="406">
        <f t="shared" si="52"/>
        <v>2.1131683205430213E-2</v>
      </c>
      <c r="E109" s="425">
        <f t="shared" si="53"/>
        <v>149.68779834987208</v>
      </c>
      <c r="F109" s="427">
        <f>ID!J41</f>
        <v>1.5275252316519465</v>
      </c>
      <c r="G109" s="434">
        <f t="shared" si="54"/>
        <v>0.31220165012791767</v>
      </c>
      <c r="H109" s="435">
        <f t="shared" si="55"/>
        <v>0.20813443341861176</v>
      </c>
      <c r="I109" s="436">
        <f t="shared" si="56"/>
        <v>-0.31220165012791767</v>
      </c>
      <c r="J109" s="429">
        <f t="shared" si="57"/>
        <v>-0.20856853636005429</v>
      </c>
      <c r="K109" s="437"/>
      <c r="L109" s="438">
        <f t="shared" si="58"/>
        <v>0.5</v>
      </c>
      <c r="M109" s="432">
        <f t="shared" si="59"/>
        <v>0.16698583653114243</v>
      </c>
      <c r="N109" s="439">
        <f>Budget!V28</f>
        <v>2.0169147119234996</v>
      </c>
    </row>
    <row r="110" spans="2:41">
      <c r="B110" s="424">
        <f>ID!D42</f>
        <v>200</v>
      </c>
      <c r="C110" s="425">
        <f>ID!H42</f>
        <v>202</v>
      </c>
      <c r="D110" s="406">
        <f t="shared" si="52"/>
        <v>-5.7163763087911212E-2</v>
      </c>
      <c r="E110" s="425">
        <f t="shared" si="53"/>
        <v>201.94283623691209</v>
      </c>
      <c r="F110" s="427">
        <f>ID!J42</f>
        <v>3.4641016151377544</v>
      </c>
      <c r="G110" s="434">
        <f t="shared" si="54"/>
        <v>-1.9428362369120862</v>
      </c>
      <c r="H110" s="435">
        <f t="shared" si="55"/>
        <v>-0.9714181184560432</v>
      </c>
      <c r="I110" s="436">
        <f t="shared" si="56"/>
        <v>1.9428362369120862</v>
      </c>
      <c r="J110" s="429">
        <f t="shared" si="57"/>
        <v>0.96207237311098304</v>
      </c>
      <c r="K110" s="437"/>
      <c r="L110" s="438">
        <f t="shared" si="58"/>
        <v>0.5</v>
      </c>
      <c r="M110" s="432">
        <f t="shared" si="59"/>
        <v>0.22610536634415992</v>
      </c>
      <c r="N110" s="439">
        <f>Budget!V40</f>
        <v>3.8987925874589338</v>
      </c>
    </row>
    <row r="111" spans="2:41">
      <c r="B111" s="424">
        <f>ID!D43</f>
        <v>300</v>
      </c>
      <c r="C111" s="425">
        <f>ID!H43</f>
        <v>292</v>
      </c>
      <c r="D111" s="406">
        <f t="shared" si="52"/>
        <v>-0.19181198282805256</v>
      </c>
      <c r="E111" s="425">
        <f t="shared" si="53"/>
        <v>291.80818801717197</v>
      </c>
      <c r="F111" s="427">
        <f>ID!J43</f>
        <v>7.2111025509279782</v>
      </c>
      <c r="G111" s="434">
        <f t="shared" si="54"/>
        <v>8.1918119828280282</v>
      </c>
      <c r="H111" s="435">
        <f t="shared" si="55"/>
        <v>2.7306039942760094</v>
      </c>
      <c r="I111" s="436">
        <f t="shared" si="56"/>
        <v>-8.1918119828280282</v>
      </c>
      <c r="J111" s="429">
        <f t="shared" si="57"/>
        <v>-2.807259124046912</v>
      </c>
      <c r="K111" s="437"/>
      <c r="L111" s="438">
        <f t="shared" si="58"/>
        <v>0.5</v>
      </c>
      <c r="M111" s="432">
        <f t="shared" si="59"/>
        <v>0.32777589532196072</v>
      </c>
      <c r="N111" s="439">
        <f>Budget!V52</f>
        <v>5.7033768424757421</v>
      </c>
    </row>
    <row r="112" spans="2:41">
      <c r="B112" s="440"/>
      <c r="C112" s="441"/>
      <c r="N112" s="248"/>
    </row>
    <row r="113" spans="2:25">
      <c r="B113" s="1673" t="str">
        <f>J90</f>
        <v>10 X Pengisian</v>
      </c>
      <c r="C113" s="1674"/>
      <c r="D113" s="1674"/>
      <c r="E113" s="1674"/>
      <c r="F113" s="1674"/>
      <c r="G113" s="1674"/>
      <c r="H113" s="1674"/>
      <c r="I113" s="1674"/>
      <c r="J113" s="1674"/>
      <c r="K113" s="1674"/>
      <c r="L113" s="1674"/>
      <c r="M113" s="1674"/>
      <c r="N113" s="1675"/>
    </row>
    <row r="114" spans="2:25" ht="13" thickBot="1">
      <c r="B114" s="442">
        <v>200</v>
      </c>
      <c r="C114" s="443">
        <f>ID!J48</f>
        <v>200</v>
      </c>
      <c r="D114" s="414">
        <f>K91</f>
        <v>-5.4171580427019195E-2</v>
      </c>
      <c r="E114" s="443">
        <f>L91</f>
        <v>199.94582841957299</v>
      </c>
      <c r="F114" s="444">
        <f>ID!L48</f>
        <v>1.0000000000000001E-5</v>
      </c>
      <c r="G114" s="443">
        <f>B114-E114</f>
        <v>5.4171580427009758E-2</v>
      </c>
      <c r="H114" s="444">
        <f>(G114/B114)*100</f>
        <v>2.7085790213504879E-2</v>
      </c>
      <c r="I114" s="445">
        <f t="shared" ref="I114" si="60">E114-B114</f>
        <v>-5.4171580427009758E-2</v>
      </c>
      <c r="J114" s="446">
        <f>(E114-B114)/E114*100</f>
        <v>-2.7093128601480148E-2</v>
      </c>
      <c r="K114" s="447"/>
      <c r="L114" s="448">
        <f t="shared" ref="L114" si="61">0.5*1</f>
        <v>0.5</v>
      </c>
      <c r="M114" s="449">
        <f>M91</f>
        <v>0.22384602125576436</v>
      </c>
      <c r="N114" s="450">
        <f>Budget!V64</f>
        <v>0.57090667120547522</v>
      </c>
    </row>
    <row r="119" spans="2:25" ht="13" thickBot="1"/>
    <row r="120" spans="2:25" ht="15" thickBot="1">
      <c r="B120" s="451" t="str">
        <f>ID!B66</f>
        <v>Defibrillator Analyzer, Merek : Fluke, Model : Impulse 7000 D, SN : 1837053</v>
      </c>
      <c r="C120" s="452"/>
      <c r="D120" s="452"/>
      <c r="E120" s="452"/>
      <c r="F120" s="452"/>
      <c r="G120" s="452"/>
      <c r="H120" s="452"/>
      <c r="I120" s="452"/>
      <c r="J120" s="1659" t="s">
        <v>52</v>
      </c>
      <c r="K120" s="1660"/>
      <c r="L120" s="453"/>
      <c r="N120" s="1661">
        <f>B130</f>
        <v>2</v>
      </c>
      <c r="O120" s="1662"/>
      <c r="P120" s="1662"/>
      <c r="Q120" s="1662"/>
      <c r="R120" s="1662"/>
      <c r="S120" s="1662"/>
      <c r="T120" s="1662"/>
      <c r="U120" s="1662"/>
      <c r="V120" s="1662"/>
      <c r="W120" s="1662"/>
      <c r="X120" s="1662"/>
      <c r="Y120" s="1663"/>
    </row>
    <row r="121" spans="2:25" ht="14">
      <c r="B121" s="255" t="s">
        <v>358</v>
      </c>
      <c r="C121" s="454"/>
      <c r="D121" s="454"/>
      <c r="E121" s="454"/>
      <c r="F121" s="454"/>
      <c r="G121" s="454"/>
      <c r="H121" s="454"/>
      <c r="I121" s="454"/>
      <c r="J121" s="392">
        <v>2017</v>
      </c>
      <c r="K121" s="455">
        <v>2018</v>
      </c>
      <c r="L121" s="456">
        <v>1</v>
      </c>
      <c r="N121" s="457">
        <v>1</v>
      </c>
      <c r="O121" s="458" t="s">
        <v>371</v>
      </c>
      <c r="P121" s="459"/>
      <c r="Q121" s="459"/>
      <c r="R121" s="459"/>
      <c r="S121" s="459"/>
      <c r="T121" s="459"/>
      <c r="U121" s="459"/>
      <c r="V121" s="459"/>
      <c r="W121" s="459"/>
      <c r="X121" s="459"/>
      <c r="Y121" s="460"/>
    </row>
    <row r="122" spans="2:25" ht="14">
      <c r="B122" s="255" t="s">
        <v>275</v>
      </c>
      <c r="C122" s="461"/>
      <c r="D122" s="461"/>
      <c r="E122" s="461"/>
      <c r="F122" s="461"/>
      <c r="G122" s="461"/>
      <c r="H122" s="461"/>
      <c r="I122" s="461"/>
      <c r="J122" s="392">
        <v>2016</v>
      </c>
      <c r="K122" s="455">
        <v>2018</v>
      </c>
      <c r="L122" s="462">
        <v>2</v>
      </c>
      <c r="N122" s="457">
        <v>2</v>
      </c>
      <c r="O122" s="458" t="s">
        <v>371</v>
      </c>
      <c r="P122" s="459"/>
      <c r="Q122" s="459"/>
      <c r="R122" s="459"/>
      <c r="S122" s="459"/>
      <c r="T122" s="459"/>
      <c r="U122" s="459"/>
      <c r="V122" s="459"/>
      <c r="W122" s="459"/>
      <c r="X122" s="459"/>
      <c r="Y122" s="460"/>
    </row>
    <row r="123" spans="2:25" ht="14">
      <c r="B123" s="255" t="s">
        <v>359</v>
      </c>
      <c r="C123" s="463"/>
      <c r="D123" s="463"/>
      <c r="E123" s="463"/>
      <c r="F123" s="463"/>
      <c r="G123" s="463"/>
      <c r="H123" s="463"/>
      <c r="I123" s="463"/>
      <c r="J123" s="392">
        <v>2015</v>
      </c>
      <c r="K123" s="455">
        <v>2017</v>
      </c>
      <c r="L123" s="456">
        <v>3</v>
      </c>
      <c r="N123" s="457">
        <v>3</v>
      </c>
      <c r="O123" s="458" t="s">
        <v>371</v>
      </c>
      <c r="P123" s="459"/>
      <c r="Q123" s="459"/>
      <c r="R123" s="459"/>
      <c r="S123" s="459"/>
      <c r="T123" s="459"/>
      <c r="U123" s="459"/>
      <c r="V123" s="459"/>
      <c r="W123" s="459"/>
      <c r="X123" s="459"/>
      <c r="Y123" s="460"/>
    </row>
    <row r="124" spans="2:25" ht="14">
      <c r="B124" s="247" t="s">
        <v>364</v>
      </c>
      <c r="C124" s="463"/>
      <c r="D124" s="463"/>
      <c r="E124" s="463"/>
      <c r="F124" s="463"/>
      <c r="G124" s="463"/>
      <c r="H124" s="463"/>
      <c r="I124" s="463"/>
      <c r="J124" s="392">
        <v>2017</v>
      </c>
      <c r="K124" s="455">
        <v>2018</v>
      </c>
      <c r="L124" s="462">
        <v>4</v>
      </c>
      <c r="N124" s="457">
        <v>4</v>
      </c>
      <c r="O124" s="458" t="s">
        <v>371</v>
      </c>
      <c r="P124" s="459"/>
      <c r="Q124" s="459"/>
      <c r="R124" s="459"/>
      <c r="S124" s="459"/>
      <c r="T124" s="459"/>
      <c r="U124" s="459"/>
      <c r="V124" s="459"/>
      <c r="W124" s="459"/>
      <c r="X124" s="459"/>
      <c r="Y124" s="460"/>
    </row>
    <row r="125" spans="2:25" ht="14">
      <c r="B125" s="247" t="s">
        <v>365</v>
      </c>
      <c r="C125" s="463"/>
      <c r="D125" s="463"/>
      <c r="E125" s="463"/>
      <c r="F125" s="463"/>
      <c r="G125" s="463"/>
      <c r="H125" s="463"/>
      <c r="I125" s="463"/>
      <c r="J125" s="392">
        <v>2017</v>
      </c>
      <c r="K125" s="455">
        <v>2018</v>
      </c>
      <c r="L125" s="456">
        <v>5</v>
      </c>
      <c r="N125" s="457">
        <v>5</v>
      </c>
      <c r="O125" s="458" t="s">
        <v>371</v>
      </c>
      <c r="P125" s="459"/>
      <c r="Q125" s="459"/>
      <c r="R125" s="459"/>
      <c r="S125" s="459"/>
      <c r="T125" s="459"/>
      <c r="U125" s="459"/>
      <c r="V125" s="459"/>
      <c r="W125" s="459"/>
      <c r="X125" s="459"/>
      <c r="Y125" s="460"/>
    </row>
    <row r="126" spans="2:25" ht="14">
      <c r="B126" s="247" t="s">
        <v>372</v>
      </c>
      <c r="C126" s="463"/>
      <c r="D126" s="463"/>
      <c r="E126" s="463"/>
      <c r="F126" s="463"/>
      <c r="G126" s="463"/>
      <c r="H126" s="463"/>
      <c r="I126" s="463"/>
      <c r="J126" s="392">
        <v>2017</v>
      </c>
      <c r="K126" s="455">
        <v>2018</v>
      </c>
      <c r="L126" s="462">
        <v>6</v>
      </c>
      <c r="N126" s="457">
        <v>6</v>
      </c>
      <c r="O126" s="458" t="s">
        <v>371</v>
      </c>
      <c r="P126" s="459"/>
      <c r="Q126" s="459"/>
      <c r="R126" s="459"/>
      <c r="S126" s="459"/>
      <c r="T126" s="459"/>
      <c r="U126" s="459"/>
      <c r="V126" s="459"/>
      <c r="W126" s="459"/>
      <c r="X126" s="459"/>
      <c r="Y126" s="460"/>
    </row>
    <row r="127" spans="2:25" ht="14">
      <c r="B127" s="247" t="s">
        <v>367</v>
      </c>
      <c r="C127" s="463"/>
      <c r="D127" s="463"/>
      <c r="E127" s="463"/>
      <c r="F127" s="463"/>
      <c r="G127" s="463"/>
      <c r="H127" s="463"/>
      <c r="I127" s="463"/>
      <c r="J127" s="392">
        <v>2017</v>
      </c>
      <c r="K127" s="455">
        <v>2018</v>
      </c>
      <c r="L127" s="456">
        <v>7</v>
      </c>
      <c r="N127" s="457">
        <v>7</v>
      </c>
      <c r="O127" s="458" t="s">
        <v>371</v>
      </c>
      <c r="P127" s="459"/>
      <c r="Q127" s="459"/>
      <c r="R127" s="459"/>
      <c r="S127" s="459"/>
      <c r="T127" s="459"/>
      <c r="U127" s="459"/>
      <c r="V127" s="459"/>
      <c r="W127" s="459"/>
      <c r="X127" s="459"/>
      <c r="Y127" s="460"/>
    </row>
    <row r="128" spans="2:25" ht="14">
      <c r="B128" s="247" t="s">
        <v>367</v>
      </c>
      <c r="C128" s="463"/>
      <c r="D128" s="463"/>
      <c r="E128" s="463"/>
      <c r="F128" s="463"/>
      <c r="G128" s="463"/>
      <c r="H128" s="463"/>
      <c r="I128" s="463"/>
      <c r="J128" s="392">
        <v>2017</v>
      </c>
      <c r="K128" s="455">
        <v>2018</v>
      </c>
      <c r="L128" s="462">
        <v>8</v>
      </c>
      <c r="N128" s="457">
        <v>8</v>
      </c>
      <c r="O128" s="458" t="s">
        <v>371</v>
      </c>
      <c r="P128" s="459"/>
      <c r="Q128" s="459"/>
      <c r="R128" s="459"/>
      <c r="S128" s="459"/>
      <c r="T128" s="459"/>
      <c r="U128" s="459"/>
      <c r="V128" s="459"/>
      <c r="W128" s="459"/>
      <c r="X128" s="459"/>
      <c r="Y128" s="460"/>
    </row>
    <row r="129" spans="2:25" ht="14.5" thickBot="1">
      <c r="B129" s="247" t="s">
        <v>367</v>
      </c>
      <c r="C129" s="463"/>
      <c r="D129" s="463"/>
      <c r="E129" s="463"/>
      <c r="F129" s="463"/>
      <c r="G129" s="463"/>
      <c r="H129" s="463"/>
      <c r="I129" s="463"/>
      <c r="J129" s="392">
        <v>2017</v>
      </c>
      <c r="K129" s="455">
        <v>2018</v>
      </c>
      <c r="L129" s="456">
        <v>9</v>
      </c>
      <c r="N129" s="457">
        <v>9</v>
      </c>
      <c r="O129" s="458" t="s">
        <v>371</v>
      </c>
      <c r="P129" s="459"/>
      <c r="Q129" s="459"/>
      <c r="R129" s="459"/>
      <c r="S129" s="459"/>
      <c r="T129" s="459"/>
      <c r="U129" s="459"/>
      <c r="V129" s="459"/>
      <c r="W129" s="459"/>
      <c r="X129" s="459"/>
      <c r="Y129" s="460"/>
    </row>
    <row r="130" spans="2:25" ht="13.5" thickBot="1">
      <c r="B130" s="1664">
        <f>VLOOKUP(B120,B121:L129,11,(FALSE))</f>
        <v>2</v>
      </c>
      <c r="C130" s="1665"/>
      <c r="D130" s="1665"/>
      <c r="E130" s="1665"/>
      <c r="F130" s="1665"/>
      <c r="G130" s="1665"/>
      <c r="H130" s="1665"/>
      <c r="I130" s="1665"/>
      <c r="J130" s="1665"/>
      <c r="K130" s="1665"/>
      <c r="L130" s="1666"/>
      <c r="N130" s="1667" t="str">
        <f>VLOOKUP(N120,N121:Y130,2,FALSE)</f>
        <v>Hasil kalibrasi Akurasi dan Energi Maksimum tertelusurke Satuan Internasional melalui CALTEK PTE LTD</v>
      </c>
      <c r="O130" s="1668"/>
      <c r="P130" s="1668"/>
      <c r="Q130" s="1668"/>
      <c r="R130" s="1668"/>
      <c r="S130" s="1668"/>
      <c r="T130" s="1668"/>
      <c r="U130" s="1668"/>
      <c r="V130" s="1668"/>
      <c r="W130" s="1668"/>
      <c r="X130" s="1668"/>
      <c r="Y130" s="1669"/>
    </row>
    <row r="145" spans="2:10" ht="15">
      <c r="B145" s="716"/>
      <c r="C145" s="716"/>
      <c r="E145" s="716"/>
      <c r="F145" s="716"/>
      <c r="G145" s="716"/>
      <c r="H145" s="716"/>
      <c r="I145" s="716"/>
      <c r="J145" s="716"/>
    </row>
    <row r="146" spans="2:10">
      <c r="B146" s="554"/>
      <c r="C146" s="554"/>
      <c r="E146" s="554"/>
      <c r="F146" s="554"/>
      <c r="G146" s="554"/>
      <c r="H146" s="554"/>
      <c r="I146" s="554"/>
      <c r="J146" s="554"/>
    </row>
    <row r="147" spans="2:10">
      <c r="B147" s="555"/>
      <c r="C147" s="554"/>
      <c r="E147" s="555"/>
      <c r="F147" s="555"/>
      <c r="G147" s="555"/>
      <c r="H147" s="554"/>
      <c r="I147" s="555"/>
      <c r="J147" s="555"/>
    </row>
    <row r="148" spans="2:10">
      <c r="B148" s="554"/>
      <c r="C148" s="554"/>
      <c r="E148" s="554"/>
      <c r="F148" s="554"/>
      <c r="G148" s="554"/>
      <c r="H148" s="554"/>
      <c r="I148" s="554"/>
      <c r="J148" s="554"/>
    </row>
    <row r="149" spans="2:10">
      <c r="B149" s="554"/>
      <c r="C149" s="554"/>
      <c r="E149" s="554"/>
      <c r="F149" s="554"/>
      <c r="G149" s="554"/>
      <c r="H149" s="554"/>
      <c r="I149" s="554"/>
      <c r="J149" s="554"/>
    </row>
    <row r="150" spans="2:10">
      <c r="B150" s="555"/>
      <c r="C150" s="554"/>
      <c r="E150" s="555"/>
      <c r="F150" s="555"/>
      <c r="G150" s="555"/>
      <c r="H150" s="554"/>
      <c r="I150" s="555"/>
      <c r="J150" s="555"/>
    </row>
    <row r="151" spans="2:10">
      <c r="B151" s="554"/>
      <c r="C151" s="554"/>
      <c r="E151" s="554"/>
      <c r="F151" s="554"/>
      <c r="G151" s="554"/>
      <c r="H151" s="554"/>
      <c r="I151" s="554"/>
      <c r="J151" s="554"/>
    </row>
    <row r="152" spans="2:10">
      <c r="B152" s="554"/>
      <c r="C152" s="554"/>
      <c r="E152" s="554"/>
      <c r="F152" s="554"/>
      <c r="G152" s="554"/>
      <c r="H152" s="554"/>
      <c r="I152" s="554"/>
      <c r="J152" s="554"/>
    </row>
    <row r="153" spans="2:10">
      <c r="B153" s="555"/>
      <c r="C153" s="554"/>
      <c r="E153" s="555"/>
      <c r="F153" s="555"/>
      <c r="G153" s="555"/>
      <c r="H153" s="554"/>
      <c r="I153" s="555"/>
      <c r="J153" s="555"/>
    </row>
    <row r="154" spans="2:10">
      <c r="B154" s="554"/>
      <c r="C154" s="554"/>
      <c r="E154" s="554"/>
      <c r="F154" s="554"/>
      <c r="G154" s="554"/>
      <c r="H154" s="554"/>
      <c r="I154" s="554"/>
      <c r="J154" s="554"/>
    </row>
    <row r="155" spans="2:10">
      <c r="B155" s="554"/>
      <c r="C155" s="554"/>
      <c r="E155" s="554"/>
      <c r="F155" s="554"/>
      <c r="G155" s="554"/>
      <c r="H155" s="554"/>
      <c r="I155" s="554"/>
      <c r="J155" s="554"/>
    </row>
    <row r="156" spans="2:10">
      <c r="B156" s="555"/>
      <c r="C156" s="554"/>
      <c r="E156" s="555"/>
      <c r="F156" s="555"/>
      <c r="G156" s="555"/>
      <c r="H156" s="554"/>
      <c r="I156" s="555"/>
      <c r="J156" s="555"/>
    </row>
    <row r="157" spans="2:10">
      <c r="B157" s="554"/>
      <c r="C157" s="554"/>
      <c r="E157" s="554"/>
      <c r="F157" s="554"/>
      <c r="G157" s="554"/>
      <c r="H157" s="554"/>
      <c r="I157" s="554"/>
      <c r="J157" s="554"/>
    </row>
    <row r="158" spans="2:10">
      <c r="B158" s="554"/>
      <c r="C158" s="554"/>
      <c r="E158" s="554"/>
      <c r="F158" s="554"/>
      <c r="G158" s="554"/>
      <c r="H158" s="554"/>
      <c r="I158" s="554"/>
      <c r="J158" s="554"/>
    </row>
    <row r="159" spans="2:10">
      <c r="B159" s="555"/>
      <c r="C159" s="554"/>
      <c r="E159" s="555"/>
      <c r="F159" s="555"/>
      <c r="G159" s="555"/>
      <c r="H159" s="554"/>
      <c r="I159" s="555"/>
      <c r="J159" s="555"/>
    </row>
    <row r="160" spans="2:10">
      <c r="B160" s="554"/>
      <c r="C160" s="554"/>
      <c r="E160" s="554"/>
      <c r="F160" s="554"/>
      <c r="G160" s="554"/>
      <c r="H160" s="554"/>
      <c r="I160" s="554"/>
      <c r="J160" s="554"/>
    </row>
    <row r="161" spans="2:10">
      <c r="B161" s="554"/>
      <c r="C161" s="554"/>
      <c r="E161" s="554"/>
      <c r="F161" s="554"/>
      <c r="G161" s="554"/>
      <c r="H161" s="554"/>
      <c r="I161" s="554"/>
      <c r="J161" s="554"/>
    </row>
    <row r="162" spans="2:10">
      <c r="B162" s="555"/>
      <c r="C162" s="554"/>
      <c r="E162" s="555"/>
      <c r="F162" s="555"/>
      <c r="G162" s="555"/>
      <c r="H162" s="554"/>
      <c r="I162" s="555"/>
      <c r="J162" s="555"/>
    </row>
    <row r="163" spans="2:10">
      <c r="B163" s="554"/>
      <c r="C163" s="554"/>
      <c r="E163" s="554"/>
      <c r="F163" s="554"/>
      <c r="G163" s="554"/>
      <c r="H163" s="554"/>
      <c r="I163" s="554"/>
      <c r="J163" s="554"/>
    </row>
    <row r="164" spans="2:10">
      <c r="B164" s="554"/>
      <c r="C164" s="554"/>
      <c r="E164" s="554"/>
      <c r="F164" s="554"/>
      <c r="G164" s="554"/>
      <c r="H164" s="554"/>
      <c r="I164" s="554"/>
      <c r="J164" s="554"/>
    </row>
    <row r="165" spans="2:10">
      <c r="B165" s="555"/>
      <c r="C165" s="554"/>
      <c r="E165" s="555"/>
      <c r="F165" s="555"/>
      <c r="G165" s="555"/>
      <c r="H165" s="554"/>
      <c r="I165" s="555"/>
      <c r="J165" s="555"/>
    </row>
    <row r="166" spans="2:10">
      <c r="B166" s="554"/>
      <c r="C166" s="554"/>
      <c r="E166" s="554"/>
      <c r="F166" s="554"/>
      <c r="G166" s="554"/>
      <c r="H166" s="554"/>
      <c r="I166" s="554"/>
      <c r="J166" s="554"/>
    </row>
    <row r="167" spans="2:10">
      <c r="B167" s="554"/>
      <c r="C167" s="554"/>
      <c r="E167" s="554"/>
      <c r="F167" s="554"/>
      <c r="G167" s="554"/>
      <c r="H167" s="554"/>
      <c r="I167" s="554"/>
      <c r="J167" s="554"/>
    </row>
    <row r="168" spans="2:10">
      <c r="B168" s="555"/>
      <c r="C168" s="554"/>
      <c r="E168" s="555"/>
      <c r="F168" s="555"/>
      <c r="G168" s="555"/>
      <c r="H168" s="554"/>
      <c r="I168" s="555"/>
      <c r="J168" s="555"/>
    </row>
    <row r="169" spans="2:10">
      <c r="B169" s="554"/>
      <c r="C169" s="554"/>
      <c r="E169" s="554"/>
      <c r="F169" s="554"/>
      <c r="G169" s="554"/>
      <c r="H169" s="554"/>
      <c r="I169" s="554"/>
      <c r="J169" s="554"/>
    </row>
    <row r="170" spans="2:10">
      <c r="B170" s="554"/>
      <c r="C170" s="554"/>
      <c r="E170" s="554"/>
      <c r="F170" s="554"/>
      <c r="G170" s="554"/>
      <c r="H170" s="554"/>
      <c r="I170" s="554"/>
      <c r="J170" s="554"/>
    </row>
    <row r="171" spans="2:10">
      <c r="B171" s="555"/>
      <c r="C171" s="554"/>
      <c r="E171" s="555"/>
      <c r="F171" s="555"/>
      <c r="G171" s="555"/>
      <c r="H171" s="554"/>
      <c r="I171" s="555"/>
      <c r="J171" s="555"/>
    </row>
    <row r="172" spans="2:10">
      <c r="B172" s="554"/>
      <c r="C172" s="554"/>
      <c r="E172" s="554"/>
      <c r="F172" s="554"/>
      <c r="G172" s="554"/>
      <c r="H172" s="554"/>
      <c r="I172" s="554"/>
      <c r="J172" s="554"/>
    </row>
    <row r="173" spans="2:10" ht="15.5">
      <c r="B173" s="715"/>
      <c r="C173" s="715"/>
      <c r="E173" s="715"/>
      <c r="F173" s="715"/>
      <c r="G173" s="715"/>
      <c r="H173" s="715"/>
      <c r="I173" s="715"/>
      <c r="J173" s="715"/>
    </row>
    <row r="174" spans="2:10">
      <c r="B174" s="554"/>
      <c r="C174" s="554"/>
      <c r="E174" s="554"/>
      <c r="F174" s="554"/>
      <c r="G174" s="554"/>
      <c r="H174" s="554"/>
      <c r="I174" s="554"/>
      <c r="J174" s="554"/>
    </row>
    <row r="175" spans="2:10">
      <c r="B175" s="555"/>
      <c r="C175" s="554"/>
      <c r="E175" s="555"/>
      <c r="F175" s="555"/>
      <c r="G175" s="555"/>
      <c r="H175" s="554"/>
      <c r="I175" s="555"/>
      <c r="J175" s="555"/>
    </row>
    <row r="176" spans="2:10">
      <c r="B176" s="554"/>
      <c r="C176" s="554"/>
      <c r="E176" s="554"/>
      <c r="F176" s="554"/>
      <c r="G176" s="554"/>
      <c r="H176" s="554"/>
      <c r="I176" s="554"/>
      <c r="J176" s="554"/>
    </row>
  </sheetData>
  <mergeCells count="57">
    <mergeCell ref="B77:G77"/>
    <mergeCell ref="B78:E78"/>
    <mergeCell ref="C79:E79"/>
    <mergeCell ref="C91:E91"/>
    <mergeCell ref="B28:E28"/>
    <mergeCell ref="C29:E29"/>
    <mergeCell ref="B53:E53"/>
    <mergeCell ref="C54:E54"/>
    <mergeCell ref="I53:L53"/>
    <mergeCell ref="J54:L54"/>
    <mergeCell ref="P28:S28"/>
    <mergeCell ref="Q29:S29"/>
    <mergeCell ref="I28:L28"/>
    <mergeCell ref="J29:L29"/>
    <mergeCell ref="M53:M55"/>
    <mergeCell ref="M41:M42"/>
    <mergeCell ref="B2:G2"/>
    <mergeCell ref="B3:E3"/>
    <mergeCell ref="C4:E4"/>
    <mergeCell ref="I3:L3"/>
    <mergeCell ref="J4:L4"/>
    <mergeCell ref="G3:G5"/>
    <mergeCell ref="J120:K120"/>
    <mergeCell ref="N120:Y120"/>
    <mergeCell ref="B130:L130"/>
    <mergeCell ref="N130:Y130"/>
    <mergeCell ref="J90:N90"/>
    <mergeCell ref="B113:N113"/>
    <mergeCell ref="U66:U67"/>
    <mergeCell ref="J77:J79"/>
    <mergeCell ref="K77:K79"/>
    <mergeCell ref="L77:L79"/>
    <mergeCell ref="M66:M67"/>
    <mergeCell ref="N66:N67"/>
    <mergeCell ref="T53:T55"/>
    <mergeCell ref="U53:U55"/>
    <mergeCell ref="P53:S53"/>
    <mergeCell ref="Q54:S54"/>
    <mergeCell ref="N41:N42"/>
    <mergeCell ref="T41:T42"/>
    <mergeCell ref="U41:U42"/>
    <mergeCell ref="N53:N55"/>
    <mergeCell ref="T28:T30"/>
    <mergeCell ref="U28:U30"/>
    <mergeCell ref="T16:T17"/>
    <mergeCell ref="U16:U17"/>
    <mergeCell ref="M28:M30"/>
    <mergeCell ref="N28:N30"/>
    <mergeCell ref="M16:M17"/>
    <mergeCell ref="N16:N17"/>
    <mergeCell ref="T3:T5"/>
    <mergeCell ref="U3:U5"/>
    <mergeCell ref="F3:F5"/>
    <mergeCell ref="M3:M5"/>
    <mergeCell ref="N3:N5"/>
    <mergeCell ref="P3:S3"/>
    <mergeCell ref="Q4:S4"/>
  </mergeCells>
  <pageMargins left="0.7" right="0.7" top="0.75" bottom="0.75" header="0.3" footer="0.3"/>
  <pageSetup scale="47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5"/>
  <dimension ref="A1:AB98"/>
  <sheetViews>
    <sheetView showGridLines="0" view="pageBreakPreview" topLeftCell="A47" zoomScale="58" zoomScaleNormal="100" zoomScaleSheetLayoutView="58" workbookViewId="0">
      <selection activeCell="B67" sqref="B67"/>
    </sheetView>
  </sheetViews>
  <sheetFormatPr defaultColWidth="9.1796875" defaultRowHeight="13"/>
  <cols>
    <col min="1" max="1" width="3.1796875" style="827" customWidth="1"/>
    <col min="2" max="2" width="4.1796875" style="827" customWidth="1"/>
    <col min="3" max="3" width="21.453125" style="827" customWidth="1"/>
    <col min="4" max="7" width="14.1796875" style="827" customWidth="1"/>
    <col min="8" max="8" width="8" style="827" customWidth="1"/>
    <col min="9" max="9" width="9.1796875" style="827" customWidth="1"/>
    <col min="10" max="10" width="6.26953125" style="827" customWidth="1"/>
    <col min="11" max="11" width="10.81640625" style="827" customWidth="1"/>
    <col min="12" max="12" width="6.26953125" style="827" customWidth="1"/>
    <col min="13" max="13" width="13.1796875" style="827" customWidth="1"/>
    <col min="14" max="14" width="7.26953125" style="827" customWidth="1"/>
    <col min="15" max="15" width="7.7265625" style="827" customWidth="1"/>
    <col min="16" max="16" width="9.54296875" style="827" customWidth="1"/>
    <col min="17" max="17" width="15" style="827" customWidth="1"/>
    <col min="18" max="16384" width="9.1796875" style="827"/>
  </cols>
  <sheetData>
    <row r="1" spans="1:17" ht="18.5">
      <c r="A1" s="1423" t="str">
        <f>Penyelia!A1</f>
        <v>HASIL KALIBRASI DEFIBRILLATOR WITH ECG</v>
      </c>
      <c r="B1" s="1423"/>
      <c r="C1" s="1423"/>
      <c r="D1" s="1423"/>
      <c r="E1" s="1423"/>
      <c r="F1" s="1423"/>
      <c r="G1" s="1423"/>
      <c r="H1" s="1423"/>
      <c r="I1" s="1423"/>
      <c r="J1" s="1423"/>
      <c r="K1" s="1423"/>
      <c r="L1" s="1423"/>
      <c r="M1" s="904"/>
      <c r="N1" s="904"/>
      <c r="O1" s="904"/>
      <c r="P1" s="905"/>
      <c r="Q1" s="905"/>
    </row>
    <row r="2" spans="1:17" ht="17">
      <c r="A2" s="1692" t="str">
        <f>Penyelia!A2</f>
        <v>Nomor Sertifikat : 14 / 23 / XI - 34 / E  - 001.34 DL</v>
      </c>
      <c r="B2" s="1692"/>
      <c r="C2" s="1692"/>
      <c r="D2" s="1692"/>
      <c r="E2" s="1692"/>
      <c r="F2" s="1692"/>
      <c r="G2" s="1692"/>
      <c r="H2" s="1692"/>
      <c r="I2" s="1692"/>
      <c r="J2" s="1692"/>
      <c r="K2" s="1692"/>
      <c r="L2" s="1692"/>
      <c r="M2" s="906"/>
      <c r="N2" s="906"/>
      <c r="O2" s="906"/>
      <c r="P2" s="907"/>
      <c r="Q2" s="907"/>
    </row>
    <row r="3" spans="1:17">
      <c r="A3" s="830"/>
      <c r="B3" s="830"/>
      <c r="C3" s="830"/>
      <c r="D3" s="830"/>
      <c r="E3" s="830"/>
      <c r="F3" s="830"/>
      <c r="G3" s="830"/>
      <c r="H3" s="830"/>
      <c r="I3" s="830"/>
      <c r="J3" s="830"/>
      <c r="K3" s="830"/>
      <c r="L3" s="830"/>
      <c r="M3" s="908"/>
      <c r="N3" s="908"/>
      <c r="O3" s="908"/>
    </row>
    <row r="4" spans="1:17" ht="14">
      <c r="A4" s="1691" t="str">
        <f>Penyelia!A4</f>
        <v>Merek</v>
      </c>
      <c r="B4" s="1691"/>
      <c r="C4" s="1691"/>
      <c r="D4" s="887" t="str">
        <f>Penyelia!D4</f>
        <v>Philips</v>
      </c>
      <c r="E4" s="830"/>
      <c r="F4" s="831"/>
      <c r="G4" s="831"/>
      <c r="H4" s="831"/>
      <c r="I4" s="831"/>
      <c r="J4" s="830"/>
      <c r="K4" s="830"/>
      <c r="L4" s="830"/>
      <c r="M4" s="908"/>
      <c r="N4" s="908"/>
      <c r="O4" s="908"/>
    </row>
    <row r="5" spans="1:17" ht="14">
      <c r="A5" s="1691" t="str">
        <f>Penyelia!A5</f>
        <v>Model/Tipe</v>
      </c>
      <c r="B5" s="1691"/>
      <c r="C5" s="1691"/>
      <c r="D5" s="887" t="str">
        <f>Penyelia!D5</f>
        <v>xxx</v>
      </c>
      <c r="E5" s="830"/>
      <c r="F5" s="831"/>
      <c r="G5" s="831"/>
      <c r="H5" s="831"/>
      <c r="I5" s="831"/>
      <c r="J5" s="830"/>
      <c r="K5" s="830"/>
      <c r="L5" s="830"/>
      <c r="M5" s="908"/>
      <c r="N5" s="908"/>
      <c r="O5" s="908"/>
    </row>
    <row r="6" spans="1:17" ht="14">
      <c r="A6" s="1691" t="str">
        <f>Penyelia!A6</f>
        <v>No. Seri</v>
      </c>
      <c r="B6" s="1691"/>
      <c r="C6" s="1691"/>
      <c r="D6" s="887">
        <f>Penyelia!D6</f>
        <v>123456</v>
      </c>
      <c r="E6" s="830"/>
      <c r="F6" s="831"/>
      <c r="G6" s="831"/>
      <c r="H6" s="831"/>
      <c r="I6" s="831"/>
      <c r="J6" s="830"/>
      <c r="K6" s="830"/>
      <c r="L6" s="830"/>
      <c r="M6" s="908"/>
      <c r="N6" s="908"/>
      <c r="O6" s="908"/>
    </row>
    <row r="7" spans="1:17" ht="14">
      <c r="A7" s="1691" t="str">
        <f>Penyelia!A7</f>
        <v>Tanggal Penerimaan Alat</v>
      </c>
      <c r="B7" s="1691"/>
      <c r="C7" s="1691"/>
      <c r="D7" s="887">
        <f>Penyelia!D7</f>
        <v>2210</v>
      </c>
      <c r="E7" s="830"/>
      <c r="F7" s="831"/>
      <c r="G7" s="831"/>
      <c r="H7" s="831"/>
      <c r="I7" s="831"/>
      <c r="J7" s="830"/>
      <c r="K7" s="830"/>
      <c r="L7" s="830"/>
      <c r="M7" s="908"/>
      <c r="N7" s="908"/>
      <c r="O7" s="908"/>
    </row>
    <row r="8" spans="1:17" ht="14">
      <c r="A8" s="1691" t="str">
        <f>Penyelia!A8</f>
        <v>Tanggal Kalibrasi</v>
      </c>
      <c r="B8" s="1691"/>
      <c r="C8" s="1691"/>
      <c r="D8" s="887" t="str">
        <f>Penyelia!D8</f>
        <v>x1</v>
      </c>
      <c r="E8" s="830"/>
      <c r="F8" s="831"/>
      <c r="G8" s="831"/>
      <c r="H8" s="831"/>
      <c r="I8" s="831"/>
      <c r="J8" s="830"/>
      <c r="K8" s="830"/>
      <c r="L8" s="830"/>
      <c r="M8" s="908"/>
      <c r="N8" s="908"/>
      <c r="O8" s="908"/>
    </row>
    <row r="9" spans="1:17" ht="14">
      <c r="A9" s="1691" t="str">
        <f>Penyelia!A9</f>
        <v>Tempat Kalibrasi</v>
      </c>
      <c r="B9" s="1691"/>
      <c r="C9" s="1691"/>
      <c r="D9" s="887" t="str">
        <f>Penyelia!D9</f>
        <v>x2</v>
      </c>
      <c r="E9" s="830"/>
      <c r="F9" s="831"/>
      <c r="G9" s="831"/>
      <c r="H9" s="831"/>
      <c r="I9" s="831"/>
      <c r="J9" s="830"/>
      <c r="K9" s="909"/>
      <c r="L9" s="830"/>
      <c r="M9" s="908"/>
      <c r="N9" s="908"/>
      <c r="O9" s="908"/>
    </row>
    <row r="10" spans="1:17" ht="14">
      <c r="A10" s="1691" t="str">
        <f>Penyelia!A10</f>
        <v>Nama Ruang</v>
      </c>
      <c r="B10" s="1691"/>
      <c r="C10" s="1691"/>
      <c r="D10" s="887" t="str">
        <f>Penyelia!D10</f>
        <v>x3</v>
      </c>
      <c r="E10" s="830"/>
      <c r="F10" s="831"/>
      <c r="G10" s="831"/>
      <c r="H10" s="831"/>
      <c r="I10" s="831"/>
      <c r="J10" s="830"/>
      <c r="K10" s="909"/>
      <c r="L10" s="830"/>
      <c r="M10" s="908"/>
      <c r="N10" s="908"/>
      <c r="O10" s="908"/>
    </row>
    <row r="11" spans="1:17" ht="14">
      <c r="A11" s="1691" t="str">
        <f>Penyelia!A11</f>
        <v>Metode Kerja</v>
      </c>
      <c r="B11" s="1691"/>
      <c r="C11" s="1691"/>
      <c r="D11" s="887" t="str">
        <f>Penyelia!D11</f>
        <v>MK.087-19</v>
      </c>
      <c r="E11" s="830"/>
      <c r="F11" s="831"/>
      <c r="G11" s="831"/>
      <c r="H11" s="831"/>
      <c r="I11" s="831"/>
      <c r="J11" s="830"/>
      <c r="K11" s="830"/>
      <c r="L11" s="830"/>
      <c r="M11" s="908"/>
      <c r="N11" s="908"/>
      <c r="O11" s="908"/>
      <c r="Q11" s="910"/>
    </row>
    <row r="12" spans="1:17" ht="15" customHeight="1">
      <c r="A12" s="831"/>
      <c r="B12" s="831"/>
      <c r="C12" s="831"/>
      <c r="D12" s="830"/>
      <c r="E12" s="831"/>
      <c r="F12" s="831"/>
      <c r="G12" s="831"/>
      <c r="H12" s="831"/>
      <c r="I12" s="831"/>
      <c r="J12" s="830"/>
      <c r="K12" s="830"/>
      <c r="L12" s="830"/>
      <c r="M12" s="908"/>
      <c r="N12" s="908"/>
      <c r="O12" s="908"/>
      <c r="Q12" s="911"/>
    </row>
    <row r="13" spans="1:17" ht="14">
      <c r="A13" s="834" t="s">
        <v>174</v>
      </c>
      <c r="B13" s="834" t="s">
        <v>175</v>
      </c>
      <c r="C13" s="834"/>
      <c r="D13" s="830"/>
      <c r="E13" s="834"/>
      <c r="F13" s="834"/>
      <c r="G13" s="831"/>
      <c r="H13" s="830"/>
      <c r="I13" s="830"/>
      <c r="J13" s="830"/>
      <c r="K13" s="830"/>
      <c r="L13" s="830"/>
      <c r="M13" s="908"/>
      <c r="N13" s="908"/>
      <c r="O13" s="908"/>
    </row>
    <row r="14" spans="1:17" ht="14">
      <c r="A14" s="831"/>
      <c r="B14" s="1691" t="s">
        <v>373</v>
      </c>
      <c r="C14" s="1691"/>
      <c r="D14" s="897" t="str">
        <f>'DB Suhu'!L237</f>
        <v>23.9</v>
      </c>
      <c r="E14" s="1211" t="str">
        <f>'DB Suhu'!M237</f>
        <v>0.3</v>
      </c>
      <c r="F14" s="913"/>
      <c r="G14" s="830"/>
      <c r="H14" s="830"/>
      <c r="I14" s="830"/>
      <c r="J14" s="830"/>
      <c r="K14" s="830"/>
      <c r="L14" s="830"/>
      <c r="M14" s="908"/>
      <c r="N14" s="908"/>
      <c r="O14" s="908"/>
    </row>
    <row r="15" spans="1:17" ht="14">
      <c r="A15" s="831"/>
      <c r="B15" s="1691" t="s">
        <v>181</v>
      </c>
      <c r="C15" s="1691"/>
      <c r="D15" s="897" t="str">
        <f>'DB Suhu'!L238</f>
        <v>61.9</v>
      </c>
      <c r="E15" s="1211" t="str">
        <f>'DB Suhu'!M238</f>
        <v>2.5</v>
      </c>
      <c r="F15" s="914"/>
      <c r="G15" s="830"/>
      <c r="H15" s="830"/>
      <c r="I15" s="830"/>
      <c r="J15" s="830"/>
      <c r="K15" s="830"/>
      <c r="L15" s="830"/>
      <c r="M15" s="908"/>
      <c r="N15" s="908"/>
      <c r="O15" s="908"/>
    </row>
    <row r="16" spans="1:17" ht="15.5">
      <c r="A16" s="831"/>
      <c r="B16" s="1691" t="s">
        <v>182</v>
      </c>
      <c r="C16" s="1691"/>
      <c r="D16" s="897" t="str">
        <f>ESA!Q137</f>
        <v>219.9</v>
      </c>
      <c r="E16" s="1158" t="str">
        <f>ESA!Q143</f>
        <v>2.6</v>
      </c>
      <c r="F16" s="853"/>
      <c r="G16" s="909"/>
      <c r="H16" s="830"/>
      <c r="I16" s="830"/>
      <c r="J16" s="830"/>
      <c r="K16" s="830"/>
      <c r="L16" s="830"/>
      <c r="M16" s="908"/>
      <c r="N16" s="915"/>
      <c r="O16" s="908"/>
    </row>
    <row r="17" spans="1:17" ht="15.75" customHeight="1">
      <c r="A17" s="831"/>
      <c r="B17" s="831"/>
      <c r="C17" s="831"/>
      <c r="D17" s="830"/>
      <c r="E17" s="831"/>
      <c r="F17" s="831"/>
      <c r="G17" s="831"/>
      <c r="H17" s="830"/>
      <c r="I17" s="830"/>
      <c r="J17" s="830"/>
      <c r="K17" s="830"/>
      <c r="L17" s="830"/>
      <c r="M17" s="908"/>
      <c r="N17" s="908"/>
      <c r="O17" s="908"/>
    </row>
    <row r="18" spans="1:17" ht="14">
      <c r="A18" s="834" t="s">
        <v>183</v>
      </c>
      <c r="B18" s="834" t="s">
        <v>184</v>
      </c>
      <c r="C18" s="834"/>
      <c r="D18" s="830"/>
      <c r="E18" s="834"/>
      <c r="F18" s="834"/>
      <c r="G18" s="834"/>
      <c r="H18" s="838"/>
      <c r="I18" s="830"/>
      <c r="J18" s="830"/>
      <c r="K18" s="830"/>
      <c r="L18" s="830"/>
      <c r="M18" s="908"/>
      <c r="O18" s="908"/>
      <c r="Q18" s="910"/>
    </row>
    <row r="19" spans="1:17" ht="14">
      <c r="A19" s="831"/>
      <c r="B19" s="1691" t="s">
        <v>186</v>
      </c>
      <c r="C19" s="1691"/>
      <c r="D19" s="896" t="str">
        <f>Penyelia!D19</f>
        <v>Baik</v>
      </c>
      <c r="E19" s="830"/>
      <c r="F19" s="831"/>
      <c r="G19" s="831"/>
      <c r="H19" s="830"/>
      <c r="I19" s="830"/>
      <c r="J19" s="830"/>
      <c r="K19" s="830"/>
      <c r="L19" s="830"/>
      <c r="M19" s="908"/>
      <c r="N19" s="1173"/>
      <c r="O19" s="908"/>
    </row>
    <row r="20" spans="1:17" ht="14">
      <c r="A20" s="831"/>
      <c r="B20" s="1691" t="s">
        <v>189</v>
      </c>
      <c r="C20" s="1691"/>
      <c r="D20" s="896" t="str">
        <f>Penyelia!D20</f>
        <v>Baik</v>
      </c>
      <c r="E20" s="830"/>
      <c r="F20" s="831"/>
      <c r="G20" s="831"/>
      <c r="H20" s="830"/>
      <c r="I20" s="830"/>
      <c r="J20" s="830"/>
      <c r="K20" s="830"/>
      <c r="L20" s="830"/>
      <c r="M20" s="908"/>
      <c r="N20" s="1173"/>
      <c r="O20" s="908"/>
    </row>
    <row r="21" spans="1:17" ht="15.75" customHeight="1">
      <c r="A21" s="834"/>
      <c r="B21" s="834"/>
      <c r="C21" s="831"/>
      <c r="D21" s="831"/>
      <c r="E21" s="831"/>
      <c r="F21" s="831"/>
      <c r="G21" s="831"/>
      <c r="H21" s="830"/>
      <c r="I21" s="830"/>
      <c r="J21" s="830"/>
      <c r="K21" s="830"/>
      <c r="L21" s="830"/>
      <c r="M21" s="908"/>
      <c r="N21" s="908"/>
      <c r="O21" s="908"/>
    </row>
    <row r="22" spans="1:17" ht="14">
      <c r="A22" s="834" t="s">
        <v>110</v>
      </c>
      <c r="B22" s="834" t="s">
        <v>190</v>
      </c>
      <c r="C22" s="831"/>
      <c r="D22" s="831"/>
      <c r="E22" s="831"/>
      <c r="F22" s="831"/>
      <c r="G22" s="831"/>
      <c r="H22" s="830"/>
      <c r="I22" s="830"/>
      <c r="J22" s="830"/>
      <c r="K22" s="830"/>
      <c r="L22" s="830"/>
      <c r="M22" s="908"/>
      <c r="N22" s="908"/>
      <c r="O22" s="908"/>
    </row>
    <row r="23" spans="1:17" s="916" customFormat="1" ht="12.75" customHeight="1">
      <c r="B23" s="1693" t="s">
        <v>87</v>
      </c>
      <c r="C23" s="1695" t="s">
        <v>116</v>
      </c>
      <c r="D23" s="1696"/>
      <c r="E23" s="1696"/>
      <c r="F23" s="1696"/>
      <c r="G23" s="1696"/>
      <c r="H23" s="1696"/>
      <c r="I23" s="1699" t="s">
        <v>117</v>
      </c>
      <c r="J23" s="1700"/>
      <c r="K23" s="1699" t="s">
        <v>191</v>
      </c>
      <c r="L23" s="1700"/>
    </row>
    <row r="24" spans="1:17" s="916" customFormat="1" ht="20.25" customHeight="1">
      <c r="B24" s="1694"/>
      <c r="C24" s="1697"/>
      <c r="D24" s="1698"/>
      <c r="E24" s="1698"/>
      <c r="F24" s="1698"/>
      <c r="G24" s="1698"/>
      <c r="H24" s="1698"/>
      <c r="I24" s="1701"/>
      <c r="J24" s="1702"/>
      <c r="K24" s="1701"/>
      <c r="L24" s="1702"/>
    </row>
    <row r="25" spans="1:17" ht="15" customHeight="1">
      <c r="B25" s="917">
        <v>1</v>
      </c>
      <c r="C25" s="1465" t="str">
        <f>Penyelia!C25</f>
        <v>Resistansi Isolasi</v>
      </c>
      <c r="D25" s="1466"/>
      <c r="E25" s="1466"/>
      <c r="F25" s="1466"/>
      <c r="G25" s="1466"/>
      <c r="H25" s="1466"/>
      <c r="I25" s="898" t="str">
        <f>Penyelia!I25</f>
        <v>OL</v>
      </c>
      <c r="J25" s="918" t="str">
        <f>Penyelia!J25</f>
        <v/>
      </c>
      <c r="K25" s="1705" t="str">
        <f>ID!L25</f>
        <v>≥ 2</v>
      </c>
      <c r="L25" s="1706"/>
    </row>
    <row r="26" spans="1:17" ht="14">
      <c r="B26" s="917">
        <v>2</v>
      </c>
      <c r="C26" s="1465" t="str">
        <f>Penyelia!C26</f>
        <v>Resistansi Pembumian Protektif (kabel tidak dapat dilepas)</v>
      </c>
      <c r="D26" s="1466"/>
      <c r="E26" s="1466"/>
      <c r="F26" s="1466"/>
      <c r="G26" s="1466"/>
      <c r="H26" s="1466"/>
      <c r="I26" s="899">
        <f>Penyelia!I26</f>
        <v>9.8954375461743974E-2</v>
      </c>
      <c r="J26" s="919" t="str">
        <f>Penyelia!J26</f>
        <v>Ω</v>
      </c>
      <c r="K26" s="1707" t="str">
        <f>ID!L26</f>
        <v>≤ 0.3</v>
      </c>
      <c r="L26" s="1708"/>
    </row>
    <row r="27" spans="1:17" ht="14">
      <c r="B27" s="917">
        <v>3</v>
      </c>
      <c r="C27" s="1465" t="str">
        <f>Penyelia!C27</f>
        <v>Arus bocor peralatan untuk peralatan elektromedik kelas I</v>
      </c>
      <c r="D27" s="1466"/>
      <c r="E27" s="1466"/>
      <c r="F27" s="1466"/>
      <c r="G27" s="1466"/>
      <c r="H27" s="1466"/>
      <c r="I27" s="898">
        <f>Penyelia!I27</f>
        <v>600.38581721898936</v>
      </c>
      <c r="J27" s="920" t="str">
        <f>Penyelia!J27</f>
        <v>µA</v>
      </c>
      <c r="K27" s="1705" t="str">
        <f>ID!L27</f>
        <v>≤ 500</v>
      </c>
      <c r="L27" s="1706"/>
    </row>
    <row r="28" spans="1:17" ht="14">
      <c r="B28" s="917">
        <v>4</v>
      </c>
      <c r="C28" s="1465" t="str">
        <f>Penyelia!C28</f>
        <v>Arus bocor bagian yang diaplikasikan</v>
      </c>
      <c r="D28" s="1466"/>
      <c r="E28" s="1466"/>
      <c r="F28" s="1466"/>
      <c r="G28" s="1466"/>
      <c r="H28" s="1466"/>
      <c r="I28" s="898">
        <f>Penyelia!I28</f>
        <v>34.329249136849732</v>
      </c>
      <c r="J28" s="920" t="str">
        <f>Penyelia!J28</f>
        <v>µA</v>
      </c>
      <c r="K28" s="1705" t="str">
        <f>ID!L28</f>
        <v>≤ 50</v>
      </c>
      <c r="L28" s="1706"/>
    </row>
    <row r="29" spans="1:17" ht="15.75" customHeight="1">
      <c r="C29" s="830"/>
      <c r="D29" s="830"/>
      <c r="E29" s="830"/>
      <c r="F29" s="830"/>
      <c r="G29" s="830"/>
      <c r="H29" s="851"/>
      <c r="I29" s="852"/>
      <c r="J29" s="830"/>
      <c r="K29" s="830"/>
      <c r="L29" s="830"/>
      <c r="M29" s="908"/>
      <c r="N29" s="921"/>
      <c r="O29" s="921"/>
    </row>
    <row r="30" spans="1:17" ht="15.75" customHeight="1">
      <c r="A30" s="853" t="s">
        <v>209</v>
      </c>
      <c r="B30" s="853" t="str">
        <f>Penyelia!B30</f>
        <v xml:space="preserve">Pengujian Kinerja </v>
      </c>
      <c r="C30" s="830"/>
      <c r="D30" s="830"/>
      <c r="E30" s="830"/>
      <c r="F30" s="830"/>
      <c r="G30" s="830"/>
      <c r="H30" s="851"/>
      <c r="I30" s="852"/>
      <c r="J30" s="830"/>
      <c r="K30" s="830"/>
      <c r="L30" s="830"/>
      <c r="M30" s="908"/>
      <c r="N30" s="921"/>
      <c r="O30" s="921"/>
    </row>
    <row r="31" spans="1:17" ht="6" hidden="1" customHeight="1">
      <c r="A31" s="853"/>
      <c r="B31" s="853"/>
      <c r="C31" s="854"/>
      <c r="D31" s="854"/>
      <c r="E31" s="853"/>
      <c r="F31" s="853"/>
      <c r="G31" s="833"/>
      <c r="H31" s="833"/>
      <c r="I31" s="833"/>
      <c r="J31" s="833"/>
      <c r="K31" s="833"/>
      <c r="L31" s="830"/>
      <c r="M31" s="908"/>
      <c r="N31" s="921"/>
      <c r="O31" s="921"/>
    </row>
    <row r="32" spans="1:17" ht="15" customHeight="1">
      <c r="A32" s="853"/>
      <c r="B32" s="854" t="str">
        <f>Penyelia!B32</f>
        <v>a. Kalibrasi Akurasi Energi</v>
      </c>
      <c r="C32" s="854"/>
      <c r="D32" s="854"/>
      <c r="E32" s="853"/>
      <c r="F32" s="853"/>
      <c r="G32" s="833"/>
      <c r="H32" s="833"/>
      <c r="I32" s="833"/>
      <c r="J32" s="833"/>
      <c r="K32" s="833"/>
      <c r="L32" s="830"/>
      <c r="M32" s="908"/>
      <c r="N32" s="921"/>
      <c r="O32" s="921"/>
    </row>
    <row r="33" spans="1:15" ht="15.75" customHeight="1">
      <c r="A33" s="853"/>
      <c r="B33" s="1687" t="s">
        <v>87</v>
      </c>
      <c r="C33" s="1470" t="s">
        <v>116</v>
      </c>
      <c r="D33" s="1687" t="s">
        <v>345</v>
      </c>
      <c r="E33" s="1687" t="s">
        <v>111</v>
      </c>
      <c r="F33" s="1687" t="s">
        <v>346</v>
      </c>
      <c r="G33" s="1687" t="s">
        <v>347</v>
      </c>
      <c r="H33" s="1468" t="s">
        <v>348</v>
      </c>
      <c r="I33" s="1468"/>
      <c r="J33" s="1468" t="s">
        <v>349</v>
      </c>
      <c r="K33" s="1468"/>
      <c r="L33" s="830"/>
      <c r="M33" s="908"/>
      <c r="N33" s="921"/>
      <c r="O33" s="921"/>
    </row>
    <row r="34" spans="1:15" ht="15.75" customHeight="1">
      <c r="A34" s="853"/>
      <c r="B34" s="1687"/>
      <c r="C34" s="1471"/>
      <c r="D34" s="1687"/>
      <c r="E34" s="1687"/>
      <c r="F34" s="1687"/>
      <c r="G34" s="1687"/>
      <c r="H34" s="1469"/>
      <c r="I34" s="1469"/>
      <c r="J34" s="1469"/>
      <c r="K34" s="1469"/>
      <c r="L34" s="830"/>
      <c r="M34" s="908"/>
      <c r="N34" s="921"/>
      <c r="O34" s="921"/>
    </row>
    <row r="35" spans="1:15" ht="15.75" customHeight="1">
      <c r="A35" s="853"/>
      <c r="B35" s="1687"/>
      <c r="C35" s="1720"/>
      <c r="D35" s="1687"/>
      <c r="E35" s="1687"/>
      <c r="F35" s="1687"/>
      <c r="G35" s="1687"/>
      <c r="H35" s="1688"/>
      <c r="I35" s="1688"/>
      <c r="J35" s="1688"/>
      <c r="K35" s="1688"/>
      <c r="L35" s="830"/>
      <c r="M35" s="908"/>
      <c r="N35" s="921"/>
      <c r="O35" s="921"/>
    </row>
    <row r="36" spans="1:15" ht="15.75" customHeight="1">
      <c r="A36" s="853"/>
      <c r="B36" s="1170">
        <v>1</v>
      </c>
      <c r="C36" s="1721" t="str">
        <f>Penyelia!C36</f>
        <v>Energi ( J )</v>
      </c>
      <c r="D36" s="922">
        <f>Penyelia!D36</f>
        <v>5</v>
      </c>
      <c r="E36" s="900">
        <f>Penyelia!E36</f>
        <v>5.2375662290099534</v>
      </c>
      <c r="F36" s="900">
        <f>Penyelia!F36</f>
        <v>0.23756622900995339</v>
      </c>
      <c r="G36" s="900">
        <f>Penyelia!G36</f>
        <v>4.5358133648814993</v>
      </c>
      <c r="H36" s="1724">
        <v>15</v>
      </c>
      <c r="I36" s="1725"/>
      <c r="J36" s="1703">
        <f>Penyelia!I36</f>
        <v>11.607472917768806</v>
      </c>
      <c r="K36" s="1704"/>
      <c r="L36" s="830"/>
      <c r="M36" s="908"/>
      <c r="N36" s="921"/>
      <c r="O36" s="921"/>
    </row>
    <row r="37" spans="1:15" ht="15.75" customHeight="1">
      <c r="A37" s="853"/>
      <c r="B37" s="1170">
        <v>2</v>
      </c>
      <c r="C37" s="1722"/>
      <c r="D37" s="922">
        <f>Penyelia!D37</f>
        <v>10</v>
      </c>
      <c r="E37" s="900">
        <f>Penyelia!E37</f>
        <v>10.729337726692501</v>
      </c>
      <c r="F37" s="900">
        <f>Penyelia!F37</f>
        <v>0.72933772669250096</v>
      </c>
      <c r="G37" s="900">
        <f>Penyelia!G37</f>
        <v>6.7976024734318017</v>
      </c>
      <c r="H37" s="1726"/>
      <c r="I37" s="1727"/>
      <c r="J37" s="1703">
        <f>Penyelia!I37</f>
        <v>9.4862631848882213</v>
      </c>
      <c r="K37" s="1704"/>
      <c r="L37" s="830"/>
      <c r="M37" s="908"/>
      <c r="N37" s="921"/>
      <c r="O37" s="921"/>
    </row>
    <row r="38" spans="1:15" ht="15.75" customHeight="1">
      <c r="A38" s="853"/>
      <c r="B38" s="1170">
        <v>3</v>
      </c>
      <c r="C38" s="1722"/>
      <c r="D38" s="922">
        <f>Penyelia!D38</f>
        <v>20</v>
      </c>
      <c r="E38" s="900">
        <f>Penyelia!E38</f>
        <v>20.215124859053262</v>
      </c>
      <c r="F38" s="900">
        <f>Penyelia!F38</f>
        <v>0.21512485905326173</v>
      </c>
      <c r="G38" s="900">
        <f>Penyelia!G38</f>
        <v>1.0641777409399424</v>
      </c>
      <c r="H38" s="1726"/>
      <c r="I38" s="1727"/>
      <c r="J38" s="1703">
        <f>Penyelia!I38</f>
        <v>2.9387581825439906</v>
      </c>
      <c r="K38" s="1704"/>
      <c r="L38" s="830"/>
      <c r="M38" s="908"/>
      <c r="N38" s="921"/>
      <c r="O38" s="921"/>
    </row>
    <row r="39" spans="1:15" ht="15.75" customHeight="1">
      <c r="A39" s="853"/>
      <c r="B39" s="1170">
        <v>4</v>
      </c>
      <c r="C39" s="1722"/>
      <c r="D39" s="922">
        <f>Penyelia!D39</f>
        <v>30</v>
      </c>
      <c r="E39" s="900">
        <f>Penyelia!E39</f>
        <v>30.200163945748802</v>
      </c>
      <c r="F39" s="900">
        <f>Penyelia!F39</f>
        <v>0.20016394574880181</v>
      </c>
      <c r="G39" s="900">
        <f>Penyelia!G39</f>
        <v>0.66279092427568875</v>
      </c>
      <c r="H39" s="1726"/>
      <c r="I39" s="1727"/>
      <c r="J39" s="1703">
        <f>Penyelia!I39</f>
        <v>1.9913332333467579</v>
      </c>
      <c r="K39" s="1704"/>
      <c r="L39" s="830"/>
      <c r="M39" s="908"/>
      <c r="N39" s="921"/>
      <c r="O39" s="921"/>
    </row>
    <row r="40" spans="1:15" ht="15.75" customHeight="1">
      <c r="A40" s="853"/>
      <c r="B40" s="1170">
        <v>5</v>
      </c>
      <c r="C40" s="1722"/>
      <c r="D40" s="922">
        <f>Penyelia!D40</f>
        <v>50</v>
      </c>
      <c r="E40" s="900">
        <f>Penyelia!E40</f>
        <v>51.501580664032623</v>
      </c>
      <c r="F40" s="900">
        <f>Penyelia!F40</f>
        <v>1.5015806640326232</v>
      </c>
      <c r="G40" s="900">
        <f>Penyelia!G40</f>
        <v>2.915601122668626</v>
      </c>
      <c r="H40" s="1726"/>
      <c r="I40" s="1727"/>
      <c r="J40" s="1703">
        <f>Penyelia!I40</f>
        <v>10.698392127617335</v>
      </c>
      <c r="K40" s="1704"/>
      <c r="L40" s="830"/>
      <c r="M40" s="908"/>
      <c r="N40" s="921"/>
      <c r="O40" s="921"/>
    </row>
    <row r="41" spans="1:15" ht="15.75" customHeight="1">
      <c r="A41" s="853"/>
      <c r="B41" s="1170">
        <v>6</v>
      </c>
      <c r="C41" s="1722"/>
      <c r="D41" s="922">
        <f>Penyelia!D41</f>
        <v>100</v>
      </c>
      <c r="E41" s="900">
        <f>Penyelia!E41</f>
        <v>98.764099007724852</v>
      </c>
      <c r="F41" s="900">
        <f>Penyelia!F41</f>
        <v>-1.2359009922751483</v>
      </c>
      <c r="G41" s="900">
        <f>Penyelia!G41</f>
        <v>-1.2513666450584255</v>
      </c>
      <c r="H41" s="1726"/>
      <c r="I41" s="1727"/>
      <c r="J41" s="1703">
        <f>Penyelia!I41</f>
        <v>5.2137210979759336</v>
      </c>
      <c r="K41" s="1704"/>
      <c r="L41" s="830"/>
      <c r="M41" s="908"/>
      <c r="N41" s="921"/>
      <c r="O41" s="921"/>
    </row>
    <row r="42" spans="1:15" ht="15.75" customHeight="1">
      <c r="A42" s="853"/>
      <c r="B42" s="1170">
        <v>7</v>
      </c>
      <c r="C42" s="1722"/>
      <c r="D42" s="922">
        <f>Penyelia!D42</f>
        <v>150</v>
      </c>
      <c r="E42" s="900">
        <f>Penyelia!E42</f>
        <v>149.68779834987208</v>
      </c>
      <c r="F42" s="900">
        <f>Penyelia!F42</f>
        <v>-0.31220165012791767</v>
      </c>
      <c r="G42" s="900">
        <f>Penyelia!G42</f>
        <v>-0.20856853636005429</v>
      </c>
      <c r="H42" s="1726"/>
      <c r="I42" s="1727"/>
      <c r="J42" s="1703">
        <f>Penyelia!I42</f>
        <v>2.0169147119234996</v>
      </c>
      <c r="K42" s="1704"/>
      <c r="L42" s="830"/>
      <c r="M42" s="908"/>
      <c r="N42" s="921"/>
      <c r="O42" s="921"/>
    </row>
    <row r="43" spans="1:15" ht="15.75" customHeight="1">
      <c r="A43" s="853"/>
      <c r="B43" s="1170">
        <v>8</v>
      </c>
      <c r="C43" s="1722"/>
      <c r="D43" s="922">
        <f>Penyelia!D43</f>
        <v>200</v>
      </c>
      <c r="E43" s="900">
        <f>Penyelia!E43</f>
        <v>201.94283623691209</v>
      </c>
      <c r="F43" s="900">
        <f>Penyelia!F43</f>
        <v>1.9428362369120862</v>
      </c>
      <c r="G43" s="900">
        <f>Penyelia!G43</f>
        <v>0.96207237311098304</v>
      </c>
      <c r="H43" s="1726"/>
      <c r="I43" s="1727"/>
      <c r="J43" s="1703">
        <f>Penyelia!I43</f>
        <v>3.8987925874589338</v>
      </c>
      <c r="K43" s="1704"/>
      <c r="L43" s="830"/>
      <c r="M43" s="908"/>
      <c r="N43" s="921"/>
      <c r="O43" s="921"/>
    </row>
    <row r="44" spans="1:15" ht="15.75" customHeight="1">
      <c r="A44" s="853"/>
      <c r="B44" s="1170">
        <v>9</v>
      </c>
      <c r="C44" s="1723"/>
      <c r="D44" s="922">
        <f>Penyelia!D44</f>
        <v>300</v>
      </c>
      <c r="E44" s="900">
        <f>Penyelia!E44</f>
        <v>291.80818801717197</v>
      </c>
      <c r="F44" s="900">
        <f>Penyelia!F44</f>
        <v>-8.1918119828280282</v>
      </c>
      <c r="G44" s="900">
        <f>Penyelia!G44</f>
        <v>-2.807259124046912</v>
      </c>
      <c r="H44" s="1728"/>
      <c r="I44" s="1729"/>
      <c r="J44" s="1703">
        <f>Penyelia!I44</f>
        <v>5.7033768424757421</v>
      </c>
      <c r="K44" s="1704"/>
      <c r="L44" s="830"/>
      <c r="M44" s="908"/>
      <c r="N44" s="921"/>
      <c r="O44" s="921"/>
    </row>
    <row r="45" spans="1:15" ht="5.25" customHeight="1">
      <c r="A45" s="853"/>
      <c r="B45" s="923"/>
      <c r="C45" s="923"/>
      <c r="D45" s="830"/>
      <c r="E45" s="861"/>
      <c r="F45" s="924"/>
      <c r="G45" s="925"/>
      <c r="H45" s="833"/>
      <c r="I45" s="926"/>
      <c r="J45" s="833"/>
      <c r="K45" s="927"/>
      <c r="L45" s="830"/>
      <c r="M45" s="908"/>
      <c r="N45" s="921"/>
      <c r="O45" s="921"/>
    </row>
    <row r="46" spans="1:15" ht="15.75" customHeight="1">
      <c r="A46" s="853"/>
      <c r="B46" s="854" t="str">
        <f>Penyelia!B46</f>
        <v>b. Kalibrasi Energi Maksimum 10 kali Pengisian</v>
      </c>
      <c r="C46" s="854"/>
      <c r="D46" s="854"/>
      <c r="E46" s="862"/>
      <c r="F46" s="833"/>
      <c r="G46" s="833"/>
      <c r="H46" s="833"/>
      <c r="I46" s="833"/>
      <c r="J46" s="833"/>
      <c r="K46" s="927"/>
      <c r="L46" s="830"/>
      <c r="M46" s="908"/>
      <c r="N46" s="921"/>
      <c r="O46" s="921"/>
    </row>
    <row r="47" spans="1:15" ht="15.75" customHeight="1">
      <c r="A47" s="853"/>
      <c r="B47" s="1468" t="s">
        <v>87</v>
      </c>
      <c r="C47" s="1717" t="s">
        <v>116</v>
      </c>
      <c r="D47" s="1468" t="s">
        <v>345</v>
      </c>
      <c r="E47" s="1468" t="s">
        <v>111</v>
      </c>
      <c r="F47" s="1468" t="s">
        <v>346</v>
      </c>
      <c r="G47" s="1468" t="s">
        <v>347</v>
      </c>
      <c r="H47" s="1730" t="s">
        <v>348</v>
      </c>
      <c r="I47" s="1731"/>
      <c r="J47" s="1709" t="s">
        <v>349</v>
      </c>
      <c r="K47" s="1710"/>
      <c r="L47" s="830"/>
      <c r="M47" s="908"/>
      <c r="N47" s="921"/>
      <c r="O47" s="921"/>
    </row>
    <row r="48" spans="1:15" ht="15.75" customHeight="1">
      <c r="A48" s="853"/>
      <c r="B48" s="1469"/>
      <c r="C48" s="1718"/>
      <c r="D48" s="1469"/>
      <c r="E48" s="1469"/>
      <c r="F48" s="1469"/>
      <c r="G48" s="1469"/>
      <c r="H48" s="1730"/>
      <c r="I48" s="1731"/>
      <c r="J48" s="1711"/>
      <c r="K48" s="1712"/>
      <c r="L48" s="830"/>
      <c r="M48" s="908"/>
      <c r="N48" s="921"/>
      <c r="O48" s="921"/>
    </row>
    <row r="49" spans="1:28" ht="15.75" customHeight="1">
      <c r="A49" s="853"/>
      <c r="B49" s="1688"/>
      <c r="C49" s="1172"/>
      <c r="D49" s="1688"/>
      <c r="E49" s="1688"/>
      <c r="F49" s="1688"/>
      <c r="G49" s="1688"/>
      <c r="H49" s="1730"/>
      <c r="I49" s="1731"/>
      <c r="J49" s="1713"/>
      <c r="K49" s="1714"/>
      <c r="L49" s="830"/>
      <c r="M49" s="908"/>
      <c r="N49" s="921"/>
      <c r="O49" s="921"/>
    </row>
    <row r="50" spans="1:28" ht="15.75" customHeight="1">
      <c r="A50" s="853"/>
      <c r="B50" s="1170">
        <v>1</v>
      </c>
      <c r="C50" s="928" t="str">
        <f>Penyelia!C50</f>
        <v>Energi ( J )</v>
      </c>
      <c r="D50" s="1169">
        <f>Penyelia!D50</f>
        <v>200</v>
      </c>
      <c r="E50" s="901">
        <f>Penyelia!E50</f>
        <v>199.94582841957299</v>
      </c>
      <c r="F50" s="901">
        <f>Penyelia!F50</f>
        <v>-5.4171580427009758E-2</v>
      </c>
      <c r="G50" s="901">
        <f>Penyelia!G50</f>
        <v>-2.7093128601480148E-2</v>
      </c>
      <c r="H50" s="1689">
        <f>Penyelia!H50</f>
        <v>15</v>
      </c>
      <c r="I50" s="1690"/>
      <c r="J50" s="1715">
        <f>Penyelia!I50</f>
        <v>0.57090667120547522</v>
      </c>
      <c r="K50" s="1716"/>
      <c r="L50" s="830"/>
      <c r="M50" s="908"/>
      <c r="N50" s="921"/>
      <c r="O50" s="921"/>
    </row>
    <row r="51" spans="1:28" ht="5.25" customHeight="1">
      <c r="A51" s="853"/>
      <c r="B51" s="929"/>
      <c r="C51" s="831"/>
      <c r="D51" s="831"/>
      <c r="E51" s="831"/>
      <c r="F51" s="831"/>
      <c r="G51" s="831"/>
      <c r="H51" s="831"/>
      <c r="I51" s="831"/>
      <c r="J51" s="831"/>
      <c r="K51" s="831"/>
      <c r="L51" s="830"/>
      <c r="M51" s="908"/>
      <c r="N51" s="921"/>
      <c r="O51" s="921"/>
    </row>
    <row r="52" spans="1:28" ht="15.75" customHeight="1">
      <c r="A52" s="853"/>
      <c r="B52" s="1719" t="str">
        <f>Penyelia!B52</f>
        <v>c. Waktu Pengisian</v>
      </c>
      <c r="C52" s="1719"/>
      <c r="D52" s="831"/>
      <c r="E52" s="831"/>
      <c r="F52" s="831"/>
      <c r="G52" s="831"/>
      <c r="H52" s="831"/>
      <c r="I52" s="831"/>
      <c r="J52" s="831"/>
      <c r="K52" s="831"/>
      <c r="L52" s="830"/>
      <c r="M52" s="908"/>
      <c r="N52" s="921"/>
      <c r="O52" s="921"/>
    </row>
    <row r="53" spans="1:28" ht="30" customHeight="1">
      <c r="A53" s="853"/>
      <c r="B53" s="930" t="s">
        <v>87</v>
      </c>
      <c r="C53" s="931" t="str">
        <f>Penyelia!C53</f>
        <v>Parameter</v>
      </c>
      <c r="D53" s="931" t="str">
        <f>Penyelia!D53</f>
        <v>Setting Alat 
( Joule )</v>
      </c>
      <c r="E53" s="931" t="str">
        <f>Penyelia!E53</f>
        <v xml:space="preserve"> Pembacaan Standar</v>
      </c>
      <c r="F53" s="932" t="str">
        <f>Penyelia!G53</f>
        <v xml:space="preserve">Toleransi
</v>
      </c>
      <c r="G53" s="933"/>
      <c r="H53" s="726"/>
      <c r="I53" s="934"/>
      <c r="J53" s="935"/>
      <c r="K53" s="936"/>
      <c r="L53" s="830"/>
      <c r="M53" s="908"/>
      <c r="N53" s="921"/>
      <c r="O53" s="921"/>
    </row>
    <row r="54" spans="1:28" ht="15" customHeight="1">
      <c r="A54" s="853"/>
      <c r="B54" s="865">
        <v>1</v>
      </c>
      <c r="C54" s="937" t="str">
        <f>Penyelia!C54</f>
        <v>Waktu Charging (s)</v>
      </c>
      <c r="D54" s="938">
        <f>Penyelia!D54</f>
        <v>300</v>
      </c>
      <c r="E54" s="902">
        <f>Penyelia!E54</f>
        <v>6.9894495495495494</v>
      </c>
      <c r="F54" s="939" t="str">
        <f>Penyelia!G54</f>
        <v xml:space="preserve">≤ 15 </v>
      </c>
      <c r="G54" s="940"/>
      <c r="H54" s="727"/>
      <c r="J54" s="869"/>
      <c r="K54" s="830"/>
      <c r="L54" s="830"/>
      <c r="M54" s="908"/>
      <c r="N54" s="921"/>
      <c r="O54" s="921"/>
    </row>
    <row r="55" spans="1:28" ht="15.75" customHeight="1">
      <c r="A55" s="861"/>
      <c r="B55" s="861"/>
      <c r="C55" s="862"/>
      <c r="D55" s="944"/>
      <c r="E55" s="871"/>
      <c r="F55" s="872"/>
      <c r="G55" s="945"/>
      <c r="H55" s="912"/>
      <c r="I55" s="927"/>
      <c r="J55" s="830"/>
      <c r="K55" s="946"/>
      <c r="L55" s="946"/>
      <c r="M55" s="943"/>
      <c r="N55" s="864"/>
      <c r="P55" s="943"/>
      <c r="Q55" s="864"/>
      <c r="R55" s="947"/>
      <c r="S55" s="947"/>
      <c r="T55" s="948"/>
      <c r="W55" s="941"/>
      <c r="X55" s="941"/>
      <c r="Y55" s="942"/>
      <c r="Z55" s="941"/>
      <c r="AA55" s="941"/>
      <c r="AB55" s="942"/>
    </row>
    <row r="56" spans="1:28" ht="13.5" customHeight="1">
      <c r="A56" s="949" t="s">
        <v>227</v>
      </c>
      <c r="B56" s="949" t="s">
        <v>269</v>
      </c>
      <c r="C56" s="950"/>
      <c r="D56" s="951"/>
      <c r="E56" s="951"/>
      <c r="F56" s="951"/>
      <c r="G56" s="951"/>
      <c r="H56" s="951"/>
      <c r="I56" s="880"/>
      <c r="J56" s="880"/>
      <c r="K56" s="880"/>
      <c r="L56" s="880"/>
      <c r="M56" s="1174"/>
      <c r="N56" s="1175"/>
      <c r="O56" s="1176"/>
      <c r="P56" s="952"/>
    </row>
    <row r="57" spans="1:28" ht="13.5" customHeight="1">
      <c r="A57" s="949"/>
      <c r="B57" s="903" t="str">
        <f>Penyelia!B58</f>
        <v>Ketidakpastian Pengukuran Energi dilaporkan pada tingkat kepercayaan 95 % dengan faktor cakupan k = 2</v>
      </c>
      <c r="C57" s="950"/>
      <c r="D57" s="951"/>
      <c r="E57" s="951"/>
      <c r="F57" s="951"/>
      <c r="G57" s="951"/>
      <c r="H57" s="951"/>
      <c r="I57" s="880"/>
      <c r="J57" s="880"/>
      <c r="K57" s="880"/>
      <c r="L57" s="880"/>
      <c r="M57" s="1177"/>
      <c r="N57" s="1177"/>
      <c r="O57" s="1178"/>
      <c r="P57" s="879"/>
      <c r="Q57" s="879"/>
    </row>
    <row r="58" spans="1:28" ht="13.5" customHeight="1">
      <c r="A58" s="949"/>
      <c r="B58" s="903" t="str">
        <f>Penyelia!B59</f>
        <v>Ketidakpastian Waktu Pengisian dilaporkan pada tingkat kepercayaan 95 % dengan faktor cakupan k = 2</v>
      </c>
      <c r="C58" s="950"/>
      <c r="D58" s="951"/>
      <c r="E58" s="951"/>
      <c r="F58" s="951"/>
      <c r="G58" s="951"/>
      <c r="H58" s="951"/>
      <c r="I58" s="880"/>
      <c r="J58" s="880"/>
      <c r="K58" s="880"/>
      <c r="L58" s="880"/>
      <c r="M58" s="1177"/>
      <c r="N58" s="1177"/>
      <c r="O58" s="1178"/>
      <c r="P58" s="879"/>
      <c r="Q58" s="879"/>
    </row>
    <row r="59" spans="1:28" ht="14.5">
      <c r="A59" s="953"/>
      <c r="B59" s="903" t="str">
        <f>Penyelia!B60</f>
        <v>Hasil pengukuran keselamatan listrik tertelusur ke Satuan Internasional ( SI ) melalui PT. Kaliman</v>
      </c>
      <c r="C59" s="839"/>
      <c r="D59" s="839"/>
      <c r="E59" s="839"/>
      <c r="F59" s="839"/>
      <c r="G59" s="839"/>
      <c r="H59" s="839"/>
      <c r="I59" s="839"/>
      <c r="J59" s="880"/>
      <c r="K59" s="880"/>
      <c r="L59" s="880"/>
      <c r="M59" s="1179"/>
      <c r="N59" s="1177"/>
      <c r="O59" s="1177"/>
      <c r="P59" s="879"/>
      <c r="Q59" s="879"/>
    </row>
    <row r="60" spans="1:28" ht="14.5">
      <c r="A60" s="953"/>
      <c r="B60" s="903" t="str">
        <f>Penyelia!B61</f>
        <v>Hasil kalibrasi Akurasi dan Energi Maksimum tertelusurke Satuan Internasional melalui CALTEK PTE LTD</v>
      </c>
      <c r="C60" s="839"/>
      <c r="D60" s="839"/>
      <c r="E60" s="839"/>
      <c r="F60" s="839"/>
      <c r="G60" s="839"/>
      <c r="H60" s="839"/>
      <c r="I60" s="839"/>
      <c r="J60" s="880"/>
      <c r="K60" s="880"/>
      <c r="L60" s="880"/>
      <c r="M60" s="1179"/>
      <c r="N60" s="1177"/>
      <c r="O60" s="1177"/>
      <c r="P60" s="879"/>
      <c r="Q60" s="879"/>
    </row>
    <row r="61" spans="1:28" ht="14.5">
      <c r="A61" s="953"/>
      <c r="B61" s="903" t="str">
        <f>Penyelia!B62</f>
        <v>Hasil pengujian waktu Pengisian tertelusur ke Satuan Internasional ( SI ) melalui PT KALIMAN</v>
      </c>
      <c r="C61" s="839"/>
      <c r="D61" s="839"/>
      <c r="E61" s="839"/>
      <c r="F61" s="839"/>
      <c r="G61" s="839"/>
      <c r="H61" s="839"/>
      <c r="I61" s="839"/>
      <c r="J61" s="880"/>
      <c r="K61" s="880"/>
      <c r="L61" s="880"/>
      <c r="M61" s="1179"/>
      <c r="N61" s="1177"/>
      <c r="O61" s="1177"/>
      <c r="P61" s="879"/>
      <c r="Q61" s="879"/>
    </row>
    <row r="62" spans="1:28" ht="14.5">
      <c r="A62" s="953"/>
      <c r="B62" s="903" t="str">
        <f>Penyelia!B63</f>
        <v>Alat tidak boleh digunakan pada instalasi tanpa dilengkapi grounding</v>
      </c>
      <c r="C62" s="839"/>
      <c r="D62" s="839"/>
      <c r="E62" s="839"/>
      <c r="F62" s="839"/>
      <c r="G62" s="839"/>
      <c r="H62" s="839"/>
      <c r="I62" s="839"/>
      <c r="J62" s="880"/>
      <c r="K62" s="880"/>
      <c r="L62" s="880"/>
      <c r="M62" s="1179"/>
      <c r="N62" s="1177"/>
      <c r="O62" s="1177"/>
      <c r="P62" s="879"/>
      <c r="Q62" s="879"/>
    </row>
    <row r="63" spans="1:28" ht="14.5">
      <c r="A63" s="953"/>
      <c r="B63" s="889"/>
      <c r="C63" s="839"/>
      <c r="D63" s="839"/>
      <c r="E63" s="839"/>
      <c r="F63" s="839"/>
      <c r="G63" s="839"/>
      <c r="H63" s="839"/>
      <c r="I63" s="839"/>
      <c r="J63" s="880"/>
      <c r="K63" s="880"/>
      <c r="L63" s="880"/>
      <c r="M63" s="1179"/>
      <c r="N63" s="1177"/>
      <c r="O63" s="1177"/>
      <c r="P63" s="879"/>
      <c r="Q63" s="879"/>
    </row>
    <row r="64" spans="1:28" ht="14">
      <c r="A64" s="953" t="s">
        <v>230</v>
      </c>
      <c r="B64" s="953" t="s">
        <v>273</v>
      </c>
      <c r="C64" s="839"/>
      <c r="D64" s="954"/>
      <c r="E64" s="954"/>
      <c r="F64" s="954"/>
      <c r="G64" s="954"/>
      <c r="H64" s="954"/>
      <c r="I64" s="954"/>
      <c r="J64" s="954"/>
      <c r="K64" s="954"/>
      <c r="L64" s="954"/>
      <c r="M64" s="908"/>
    </row>
    <row r="65" spans="1:16" ht="14">
      <c r="A65" s="953"/>
      <c r="B65" s="312" t="str">
        <f>Penyelia!B66</f>
        <v>Defibrillator Analyzer, Merek : Fluke, Model : Impulse 7000 D, SN : 1837053</v>
      </c>
      <c r="C65" s="839"/>
      <c r="D65" s="954"/>
      <c r="E65" s="954"/>
      <c r="F65" s="954"/>
      <c r="G65" s="954"/>
      <c r="H65" s="954"/>
      <c r="I65" s="954"/>
      <c r="J65" s="954"/>
      <c r="K65" s="954"/>
      <c r="L65" s="954"/>
      <c r="M65" s="908"/>
    </row>
    <row r="66" spans="1:16" ht="14">
      <c r="A66" s="953"/>
      <c r="B66" s="312" t="str">
        <f>Penyelia!B67</f>
        <v>Stopwatch, Merek : EXTECH, Model : 365535, SN :005018</v>
      </c>
      <c r="C66" s="839"/>
      <c r="D66" s="954"/>
      <c r="E66" s="954"/>
      <c r="F66" s="954"/>
      <c r="G66" s="954"/>
      <c r="H66" s="954"/>
      <c r="I66" s="954"/>
      <c r="J66" s="954"/>
      <c r="K66" s="954"/>
      <c r="L66" s="954"/>
      <c r="M66" s="908"/>
    </row>
    <row r="67" spans="1:16" ht="14">
      <c r="A67" s="839"/>
      <c r="B67" s="1171" t="str">
        <f>Penyelia!B68</f>
        <v>Electrical Safety Analyzer, Merek : Fluke, Model : ESA 615, SN : 3148908</v>
      </c>
      <c r="C67" s="839"/>
      <c r="D67" s="839"/>
      <c r="E67" s="839"/>
      <c r="F67" s="839"/>
      <c r="G67" s="839"/>
      <c r="H67" s="839"/>
      <c r="I67" s="839"/>
      <c r="J67" s="839"/>
      <c r="K67" s="839"/>
      <c r="L67" s="839"/>
      <c r="M67" s="908"/>
    </row>
    <row r="68" spans="1:16" ht="15.75" customHeight="1">
      <c r="A68" s="839"/>
      <c r="B68" s="877"/>
      <c r="C68" s="839"/>
      <c r="D68" s="839"/>
      <c r="E68" s="839"/>
      <c r="F68" s="839"/>
      <c r="G68" s="839"/>
      <c r="H68" s="839"/>
      <c r="I68" s="839"/>
      <c r="J68" s="839"/>
      <c r="K68" s="839"/>
      <c r="L68" s="839"/>
      <c r="M68" s="908"/>
    </row>
    <row r="69" spans="1:16" ht="12.75" customHeight="1">
      <c r="A69" s="953" t="s">
        <v>243</v>
      </c>
      <c r="B69" s="955" t="s">
        <v>277</v>
      </c>
      <c r="C69" s="839"/>
      <c r="D69" s="839"/>
      <c r="E69" s="839"/>
      <c r="F69" s="839"/>
      <c r="G69" s="839"/>
      <c r="H69" s="839"/>
      <c r="I69" s="839"/>
      <c r="J69" s="839"/>
      <c r="K69" s="839"/>
      <c r="L69" s="839"/>
      <c r="M69" s="908"/>
      <c r="O69" s="1686"/>
      <c r="P69" s="1686"/>
    </row>
    <row r="70" spans="1:16" ht="29.25" customHeight="1">
      <c r="A70" s="953"/>
      <c r="B70" s="1685" t="str">
        <f>ID!B75</f>
        <v>Alat yang dikalibrasi dalam batas toleransi dan dinyatakan LAIK PAKAI, dimana hasil atau skor akhir sama dengan atau melampaui 70 % berdasarkan Keputusan Direktur Jenderal Pelayanan Kesehatan No : HK.02.02/V/0412/2020</v>
      </c>
      <c r="C70" s="1685"/>
      <c r="D70" s="1685"/>
      <c r="E70" s="1685"/>
      <c r="F70" s="1685"/>
      <c r="G70" s="1685"/>
      <c r="H70" s="1685"/>
      <c r="I70" s="1685"/>
      <c r="J70" s="1685"/>
      <c r="K70" s="1685"/>
      <c r="L70" s="1685"/>
      <c r="M70" s="908"/>
      <c r="N70" s="908"/>
      <c r="O70" s="1683"/>
      <c r="P70" s="1684"/>
    </row>
    <row r="71" spans="1:16" ht="15" customHeight="1">
      <c r="A71" s="953"/>
      <c r="B71" s="955"/>
      <c r="C71" s="839"/>
      <c r="D71" s="839"/>
      <c r="E71" s="839"/>
      <c r="F71" s="839"/>
      <c r="G71" s="839"/>
      <c r="H71" s="839"/>
      <c r="I71" s="839"/>
      <c r="J71" s="839"/>
      <c r="K71" s="839"/>
      <c r="L71" s="839"/>
      <c r="M71" s="908"/>
      <c r="N71" s="908"/>
      <c r="O71" s="1684"/>
      <c r="P71" s="1684"/>
    </row>
    <row r="72" spans="1:16" ht="14">
      <c r="A72" s="953" t="s">
        <v>278</v>
      </c>
      <c r="B72" s="953" t="str">
        <f>ID!B77</f>
        <v>Petugas Kalibrasi</v>
      </c>
      <c r="C72" s="953"/>
      <c r="D72" s="839"/>
      <c r="E72" s="839"/>
      <c r="F72" s="839"/>
      <c r="G72" s="839"/>
      <c r="H72" s="839"/>
      <c r="I72" s="839"/>
      <c r="J72" s="956"/>
      <c r="K72" s="956"/>
      <c r="L72" s="839"/>
      <c r="M72" s="908"/>
      <c r="N72" s="908"/>
      <c r="O72" s="1684"/>
      <c r="P72" s="1684"/>
    </row>
    <row r="73" spans="1:16" ht="14">
      <c r="A73" s="839"/>
      <c r="B73" s="889" t="str">
        <f>ID!B78</f>
        <v>Muhammad Iqbal Saiful Rahman</v>
      </c>
      <c r="C73" s="839"/>
      <c r="D73" s="839"/>
      <c r="E73" s="839"/>
      <c r="F73" s="839"/>
      <c r="G73" s="839"/>
      <c r="H73" s="839"/>
      <c r="I73" s="839"/>
      <c r="J73" s="956"/>
      <c r="K73" s="956"/>
      <c r="L73" s="839"/>
      <c r="M73" s="908"/>
      <c r="N73" s="908"/>
      <c r="O73" s="1684"/>
      <c r="P73" s="1684"/>
    </row>
    <row r="74" spans="1:16" ht="14">
      <c r="A74" s="954"/>
      <c r="B74" s="839"/>
      <c r="C74" s="839"/>
      <c r="D74" s="839"/>
      <c r="E74" s="839"/>
      <c r="F74" s="839"/>
      <c r="G74" s="839"/>
      <c r="H74" s="839"/>
      <c r="I74" s="839"/>
      <c r="J74" s="956"/>
      <c r="K74" s="956"/>
      <c r="L74" s="839"/>
    </row>
    <row r="75" spans="1:16" ht="14">
      <c r="A75" s="954"/>
      <c r="B75" s="839"/>
      <c r="C75" s="839"/>
      <c r="D75" s="839"/>
      <c r="E75" s="839"/>
      <c r="F75" s="839"/>
      <c r="G75" s="839"/>
      <c r="H75" s="839"/>
      <c r="I75" s="839"/>
      <c r="J75" s="956"/>
      <c r="K75" s="956"/>
      <c r="L75" s="839"/>
    </row>
    <row r="76" spans="1:16" ht="14">
      <c r="A76" s="954"/>
      <c r="B76" s="956"/>
      <c r="C76" s="956"/>
      <c r="D76" s="956"/>
      <c r="E76" s="956"/>
      <c r="F76" s="956"/>
      <c r="G76" s="956"/>
      <c r="H76" s="956"/>
      <c r="I76" s="839"/>
      <c r="J76" s="956"/>
      <c r="K76" s="956"/>
      <c r="L76" s="839"/>
    </row>
    <row r="77" spans="1:16" ht="14">
      <c r="A77" s="954"/>
      <c r="B77" s="956"/>
      <c r="C77" s="956"/>
      <c r="D77" s="956"/>
      <c r="E77" s="956"/>
      <c r="F77" s="956"/>
      <c r="G77" s="956"/>
      <c r="H77" s="956"/>
      <c r="I77" s="957" t="s">
        <v>374</v>
      </c>
      <c r="J77" s="956"/>
      <c r="K77" s="956"/>
      <c r="L77" s="839"/>
    </row>
    <row r="78" spans="1:16" ht="14">
      <c r="A78" s="954"/>
      <c r="B78" s="956"/>
      <c r="C78" s="956"/>
      <c r="D78" s="956"/>
      <c r="E78" s="956"/>
      <c r="F78" s="956"/>
      <c r="G78" s="956"/>
      <c r="H78" s="956"/>
      <c r="I78" s="957" t="s">
        <v>375</v>
      </c>
      <c r="J78" s="956"/>
      <c r="K78" s="956"/>
      <c r="L78" s="839"/>
    </row>
    <row r="79" spans="1:16" ht="14">
      <c r="A79" s="879"/>
      <c r="B79" s="956"/>
      <c r="C79" s="956"/>
      <c r="D79" s="956"/>
      <c r="E79" s="956"/>
      <c r="F79" s="956"/>
      <c r="G79" s="956"/>
      <c r="H79" s="956"/>
      <c r="I79" s="957" t="s">
        <v>376</v>
      </c>
      <c r="J79" s="956"/>
      <c r="K79" s="956"/>
      <c r="L79" s="956"/>
    </row>
    <row r="80" spans="1:16" ht="14">
      <c r="A80" s="879"/>
      <c r="B80" s="956"/>
      <c r="C80" s="956"/>
      <c r="D80" s="956"/>
      <c r="E80" s="956"/>
      <c r="F80" s="956"/>
      <c r="G80" s="956"/>
      <c r="H80" s="956"/>
      <c r="I80" s="957"/>
      <c r="J80" s="956"/>
      <c r="K80" s="956"/>
      <c r="L80" s="956"/>
    </row>
    <row r="81" spans="1:12" ht="14">
      <c r="A81" s="879"/>
      <c r="B81" s="956"/>
      <c r="C81" s="956"/>
      <c r="D81" s="956"/>
      <c r="E81" s="956"/>
      <c r="F81" s="956"/>
      <c r="G81" s="956"/>
      <c r="H81" s="956"/>
      <c r="I81" s="957"/>
      <c r="J81" s="956"/>
      <c r="K81" s="956"/>
      <c r="L81" s="956"/>
    </row>
    <row r="82" spans="1:12" ht="14">
      <c r="A82" s="879"/>
      <c r="B82" s="956"/>
      <c r="C82" s="956"/>
      <c r="D82" s="956"/>
      <c r="E82" s="956"/>
      <c r="F82" s="956"/>
      <c r="G82" s="956"/>
      <c r="H82" s="956"/>
      <c r="I82" s="957"/>
      <c r="J82" s="956"/>
      <c r="K82" s="956"/>
      <c r="L82" s="956"/>
    </row>
    <row r="83" spans="1:12" ht="14">
      <c r="A83" s="879"/>
      <c r="B83" s="956"/>
      <c r="C83" s="956"/>
      <c r="D83" s="956"/>
      <c r="E83" s="956"/>
      <c r="F83" s="956"/>
      <c r="G83" s="956"/>
      <c r="H83" s="956"/>
      <c r="I83" s="958"/>
      <c r="J83" s="956"/>
      <c r="K83" s="956"/>
      <c r="L83" s="956"/>
    </row>
    <row r="84" spans="1:12" ht="14">
      <c r="A84" s="879"/>
      <c r="B84" s="956"/>
      <c r="C84" s="956"/>
      <c r="D84" s="956"/>
      <c r="E84" s="956"/>
      <c r="F84" s="956"/>
      <c r="G84" s="956"/>
      <c r="H84" s="956"/>
      <c r="I84" s="959" t="s">
        <v>377</v>
      </c>
      <c r="J84" s="956"/>
      <c r="K84" s="956"/>
      <c r="L84" s="956"/>
    </row>
    <row r="85" spans="1:12" ht="14">
      <c r="A85" s="879"/>
      <c r="B85" s="956"/>
      <c r="C85" s="956"/>
      <c r="D85" s="956"/>
      <c r="E85" s="956"/>
      <c r="F85" s="956"/>
      <c r="G85" s="956"/>
      <c r="H85" s="956"/>
      <c r="I85" s="960" t="s">
        <v>378</v>
      </c>
      <c r="J85" s="956"/>
      <c r="K85" s="956"/>
      <c r="L85" s="956"/>
    </row>
    <row r="86" spans="1:12" ht="14">
      <c r="A86" s="879"/>
      <c r="B86" s="956"/>
      <c r="C86" s="956"/>
      <c r="D86" s="956"/>
      <c r="E86" s="956"/>
      <c r="F86" s="956"/>
      <c r="G86" s="956"/>
      <c r="H86" s="956"/>
      <c r="I86" s="956"/>
      <c r="J86" s="956"/>
      <c r="K86" s="956"/>
      <c r="L86" s="956"/>
    </row>
    <row r="87" spans="1:12" ht="14">
      <c r="A87" s="879"/>
      <c r="B87" s="956"/>
      <c r="C87" s="956"/>
      <c r="D87" s="956"/>
      <c r="E87" s="956"/>
      <c r="F87" s="956"/>
      <c r="G87" s="956"/>
      <c r="H87" s="956"/>
      <c r="I87" s="956"/>
      <c r="J87" s="956"/>
      <c r="K87" s="956"/>
      <c r="L87" s="956"/>
    </row>
    <row r="88" spans="1:12" ht="14">
      <c r="A88" s="879"/>
      <c r="B88" s="956"/>
      <c r="C88" s="956"/>
      <c r="D88" s="956"/>
      <c r="E88" s="956"/>
      <c r="F88" s="956"/>
      <c r="G88" s="956"/>
      <c r="H88" s="956"/>
      <c r="I88" s="956"/>
      <c r="J88" s="956"/>
      <c r="K88" s="956"/>
      <c r="L88" s="956"/>
    </row>
    <row r="89" spans="1:12">
      <c r="A89" s="879"/>
      <c r="B89" s="879"/>
      <c r="C89" s="879"/>
      <c r="D89" s="879"/>
      <c r="E89" s="879"/>
      <c r="F89" s="879"/>
      <c r="G89" s="879"/>
      <c r="H89" s="879"/>
      <c r="I89" s="879"/>
      <c r="J89" s="879"/>
      <c r="K89" s="879"/>
      <c r="L89" s="879"/>
    </row>
    <row r="90" spans="1:12">
      <c r="A90" s="879"/>
      <c r="B90" s="879"/>
      <c r="C90" s="879"/>
      <c r="D90" s="879"/>
      <c r="E90" s="879"/>
      <c r="F90" s="879"/>
      <c r="G90" s="879"/>
      <c r="H90" s="879"/>
      <c r="I90" s="879"/>
      <c r="J90" s="879"/>
      <c r="K90" s="879"/>
      <c r="L90" s="879"/>
    </row>
    <row r="91" spans="1:12">
      <c r="A91" s="879"/>
      <c r="B91" s="879"/>
      <c r="C91" s="879"/>
      <c r="D91" s="879"/>
      <c r="E91" s="879"/>
      <c r="F91" s="879"/>
      <c r="G91" s="879"/>
      <c r="H91" s="879"/>
      <c r="I91" s="879"/>
      <c r="J91" s="879"/>
      <c r="K91" s="879"/>
      <c r="L91" s="879"/>
    </row>
    <row r="92" spans="1:12">
      <c r="A92" s="879"/>
      <c r="B92" s="879"/>
      <c r="C92" s="879"/>
      <c r="D92" s="879"/>
      <c r="E92" s="879"/>
      <c r="F92" s="879"/>
      <c r="G92" s="879"/>
      <c r="H92" s="879"/>
      <c r="I92" s="879"/>
      <c r="J92" s="879"/>
      <c r="K92" s="879"/>
      <c r="L92" s="879"/>
    </row>
    <row r="93" spans="1:12">
      <c r="A93" s="879"/>
      <c r="B93" s="879"/>
      <c r="C93" s="879"/>
      <c r="D93" s="879"/>
      <c r="E93" s="879"/>
      <c r="F93" s="879"/>
      <c r="G93" s="879"/>
      <c r="H93" s="879"/>
      <c r="I93" s="879"/>
      <c r="J93" s="879"/>
      <c r="K93" s="879"/>
      <c r="L93" s="879"/>
    </row>
    <row r="94" spans="1:12">
      <c r="A94" s="879"/>
      <c r="B94" s="879"/>
      <c r="C94" s="879"/>
      <c r="D94" s="879"/>
      <c r="E94" s="879"/>
      <c r="F94" s="879"/>
      <c r="G94" s="879"/>
      <c r="H94" s="879"/>
      <c r="I94" s="879"/>
      <c r="J94" s="879"/>
      <c r="K94" s="879"/>
      <c r="L94" s="879"/>
    </row>
    <row r="95" spans="1:12">
      <c r="A95" s="879"/>
      <c r="B95" s="879"/>
      <c r="C95" s="879"/>
      <c r="D95" s="879"/>
      <c r="E95" s="879"/>
      <c r="F95" s="879"/>
      <c r="G95" s="879"/>
      <c r="H95" s="879"/>
      <c r="I95" s="879"/>
      <c r="J95" s="879"/>
      <c r="K95" s="879"/>
      <c r="L95" s="879"/>
    </row>
    <row r="96" spans="1:12" ht="15.75" customHeight="1">
      <c r="A96" s="879"/>
      <c r="B96" s="879"/>
      <c r="C96" s="879"/>
      <c r="D96" s="879"/>
      <c r="E96" s="879"/>
      <c r="F96" s="879"/>
      <c r="G96" s="879"/>
      <c r="H96" s="879"/>
      <c r="I96" s="879"/>
      <c r="J96" s="879"/>
      <c r="K96" s="879"/>
      <c r="L96" s="879"/>
    </row>
    <row r="97" spans="1:12" ht="12.75" customHeight="1">
      <c r="A97" s="879"/>
      <c r="B97" s="879"/>
      <c r="C97" s="879"/>
      <c r="D97" s="879"/>
      <c r="E97" s="879"/>
      <c r="F97" s="879"/>
      <c r="G97" s="879"/>
      <c r="H97" s="879"/>
      <c r="I97" s="879"/>
      <c r="J97" s="879"/>
      <c r="K97" s="879"/>
      <c r="L97" s="879"/>
    </row>
    <row r="98" spans="1:12" ht="15.75" customHeight="1">
      <c r="A98" s="879"/>
      <c r="B98" s="879"/>
      <c r="C98" s="879"/>
      <c r="D98" s="879"/>
      <c r="E98" s="879"/>
      <c r="F98" s="879"/>
      <c r="G98" s="879"/>
      <c r="H98" s="879"/>
      <c r="I98" s="879"/>
      <c r="J98" s="879"/>
      <c r="K98" s="879"/>
      <c r="L98" s="961" t="s">
        <v>379</v>
      </c>
    </row>
  </sheetData>
  <sheetProtection formatCells="0" formatColumns="0" formatRows="0" insertColumns="0" insertRows="0" deleteColumns="0" deleteRows="0"/>
  <mergeCells count="60">
    <mergeCell ref="J47:K49"/>
    <mergeCell ref="J50:K50"/>
    <mergeCell ref="C47:C48"/>
    <mergeCell ref="B52:C52"/>
    <mergeCell ref="C33:C35"/>
    <mergeCell ref="C36:C44"/>
    <mergeCell ref="H33:I35"/>
    <mergeCell ref="H36:I44"/>
    <mergeCell ref="B47:B49"/>
    <mergeCell ref="D47:D49"/>
    <mergeCell ref="H47:I49"/>
    <mergeCell ref="B33:B35"/>
    <mergeCell ref="J44:K44"/>
    <mergeCell ref="J36:K36"/>
    <mergeCell ref="J37:K37"/>
    <mergeCell ref="J38:K38"/>
    <mergeCell ref="K25:L25"/>
    <mergeCell ref="K26:L26"/>
    <mergeCell ref="K27:L27"/>
    <mergeCell ref="K28:L28"/>
    <mergeCell ref="J33:K35"/>
    <mergeCell ref="A1:L1"/>
    <mergeCell ref="A2:L2"/>
    <mergeCell ref="B23:B24"/>
    <mergeCell ref="C23:H24"/>
    <mergeCell ref="I23:J24"/>
    <mergeCell ref="K23:L24"/>
    <mergeCell ref="A4:C4"/>
    <mergeCell ref="A5:C5"/>
    <mergeCell ref="A6:C6"/>
    <mergeCell ref="A8:C8"/>
    <mergeCell ref="A9:C9"/>
    <mergeCell ref="A10:C10"/>
    <mergeCell ref="A11:C11"/>
    <mergeCell ref="B14:C14"/>
    <mergeCell ref="A7:C7"/>
    <mergeCell ref="B15:C15"/>
    <mergeCell ref="B16:C16"/>
    <mergeCell ref="B19:C19"/>
    <mergeCell ref="B20:C20"/>
    <mergeCell ref="C28:H28"/>
    <mergeCell ref="C27:H27"/>
    <mergeCell ref="C26:H26"/>
    <mergeCell ref="C25:H25"/>
    <mergeCell ref="O70:P73"/>
    <mergeCell ref="B70:L70"/>
    <mergeCell ref="O69:P69"/>
    <mergeCell ref="D33:D35"/>
    <mergeCell ref="E33:E35"/>
    <mergeCell ref="F33:F35"/>
    <mergeCell ref="G33:G35"/>
    <mergeCell ref="E47:E49"/>
    <mergeCell ref="F47:F49"/>
    <mergeCell ref="G47:G49"/>
    <mergeCell ref="H50:I50"/>
    <mergeCell ref="J39:K39"/>
    <mergeCell ref="J40:K40"/>
    <mergeCell ref="J41:K41"/>
    <mergeCell ref="J42:K42"/>
    <mergeCell ref="J43:K43"/>
  </mergeCells>
  <dataValidations count="1">
    <dataValidation type="list" allowBlank="1" showInputMessage="1" showErrorMessage="1" sqref="E46" xr:uid="{5C4D5B82-2FDC-4EA9-BEA4-CE0352428C2E}">
      <formula1>$V$26:$V$27</formula1>
    </dataValidation>
  </dataValidations>
  <printOptions horizontalCentered="1"/>
  <pageMargins left="0.31496062992126" right="0.23622047244094499" top="0.35433070866141703" bottom="0.1" header="0.196850393700787" footer="0.15748031496063"/>
  <pageSetup paperSize="9" scale="75" orientation="portrait" horizontalDpi="4294967294" verticalDpi="4294967294" r:id="rId1"/>
  <headerFooter>
    <oddHeader>&amp;R&amp;8KL.LHK.012-18 / REV : 0</oddHeader>
    <oddFooter>&amp;C&amp;8
Dilarang keras mengutip/memperbanyak dan atau mempublikasikan sebagian isi sertifikat ini tanpa seijin LPFK Banjarbaru
Sertifikat ini sah apabila dibubuhi cap LPFK Banjarbaru dan ditandatangani oleh pejabat yang berwenang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429A9-FFC2-4DA3-8B91-2128F6931C78}">
  <sheetPr>
    <tabColor rgb="FF00B050"/>
  </sheetPr>
  <dimension ref="A1:O61"/>
  <sheetViews>
    <sheetView topLeftCell="A43" zoomScale="88" zoomScaleNormal="88" zoomScaleSheetLayoutView="90" workbookViewId="0">
      <selection activeCell="K3" sqref="K3"/>
    </sheetView>
  </sheetViews>
  <sheetFormatPr defaultColWidth="9.26953125" defaultRowHeight="12.5"/>
  <cols>
    <col min="1" max="1" width="18.26953125" style="772" customWidth="1"/>
    <col min="2" max="2" width="26.26953125" style="772" customWidth="1"/>
    <col min="3" max="3" width="3.26953125" style="772" customWidth="1"/>
    <col min="4" max="4" width="11.54296875" style="772" customWidth="1"/>
    <col min="5" max="5" width="9.453125" style="772" customWidth="1"/>
    <col min="6" max="6" width="22.54296875" style="772" customWidth="1"/>
    <col min="7" max="7" width="9.26953125" style="772"/>
    <col min="8" max="8" width="18.7265625" style="772" customWidth="1"/>
    <col min="9" max="9" width="12.26953125" style="772" customWidth="1"/>
    <col min="10" max="16384" width="9.26953125" style="772"/>
  </cols>
  <sheetData>
    <row r="1" spans="1:15" ht="18.5">
      <c r="H1" s="773" t="str">
        <f>IF(Penyelia!K79&lt;70,"TIDAK LAIK","LAIK")</f>
        <v>LAIK</v>
      </c>
      <c r="I1" s="774"/>
      <c r="J1" s="774"/>
    </row>
    <row r="2" spans="1:15" ht="30">
      <c r="A2" s="1312" t="s">
        <v>380</v>
      </c>
      <c r="B2" s="1312"/>
      <c r="C2" s="1312"/>
      <c r="D2" s="1312"/>
      <c r="E2" s="1312"/>
      <c r="F2" s="1312"/>
      <c r="H2" s="775"/>
      <c r="I2" s="1313"/>
      <c r="J2" s="1314"/>
    </row>
    <row r="3" spans="1:15" ht="14">
      <c r="A3" s="1315" t="str">
        <f>"Nomor : 18 /"&amp;" "&amp;[2]ID!I2</f>
        <v>Nomor : 18 / 1 / VIII - 22 / E - 008.27 DL</v>
      </c>
      <c r="B3" s="1315"/>
      <c r="C3" s="1315"/>
      <c r="D3" s="1315"/>
      <c r="E3" s="1315"/>
      <c r="F3" s="1315"/>
    </row>
    <row r="4" spans="1:15" ht="13">
      <c r="C4" s="772" t="s">
        <v>381</v>
      </c>
      <c r="D4" s="1316" t="str">
        <f>[2]ID!E11</f>
        <v>-</v>
      </c>
      <c r="E4" s="1316"/>
      <c r="F4" s="1316"/>
      <c r="H4" s="776"/>
      <c r="I4" s="776"/>
      <c r="J4" s="776"/>
    </row>
    <row r="5" spans="1:15" ht="14.5">
      <c r="H5" s="1317"/>
      <c r="I5" s="1317"/>
      <c r="J5" s="1317"/>
    </row>
    <row r="6" spans="1:15" ht="14">
      <c r="A6" s="777" t="s">
        <v>382</v>
      </c>
      <c r="B6" s="778" t="s">
        <v>383</v>
      </c>
      <c r="C6" s="779"/>
      <c r="D6" s="1310" t="s">
        <v>384</v>
      </c>
      <c r="E6" s="1311"/>
      <c r="F6" s="780" t="str">
        <f>MID(A3,SEARCH("E - ",A3),LEN(A3))</f>
        <v>E - 008.27 DL</v>
      </c>
    </row>
    <row r="7" spans="1:15" ht="14">
      <c r="A7" s="781"/>
      <c r="B7" s="781"/>
      <c r="C7" s="781"/>
    </row>
    <row r="8" spans="1:15" ht="14">
      <c r="A8" s="1319" t="s">
        <v>163</v>
      </c>
      <c r="B8" s="1319"/>
      <c r="C8" s="782" t="s">
        <v>164</v>
      </c>
      <c r="D8" s="1320" t="str">
        <f>[2]LH!E5</f>
        <v>-</v>
      </c>
      <c r="E8" s="1319"/>
      <c r="F8" s="1319"/>
      <c r="I8" s="1321"/>
      <c r="J8" s="1321"/>
    </row>
    <row r="9" spans="1:15" ht="14.25" customHeight="1">
      <c r="A9" s="1319" t="s">
        <v>385</v>
      </c>
      <c r="B9" s="1319"/>
      <c r="C9" s="782" t="s">
        <v>164</v>
      </c>
      <c r="D9" s="1320" t="str">
        <f>[2]LH!E6</f>
        <v>-</v>
      </c>
      <c r="E9" s="1319"/>
      <c r="F9" s="1319"/>
      <c r="I9" s="1321"/>
      <c r="J9" s="1321"/>
    </row>
    <row r="10" spans="1:15" ht="15" customHeight="1">
      <c r="A10" s="1319" t="s">
        <v>386</v>
      </c>
      <c r="B10" s="1319"/>
      <c r="C10" s="782" t="s">
        <v>164</v>
      </c>
      <c r="D10" s="1320" t="str">
        <f>[2]LH!E7</f>
        <v>-</v>
      </c>
      <c r="E10" s="1319"/>
      <c r="F10" s="1319"/>
      <c r="I10" s="1322"/>
      <c r="J10" s="1323"/>
      <c r="O10" s="783"/>
    </row>
    <row r="11" spans="1:15" s="774" customFormat="1" ht="14.5" hidden="1">
      <c r="A11" s="1324" t="s">
        <v>387</v>
      </c>
      <c r="B11" s="1324"/>
      <c r="C11" s="784" t="s">
        <v>164</v>
      </c>
      <c r="D11" s="785" t="str">
        <f>I11&amp;"    "&amp;J11&amp;""</f>
        <v xml:space="preserve">    </v>
      </c>
      <c r="E11" s="785"/>
      <c r="F11" s="786">
        <f>J11</f>
        <v>0</v>
      </c>
      <c r="I11" s="787"/>
      <c r="J11" s="788"/>
      <c r="O11" s="788"/>
    </row>
    <row r="12" spans="1:15" s="774" customFormat="1" ht="14.5" hidden="1">
      <c r="A12" s="1324" t="s">
        <v>152</v>
      </c>
      <c r="B12" s="1324"/>
      <c r="C12" s="784" t="s">
        <v>164</v>
      </c>
      <c r="D12" s="789"/>
      <c r="E12" s="789"/>
      <c r="F12" s="786"/>
      <c r="I12" s="790"/>
      <c r="J12" s="788"/>
      <c r="O12" s="788"/>
    </row>
    <row r="13" spans="1:15" ht="14.5">
      <c r="A13" s="791"/>
      <c r="B13" s="791"/>
      <c r="C13" s="781"/>
      <c r="I13" s="1318"/>
      <c r="J13" s="1318"/>
      <c r="O13" s="783"/>
    </row>
    <row r="14" spans="1:15" ht="28.5" customHeight="1">
      <c r="A14" s="792" t="s">
        <v>388</v>
      </c>
      <c r="B14" s="793"/>
      <c r="C14" s="781"/>
      <c r="D14" s="1310" t="s">
        <v>389</v>
      </c>
      <c r="E14" s="1311"/>
      <c r="F14" s="794"/>
      <c r="I14" s="1323"/>
      <c r="J14" s="1323"/>
      <c r="O14" s="783"/>
    </row>
    <row r="15" spans="1:15" ht="14.5">
      <c r="A15" s="795"/>
      <c r="B15" s="781"/>
      <c r="C15" s="781"/>
      <c r="D15" s="781"/>
      <c r="E15" s="781"/>
      <c r="I15" s="1326"/>
      <c r="J15" s="1326"/>
    </row>
    <row r="16" spans="1:15" s="774" customFormat="1" ht="42.75" customHeight="1">
      <c r="A16" s="1327" t="s">
        <v>390</v>
      </c>
      <c r="B16" s="1327"/>
      <c r="C16" s="796" t="s">
        <v>164</v>
      </c>
      <c r="D16" s="1328" t="s">
        <v>391</v>
      </c>
      <c r="E16" s="1328"/>
      <c r="F16" s="1328"/>
      <c r="H16" s="797"/>
      <c r="I16" s="1329"/>
      <c r="J16" s="1330"/>
    </row>
    <row r="17" spans="1:10" ht="14.5">
      <c r="A17" s="1319" t="str">
        <f>"Nama Ruang "</f>
        <v xml:space="preserve">Nama Ruang </v>
      </c>
      <c r="B17" s="1319"/>
      <c r="C17" s="782" t="s">
        <v>164</v>
      </c>
      <c r="D17" s="1331" t="str">
        <f>[2]LH!E11</f>
        <v>KL.MK -16</v>
      </c>
      <c r="E17" s="1332"/>
      <c r="F17" s="1332"/>
      <c r="H17" s="1333"/>
      <c r="I17" s="1333"/>
      <c r="J17" s="1333"/>
    </row>
    <row r="18" spans="1:10" ht="14.5">
      <c r="A18" s="1319" t="s">
        <v>168</v>
      </c>
      <c r="B18" s="1319"/>
      <c r="C18" s="782" t="s">
        <v>164</v>
      </c>
      <c r="D18" s="1325" t="str">
        <f>[2]LH!E8</f>
        <v>-</v>
      </c>
      <c r="E18" s="1325"/>
      <c r="F18" s="1325"/>
      <c r="H18" s="798"/>
      <c r="I18" s="798"/>
      <c r="J18" s="798"/>
    </row>
    <row r="19" spans="1:10" ht="14.25" customHeight="1">
      <c r="A19" s="1319" t="str">
        <f>"Tanggal "&amp;B50</f>
        <v>Tanggal Pengujian</v>
      </c>
      <c r="B19" s="1319"/>
      <c r="C19" s="782" t="s">
        <v>164</v>
      </c>
      <c r="D19" s="1325" t="str">
        <f>[2]LH!E9</f>
        <v>-</v>
      </c>
      <c r="E19" s="1325"/>
      <c r="F19" s="1325"/>
    </row>
    <row r="20" spans="1:10" ht="14">
      <c r="A20" s="1319" t="str">
        <f>"Penanggungjawab "&amp;B50</f>
        <v>Penanggungjawab Pengujian</v>
      </c>
      <c r="B20" s="1319"/>
      <c r="C20" s="782" t="s">
        <v>164</v>
      </c>
      <c r="D20" s="1319" t="e">
        <f>[2]LH!#REF!</f>
        <v>#REF!</v>
      </c>
      <c r="E20" s="1319"/>
      <c r="F20" s="1319"/>
    </row>
    <row r="21" spans="1:10" ht="14.5">
      <c r="A21" s="1319" t="str">
        <f>"Lokasi "&amp;B50</f>
        <v>Lokasi Pengujian</v>
      </c>
      <c r="B21" s="1319"/>
      <c r="C21" s="782" t="s">
        <v>164</v>
      </c>
      <c r="D21" s="1331" t="str">
        <f>[2]LH!E10</f>
        <v>-</v>
      </c>
      <c r="E21" s="1332"/>
      <c r="F21" s="1332"/>
      <c r="H21" s="799"/>
    </row>
    <row r="22" spans="1:10" ht="31.5" customHeight="1">
      <c r="A22" s="1332" t="str">
        <f>"Hasil "&amp;B50</f>
        <v>Hasil Pengujian</v>
      </c>
      <c r="B22" s="1332"/>
      <c r="C22" s="800" t="s">
        <v>164</v>
      </c>
      <c r="D22" s="1334" t="s">
        <v>392</v>
      </c>
      <c r="E22" s="1334"/>
      <c r="F22" s="1334"/>
    </row>
    <row r="23" spans="1:10" ht="14">
      <c r="A23" s="1319" t="s">
        <v>172</v>
      </c>
      <c r="B23" s="1319"/>
      <c r="C23" s="782" t="s">
        <v>164</v>
      </c>
      <c r="D23" s="1319" t="str">
        <f>D4</f>
        <v>-</v>
      </c>
      <c r="E23" s="1319"/>
      <c r="F23" s="1319"/>
    </row>
    <row r="26" spans="1:10" ht="26.25" customHeight="1">
      <c r="D26" s="801" t="s">
        <v>393</v>
      </c>
      <c r="E26" s="1336">
        <f ca="1">TODAY()</f>
        <v>45195</v>
      </c>
      <c r="F26" s="1336"/>
    </row>
    <row r="27" spans="1:10" ht="14">
      <c r="D27" s="1319" t="s">
        <v>394</v>
      </c>
      <c r="E27" s="1319"/>
      <c r="F27" s="1319"/>
    </row>
    <row r="28" spans="1:10" ht="14">
      <c r="D28" s="1319" t="s">
        <v>395</v>
      </c>
      <c r="E28" s="1319"/>
      <c r="F28" s="1319"/>
    </row>
    <row r="29" spans="1:10" ht="14">
      <c r="D29" s="802"/>
      <c r="E29" s="802"/>
    </row>
    <row r="30" spans="1:10" ht="14">
      <c r="D30" s="802"/>
      <c r="E30" s="802"/>
    </row>
    <row r="31" spans="1:10" ht="14">
      <c r="D31" s="802"/>
      <c r="E31" s="802"/>
    </row>
    <row r="32" spans="1:10" ht="14">
      <c r="D32" s="1319" t="s">
        <v>396</v>
      </c>
      <c r="E32" s="1319"/>
      <c r="F32" s="1319"/>
    </row>
    <row r="33" spans="1:6" ht="14">
      <c r="D33" s="1335" t="s">
        <v>397</v>
      </c>
      <c r="E33" s="1335"/>
      <c r="F33" s="1335"/>
    </row>
    <row r="36" spans="1:6" ht="13">
      <c r="A36" s="803"/>
      <c r="B36" s="803"/>
      <c r="C36" s="803"/>
      <c r="D36" s="803"/>
      <c r="E36" s="803"/>
      <c r="F36" s="803"/>
    </row>
    <row r="42" spans="1:6" ht="13" thickBot="1"/>
    <row r="43" spans="1:6" ht="31.5" customHeight="1">
      <c r="A43" s="804" t="s">
        <v>398</v>
      </c>
      <c r="B43" s="805" t="str">
        <f>MID([2]ID!I2,SEARCH("E - ",[2]ID!I2),LEN([2]ID!I2))</f>
        <v>E - 008.27 DL</v>
      </c>
    </row>
    <row r="44" spans="1:6">
      <c r="A44" s="806"/>
      <c r="B44" s="807"/>
    </row>
    <row r="45" spans="1:6" ht="24" customHeight="1">
      <c r="A45" s="808" t="s">
        <v>399</v>
      </c>
      <c r="B45" s="809" t="str">
        <f>[2]ID!A1</f>
        <v>INPUT DATA KALIBRASI HEART RATE MONITOR</v>
      </c>
    </row>
    <row r="46" spans="1:6" ht="39" customHeight="1">
      <c r="A46" s="808" t="s">
        <v>400</v>
      </c>
      <c r="B46" s="810" t="str">
        <f>IF(B45="INPUT DATA PENGUJIAN DENTAL UNIT",B47,B48)</f>
        <v>SERTIFIKAT PENGUJIAN</v>
      </c>
    </row>
    <row r="47" spans="1:6" ht="22.5" customHeight="1">
      <c r="A47" s="808" t="s">
        <v>401</v>
      </c>
      <c r="B47" s="807" t="s">
        <v>402</v>
      </c>
    </row>
    <row r="48" spans="1:6">
      <c r="A48" s="806"/>
      <c r="B48" s="807" t="s">
        <v>380</v>
      </c>
    </row>
    <row r="49" spans="1:2">
      <c r="A49" s="806"/>
      <c r="B49" s="807"/>
    </row>
    <row r="50" spans="1:2" ht="48" customHeight="1">
      <c r="A50" s="808" t="s">
        <v>403</v>
      </c>
      <c r="B50" s="807" t="str">
        <f>IF(RIGHT(A2,10)=" KALIBRASI","Kalibrasi","Pengujian")</f>
        <v>Pengujian</v>
      </c>
    </row>
    <row r="51" spans="1:2">
      <c r="A51" s="806"/>
      <c r="B51" s="807"/>
    </row>
    <row r="52" spans="1:2" s="812" customFormat="1" ht="34.5" customHeight="1">
      <c r="A52" s="808" t="s">
        <v>404</v>
      </c>
      <c r="B52" s="811" t="s">
        <v>405</v>
      </c>
    </row>
    <row r="53" spans="1:2">
      <c r="A53" s="806"/>
      <c r="B53" s="807"/>
    </row>
    <row r="54" spans="1:2" ht="50.25" customHeight="1">
      <c r="A54" s="813" t="s">
        <v>406</v>
      </c>
      <c r="B54" s="814" t="e">
        <f>DATE(YEAR(D19)+1,MONTH(D19),DAY(D19))</f>
        <v>#VALUE!</v>
      </c>
    </row>
    <row r="55" spans="1:2" ht="27" customHeight="1">
      <c r="A55" s="808" t="s">
        <v>407</v>
      </c>
      <c r="B55" s="815" t="e">
        <f>TEXT(B54,"d mmmm yyyy")</f>
        <v>#VALUE!</v>
      </c>
    </row>
    <row r="56" spans="1:2">
      <c r="A56" s="806"/>
      <c r="B56" s="807"/>
    </row>
    <row r="57" spans="1:2" ht="30" customHeight="1">
      <c r="A57" s="813" t="s">
        <v>408</v>
      </c>
      <c r="B57" s="816" t="e">
        <f>IF(B46=B47,B58,B59)</f>
        <v>#VALUE!</v>
      </c>
    </row>
    <row r="58" spans="1:2" ht="14">
      <c r="A58" s="806" t="s">
        <v>409</v>
      </c>
      <c r="B58" s="817" t="e">
        <f>CONCATENATE(B60,B55)</f>
        <v>#VALUE!</v>
      </c>
    </row>
    <row r="59" spans="1:2" ht="14">
      <c r="A59" s="806"/>
      <c r="B59" s="817" t="e">
        <f>CONCATENATE(B61,B55)</f>
        <v>#VALUE!</v>
      </c>
    </row>
    <row r="60" spans="1:2" ht="42" customHeight="1">
      <c r="A60" s="818" t="s">
        <v>401</v>
      </c>
      <c r="B60" s="817" t="s">
        <v>410</v>
      </c>
    </row>
    <row r="61" spans="1:2" ht="39.75" customHeight="1" thickBot="1">
      <c r="A61" s="819"/>
      <c r="B61" s="820" t="s">
        <v>411</v>
      </c>
    </row>
  </sheetData>
  <sheetProtection formatRows="0"/>
  <mergeCells count="44">
    <mergeCell ref="D33:F33"/>
    <mergeCell ref="A23:B23"/>
    <mergeCell ref="D23:F23"/>
    <mergeCell ref="E26:F26"/>
    <mergeCell ref="D27:F27"/>
    <mergeCell ref="D28:F28"/>
    <mergeCell ref="D32:F32"/>
    <mergeCell ref="A20:B20"/>
    <mergeCell ref="D20:F20"/>
    <mergeCell ref="A21:B21"/>
    <mergeCell ref="D21:F21"/>
    <mergeCell ref="A22:B22"/>
    <mergeCell ref="D22:F22"/>
    <mergeCell ref="A19:B19"/>
    <mergeCell ref="D19:F19"/>
    <mergeCell ref="D14:E14"/>
    <mergeCell ref="I14:J14"/>
    <mergeCell ref="I15:J15"/>
    <mergeCell ref="A16:B16"/>
    <mergeCell ref="D16:F16"/>
    <mergeCell ref="I16:J16"/>
    <mergeCell ref="A17:B17"/>
    <mergeCell ref="D17:F17"/>
    <mergeCell ref="H17:J17"/>
    <mergeCell ref="A18:B18"/>
    <mergeCell ref="D18:F18"/>
    <mergeCell ref="I13:J13"/>
    <mergeCell ref="A8:B8"/>
    <mergeCell ref="D8:F8"/>
    <mergeCell ref="I8:J8"/>
    <mergeCell ref="A9:B9"/>
    <mergeCell ref="D9:F9"/>
    <mergeCell ref="I9:J9"/>
    <mergeCell ref="A10:B10"/>
    <mergeCell ref="D10:F10"/>
    <mergeCell ref="I10:J10"/>
    <mergeCell ref="A11:B11"/>
    <mergeCell ref="A12:B12"/>
    <mergeCell ref="D6:E6"/>
    <mergeCell ref="A2:F2"/>
    <mergeCell ref="I2:J2"/>
    <mergeCell ref="A3:F3"/>
    <mergeCell ref="D4:F4"/>
    <mergeCell ref="H5:J5"/>
  </mergeCells>
  <dataValidations count="3">
    <dataValidation type="list" allowBlank="1" showInputMessage="1" showErrorMessage="1" sqref="J12" xr:uid="{1C4D1DB0-FC39-46E6-9508-01C10CE3327D}">
      <formula1>$O$9:$O$14</formula1>
    </dataValidation>
    <dataValidation type="list" allowBlank="1" showInputMessage="1" showErrorMessage="1" sqref="J11" xr:uid="{F61DFEC2-04AF-4306-92E8-7F89AA0C6126}">
      <formula1>$M$2:$M$22</formula1>
    </dataValidation>
    <dataValidation type="list" allowBlank="1" showInputMessage="1" showErrorMessage="1" sqref="A2:F2" xr:uid="{259FB605-DC8A-49C2-9EC3-57677E00C435}">
      <formula1>"SERTIFIKAT KALIBRASI,SERTIFIKAT PENGUJIAN"</formula1>
    </dataValidation>
  </dataValidations>
  <pageMargins left="0.6" right="0.3" top="1.57" bottom="0" header="0.5" footer="0.6"/>
  <pageSetup paperSize="9" orientation="portrait" horizontalDpi="0" verticalDpi="0" r:id="rId1"/>
  <headerFooter>
    <oddFooter>&amp;L&amp;"Times New Roman,Bold"Sertifikat ini terdiri dari 2 halaman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3271B-C18F-423F-88C5-EE1C926B32B2}">
  <sheetPr>
    <tabColor rgb="FF00B050"/>
  </sheetPr>
  <dimension ref="A1:AX220"/>
  <sheetViews>
    <sheetView topLeftCell="A128" zoomScale="78" zoomScaleNormal="78" zoomScaleSheetLayoutView="77" workbookViewId="0">
      <selection activeCell="F184" sqref="F184"/>
    </sheetView>
  </sheetViews>
  <sheetFormatPr defaultColWidth="9" defaultRowHeight="12.5"/>
  <cols>
    <col min="1" max="1" width="9.7265625" style="62" customWidth="1"/>
    <col min="2" max="7" width="9.81640625" style="62" customWidth="1"/>
    <col min="8" max="8" width="9.81640625" style="983" customWidth="1"/>
    <col min="9" max="14" width="9.81640625" style="62" customWidth="1"/>
    <col min="15" max="15" width="14" style="62" customWidth="1"/>
    <col min="16" max="16" width="9.81640625" style="983" customWidth="1"/>
    <col min="17" max="23" width="9.81640625" style="62" customWidth="1"/>
    <col min="24" max="24" width="9" style="983"/>
    <col min="25" max="16384" width="9" style="62"/>
  </cols>
  <sheetData>
    <row r="1" spans="1:25" ht="48" customHeight="1">
      <c r="A1" s="1337" t="s">
        <v>115</v>
      </c>
      <c r="B1" s="1338"/>
      <c r="C1" s="1338"/>
      <c r="D1" s="1338"/>
      <c r="E1" s="1338"/>
      <c r="F1" s="1338"/>
      <c r="G1" s="1338"/>
      <c r="H1" s="1338"/>
      <c r="I1" s="1338"/>
      <c r="J1" s="1338"/>
      <c r="K1" s="1338"/>
      <c r="L1" s="1338"/>
      <c r="M1" s="1338"/>
      <c r="N1" s="1338"/>
      <c r="O1" s="1338"/>
      <c r="P1" s="1338"/>
      <c r="Q1" s="1338"/>
      <c r="R1" s="1338"/>
      <c r="S1" s="1338"/>
      <c r="T1" s="1338"/>
      <c r="U1" s="1338"/>
      <c r="V1" s="1338"/>
      <c r="W1" s="1339"/>
      <c r="Y1" s="62" t="s">
        <v>123</v>
      </c>
    </row>
    <row r="2" spans="1:25" ht="25.5" customHeight="1">
      <c r="A2" s="1340">
        <v>1</v>
      </c>
      <c r="B2" s="1343" t="str">
        <f>A167</f>
        <v>Electrical Safety Analyzer, Merek : Fluke, Model : ESA 620, SN : 1837056</v>
      </c>
      <c r="C2" s="1343"/>
      <c r="D2" s="1343"/>
      <c r="E2" s="1343"/>
      <c r="F2" s="1343"/>
      <c r="G2" s="1343"/>
      <c r="H2" s="984"/>
      <c r="I2" s="1340">
        <v>2</v>
      </c>
      <c r="J2" s="1343" t="str">
        <f>A168</f>
        <v>Electrical Safety Analyzer, Merek : Fluke, Model : ESA 620, SN : 1834020</v>
      </c>
      <c r="K2" s="1343"/>
      <c r="L2" s="1343"/>
      <c r="M2" s="1343"/>
      <c r="N2" s="1343"/>
      <c r="O2" s="1343"/>
      <c r="P2" s="984"/>
      <c r="Q2" s="1340">
        <v>3</v>
      </c>
      <c r="R2" s="1343" t="str">
        <f>A169</f>
        <v>Electrical Safety Analyzer, Merek : Fluke, Model : ESA 615, SN : 2853077</v>
      </c>
      <c r="S2" s="1343"/>
      <c r="T2" s="1343"/>
      <c r="U2" s="1343"/>
      <c r="V2" s="1343"/>
      <c r="W2" s="1343"/>
    </row>
    <row r="3" spans="1:25" ht="15" customHeight="1">
      <c r="A3" s="1341"/>
      <c r="B3" s="1344" t="s">
        <v>118</v>
      </c>
      <c r="C3" s="1344"/>
      <c r="D3" s="1344"/>
      <c r="E3" s="1344"/>
      <c r="F3" s="985"/>
      <c r="G3" s="985"/>
      <c r="H3" s="986"/>
      <c r="I3" s="1341"/>
      <c r="J3" s="1344" t="s">
        <v>118</v>
      </c>
      <c r="K3" s="1344"/>
      <c r="L3" s="1344"/>
      <c r="M3" s="1344"/>
      <c r="N3" s="985"/>
      <c r="O3" s="985"/>
      <c r="P3" s="986"/>
      <c r="Q3" s="1341"/>
      <c r="R3" s="1344" t="s">
        <v>118</v>
      </c>
      <c r="S3" s="1344"/>
      <c r="T3" s="1344"/>
      <c r="U3" s="1344"/>
      <c r="V3" s="987"/>
      <c r="W3" s="987"/>
    </row>
    <row r="4" spans="1:25" ht="12.75" customHeight="1">
      <c r="A4" s="1341"/>
      <c r="B4" s="1345" t="s">
        <v>119</v>
      </c>
      <c r="C4" s="1346"/>
      <c r="D4" s="1346"/>
      <c r="E4" s="1347"/>
      <c r="F4" s="988" t="s">
        <v>120</v>
      </c>
      <c r="G4" s="988" t="s">
        <v>77</v>
      </c>
      <c r="H4" s="989"/>
      <c r="I4" s="1341"/>
      <c r="J4" s="1345" t="s">
        <v>119</v>
      </c>
      <c r="K4" s="1346"/>
      <c r="L4" s="1346"/>
      <c r="M4" s="1347"/>
      <c r="N4" s="988" t="s">
        <v>120</v>
      </c>
      <c r="O4" s="988" t="s">
        <v>77</v>
      </c>
      <c r="P4" s="989"/>
      <c r="Q4" s="1341"/>
      <c r="R4" s="1345" t="s">
        <v>119</v>
      </c>
      <c r="S4" s="1346"/>
      <c r="T4" s="1346"/>
      <c r="U4" s="1347"/>
      <c r="V4" s="988" t="s">
        <v>120</v>
      </c>
      <c r="W4" s="988" t="s">
        <v>77</v>
      </c>
    </row>
    <row r="5" spans="1:25" ht="15" customHeight="1">
      <c r="A5" s="1341"/>
      <c r="B5" s="987" t="s">
        <v>122</v>
      </c>
      <c r="C5" s="990">
        <v>2022</v>
      </c>
      <c r="D5" s="990">
        <v>2020</v>
      </c>
      <c r="E5" s="990">
        <v>2019</v>
      </c>
      <c r="F5" s="988"/>
      <c r="G5" s="988"/>
      <c r="H5" s="989"/>
      <c r="I5" s="1341"/>
      <c r="J5" s="987" t="s">
        <v>122</v>
      </c>
      <c r="K5" s="990">
        <v>2022</v>
      </c>
      <c r="L5" s="990">
        <v>2019</v>
      </c>
      <c r="M5" s="991">
        <v>2017</v>
      </c>
      <c r="N5" s="988"/>
      <c r="O5" s="988"/>
      <c r="P5" s="989"/>
      <c r="Q5" s="1341"/>
      <c r="R5" s="987" t="s">
        <v>122</v>
      </c>
      <c r="S5" s="988">
        <v>2018</v>
      </c>
      <c r="T5" s="988">
        <v>2021</v>
      </c>
      <c r="U5" s="988">
        <v>2022</v>
      </c>
      <c r="V5" s="988"/>
      <c r="W5" s="988"/>
    </row>
    <row r="6" spans="1:25" ht="15" customHeight="1">
      <c r="A6" s="1341"/>
      <c r="B6" s="992">
        <v>150</v>
      </c>
      <c r="C6" s="993">
        <v>0.35</v>
      </c>
      <c r="D6" s="993">
        <v>0.31</v>
      </c>
      <c r="E6" s="993">
        <v>0.76</v>
      </c>
      <c r="F6" s="994">
        <f t="shared" ref="F6:F11" si="0">0.5*(MAX(C6:E6)-MIN(C6:E6))</f>
        <v>0.22500000000000001</v>
      </c>
      <c r="G6" s="995">
        <f>B6*$H$6</f>
        <v>1.8</v>
      </c>
      <c r="H6" s="989">
        <f>1.2/100</f>
        <v>1.2E-2</v>
      </c>
      <c r="I6" s="1341"/>
      <c r="J6" s="992">
        <v>150</v>
      </c>
      <c r="K6" s="996">
        <v>0.22</v>
      </c>
      <c r="L6" s="997">
        <v>0.15</v>
      </c>
      <c r="M6" s="997">
        <v>0.23</v>
      </c>
      <c r="N6" s="994">
        <f t="shared" ref="N6:N11" si="1">0.5*(MAX(K6:M6)-MIN(K6:M6))</f>
        <v>4.0000000000000008E-2</v>
      </c>
      <c r="O6" s="995">
        <f>J6*$P$6</f>
        <v>1.8</v>
      </c>
      <c r="P6" s="989">
        <f>1.2/100</f>
        <v>1.2E-2</v>
      </c>
      <c r="Q6" s="1341"/>
      <c r="R6" s="998">
        <v>150</v>
      </c>
      <c r="S6" s="999">
        <v>-7.0000000000000007E-2</v>
      </c>
      <c r="T6" s="999">
        <v>-1.6</v>
      </c>
      <c r="U6" s="999">
        <v>-1.43</v>
      </c>
      <c r="V6" s="994">
        <f t="shared" ref="V6:V11" si="2">0.5*(MAX(S6:U6)-MIN(S6:U6))</f>
        <v>0.76500000000000001</v>
      </c>
      <c r="W6" s="1000">
        <f>R6*$X$6</f>
        <v>1.8</v>
      </c>
      <c r="X6" s="983">
        <f>1.2/100</f>
        <v>1.2E-2</v>
      </c>
    </row>
    <row r="7" spans="1:25" ht="12.75" customHeight="1">
      <c r="A7" s="1341"/>
      <c r="B7" s="992">
        <v>180</v>
      </c>
      <c r="C7" s="993">
        <v>-0.1</v>
      </c>
      <c r="D7" s="993">
        <v>0.1</v>
      </c>
      <c r="E7" s="993">
        <v>-0.03</v>
      </c>
      <c r="F7" s="994">
        <f t="shared" si="0"/>
        <v>0.1</v>
      </c>
      <c r="G7" s="995">
        <f t="shared" ref="G7:G11" si="3">B7*$H$6</f>
        <v>2.16</v>
      </c>
      <c r="H7" s="989"/>
      <c r="I7" s="1341"/>
      <c r="J7" s="992">
        <v>180</v>
      </c>
      <c r="K7" s="996">
        <v>0.1</v>
      </c>
      <c r="L7" s="997">
        <v>0.12</v>
      </c>
      <c r="M7" s="997">
        <v>-0.06</v>
      </c>
      <c r="N7" s="994">
        <f t="shared" si="1"/>
        <v>0.09</v>
      </c>
      <c r="O7" s="995">
        <f t="shared" ref="O7:O11" si="4">J7*$P$6</f>
        <v>2.16</v>
      </c>
      <c r="P7" s="989"/>
      <c r="Q7" s="1341"/>
      <c r="R7" s="1001">
        <v>180</v>
      </c>
      <c r="S7" s="999">
        <v>-0.13</v>
      </c>
      <c r="T7" s="999">
        <v>-1.9</v>
      </c>
      <c r="U7" s="999">
        <v>-1.81</v>
      </c>
      <c r="V7" s="994">
        <f t="shared" si="2"/>
        <v>0.88500000000000001</v>
      </c>
      <c r="W7" s="1000">
        <f t="shared" ref="W7:W11" si="5">R7*$X$6</f>
        <v>2.16</v>
      </c>
    </row>
    <row r="8" spans="1:25" ht="12.75" customHeight="1">
      <c r="A8" s="1341"/>
      <c r="B8" s="992">
        <v>200</v>
      </c>
      <c r="C8" s="993">
        <v>-0.17</v>
      </c>
      <c r="D8" s="993">
        <v>-0.04</v>
      </c>
      <c r="E8" s="993">
        <v>-0.16</v>
      </c>
      <c r="F8" s="994">
        <f t="shared" si="0"/>
        <v>6.5000000000000002E-2</v>
      </c>
      <c r="G8" s="995">
        <f t="shared" si="3"/>
        <v>2.4</v>
      </c>
      <c r="H8" s="989"/>
      <c r="I8" s="1341"/>
      <c r="J8" s="992">
        <v>200</v>
      </c>
      <c r="K8" s="996">
        <v>0.09</v>
      </c>
      <c r="L8" s="997">
        <v>0.06</v>
      </c>
      <c r="M8" s="997">
        <v>-0.18</v>
      </c>
      <c r="N8" s="994">
        <f t="shared" si="1"/>
        <v>0.13500000000000001</v>
      </c>
      <c r="O8" s="995">
        <f t="shared" si="4"/>
        <v>2.4</v>
      </c>
      <c r="P8" s="989"/>
      <c r="Q8" s="1341"/>
      <c r="R8" s="1001">
        <v>200</v>
      </c>
      <c r="S8" s="999">
        <v>-0.26</v>
      </c>
      <c r="T8" s="999">
        <v>-2.14</v>
      </c>
      <c r="U8" s="999">
        <v>-2.0499999999999998</v>
      </c>
      <c r="V8" s="994">
        <f t="shared" si="2"/>
        <v>0.94000000000000006</v>
      </c>
      <c r="W8" s="1000">
        <f t="shared" si="5"/>
        <v>2.4</v>
      </c>
    </row>
    <row r="9" spans="1:25" ht="12.75" customHeight="1">
      <c r="A9" s="1341"/>
      <c r="B9" s="992">
        <v>220</v>
      </c>
      <c r="C9" s="993">
        <v>-0.27</v>
      </c>
      <c r="D9" s="993">
        <v>-0.28000000000000003</v>
      </c>
      <c r="E9" s="993">
        <v>-0.18</v>
      </c>
      <c r="F9" s="994">
        <f t="shared" si="0"/>
        <v>5.0000000000000017E-2</v>
      </c>
      <c r="G9" s="995">
        <f t="shared" si="3"/>
        <v>2.64</v>
      </c>
      <c r="H9" s="989"/>
      <c r="I9" s="1341"/>
      <c r="J9" s="992">
        <v>220</v>
      </c>
      <c r="K9" s="996">
        <v>0.53</v>
      </c>
      <c r="L9" s="997">
        <v>0.05</v>
      </c>
      <c r="M9" s="997">
        <v>-0.03</v>
      </c>
      <c r="N9" s="994">
        <f t="shared" si="1"/>
        <v>0.28000000000000003</v>
      </c>
      <c r="O9" s="995">
        <f t="shared" si="4"/>
        <v>2.64</v>
      </c>
      <c r="P9" s="989"/>
      <c r="Q9" s="1341"/>
      <c r="R9" s="1001">
        <v>220</v>
      </c>
      <c r="S9" s="999">
        <v>-0.28999999999999998</v>
      </c>
      <c r="T9" s="999">
        <v>-3.44</v>
      </c>
      <c r="U9" s="999">
        <v>-2.29</v>
      </c>
      <c r="V9" s="994">
        <f t="shared" si="2"/>
        <v>1.575</v>
      </c>
      <c r="W9" s="1000">
        <f t="shared" si="5"/>
        <v>2.64</v>
      </c>
    </row>
    <row r="10" spans="1:25" ht="12.75" customHeight="1">
      <c r="A10" s="1341"/>
      <c r="B10" s="992">
        <v>230</v>
      </c>
      <c r="C10" s="993">
        <v>0.64</v>
      </c>
      <c r="D10" s="993">
        <v>-0.2</v>
      </c>
      <c r="E10" s="993">
        <v>-0.26</v>
      </c>
      <c r="F10" s="994">
        <f t="shared" si="0"/>
        <v>0.45</v>
      </c>
      <c r="G10" s="995">
        <f t="shared" si="3"/>
        <v>2.7600000000000002</v>
      </c>
      <c r="H10" s="989"/>
      <c r="I10" s="1341"/>
      <c r="J10" s="992">
        <v>230</v>
      </c>
      <c r="K10" s="996">
        <v>1.08</v>
      </c>
      <c r="L10" s="993">
        <v>9.9999999999999995E-7</v>
      </c>
      <c r="M10" s="993">
        <v>0.05</v>
      </c>
      <c r="N10" s="994">
        <f t="shared" si="1"/>
        <v>0.53999950000000008</v>
      </c>
      <c r="O10" s="995">
        <f t="shared" si="4"/>
        <v>2.7600000000000002</v>
      </c>
      <c r="P10" s="989"/>
      <c r="Q10" s="1341"/>
      <c r="R10" s="1001">
        <v>230</v>
      </c>
      <c r="S10" s="999">
        <v>-0.23</v>
      </c>
      <c r="T10" s="999">
        <v>-2.52</v>
      </c>
      <c r="U10" s="999">
        <v>-11.79</v>
      </c>
      <c r="V10" s="994">
        <f t="shared" si="2"/>
        <v>5.7799999999999994</v>
      </c>
      <c r="W10" s="1000">
        <f t="shared" si="5"/>
        <v>2.7600000000000002</v>
      </c>
    </row>
    <row r="11" spans="1:25" ht="12.75" customHeight="1">
      <c r="A11" s="1341"/>
      <c r="B11" s="992">
        <v>250</v>
      </c>
      <c r="C11" s="993">
        <v>-0.36</v>
      </c>
      <c r="D11" s="993">
        <v>-0.32</v>
      </c>
      <c r="E11" s="993">
        <v>9.9999999999999995E-7</v>
      </c>
      <c r="F11" s="994">
        <f t="shared" si="0"/>
        <v>0.18000049999999998</v>
      </c>
      <c r="G11" s="995">
        <f t="shared" si="3"/>
        <v>3</v>
      </c>
      <c r="H11" s="989"/>
      <c r="I11" s="1341"/>
      <c r="J11" s="992">
        <v>250</v>
      </c>
      <c r="K11" s="996">
        <v>-0.01</v>
      </c>
      <c r="L11" s="993">
        <v>9.9999999999999995E-7</v>
      </c>
      <c r="M11" s="993">
        <v>9.9999999999999995E-7</v>
      </c>
      <c r="N11" s="994">
        <f t="shared" si="1"/>
        <v>5.0004999999999997E-3</v>
      </c>
      <c r="O11" s="995">
        <f t="shared" si="4"/>
        <v>3</v>
      </c>
      <c r="P11" s="989"/>
      <c r="Q11" s="1341"/>
      <c r="R11" s="1001">
        <v>250</v>
      </c>
      <c r="S11" s="999">
        <v>9.9999999999999995E-7</v>
      </c>
      <c r="T11" s="1002">
        <v>9.9999999999999995E-7</v>
      </c>
      <c r="U11" s="1002">
        <v>9.9999999999999995E-7</v>
      </c>
      <c r="V11" s="994">
        <f t="shared" si="2"/>
        <v>0</v>
      </c>
      <c r="W11" s="1000">
        <f t="shared" si="5"/>
        <v>3</v>
      </c>
    </row>
    <row r="12" spans="1:25" ht="12.75" customHeight="1">
      <c r="A12" s="1341"/>
      <c r="B12" s="1348" t="s">
        <v>125</v>
      </c>
      <c r="C12" s="1349"/>
      <c r="D12" s="1349"/>
      <c r="E12" s="1350"/>
      <c r="F12" s="988" t="s">
        <v>120</v>
      </c>
      <c r="G12" s="988" t="s">
        <v>77</v>
      </c>
      <c r="H12" s="989"/>
      <c r="I12" s="1341"/>
      <c r="J12" s="1348" t="s">
        <v>125</v>
      </c>
      <c r="K12" s="1349"/>
      <c r="L12" s="1349"/>
      <c r="M12" s="1350"/>
      <c r="N12" s="988" t="s">
        <v>120</v>
      </c>
      <c r="O12" s="988" t="s">
        <v>77</v>
      </c>
      <c r="P12" s="989"/>
      <c r="Q12" s="1341"/>
      <c r="R12" s="1348" t="s">
        <v>125</v>
      </c>
      <c r="S12" s="1349"/>
      <c r="T12" s="1349"/>
      <c r="U12" s="1350"/>
      <c r="V12" s="988" t="s">
        <v>120</v>
      </c>
      <c r="W12" s="988" t="s">
        <v>77</v>
      </c>
    </row>
    <row r="13" spans="1:25" ht="15" customHeight="1">
      <c r="A13" s="1341"/>
      <c r="B13" s="987" t="s">
        <v>127</v>
      </c>
      <c r="C13" s="988">
        <f>C5</f>
        <v>2022</v>
      </c>
      <c r="D13" s="988">
        <f>D5</f>
        <v>2020</v>
      </c>
      <c r="E13" s="988">
        <f>E5</f>
        <v>2019</v>
      </c>
      <c r="F13" s="988"/>
      <c r="G13" s="988"/>
      <c r="H13" s="989"/>
      <c r="I13" s="1341"/>
      <c r="J13" s="987" t="s">
        <v>127</v>
      </c>
      <c r="K13" s="988">
        <f>K5</f>
        <v>2022</v>
      </c>
      <c r="L13" s="988">
        <f>L5</f>
        <v>2019</v>
      </c>
      <c r="M13" s="988">
        <f>M5</f>
        <v>2017</v>
      </c>
      <c r="N13" s="988"/>
      <c r="O13" s="988"/>
      <c r="P13" s="989"/>
      <c r="Q13" s="1341"/>
      <c r="R13" s="987" t="s">
        <v>127</v>
      </c>
      <c r="S13" s="988">
        <f>S5</f>
        <v>2018</v>
      </c>
      <c r="T13" s="988">
        <f>T5</f>
        <v>2021</v>
      </c>
      <c r="U13" s="988">
        <f>U5</f>
        <v>2022</v>
      </c>
      <c r="V13" s="988"/>
      <c r="W13" s="988"/>
    </row>
    <row r="14" spans="1:25" ht="12.75" customHeight="1">
      <c r="A14" s="1341"/>
      <c r="B14" s="1003">
        <v>9.9999999999999995E-7</v>
      </c>
      <c r="C14" s="1003">
        <v>9.9999999999999995E-7</v>
      </c>
      <c r="D14" s="1003">
        <v>9.9999999999999995E-7</v>
      </c>
      <c r="E14" s="1004">
        <v>0</v>
      </c>
      <c r="F14" s="994">
        <f t="shared" ref="F14:F19" si="6">0.5*(MAX(C14:E14)-MIN(C14:E14))</f>
        <v>4.9999999999999998E-7</v>
      </c>
      <c r="G14" s="1005">
        <f>B14*$H$14</f>
        <v>5.8999999999999999E-9</v>
      </c>
      <c r="H14" s="989">
        <f>0.59/100</f>
        <v>5.8999999999999999E-3</v>
      </c>
      <c r="I14" s="1341"/>
      <c r="J14" s="1006">
        <v>9.9999999999999995E-7</v>
      </c>
      <c r="K14" s="999">
        <v>9.9999999999999995E-7</v>
      </c>
      <c r="L14" s="999">
        <v>9.9999999999999995E-7</v>
      </c>
      <c r="M14" s="1007">
        <v>9.9999999999999995E-7</v>
      </c>
      <c r="N14" s="994">
        <f t="shared" ref="N14:N19" si="7">0.5*(MAX(K14:M14)-MIN(K14:M14))</f>
        <v>0</v>
      </c>
      <c r="O14" s="1005">
        <f>J14*$P$14</f>
        <v>5.8999999999999999E-9</v>
      </c>
      <c r="P14" s="989">
        <f>0.59/100</f>
        <v>5.8999999999999999E-3</v>
      </c>
      <c r="Q14" s="1341"/>
      <c r="R14" s="999">
        <v>9.9999999999999995E-7</v>
      </c>
      <c r="S14" s="995">
        <v>9.9999999999999995E-7</v>
      </c>
      <c r="T14" s="1007">
        <v>9.9999999999999995E-7</v>
      </c>
      <c r="U14" s="1007">
        <v>9.9999999999999995E-7</v>
      </c>
      <c r="V14" s="994">
        <f t="shared" ref="V14:V19" si="8">0.5*(MAX(S14:U14)-MIN(S14:U14))</f>
        <v>0</v>
      </c>
      <c r="W14" s="1005">
        <f>R14*$X$14</f>
        <v>5.8999999999999999E-9</v>
      </c>
      <c r="X14" s="983">
        <f>0.59/100</f>
        <v>5.8999999999999999E-3</v>
      </c>
    </row>
    <row r="15" spans="1:25" ht="12.75" customHeight="1">
      <c r="A15" s="1341"/>
      <c r="B15" s="1001">
        <v>50</v>
      </c>
      <c r="C15" s="993">
        <v>4</v>
      </c>
      <c r="D15" s="993">
        <v>0.1</v>
      </c>
      <c r="E15" s="993">
        <v>-0.06</v>
      </c>
      <c r="F15" s="994">
        <f t="shared" si="6"/>
        <v>2.0299999999999998</v>
      </c>
      <c r="G15" s="1005">
        <f t="shared" ref="G15:G19" si="9">B15*$H$14</f>
        <v>0.29499999999999998</v>
      </c>
      <c r="H15" s="989"/>
      <c r="I15" s="1341"/>
      <c r="J15" s="1001">
        <v>50</v>
      </c>
      <c r="K15" s="996">
        <v>1</v>
      </c>
      <c r="L15" s="997">
        <v>-0.08</v>
      </c>
      <c r="M15" s="997">
        <v>0.1</v>
      </c>
      <c r="N15" s="994">
        <f t="shared" si="7"/>
        <v>0.54</v>
      </c>
      <c r="O15" s="1005">
        <f>J15*$P$14</f>
        <v>0.29499999999999998</v>
      </c>
      <c r="P15" s="989"/>
      <c r="Q15" s="1341"/>
      <c r="R15" s="1001">
        <v>50</v>
      </c>
      <c r="S15" s="999">
        <v>2</v>
      </c>
      <c r="T15" s="999">
        <v>2.1</v>
      </c>
      <c r="U15" s="999">
        <v>9.1</v>
      </c>
      <c r="V15" s="994">
        <f t="shared" si="8"/>
        <v>3.55</v>
      </c>
      <c r="W15" s="1005">
        <f t="shared" ref="W15:W19" si="10">R15*$X$14</f>
        <v>0.29499999999999998</v>
      </c>
    </row>
    <row r="16" spans="1:25" ht="12.75" customHeight="1">
      <c r="A16" s="1341"/>
      <c r="B16" s="1001">
        <v>100</v>
      </c>
      <c r="C16" s="993">
        <v>3.6</v>
      </c>
      <c r="D16" s="993">
        <v>0.2</v>
      </c>
      <c r="E16" s="993">
        <v>-0.06</v>
      </c>
      <c r="F16" s="994">
        <f t="shared" si="6"/>
        <v>1.83</v>
      </c>
      <c r="G16" s="1005">
        <f t="shared" si="9"/>
        <v>0.59</v>
      </c>
      <c r="H16" s="989"/>
      <c r="I16" s="1341"/>
      <c r="J16" s="1001">
        <v>100</v>
      </c>
      <c r="K16" s="996">
        <v>-0.9</v>
      </c>
      <c r="L16" s="993">
        <v>-7.0000000000000007E-2</v>
      </c>
      <c r="M16" s="993">
        <v>2.2000000000000002</v>
      </c>
      <c r="N16" s="994">
        <f t="shared" si="7"/>
        <v>1.55</v>
      </c>
      <c r="O16" s="1005">
        <f t="shared" ref="O16:O19" si="11">J16*$P$14</f>
        <v>0.59</v>
      </c>
      <c r="P16" s="989"/>
      <c r="Q16" s="1341"/>
      <c r="R16" s="1001">
        <v>100</v>
      </c>
      <c r="S16" s="999">
        <v>2</v>
      </c>
      <c r="T16" s="999">
        <v>2.2999999999999998</v>
      </c>
      <c r="U16" s="999">
        <v>6</v>
      </c>
      <c r="V16" s="994">
        <f t="shared" si="8"/>
        <v>2</v>
      </c>
      <c r="W16" s="1005">
        <f t="shared" si="10"/>
        <v>0.59</v>
      </c>
    </row>
    <row r="17" spans="1:24" ht="12.75" customHeight="1">
      <c r="A17" s="1341"/>
      <c r="B17" s="1001">
        <v>200</v>
      </c>
      <c r="C17" s="993">
        <v>2.2000000000000002</v>
      </c>
      <c r="D17" s="993">
        <v>0.4</v>
      </c>
      <c r="E17" s="993">
        <v>9.9999999999999995E-7</v>
      </c>
      <c r="F17" s="994">
        <f t="shared" si="6"/>
        <v>1.0999995</v>
      </c>
      <c r="G17" s="1005">
        <f t="shared" si="9"/>
        <v>1.18</v>
      </c>
      <c r="H17" s="989"/>
      <c r="I17" s="1341"/>
      <c r="J17" s="1001">
        <v>200</v>
      </c>
      <c r="K17" s="996">
        <v>-6.4</v>
      </c>
      <c r="L17" s="997">
        <v>-0.1</v>
      </c>
      <c r="M17" s="997">
        <v>3.3</v>
      </c>
      <c r="N17" s="994">
        <f t="shared" si="7"/>
        <v>4.8499999999999996</v>
      </c>
      <c r="O17" s="1005">
        <f t="shared" si="11"/>
        <v>1.18</v>
      </c>
      <c r="P17" s="989"/>
      <c r="Q17" s="1341"/>
      <c r="R17" s="1001">
        <v>200</v>
      </c>
      <c r="S17" s="999">
        <v>3.6</v>
      </c>
      <c r="T17" s="999">
        <v>2.5</v>
      </c>
      <c r="U17" s="999">
        <v>-3.6</v>
      </c>
      <c r="V17" s="994">
        <f t="shared" si="8"/>
        <v>3.6</v>
      </c>
      <c r="W17" s="1005">
        <f t="shared" si="10"/>
        <v>1.18</v>
      </c>
    </row>
    <row r="18" spans="1:24" ht="12.75" customHeight="1">
      <c r="A18" s="1341"/>
      <c r="B18" s="1001">
        <v>500</v>
      </c>
      <c r="C18" s="993">
        <v>-2</v>
      </c>
      <c r="D18" s="993">
        <v>3.8</v>
      </c>
      <c r="E18" s="993">
        <v>-0.9</v>
      </c>
      <c r="F18" s="994">
        <f t="shared" si="6"/>
        <v>2.9</v>
      </c>
      <c r="G18" s="1005">
        <f t="shared" si="9"/>
        <v>2.9499999999999997</v>
      </c>
      <c r="H18" s="989"/>
      <c r="I18" s="1341"/>
      <c r="J18" s="1001">
        <v>500</v>
      </c>
      <c r="K18" s="996">
        <v>-21.7</v>
      </c>
      <c r="L18" s="997">
        <v>0.8</v>
      </c>
      <c r="M18" s="997">
        <v>2</v>
      </c>
      <c r="N18" s="994">
        <f t="shared" si="7"/>
        <v>11.85</v>
      </c>
      <c r="O18" s="1005">
        <f t="shared" si="11"/>
        <v>2.9499999999999997</v>
      </c>
      <c r="P18" s="989"/>
      <c r="Q18" s="1341"/>
      <c r="R18" s="1001">
        <v>500</v>
      </c>
      <c r="S18" s="999">
        <v>2.9</v>
      </c>
      <c r="T18" s="999">
        <v>4.3</v>
      </c>
      <c r="U18" s="999">
        <v>-18.8</v>
      </c>
      <c r="V18" s="994">
        <f t="shared" si="8"/>
        <v>11.55</v>
      </c>
      <c r="W18" s="1005">
        <f t="shared" si="10"/>
        <v>2.9499999999999997</v>
      </c>
    </row>
    <row r="19" spans="1:24" ht="12.75" customHeight="1">
      <c r="A19" s="1341"/>
      <c r="B19" s="1001">
        <v>1000</v>
      </c>
      <c r="C19" s="993">
        <v>-26</v>
      </c>
      <c r="D19" s="993">
        <v>9.9999999999999995E-7</v>
      </c>
      <c r="E19" s="993">
        <v>9.9999999999999995E-7</v>
      </c>
      <c r="F19" s="994">
        <f t="shared" si="6"/>
        <v>13.000000500000001</v>
      </c>
      <c r="G19" s="1005">
        <f t="shared" si="9"/>
        <v>5.8999999999999995</v>
      </c>
      <c r="H19" s="989"/>
      <c r="I19" s="1341"/>
      <c r="J19" s="1001">
        <v>1000</v>
      </c>
      <c r="K19" s="1008">
        <v>-6.7000000000000004E-2</v>
      </c>
      <c r="L19" s="993">
        <v>9.9999999999999995E-7</v>
      </c>
      <c r="M19" s="993">
        <v>9.9999999999999995E-7</v>
      </c>
      <c r="N19" s="994">
        <f t="shared" si="7"/>
        <v>3.3500500000000002E-2</v>
      </c>
      <c r="O19" s="1005">
        <f t="shared" si="11"/>
        <v>5.8999999999999995</v>
      </c>
      <c r="P19" s="989"/>
      <c r="Q19" s="1341"/>
      <c r="R19" s="1001">
        <v>1000</v>
      </c>
      <c r="S19" s="999">
        <v>3</v>
      </c>
      <c r="T19" s="999">
        <v>2</v>
      </c>
      <c r="U19" s="999">
        <v>-47</v>
      </c>
      <c r="V19" s="994">
        <f t="shared" si="8"/>
        <v>25</v>
      </c>
      <c r="W19" s="1005">
        <f t="shared" si="10"/>
        <v>5.8999999999999995</v>
      </c>
    </row>
    <row r="20" spans="1:24" ht="12.75" customHeight="1">
      <c r="A20" s="1341"/>
      <c r="B20" s="1348" t="s">
        <v>129</v>
      </c>
      <c r="C20" s="1349"/>
      <c r="D20" s="1349"/>
      <c r="E20" s="1350"/>
      <c r="F20" s="988" t="s">
        <v>120</v>
      </c>
      <c r="G20" s="988" t="s">
        <v>77</v>
      </c>
      <c r="H20" s="989"/>
      <c r="I20" s="1341"/>
      <c r="J20" s="1348" t="str">
        <f>B20</f>
        <v>Main-PE</v>
      </c>
      <c r="K20" s="1349"/>
      <c r="L20" s="1349"/>
      <c r="M20" s="1350"/>
      <c r="N20" s="988" t="s">
        <v>120</v>
      </c>
      <c r="O20" s="988" t="s">
        <v>77</v>
      </c>
      <c r="P20" s="989"/>
      <c r="Q20" s="1341"/>
      <c r="R20" s="1348" t="str">
        <f>B20</f>
        <v>Main-PE</v>
      </c>
      <c r="S20" s="1349"/>
      <c r="T20" s="1349"/>
      <c r="U20" s="1350"/>
      <c r="V20" s="988" t="s">
        <v>120</v>
      </c>
      <c r="W20" s="988" t="s">
        <v>77</v>
      </c>
    </row>
    <row r="21" spans="1:24" ht="15" customHeight="1">
      <c r="A21" s="1341"/>
      <c r="B21" s="987" t="s">
        <v>130</v>
      </c>
      <c r="C21" s="988">
        <v>2019</v>
      </c>
      <c r="D21" s="988">
        <v>2019</v>
      </c>
      <c r="E21" s="988">
        <v>2015</v>
      </c>
      <c r="F21" s="988"/>
      <c r="G21" s="988"/>
      <c r="H21" s="989"/>
      <c r="I21" s="1341"/>
      <c r="J21" s="987" t="s">
        <v>130</v>
      </c>
      <c r="K21" s="988">
        <f>K5</f>
        <v>2022</v>
      </c>
      <c r="L21" s="988">
        <f>L5</f>
        <v>2019</v>
      </c>
      <c r="M21" s="988">
        <f>M5</f>
        <v>2017</v>
      </c>
      <c r="N21" s="988"/>
      <c r="O21" s="988"/>
      <c r="P21" s="989"/>
      <c r="Q21" s="1341"/>
      <c r="R21" s="987" t="s">
        <v>130</v>
      </c>
      <c r="S21" s="988">
        <f>S5</f>
        <v>2018</v>
      </c>
      <c r="T21" s="988">
        <f>T5</f>
        <v>2021</v>
      </c>
      <c r="U21" s="988">
        <f>U5</f>
        <v>2022</v>
      </c>
      <c r="V21" s="988"/>
      <c r="W21" s="988"/>
    </row>
    <row r="22" spans="1:24" ht="12.75" customHeight="1">
      <c r="A22" s="1341"/>
      <c r="B22" s="1001">
        <v>10</v>
      </c>
      <c r="C22" s="993">
        <v>9.9999999999999995E-7</v>
      </c>
      <c r="D22" s="993">
        <v>-1E-3</v>
      </c>
      <c r="E22" s="993">
        <v>9.9999999999999995E-7</v>
      </c>
      <c r="F22" s="994">
        <f t="shared" ref="F22:F25" si="12">0.5*(MAX(C22:E22)-MIN(C22:E22))</f>
        <v>5.0049999999999997E-4</v>
      </c>
      <c r="G22" s="1006">
        <v>1.4</v>
      </c>
      <c r="H22" s="989"/>
      <c r="I22" s="1341"/>
      <c r="J22" s="1001">
        <v>10</v>
      </c>
      <c r="K22" s="996">
        <v>0</v>
      </c>
      <c r="L22" s="993">
        <v>0.1</v>
      </c>
      <c r="M22" s="993">
        <v>9.9999999999999995E-7</v>
      </c>
      <c r="N22" s="994">
        <f t="shared" ref="N22:N25" si="13">0.5*(MAX(K22:M22)-MIN(K22:M22))</f>
        <v>0.05</v>
      </c>
      <c r="O22" s="999">
        <f>J22*$P$22</f>
        <v>5.8999999999999997E-2</v>
      </c>
      <c r="P22" s="989">
        <f>0.59/100</f>
        <v>5.8999999999999999E-3</v>
      </c>
      <c r="Q22" s="1341"/>
      <c r="R22" s="1001">
        <v>10</v>
      </c>
      <c r="S22" s="999">
        <v>9.9999999999999995E-7</v>
      </c>
      <c r="T22" s="999">
        <v>0.26</v>
      </c>
      <c r="U22" s="999">
        <v>0</v>
      </c>
      <c r="V22" s="994">
        <f t="shared" ref="V22:V25" si="14">0.5*(MAX(S22:U22)-MIN(S22:U22))</f>
        <v>0.13</v>
      </c>
      <c r="W22" s="1006">
        <f>R22*$X$22</f>
        <v>0.17</v>
      </c>
      <c r="X22" s="983">
        <f>1.7/100</f>
        <v>1.7000000000000001E-2</v>
      </c>
    </row>
    <row r="23" spans="1:24" ht="12.75" customHeight="1">
      <c r="A23" s="1341"/>
      <c r="B23" s="1001">
        <v>20</v>
      </c>
      <c r="C23" s="993">
        <v>0.1</v>
      </c>
      <c r="D23" s="993">
        <v>9.9999999999999995E-7</v>
      </c>
      <c r="E23" s="993">
        <v>9.9999999999999995E-7</v>
      </c>
      <c r="F23" s="994">
        <f t="shared" si="12"/>
        <v>4.9999500000000002E-2</v>
      </c>
      <c r="G23" s="1006">
        <v>1.4</v>
      </c>
      <c r="H23" s="989"/>
      <c r="I23" s="1341"/>
      <c r="J23" s="1001">
        <v>20</v>
      </c>
      <c r="K23" s="996">
        <v>0.1</v>
      </c>
      <c r="L23" s="993">
        <v>0.2</v>
      </c>
      <c r="M23" s="993">
        <v>0.1</v>
      </c>
      <c r="N23" s="994">
        <f t="shared" si="13"/>
        <v>0.05</v>
      </c>
      <c r="O23" s="999">
        <f t="shared" ref="O23:O25" si="15">J23*$P$22</f>
        <v>0.11799999999999999</v>
      </c>
      <c r="P23" s="989"/>
      <c r="Q23" s="1341"/>
      <c r="R23" s="1001">
        <v>20</v>
      </c>
      <c r="S23" s="999">
        <v>0</v>
      </c>
      <c r="T23" s="1002">
        <v>9.9999999999999995E-7</v>
      </c>
      <c r="U23" s="1002">
        <v>0</v>
      </c>
      <c r="V23" s="994">
        <f t="shared" si="14"/>
        <v>4.9999999999999998E-7</v>
      </c>
      <c r="W23" s="1006">
        <f t="shared" ref="W23:W25" si="16">R23*$X$22</f>
        <v>0.34</v>
      </c>
    </row>
    <row r="24" spans="1:24" ht="12.75" customHeight="1">
      <c r="A24" s="1341"/>
      <c r="B24" s="1001">
        <v>50</v>
      </c>
      <c r="C24" s="993">
        <v>0.3</v>
      </c>
      <c r="D24" s="993">
        <v>9.9999999999999995E-7</v>
      </c>
      <c r="E24" s="993">
        <v>9.9999999999999995E-7</v>
      </c>
      <c r="F24" s="994">
        <f t="shared" si="12"/>
        <v>0.14999950000000001</v>
      </c>
      <c r="G24" s="1006">
        <v>1.4</v>
      </c>
      <c r="H24" s="989"/>
      <c r="I24" s="1341"/>
      <c r="J24" s="1001">
        <v>50</v>
      </c>
      <c r="K24" s="996">
        <v>0.2</v>
      </c>
      <c r="L24" s="993">
        <v>0.3</v>
      </c>
      <c r="M24" s="993">
        <v>0.1</v>
      </c>
      <c r="N24" s="994">
        <f t="shared" si="13"/>
        <v>9.9999999999999992E-2</v>
      </c>
      <c r="O24" s="999">
        <f t="shared" si="15"/>
        <v>0.29499999999999998</v>
      </c>
      <c r="P24" s="989"/>
      <c r="Q24" s="1341"/>
      <c r="R24" s="1001">
        <v>50</v>
      </c>
      <c r="S24" s="999">
        <v>0.3</v>
      </c>
      <c r="T24" s="999">
        <v>0.16</v>
      </c>
      <c r="U24" s="999">
        <v>0.1</v>
      </c>
      <c r="V24" s="994">
        <f t="shared" si="14"/>
        <v>9.9999999999999992E-2</v>
      </c>
      <c r="W24" s="1006">
        <f t="shared" si="16"/>
        <v>0.85000000000000009</v>
      </c>
    </row>
    <row r="25" spans="1:24" ht="12.75" customHeight="1">
      <c r="A25" s="1341"/>
      <c r="B25" s="1001">
        <v>100</v>
      </c>
      <c r="C25" s="993">
        <v>0.4</v>
      </c>
      <c r="D25" s="993">
        <v>9.9999999999999995E-7</v>
      </c>
      <c r="E25" s="993">
        <v>9.9999999999999995E-7</v>
      </c>
      <c r="F25" s="994">
        <f t="shared" si="12"/>
        <v>0.19999950000000002</v>
      </c>
      <c r="G25" s="1006">
        <v>1.4</v>
      </c>
      <c r="H25" s="989"/>
      <c r="I25" s="1341"/>
      <c r="J25" s="1001">
        <v>100</v>
      </c>
      <c r="K25" s="996">
        <v>0.2</v>
      </c>
      <c r="L25" s="993">
        <v>0.3</v>
      </c>
      <c r="M25" s="993">
        <v>9.9999999999999995E-7</v>
      </c>
      <c r="N25" s="994">
        <f t="shared" si="13"/>
        <v>0.14999950000000001</v>
      </c>
      <c r="O25" s="999">
        <f t="shared" si="15"/>
        <v>0.59</v>
      </c>
      <c r="P25" s="989"/>
      <c r="Q25" s="1341"/>
      <c r="R25" s="1001">
        <v>100</v>
      </c>
      <c r="S25" s="999">
        <v>0.6</v>
      </c>
      <c r="T25" s="999">
        <v>0.06</v>
      </c>
      <c r="U25" s="999">
        <v>0.1</v>
      </c>
      <c r="V25" s="994">
        <f t="shared" si="14"/>
        <v>0.27</v>
      </c>
      <c r="W25" s="1006">
        <f t="shared" si="16"/>
        <v>1.7000000000000002</v>
      </c>
    </row>
    <row r="26" spans="1:24" ht="12.75" customHeight="1">
      <c r="A26" s="1341"/>
      <c r="B26" s="1348" t="s">
        <v>131</v>
      </c>
      <c r="C26" s="1349"/>
      <c r="D26" s="1349"/>
      <c r="E26" s="1350"/>
      <c r="F26" s="988" t="s">
        <v>120</v>
      </c>
      <c r="G26" s="988" t="s">
        <v>77</v>
      </c>
      <c r="H26" s="989"/>
      <c r="I26" s="1341"/>
      <c r="J26" s="1348" t="str">
        <f>B26</f>
        <v>Resistance</v>
      </c>
      <c r="K26" s="1349"/>
      <c r="L26" s="1349"/>
      <c r="M26" s="1350"/>
      <c r="N26" s="988" t="s">
        <v>120</v>
      </c>
      <c r="O26" s="988" t="s">
        <v>77</v>
      </c>
      <c r="P26" s="989"/>
      <c r="Q26" s="1341"/>
      <c r="R26" s="1348" t="str">
        <f>B26</f>
        <v>Resistance</v>
      </c>
      <c r="S26" s="1349"/>
      <c r="T26" s="1349"/>
      <c r="U26" s="1350"/>
      <c r="V26" s="988" t="s">
        <v>120</v>
      </c>
      <c r="W26" s="988" t="s">
        <v>77</v>
      </c>
    </row>
    <row r="27" spans="1:24" ht="15" customHeight="1">
      <c r="A27" s="1341"/>
      <c r="B27" s="987" t="s">
        <v>132</v>
      </c>
      <c r="C27" s="988">
        <f>C5</f>
        <v>2022</v>
      </c>
      <c r="D27" s="988">
        <f>D5</f>
        <v>2020</v>
      </c>
      <c r="E27" s="988">
        <f>E5</f>
        <v>2019</v>
      </c>
      <c r="F27" s="988"/>
      <c r="G27" s="988"/>
      <c r="H27" s="989"/>
      <c r="I27" s="1341"/>
      <c r="J27" s="987" t="s">
        <v>132</v>
      </c>
      <c r="K27" s="988">
        <f>K5</f>
        <v>2022</v>
      </c>
      <c r="L27" s="988">
        <f>L5</f>
        <v>2019</v>
      </c>
      <c r="M27" s="988">
        <f>M5</f>
        <v>2017</v>
      </c>
      <c r="N27" s="988"/>
      <c r="O27" s="988"/>
      <c r="P27" s="989"/>
      <c r="Q27" s="1341"/>
      <c r="R27" s="987" t="s">
        <v>132</v>
      </c>
      <c r="S27" s="988">
        <f>S5</f>
        <v>2018</v>
      </c>
      <c r="T27" s="988">
        <f>T5</f>
        <v>2021</v>
      </c>
      <c r="U27" s="988">
        <f>U5</f>
        <v>2022</v>
      </c>
      <c r="V27" s="988"/>
      <c r="W27" s="988"/>
    </row>
    <row r="28" spans="1:24" ht="12.75" customHeight="1">
      <c r="A28" s="1341"/>
      <c r="B28" s="1001">
        <v>0.01</v>
      </c>
      <c r="C28" s="1009">
        <v>-2E-3</v>
      </c>
      <c r="D28" s="1009">
        <v>9.9999999999999995E-7</v>
      </c>
      <c r="E28" s="1009">
        <v>9.9999999999999995E-7</v>
      </c>
      <c r="F28" s="994">
        <f t="shared" ref="F28:F31" si="17">0.5*(MAX(C28:E28)-MIN(C28:E28))</f>
        <v>1.0005000000000001E-3</v>
      </c>
      <c r="G28" s="1001">
        <f>B28*$H$28</f>
        <v>1.2E-4</v>
      </c>
      <c r="H28" s="989">
        <f>1.2/100</f>
        <v>1.2E-2</v>
      </c>
      <c r="I28" s="1341"/>
      <c r="J28" s="1001">
        <v>0.01</v>
      </c>
      <c r="K28" s="1008">
        <v>0</v>
      </c>
      <c r="L28" s="1009">
        <v>9.9999999999999995E-7</v>
      </c>
      <c r="M28" s="1009">
        <v>9.9999999999999995E-7</v>
      </c>
      <c r="N28" s="994">
        <f t="shared" ref="N28:N31" si="18">0.5*(MAX(K28:M28)-MIN(K28:M28))</f>
        <v>4.9999999999999998E-7</v>
      </c>
      <c r="O28" s="1001">
        <f>J28*$P$28</f>
        <v>1.2E-4</v>
      </c>
      <c r="P28" s="1010">
        <f>1.2/100</f>
        <v>1.2E-2</v>
      </c>
      <c r="Q28" s="1341"/>
      <c r="R28" s="1001">
        <v>0.01</v>
      </c>
      <c r="S28" s="1011">
        <v>9.9999999999999995E-7</v>
      </c>
      <c r="T28" s="1002">
        <v>9.9999999999999995E-7</v>
      </c>
      <c r="U28" s="1002">
        <v>0</v>
      </c>
      <c r="V28" s="994">
        <f t="shared" ref="V28:V31" si="19">0.5*(MAX(S28:U28)-MIN(S28:U28))</f>
        <v>4.9999999999999998E-7</v>
      </c>
      <c r="W28" s="1012">
        <f>R28*$X$28</f>
        <v>1.2E-4</v>
      </c>
      <c r="X28" s="983">
        <f>1.2/100</f>
        <v>1.2E-2</v>
      </c>
    </row>
    <row r="29" spans="1:24" ht="12.75" customHeight="1">
      <c r="A29" s="1341"/>
      <c r="B29" s="1001">
        <v>0.1</v>
      </c>
      <c r="C29" s="1009">
        <v>1E-3</v>
      </c>
      <c r="D29" s="1009">
        <v>-1E-3</v>
      </c>
      <c r="E29" s="1009">
        <v>2E-3</v>
      </c>
      <c r="F29" s="994">
        <f t="shared" si="17"/>
        <v>1.5E-3</v>
      </c>
      <c r="G29" s="1001">
        <f t="shared" ref="G29:G31" si="20">B29*$H$28</f>
        <v>1.2000000000000001E-3</v>
      </c>
      <c r="H29" s="989"/>
      <c r="I29" s="1341"/>
      <c r="J29" s="1001">
        <v>0.1</v>
      </c>
      <c r="K29" s="1008">
        <v>5.0000000000000001E-3</v>
      </c>
      <c r="L29" s="1009">
        <v>6.0000000000000001E-3</v>
      </c>
      <c r="M29" s="1009">
        <v>5.0000000000000001E-3</v>
      </c>
      <c r="N29" s="994">
        <f t="shared" si="18"/>
        <v>5.0000000000000001E-4</v>
      </c>
      <c r="O29" s="1001">
        <f t="shared" ref="O29:O31" si="21">J29*$P$28</f>
        <v>1.2000000000000001E-3</v>
      </c>
      <c r="P29" s="989"/>
      <c r="Q29" s="1341"/>
      <c r="R29" s="1001">
        <v>0.1</v>
      </c>
      <c r="S29" s="1011">
        <v>9.9999999999999995E-7</v>
      </c>
      <c r="T29" s="1002">
        <v>9.9999999999999995E-7</v>
      </c>
      <c r="U29" s="1002">
        <v>-2E-3</v>
      </c>
      <c r="V29" s="994">
        <f t="shared" si="19"/>
        <v>1.0005000000000001E-3</v>
      </c>
      <c r="W29" s="1012">
        <f t="shared" ref="W29:W31" si="22">R29*$X$28</f>
        <v>1.2000000000000001E-3</v>
      </c>
    </row>
    <row r="30" spans="1:24" ht="12.75" customHeight="1">
      <c r="A30" s="1341"/>
      <c r="B30" s="1001">
        <v>1</v>
      </c>
      <c r="C30" s="1009">
        <v>4.0000000000000001E-3</v>
      </c>
      <c r="D30" s="1009">
        <v>4.0000000000000001E-3</v>
      </c>
      <c r="E30" s="1009">
        <v>1.2E-2</v>
      </c>
      <c r="F30" s="994">
        <f t="shared" si="17"/>
        <v>4.0000000000000001E-3</v>
      </c>
      <c r="G30" s="1001">
        <f t="shared" si="20"/>
        <v>1.2E-2</v>
      </c>
      <c r="H30" s="989"/>
      <c r="I30" s="1341"/>
      <c r="J30" s="1001">
        <v>1</v>
      </c>
      <c r="K30" s="1008">
        <v>5.8000000000000003E-2</v>
      </c>
      <c r="L30" s="1009">
        <v>4.4999999999999998E-2</v>
      </c>
      <c r="M30" s="1009">
        <v>5.5E-2</v>
      </c>
      <c r="N30" s="994">
        <f t="shared" si="18"/>
        <v>6.5000000000000023E-3</v>
      </c>
      <c r="O30" s="1001">
        <f t="shared" si="21"/>
        <v>1.2E-2</v>
      </c>
      <c r="P30" s="989"/>
      <c r="Q30" s="1341"/>
      <c r="R30" s="1001">
        <v>1</v>
      </c>
      <c r="S30" s="1011">
        <v>9.9999999999999995E-7</v>
      </c>
      <c r="T30" s="1011">
        <v>6.0000000000000001E-3</v>
      </c>
      <c r="U30" s="1011">
        <v>-1.2E-2</v>
      </c>
      <c r="V30" s="994">
        <f t="shared" si="19"/>
        <v>9.0000000000000011E-3</v>
      </c>
      <c r="W30" s="1012">
        <f t="shared" si="22"/>
        <v>1.2E-2</v>
      </c>
    </row>
    <row r="31" spans="1:24" ht="12.75" customHeight="1">
      <c r="A31" s="1342"/>
      <c r="B31" s="1001">
        <v>2</v>
      </c>
      <c r="C31" s="1009">
        <v>1.2E-2</v>
      </c>
      <c r="D31" s="1009">
        <v>7.0000000000000001E-3</v>
      </c>
      <c r="E31" s="1009">
        <v>9.9999999999999995E-7</v>
      </c>
      <c r="F31" s="994">
        <f t="shared" si="17"/>
        <v>5.9995000000000005E-3</v>
      </c>
      <c r="G31" s="1001">
        <f t="shared" si="20"/>
        <v>2.4E-2</v>
      </c>
      <c r="H31" s="989"/>
      <c r="I31" s="1342"/>
      <c r="J31" s="1001">
        <v>2</v>
      </c>
      <c r="K31" s="1008">
        <v>0.113</v>
      </c>
      <c r="L31" s="1009">
        <v>9.9999999999999995E-7</v>
      </c>
      <c r="M31" s="1009">
        <v>9.9999999999999995E-7</v>
      </c>
      <c r="N31" s="994">
        <f t="shared" si="18"/>
        <v>5.6499500000000001E-2</v>
      </c>
      <c r="O31" s="1013">
        <f t="shared" si="21"/>
        <v>2.4E-2</v>
      </c>
      <c r="P31" s="989"/>
      <c r="Q31" s="1342"/>
      <c r="R31" s="1001">
        <v>2</v>
      </c>
      <c r="S31" s="1011">
        <v>9.9999999999999995E-7</v>
      </c>
      <c r="T31" s="1011">
        <v>1.2999999999999999E-2</v>
      </c>
      <c r="U31" s="1011">
        <v>-8.0000000000000002E-3</v>
      </c>
      <c r="V31" s="994">
        <f t="shared" si="19"/>
        <v>1.0499999999999999E-2</v>
      </c>
      <c r="W31" s="1012">
        <f t="shared" si="22"/>
        <v>2.4E-2</v>
      </c>
    </row>
    <row r="32" spans="1:24" s="249" customFormat="1" ht="19.5" customHeight="1">
      <c r="A32" s="1014"/>
      <c r="B32" s="722"/>
      <c r="C32" s="722"/>
      <c r="E32" s="722"/>
      <c r="F32" s="722"/>
      <c r="G32" s="722"/>
      <c r="H32" s="1015"/>
      <c r="I32" s="722"/>
      <c r="J32" s="722"/>
      <c r="K32" s="722"/>
      <c r="M32" s="722"/>
      <c r="N32" s="722"/>
      <c r="O32" s="722"/>
      <c r="P32" s="1015"/>
      <c r="Q32" s="722"/>
      <c r="R32" s="722"/>
      <c r="S32" s="722"/>
      <c r="U32" s="722"/>
      <c r="V32" s="722"/>
      <c r="W32" s="1016"/>
      <c r="X32" s="1017"/>
    </row>
    <row r="33" spans="1:24" ht="30" customHeight="1">
      <c r="A33" s="1340">
        <v>4</v>
      </c>
      <c r="B33" s="1351" t="str">
        <f>A170</f>
        <v>Electrical Safety Analyzer, Merek : Fluke, Model : ESA 615, SN : 2853078</v>
      </c>
      <c r="C33" s="1351"/>
      <c r="D33" s="1351"/>
      <c r="E33" s="1351"/>
      <c r="F33" s="1351"/>
      <c r="G33" s="1351"/>
      <c r="H33" s="1018"/>
      <c r="I33" s="1340">
        <v>5</v>
      </c>
      <c r="J33" s="1343" t="str">
        <f>A171</f>
        <v>Electrical Safety Analyzer, Merek : Fluke, Model : ESA 615, SN : 3148907</v>
      </c>
      <c r="K33" s="1343"/>
      <c r="L33" s="1343"/>
      <c r="M33" s="1343"/>
      <c r="N33" s="1343"/>
      <c r="O33" s="1343"/>
      <c r="P33" s="984"/>
      <c r="Q33" s="1340">
        <v>6</v>
      </c>
      <c r="R33" s="1351" t="str">
        <f>A172</f>
        <v>Electrical Safety Analyzer, Merek : Fluke, Model : ESA 615, SN : 3148908</v>
      </c>
      <c r="S33" s="1351"/>
      <c r="T33" s="1351"/>
      <c r="U33" s="1351"/>
      <c r="V33" s="1351"/>
      <c r="W33" s="1351"/>
    </row>
    <row r="34" spans="1:24" ht="15" customHeight="1">
      <c r="A34" s="1341"/>
      <c r="B34" s="1352" t="s">
        <v>118</v>
      </c>
      <c r="C34" s="1352"/>
      <c r="D34" s="1352"/>
      <c r="E34" s="1352"/>
      <c r="F34" s="1019"/>
      <c r="G34" s="1019"/>
      <c r="H34" s="986"/>
      <c r="I34" s="1341"/>
      <c r="J34" s="1352" t="s">
        <v>118</v>
      </c>
      <c r="K34" s="1352"/>
      <c r="L34" s="1352"/>
      <c r="M34" s="1352"/>
      <c r="N34" s="1019"/>
      <c r="O34" s="1019"/>
      <c r="P34" s="986"/>
      <c r="Q34" s="1341"/>
      <c r="R34" s="1352" t="s">
        <v>118</v>
      </c>
      <c r="S34" s="1352"/>
      <c r="T34" s="1352"/>
      <c r="U34" s="1352"/>
      <c r="V34" s="1019"/>
      <c r="W34" s="1019"/>
    </row>
    <row r="35" spans="1:24" ht="12.75" customHeight="1">
      <c r="A35" s="1341"/>
      <c r="B35" s="1345" t="s">
        <v>119</v>
      </c>
      <c r="C35" s="1346"/>
      <c r="D35" s="1346"/>
      <c r="E35" s="1347"/>
      <c r="F35" s="988" t="s">
        <v>120</v>
      </c>
      <c r="G35" s="988" t="s">
        <v>77</v>
      </c>
      <c r="H35" s="989"/>
      <c r="I35" s="1341"/>
      <c r="J35" s="1345" t="s">
        <v>119</v>
      </c>
      <c r="K35" s="1346"/>
      <c r="L35" s="1346"/>
      <c r="M35" s="1347"/>
      <c r="N35" s="988" t="s">
        <v>120</v>
      </c>
      <c r="O35" s="988" t="s">
        <v>77</v>
      </c>
      <c r="P35" s="989"/>
      <c r="Q35" s="1341"/>
      <c r="R35" s="1345" t="s">
        <v>119</v>
      </c>
      <c r="S35" s="1346"/>
      <c r="T35" s="1346"/>
      <c r="U35" s="1347"/>
      <c r="V35" s="988" t="s">
        <v>120</v>
      </c>
      <c r="W35" s="988" t="s">
        <v>77</v>
      </c>
    </row>
    <row r="36" spans="1:24" ht="15" customHeight="1">
      <c r="A36" s="1341"/>
      <c r="B36" s="987" t="s">
        <v>122</v>
      </c>
      <c r="C36" s="990">
        <v>2022</v>
      </c>
      <c r="D36" s="990">
        <v>2021</v>
      </c>
      <c r="E36" s="990">
        <v>2019</v>
      </c>
      <c r="F36" s="988"/>
      <c r="G36" s="988"/>
      <c r="H36" s="989"/>
      <c r="I36" s="1341"/>
      <c r="J36" s="987" t="s">
        <v>122</v>
      </c>
      <c r="K36" s="990">
        <v>2022</v>
      </c>
      <c r="L36" s="990">
        <v>2021</v>
      </c>
      <c r="M36" s="990">
        <v>2019</v>
      </c>
      <c r="N36" s="988"/>
      <c r="O36" s="988"/>
      <c r="P36" s="989"/>
      <c r="Q36" s="1341"/>
      <c r="R36" s="1020" t="s">
        <v>122</v>
      </c>
      <c r="S36" s="990">
        <v>2023</v>
      </c>
      <c r="T36" s="990">
        <v>2022</v>
      </c>
      <c r="U36" s="990">
        <v>2019</v>
      </c>
      <c r="V36" s="988"/>
      <c r="W36" s="988"/>
    </row>
    <row r="37" spans="1:24" ht="12.75" customHeight="1">
      <c r="A37" s="1341"/>
      <c r="B37" s="1001">
        <v>150</v>
      </c>
      <c r="C37" s="996">
        <v>0.08</v>
      </c>
      <c r="D37" s="997">
        <v>-0.05</v>
      </c>
      <c r="E37" s="997">
        <v>0.11</v>
      </c>
      <c r="F37" s="994">
        <f>0.5*(MAX(C37:E37)-MIN(C37:E37))</f>
        <v>0.08</v>
      </c>
      <c r="G37" s="1005">
        <f>B37*$H$37</f>
        <v>1.8</v>
      </c>
      <c r="H37" s="989">
        <f>1.2/100</f>
        <v>1.2E-2</v>
      </c>
      <c r="I37" s="1341"/>
      <c r="J37" s="1021">
        <v>150</v>
      </c>
      <c r="K37" s="997">
        <v>0.02</v>
      </c>
      <c r="L37" s="997">
        <v>0.25</v>
      </c>
      <c r="M37" s="997">
        <v>0.02</v>
      </c>
      <c r="N37" s="994">
        <f t="shared" ref="N37:N42" si="23">0.5*(MAX(K37:M37)-MIN(K37:M37))</f>
        <v>0.115</v>
      </c>
      <c r="O37" s="1005">
        <f>J37*$P$37</f>
        <v>1.8</v>
      </c>
      <c r="P37" s="989">
        <f>1.2/100</f>
        <v>1.2E-2</v>
      </c>
      <c r="Q37" s="1341"/>
      <c r="R37" s="992">
        <v>150</v>
      </c>
      <c r="S37" s="997">
        <v>0.14000000000000001</v>
      </c>
      <c r="T37" s="997">
        <v>0.15</v>
      </c>
      <c r="U37" s="997">
        <v>-0.15</v>
      </c>
      <c r="V37" s="994">
        <f t="shared" ref="V37:V42" si="24">0.5*(MAX(S37:U37)-MIN(S37:U37))</f>
        <v>0.15</v>
      </c>
      <c r="W37" s="1000">
        <f>R37*$X$37</f>
        <v>1.8</v>
      </c>
      <c r="X37" s="983">
        <f>1.2/100</f>
        <v>1.2E-2</v>
      </c>
    </row>
    <row r="38" spans="1:24" ht="12.75" customHeight="1">
      <c r="A38" s="1341"/>
      <c r="B38" s="1001">
        <v>180</v>
      </c>
      <c r="C38" s="996">
        <v>0.11</v>
      </c>
      <c r="D38" s="997">
        <v>-0.04</v>
      </c>
      <c r="E38" s="997">
        <v>0.03</v>
      </c>
      <c r="F38" s="994">
        <f t="shared" ref="F38:F42" si="25">0.5*(MAX(C38:E38)-MIN(C38:E38))</f>
        <v>7.4999999999999997E-2</v>
      </c>
      <c r="G38" s="1005">
        <f t="shared" ref="G38:G42" si="26">B38*$H$37</f>
        <v>2.16</v>
      </c>
      <c r="H38" s="989"/>
      <c r="I38" s="1341"/>
      <c r="J38" s="1021">
        <v>180</v>
      </c>
      <c r="K38" s="997">
        <v>-0.08</v>
      </c>
      <c r="L38" s="997">
        <v>0.09</v>
      </c>
      <c r="M38" s="997">
        <v>0.1</v>
      </c>
      <c r="N38" s="994">
        <f t="shared" si="23"/>
        <v>0.09</v>
      </c>
      <c r="O38" s="1005">
        <f t="shared" ref="O38:O42" si="27">J38*$P$37</f>
        <v>2.16</v>
      </c>
      <c r="P38" s="989"/>
      <c r="Q38" s="1341"/>
      <c r="R38" s="992">
        <v>180</v>
      </c>
      <c r="S38" s="997">
        <v>0.17</v>
      </c>
      <c r="T38" s="997">
        <v>0.17</v>
      </c>
      <c r="U38" s="997">
        <v>-0.11</v>
      </c>
      <c r="V38" s="994">
        <f t="shared" si="24"/>
        <v>0.14000000000000001</v>
      </c>
      <c r="W38" s="1000">
        <f t="shared" ref="W38:W42" si="28">R38*$X$37</f>
        <v>2.16</v>
      </c>
    </row>
    <row r="39" spans="1:24" ht="12.75" customHeight="1">
      <c r="A39" s="1341"/>
      <c r="B39" s="1001">
        <v>200</v>
      </c>
      <c r="C39" s="996">
        <v>0.11</v>
      </c>
      <c r="D39" s="997">
        <v>-0.67</v>
      </c>
      <c r="E39" s="997">
        <v>0.05</v>
      </c>
      <c r="F39" s="994">
        <f t="shared" si="25"/>
        <v>0.39</v>
      </c>
      <c r="G39" s="1005">
        <f t="shared" si="26"/>
        <v>2.4</v>
      </c>
      <c r="H39" s="989"/>
      <c r="I39" s="1341"/>
      <c r="J39" s="1021">
        <v>200</v>
      </c>
      <c r="K39" s="997">
        <v>-0.12</v>
      </c>
      <c r="L39" s="997">
        <v>0.18</v>
      </c>
      <c r="M39" s="997">
        <v>-0.03</v>
      </c>
      <c r="N39" s="994">
        <f t="shared" si="23"/>
        <v>0.15</v>
      </c>
      <c r="O39" s="1005">
        <f t="shared" si="27"/>
        <v>2.4</v>
      </c>
      <c r="P39" s="989"/>
      <c r="Q39" s="1341"/>
      <c r="R39" s="992">
        <v>200</v>
      </c>
      <c r="S39" s="997">
        <v>0.08</v>
      </c>
      <c r="T39" s="997">
        <v>0.1</v>
      </c>
      <c r="U39" s="997">
        <v>-0.1</v>
      </c>
      <c r="V39" s="994">
        <f t="shared" si="24"/>
        <v>0.1</v>
      </c>
      <c r="W39" s="1000">
        <f t="shared" si="28"/>
        <v>2.4</v>
      </c>
    </row>
    <row r="40" spans="1:24" ht="12.75" customHeight="1">
      <c r="A40" s="1341"/>
      <c r="B40" s="1001">
        <v>220</v>
      </c>
      <c r="C40" s="996">
        <v>0.13</v>
      </c>
      <c r="D40" s="997">
        <v>9.9999999999999995E-7</v>
      </c>
      <c r="E40" s="997">
        <v>0.1</v>
      </c>
      <c r="F40" s="994">
        <f t="shared" si="25"/>
        <v>6.4999500000000002E-2</v>
      </c>
      <c r="G40" s="1005">
        <f t="shared" si="26"/>
        <v>2.64</v>
      </c>
      <c r="H40" s="989"/>
      <c r="I40" s="1341"/>
      <c r="J40" s="1021">
        <v>220</v>
      </c>
      <c r="K40" s="997">
        <v>-0.17</v>
      </c>
      <c r="L40" s="997">
        <v>0.56000000000000005</v>
      </c>
      <c r="M40" s="997">
        <v>0.38</v>
      </c>
      <c r="N40" s="994">
        <f t="shared" si="23"/>
        <v>0.36500000000000005</v>
      </c>
      <c r="O40" s="1005">
        <f t="shared" si="27"/>
        <v>2.64</v>
      </c>
      <c r="P40" s="989"/>
      <c r="Q40" s="1341"/>
      <c r="R40" s="992">
        <v>220</v>
      </c>
      <c r="S40" s="997">
        <v>0.06</v>
      </c>
      <c r="T40" s="997">
        <v>7.0000000000000007E-2</v>
      </c>
      <c r="U40" s="997">
        <v>-0.13</v>
      </c>
      <c r="V40" s="994">
        <f t="shared" si="24"/>
        <v>0.1</v>
      </c>
      <c r="W40" s="1000">
        <f t="shared" si="28"/>
        <v>2.64</v>
      </c>
    </row>
    <row r="41" spans="1:24" ht="12.75" customHeight="1">
      <c r="A41" s="1341"/>
      <c r="B41" s="1001">
        <v>230</v>
      </c>
      <c r="C41" s="996">
        <v>0.11</v>
      </c>
      <c r="D41" s="997">
        <v>-0.11</v>
      </c>
      <c r="E41" s="997">
        <v>1.1100000000000001</v>
      </c>
      <c r="F41" s="994">
        <f t="shared" si="25"/>
        <v>0.6100000000000001</v>
      </c>
      <c r="G41" s="1005">
        <f t="shared" si="26"/>
        <v>2.7600000000000002</v>
      </c>
      <c r="H41" s="989"/>
      <c r="I41" s="1341"/>
      <c r="J41" s="1021">
        <v>230</v>
      </c>
      <c r="K41" s="997">
        <v>-0.14000000000000001</v>
      </c>
      <c r="L41" s="997">
        <v>0.73</v>
      </c>
      <c r="M41" s="997">
        <v>-0.16</v>
      </c>
      <c r="N41" s="994">
        <f t="shared" si="23"/>
        <v>0.44500000000000001</v>
      </c>
      <c r="O41" s="1005">
        <f t="shared" si="27"/>
        <v>2.7600000000000002</v>
      </c>
      <c r="P41" s="989"/>
      <c r="Q41" s="1341"/>
      <c r="R41" s="992">
        <v>230</v>
      </c>
      <c r="S41" s="997">
        <v>0.04</v>
      </c>
      <c r="T41" s="997">
        <v>0.08</v>
      </c>
      <c r="U41" s="997">
        <v>-0.15</v>
      </c>
      <c r="V41" s="994">
        <f t="shared" si="24"/>
        <v>0.11499999999999999</v>
      </c>
      <c r="W41" s="1000">
        <f t="shared" si="28"/>
        <v>2.7600000000000002</v>
      </c>
    </row>
    <row r="42" spans="1:24" ht="12.75" customHeight="1">
      <c r="A42" s="1341"/>
      <c r="B42" s="1001">
        <v>250</v>
      </c>
      <c r="C42" s="996">
        <v>0</v>
      </c>
      <c r="D42" s="997">
        <v>9.9999999999999995E-7</v>
      </c>
      <c r="E42" s="997">
        <v>9.9999999999999995E-7</v>
      </c>
      <c r="F42" s="994">
        <f t="shared" si="25"/>
        <v>4.9999999999999998E-7</v>
      </c>
      <c r="G42" s="1005">
        <f t="shared" si="26"/>
        <v>3</v>
      </c>
      <c r="H42" s="989"/>
      <c r="I42" s="1341"/>
      <c r="J42" s="1021">
        <v>250</v>
      </c>
      <c r="K42" s="997">
        <v>-0.31</v>
      </c>
      <c r="L42" s="997">
        <v>9.9999999999999995E-7</v>
      </c>
      <c r="M42" s="997">
        <v>9.9999999999999995E-7</v>
      </c>
      <c r="N42" s="994">
        <f t="shared" si="23"/>
        <v>0.15500049999999999</v>
      </c>
      <c r="O42" s="1005">
        <f t="shared" si="27"/>
        <v>3</v>
      </c>
      <c r="P42" s="989"/>
      <c r="Q42" s="1341"/>
      <c r="R42" s="992">
        <v>250</v>
      </c>
      <c r="S42" s="997">
        <v>0</v>
      </c>
      <c r="T42" s="997">
        <v>0</v>
      </c>
      <c r="U42" s="997">
        <v>9.9999999999999995E-7</v>
      </c>
      <c r="V42" s="994">
        <f t="shared" si="24"/>
        <v>4.9999999999999998E-7</v>
      </c>
      <c r="W42" s="1000">
        <f t="shared" si="28"/>
        <v>3</v>
      </c>
    </row>
    <row r="43" spans="1:24" ht="12.75" customHeight="1">
      <c r="A43" s="1341"/>
      <c r="B43" s="1348" t="s">
        <v>125</v>
      </c>
      <c r="C43" s="1349"/>
      <c r="D43" s="1349"/>
      <c r="E43" s="1350"/>
      <c r="F43" s="988" t="s">
        <v>120</v>
      </c>
      <c r="G43" s="988" t="s">
        <v>77</v>
      </c>
      <c r="H43" s="989"/>
      <c r="I43" s="1341"/>
      <c r="J43" s="1348" t="s">
        <v>125</v>
      </c>
      <c r="K43" s="1349"/>
      <c r="L43" s="1349"/>
      <c r="M43" s="1350"/>
      <c r="N43" s="988" t="s">
        <v>120</v>
      </c>
      <c r="O43" s="988" t="s">
        <v>77</v>
      </c>
      <c r="P43" s="989"/>
      <c r="Q43" s="1341"/>
      <c r="R43" s="1348" t="s">
        <v>125</v>
      </c>
      <c r="S43" s="1349"/>
      <c r="T43" s="1349"/>
      <c r="U43" s="1350"/>
      <c r="V43" s="988" t="s">
        <v>120</v>
      </c>
      <c r="W43" s="988" t="s">
        <v>77</v>
      </c>
    </row>
    <row r="44" spans="1:24" ht="15" customHeight="1">
      <c r="A44" s="1341"/>
      <c r="B44" s="987" t="s">
        <v>127</v>
      </c>
      <c r="C44" s="988">
        <f>C36</f>
        <v>2022</v>
      </c>
      <c r="D44" s="988">
        <f>D36</f>
        <v>2021</v>
      </c>
      <c r="E44" s="988">
        <f>E36</f>
        <v>2019</v>
      </c>
      <c r="F44" s="988"/>
      <c r="G44" s="988"/>
      <c r="H44" s="989"/>
      <c r="I44" s="1341"/>
      <c r="J44" s="987" t="s">
        <v>127</v>
      </c>
      <c r="K44" s="988">
        <f>K36</f>
        <v>2022</v>
      </c>
      <c r="L44" s="988">
        <f>L36</f>
        <v>2021</v>
      </c>
      <c r="M44" s="988">
        <f>M36</f>
        <v>2019</v>
      </c>
      <c r="N44" s="988"/>
      <c r="O44" s="988"/>
      <c r="P44" s="989"/>
      <c r="Q44" s="1341"/>
      <c r="R44" s="987" t="s">
        <v>127</v>
      </c>
      <c r="S44" s="988">
        <f>S36</f>
        <v>2023</v>
      </c>
      <c r="T44" s="988">
        <f>T36</f>
        <v>2022</v>
      </c>
      <c r="U44" s="988">
        <f>U36</f>
        <v>2019</v>
      </c>
      <c r="V44" s="988"/>
      <c r="W44" s="988"/>
    </row>
    <row r="45" spans="1:24" ht="12.75" customHeight="1">
      <c r="A45" s="1341"/>
      <c r="B45" s="1001">
        <v>0</v>
      </c>
      <c r="C45" s="996">
        <v>0</v>
      </c>
      <c r="D45" s="997">
        <v>9.9999999999999995E-7</v>
      </c>
      <c r="E45" s="993">
        <v>9.9999999999999995E-7</v>
      </c>
      <c r="F45" s="994">
        <f>0.5*(MAX(C45:E45)-MIN(C45:E45))</f>
        <v>4.9999999999999998E-7</v>
      </c>
      <c r="G45" s="1005">
        <f>B45*$H$45</f>
        <v>0</v>
      </c>
      <c r="H45" s="989">
        <f>0.59/100</f>
        <v>5.8999999999999999E-3</v>
      </c>
      <c r="I45" s="1341"/>
      <c r="J45" s="1022">
        <v>1.0000000000000001E-5</v>
      </c>
      <c r="K45" s="997">
        <v>0</v>
      </c>
      <c r="L45" s="997">
        <v>9.9999999999999995E-7</v>
      </c>
      <c r="M45" s="997">
        <v>9.9999999999999995E-7</v>
      </c>
      <c r="N45" s="994">
        <f t="shared" ref="N45:N50" si="29">0.5*(MAX(K45:M45)-MIN(K45:M45))</f>
        <v>4.9999999999999998E-7</v>
      </c>
      <c r="O45" s="1005">
        <f>J45*$P$45</f>
        <v>5.9000000000000006E-8</v>
      </c>
      <c r="P45" s="989">
        <f>0.59/100</f>
        <v>5.8999999999999999E-3</v>
      </c>
      <c r="Q45" s="1341"/>
      <c r="R45" s="1006">
        <v>9.9999999999999995E-7</v>
      </c>
      <c r="S45" s="1000">
        <v>9.9999999999999995E-7</v>
      </c>
      <c r="T45" s="1000">
        <v>9.9999999999999995E-7</v>
      </c>
      <c r="U45" s="1000">
        <v>9.9999999999999995E-7</v>
      </c>
      <c r="V45" s="994">
        <f t="shared" ref="V45:V50" si="30">0.5*(MAX(S45:U45)-MIN(S45:U45))</f>
        <v>0</v>
      </c>
      <c r="W45" s="1005">
        <f>R45*$X$45</f>
        <v>5.8999999999999999E-9</v>
      </c>
      <c r="X45" s="983">
        <f>0.59/100</f>
        <v>5.8999999999999999E-3</v>
      </c>
    </row>
    <row r="46" spans="1:24" ht="12.75" customHeight="1">
      <c r="A46" s="1341"/>
      <c r="B46" s="1001">
        <v>50</v>
      </c>
      <c r="C46" s="996">
        <v>2.2999999999999998</v>
      </c>
      <c r="D46" s="997">
        <v>-0.3</v>
      </c>
      <c r="E46" s="997">
        <v>-0.28999999999999998</v>
      </c>
      <c r="F46" s="994">
        <f t="shared" ref="F46:F50" si="31">0.5*(MAX(C46:E46)-MIN(C46:E46))</f>
        <v>1.2999999999999998</v>
      </c>
      <c r="G46" s="1005">
        <f t="shared" ref="G46:G50" si="32">B46*$H$45</f>
        <v>0.29499999999999998</v>
      </c>
      <c r="H46" s="989"/>
      <c r="I46" s="1341"/>
      <c r="J46" s="1021">
        <v>50</v>
      </c>
      <c r="K46" s="997">
        <v>4.0999999999999996</v>
      </c>
      <c r="L46" s="997">
        <v>0.3</v>
      </c>
      <c r="M46" s="997">
        <v>-0.33</v>
      </c>
      <c r="N46" s="994">
        <f t="shared" si="29"/>
        <v>2.2149999999999999</v>
      </c>
      <c r="O46" s="1005">
        <f t="shared" ref="O46:O50" si="33">J46*$P$45</f>
        <v>0.29499999999999998</v>
      </c>
      <c r="P46" s="989"/>
      <c r="Q46" s="1341"/>
      <c r="R46" s="1001">
        <v>50</v>
      </c>
      <c r="S46" s="996">
        <v>4.5</v>
      </c>
      <c r="T46" s="997">
        <v>19.100000000000001</v>
      </c>
      <c r="U46" s="997">
        <v>0.02</v>
      </c>
      <c r="V46" s="994">
        <f t="shared" si="30"/>
        <v>9.5400000000000009</v>
      </c>
      <c r="W46" s="1005">
        <f t="shared" ref="W46:W50" si="34">R46*$X$45</f>
        <v>0.29499999999999998</v>
      </c>
    </row>
    <row r="47" spans="1:24" ht="12.75" customHeight="1">
      <c r="A47" s="1341"/>
      <c r="B47" s="1001">
        <v>100</v>
      </c>
      <c r="C47" s="996">
        <v>4.0999999999999996</v>
      </c>
      <c r="D47" s="997">
        <v>-0.4</v>
      </c>
      <c r="E47" s="997">
        <v>-0.35</v>
      </c>
      <c r="F47" s="994">
        <f t="shared" si="31"/>
        <v>2.25</v>
      </c>
      <c r="G47" s="1005">
        <f t="shared" si="32"/>
        <v>0.59</v>
      </c>
      <c r="H47" s="989"/>
      <c r="I47" s="1341"/>
      <c r="J47" s="1021">
        <v>100</v>
      </c>
      <c r="K47" s="997">
        <v>5</v>
      </c>
      <c r="L47" s="997">
        <v>-0.1</v>
      </c>
      <c r="M47" s="997">
        <v>-0.42</v>
      </c>
      <c r="N47" s="994">
        <f t="shared" si="29"/>
        <v>2.71</v>
      </c>
      <c r="O47" s="1005">
        <f t="shared" si="33"/>
        <v>0.59</v>
      </c>
      <c r="P47" s="989"/>
      <c r="Q47" s="1341"/>
      <c r="R47" s="1001">
        <v>100</v>
      </c>
      <c r="S47" s="996">
        <v>6.2</v>
      </c>
      <c r="T47" s="997">
        <v>18.399999999999999</v>
      </c>
      <c r="U47" s="997">
        <v>0.22</v>
      </c>
      <c r="V47" s="994">
        <f t="shared" si="30"/>
        <v>9.09</v>
      </c>
      <c r="W47" s="1005">
        <f t="shared" si="34"/>
        <v>0.59</v>
      </c>
    </row>
    <row r="48" spans="1:24" ht="12.75" customHeight="1">
      <c r="A48" s="1341"/>
      <c r="B48" s="1001">
        <v>200</v>
      </c>
      <c r="C48" s="996">
        <v>5</v>
      </c>
      <c r="D48" s="997">
        <v>0.3</v>
      </c>
      <c r="E48" s="997">
        <v>0.8</v>
      </c>
      <c r="F48" s="994">
        <f t="shared" si="31"/>
        <v>2.35</v>
      </c>
      <c r="G48" s="1005">
        <f t="shared" si="32"/>
        <v>1.18</v>
      </c>
      <c r="H48" s="989"/>
      <c r="I48" s="1341"/>
      <c r="J48" s="1021">
        <v>200</v>
      </c>
      <c r="K48" s="997">
        <v>7.7</v>
      </c>
      <c r="L48" s="997">
        <v>1.3</v>
      </c>
      <c r="M48" s="997">
        <v>1.3</v>
      </c>
      <c r="N48" s="994">
        <f t="shared" si="29"/>
        <v>3.2</v>
      </c>
      <c r="O48" s="1005">
        <f t="shared" si="33"/>
        <v>1.18</v>
      </c>
      <c r="P48" s="989"/>
      <c r="Q48" s="1341"/>
      <c r="R48" s="1001">
        <v>200</v>
      </c>
      <c r="S48" s="996">
        <v>9.4</v>
      </c>
      <c r="T48" s="997">
        <v>14.4</v>
      </c>
      <c r="U48" s="997">
        <v>0.8</v>
      </c>
      <c r="V48" s="994">
        <f t="shared" si="30"/>
        <v>6.8</v>
      </c>
      <c r="W48" s="1005">
        <f t="shared" si="34"/>
        <v>1.18</v>
      </c>
    </row>
    <row r="49" spans="1:24" ht="12.75" customHeight="1">
      <c r="A49" s="1341"/>
      <c r="B49" s="1001">
        <v>500</v>
      </c>
      <c r="C49" s="996">
        <v>3.5</v>
      </c>
      <c r="D49" s="997">
        <v>0.2</v>
      </c>
      <c r="E49" s="997">
        <v>1.2</v>
      </c>
      <c r="F49" s="994">
        <f t="shared" si="31"/>
        <v>1.65</v>
      </c>
      <c r="G49" s="1005">
        <f t="shared" si="32"/>
        <v>2.9499999999999997</v>
      </c>
      <c r="H49" s="989"/>
      <c r="I49" s="1341"/>
      <c r="J49" s="1021">
        <v>500</v>
      </c>
      <c r="K49" s="997">
        <v>5.7</v>
      </c>
      <c r="L49" s="997">
        <v>0.7</v>
      </c>
      <c r="M49" s="997">
        <v>0.7</v>
      </c>
      <c r="N49" s="994">
        <f t="shared" si="29"/>
        <v>2.5</v>
      </c>
      <c r="O49" s="1005">
        <f t="shared" si="33"/>
        <v>2.9499999999999997</v>
      </c>
      <c r="P49" s="989"/>
      <c r="Q49" s="1341"/>
      <c r="R49" s="1001">
        <v>500</v>
      </c>
      <c r="S49" s="996">
        <v>10.8</v>
      </c>
      <c r="T49" s="997">
        <v>6.2</v>
      </c>
      <c r="U49" s="997">
        <v>1.1000000000000001</v>
      </c>
      <c r="V49" s="994">
        <f t="shared" si="30"/>
        <v>4.8500000000000005</v>
      </c>
      <c r="W49" s="1005">
        <f t="shared" si="34"/>
        <v>2.9499999999999997</v>
      </c>
    </row>
    <row r="50" spans="1:24" ht="12.75" customHeight="1">
      <c r="A50" s="1341"/>
      <c r="B50" s="1001">
        <v>1000</v>
      </c>
      <c r="C50" s="996">
        <v>-1</v>
      </c>
      <c r="D50" s="997">
        <v>2</v>
      </c>
      <c r="E50" s="997">
        <v>2</v>
      </c>
      <c r="F50" s="994">
        <f t="shared" si="31"/>
        <v>1.5</v>
      </c>
      <c r="G50" s="1005">
        <f t="shared" si="32"/>
        <v>5.8999999999999995</v>
      </c>
      <c r="H50" s="989"/>
      <c r="I50" s="1341"/>
      <c r="J50" s="1021">
        <v>1000</v>
      </c>
      <c r="K50" s="997">
        <v>-88</v>
      </c>
      <c r="L50" s="997">
        <v>9.9999999999999995E-7</v>
      </c>
      <c r="M50" s="997">
        <v>9.9999999999999995E-7</v>
      </c>
      <c r="N50" s="994">
        <f t="shared" si="29"/>
        <v>44.000000499999999</v>
      </c>
      <c r="O50" s="1005">
        <f t="shared" si="33"/>
        <v>5.8999999999999995</v>
      </c>
      <c r="P50" s="989"/>
      <c r="Q50" s="1341"/>
      <c r="R50" s="1001">
        <v>1000</v>
      </c>
      <c r="S50" s="996">
        <v>-88</v>
      </c>
      <c r="T50" s="997">
        <v>0</v>
      </c>
      <c r="U50" s="997">
        <v>9.9999999999999995E-7</v>
      </c>
      <c r="V50" s="994">
        <f t="shared" si="30"/>
        <v>44.000000499999999</v>
      </c>
      <c r="W50" s="1005">
        <f t="shared" si="34"/>
        <v>5.8999999999999995</v>
      </c>
    </row>
    <row r="51" spans="1:24" ht="12.75" customHeight="1">
      <c r="A51" s="1341"/>
      <c r="B51" s="1348" t="str">
        <f>B20</f>
        <v>Main-PE</v>
      </c>
      <c r="C51" s="1349"/>
      <c r="D51" s="1349"/>
      <c r="E51" s="1350"/>
      <c r="F51" s="988" t="s">
        <v>120</v>
      </c>
      <c r="G51" s="988" t="s">
        <v>77</v>
      </c>
      <c r="H51" s="989"/>
      <c r="I51" s="1341"/>
      <c r="J51" s="1348" t="str">
        <f>B51</f>
        <v>Main-PE</v>
      </c>
      <c r="K51" s="1349"/>
      <c r="L51" s="1349"/>
      <c r="M51" s="1350"/>
      <c r="N51" s="988" t="s">
        <v>120</v>
      </c>
      <c r="O51" s="988" t="s">
        <v>77</v>
      </c>
      <c r="P51" s="989"/>
      <c r="Q51" s="1341"/>
      <c r="R51" s="1348" t="str">
        <f>J51</f>
        <v>Main-PE</v>
      </c>
      <c r="S51" s="1349"/>
      <c r="T51" s="1349"/>
      <c r="U51" s="1350"/>
      <c r="V51" s="988" t="s">
        <v>120</v>
      </c>
      <c r="W51" s="988" t="s">
        <v>77</v>
      </c>
    </row>
    <row r="52" spans="1:24" ht="15" customHeight="1">
      <c r="A52" s="1341"/>
      <c r="B52" s="987" t="s">
        <v>130</v>
      </c>
      <c r="C52" s="988">
        <f>C36</f>
        <v>2022</v>
      </c>
      <c r="D52" s="988">
        <f>D36</f>
        <v>2021</v>
      </c>
      <c r="E52" s="988">
        <f>E36</f>
        <v>2019</v>
      </c>
      <c r="F52" s="988"/>
      <c r="G52" s="988"/>
      <c r="H52" s="989"/>
      <c r="I52" s="1341"/>
      <c r="J52" s="987" t="s">
        <v>130</v>
      </c>
      <c r="K52" s="988">
        <f>K36</f>
        <v>2022</v>
      </c>
      <c r="L52" s="988">
        <f>L36</f>
        <v>2021</v>
      </c>
      <c r="M52" s="988">
        <f>M36</f>
        <v>2019</v>
      </c>
      <c r="N52" s="988"/>
      <c r="O52" s="988"/>
      <c r="P52" s="989"/>
      <c r="Q52" s="1341"/>
      <c r="R52" s="987" t="s">
        <v>130</v>
      </c>
      <c r="S52" s="988">
        <f>S36</f>
        <v>2023</v>
      </c>
      <c r="T52" s="988">
        <f>T36</f>
        <v>2022</v>
      </c>
      <c r="U52" s="988">
        <f>U36</f>
        <v>2019</v>
      </c>
      <c r="V52" s="988"/>
      <c r="W52" s="988"/>
    </row>
    <row r="53" spans="1:24" ht="12.75" customHeight="1">
      <c r="A53" s="1341"/>
      <c r="B53" s="1001">
        <v>10</v>
      </c>
      <c r="C53" s="996">
        <v>0</v>
      </c>
      <c r="D53" s="997">
        <v>9.9999999999999995E-7</v>
      </c>
      <c r="E53" s="997">
        <v>0.1</v>
      </c>
      <c r="F53" s="994">
        <f>0.5*(MAX(C53:E53)-MIN(C53:E53))</f>
        <v>0.05</v>
      </c>
      <c r="G53" s="1006">
        <f>B53*$H$53</f>
        <v>0.17</v>
      </c>
      <c r="H53" s="989">
        <f>1.7/100</f>
        <v>1.7000000000000001E-2</v>
      </c>
      <c r="I53" s="1341"/>
      <c r="J53" s="1001">
        <v>10</v>
      </c>
      <c r="K53" s="997">
        <v>0</v>
      </c>
      <c r="L53" s="997">
        <v>9.9999999999999995E-7</v>
      </c>
      <c r="M53" s="997">
        <v>0.1</v>
      </c>
      <c r="N53" s="994">
        <f>0.5*(MAX(K53:M53)-MIN(K53:M53))</f>
        <v>0.05</v>
      </c>
      <c r="O53" s="1006">
        <f>J53*$P$53</f>
        <v>0.17</v>
      </c>
      <c r="P53" s="989">
        <f>1.7/100</f>
        <v>1.7000000000000001E-2</v>
      </c>
      <c r="Q53" s="1341"/>
      <c r="R53" s="1001">
        <v>9.9999999999999995E-7</v>
      </c>
      <c r="S53" s="996">
        <v>0</v>
      </c>
      <c r="T53" s="997">
        <v>0.1</v>
      </c>
      <c r="U53" s="997">
        <v>0.1</v>
      </c>
      <c r="V53" s="994">
        <f t="shared" ref="V53:V56" si="35">0.5*(MAX(S53:U53)-MIN(S53:U53))</f>
        <v>0.05</v>
      </c>
      <c r="W53" s="1006">
        <f>R53*$X$53</f>
        <v>1.7E-8</v>
      </c>
      <c r="X53" s="983">
        <f>1.7/100</f>
        <v>1.7000000000000001E-2</v>
      </c>
    </row>
    <row r="54" spans="1:24" ht="12.75" customHeight="1">
      <c r="A54" s="1341"/>
      <c r="B54" s="1001">
        <v>20</v>
      </c>
      <c r="C54" s="996">
        <v>0.1</v>
      </c>
      <c r="D54" s="997">
        <v>0.1</v>
      </c>
      <c r="E54" s="997">
        <v>0.2</v>
      </c>
      <c r="F54" s="994">
        <f t="shared" ref="F54:F56" si="36">0.5*(MAX(C54:E54)-MIN(C54:E54))</f>
        <v>0.05</v>
      </c>
      <c r="G54" s="1006">
        <f t="shared" ref="G54:G56" si="37">B54*$H$53</f>
        <v>0.34</v>
      </c>
      <c r="H54" s="989"/>
      <c r="I54" s="1341"/>
      <c r="J54" s="1001">
        <v>20</v>
      </c>
      <c r="K54" s="997">
        <v>0.1</v>
      </c>
      <c r="L54" s="997">
        <v>0.1</v>
      </c>
      <c r="M54" s="997">
        <v>0.1</v>
      </c>
      <c r="N54" s="994">
        <f>0.5*(MAX(K54:M54)-MIN(K54:M54))</f>
        <v>0</v>
      </c>
      <c r="O54" s="1006">
        <f t="shared" ref="O54:O56" si="38">J54*$P$53</f>
        <v>0.34</v>
      </c>
      <c r="P54" s="989"/>
      <c r="Q54" s="1341"/>
      <c r="R54" s="1001">
        <v>20</v>
      </c>
      <c r="S54" s="996">
        <v>0.1</v>
      </c>
      <c r="T54" s="997">
        <v>0.1</v>
      </c>
      <c r="U54" s="997">
        <v>0.1</v>
      </c>
      <c r="V54" s="994">
        <f t="shared" si="35"/>
        <v>0</v>
      </c>
      <c r="W54" s="1006">
        <f t="shared" ref="W54:W56" si="39">R54*$X$53</f>
        <v>0.34</v>
      </c>
    </row>
    <row r="55" spans="1:24" ht="12.75" customHeight="1">
      <c r="A55" s="1341"/>
      <c r="B55" s="1001">
        <v>50</v>
      </c>
      <c r="C55" s="996">
        <v>0.4</v>
      </c>
      <c r="D55" s="997">
        <v>0.4</v>
      </c>
      <c r="E55" s="997">
        <v>0.5</v>
      </c>
      <c r="F55" s="994">
        <f t="shared" si="36"/>
        <v>4.9999999999999989E-2</v>
      </c>
      <c r="G55" s="1006">
        <f t="shared" si="37"/>
        <v>0.85000000000000009</v>
      </c>
      <c r="H55" s="989"/>
      <c r="I55" s="1341"/>
      <c r="J55" s="1001">
        <v>50</v>
      </c>
      <c r="K55" s="997">
        <v>0.3</v>
      </c>
      <c r="L55" s="997">
        <v>0.6</v>
      </c>
      <c r="M55" s="997">
        <v>0.4</v>
      </c>
      <c r="N55" s="994">
        <f>0.5*(MAX(K55:M55)-MIN(K55:M55))</f>
        <v>0.15</v>
      </c>
      <c r="O55" s="1006">
        <f t="shared" si="38"/>
        <v>0.85000000000000009</v>
      </c>
      <c r="P55" s="989"/>
      <c r="Q55" s="1341"/>
      <c r="R55" s="1001">
        <v>50</v>
      </c>
      <c r="S55" s="996">
        <v>0.1</v>
      </c>
      <c r="T55" s="997">
        <v>0.3</v>
      </c>
      <c r="U55" s="997">
        <v>0.3</v>
      </c>
      <c r="V55" s="994">
        <f t="shared" si="35"/>
        <v>9.9999999999999992E-2</v>
      </c>
      <c r="W55" s="1006">
        <f t="shared" si="39"/>
        <v>0.85000000000000009</v>
      </c>
    </row>
    <row r="56" spans="1:24" ht="12.75" customHeight="1">
      <c r="A56" s="1341"/>
      <c r="B56" s="1001">
        <v>100</v>
      </c>
      <c r="C56" s="996">
        <v>0.8</v>
      </c>
      <c r="D56" s="997">
        <v>1.4</v>
      </c>
      <c r="E56" s="997">
        <v>1</v>
      </c>
      <c r="F56" s="994">
        <f t="shared" si="36"/>
        <v>0.29999999999999993</v>
      </c>
      <c r="G56" s="1006">
        <f t="shared" si="37"/>
        <v>1.7000000000000002</v>
      </c>
      <c r="H56" s="989"/>
      <c r="I56" s="1341"/>
      <c r="J56" s="1001">
        <v>100</v>
      </c>
      <c r="K56" s="997">
        <v>0.4</v>
      </c>
      <c r="L56" s="997">
        <v>1.5</v>
      </c>
      <c r="M56" s="997">
        <v>0.8</v>
      </c>
      <c r="N56" s="994">
        <f>0.5*(MAX(K56:M56)-MIN(K56:M56))</f>
        <v>0.55000000000000004</v>
      </c>
      <c r="O56" s="1006">
        <f t="shared" si="38"/>
        <v>1.7000000000000002</v>
      </c>
      <c r="P56" s="989"/>
      <c r="Q56" s="1341"/>
      <c r="R56" s="1001">
        <v>100</v>
      </c>
      <c r="S56" s="996">
        <v>2</v>
      </c>
      <c r="T56" s="997">
        <v>0.6</v>
      </c>
      <c r="U56" s="997">
        <v>0.6</v>
      </c>
      <c r="V56" s="994">
        <f t="shared" si="35"/>
        <v>0.7</v>
      </c>
      <c r="W56" s="1006">
        <f t="shared" si="39"/>
        <v>1.7000000000000002</v>
      </c>
    </row>
    <row r="57" spans="1:24" ht="12.75" customHeight="1">
      <c r="A57" s="1341"/>
      <c r="B57" s="1348" t="str">
        <f>B26</f>
        <v>Resistance</v>
      </c>
      <c r="C57" s="1349"/>
      <c r="D57" s="1349"/>
      <c r="E57" s="1350"/>
      <c r="F57" s="988" t="s">
        <v>120</v>
      </c>
      <c r="G57" s="988" t="s">
        <v>77</v>
      </c>
      <c r="H57" s="989"/>
      <c r="I57" s="1341"/>
      <c r="J57" s="1348" t="str">
        <f>B57</f>
        <v>Resistance</v>
      </c>
      <c r="K57" s="1349"/>
      <c r="L57" s="1349"/>
      <c r="M57" s="1350"/>
      <c r="N57" s="988" t="s">
        <v>120</v>
      </c>
      <c r="O57" s="988" t="s">
        <v>77</v>
      </c>
      <c r="P57" s="989"/>
      <c r="Q57" s="1341"/>
      <c r="R57" s="1348" t="str">
        <f>J57</f>
        <v>Resistance</v>
      </c>
      <c r="S57" s="1349"/>
      <c r="T57" s="1349"/>
      <c r="U57" s="1350"/>
      <c r="V57" s="988" t="s">
        <v>120</v>
      </c>
      <c r="W57" s="988" t="s">
        <v>77</v>
      </c>
    </row>
    <row r="58" spans="1:24" ht="15" customHeight="1">
      <c r="A58" s="1341"/>
      <c r="B58" s="987" t="s">
        <v>132</v>
      </c>
      <c r="C58" s="988">
        <f>C36</f>
        <v>2022</v>
      </c>
      <c r="D58" s="988">
        <f>D36</f>
        <v>2021</v>
      </c>
      <c r="E58" s="988">
        <f>E36</f>
        <v>2019</v>
      </c>
      <c r="F58" s="988"/>
      <c r="G58" s="988"/>
      <c r="H58" s="989"/>
      <c r="I58" s="1341"/>
      <c r="J58" s="987" t="s">
        <v>132</v>
      </c>
      <c r="K58" s="988">
        <f>K36</f>
        <v>2022</v>
      </c>
      <c r="L58" s="988">
        <f>L36</f>
        <v>2021</v>
      </c>
      <c r="M58" s="988">
        <f>M36</f>
        <v>2019</v>
      </c>
      <c r="N58" s="988"/>
      <c r="O58" s="988"/>
      <c r="P58" s="989"/>
      <c r="Q58" s="1341"/>
      <c r="R58" s="987" t="s">
        <v>132</v>
      </c>
      <c r="S58" s="988">
        <f>S36</f>
        <v>2023</v>
      </c>
      <c r="T58" s="988">
        <f>T36</f>
        <v>2022</v>
      </c>
      <c r="U58" s="988">
        <f>U36</f>
        <v>2019</v>
      </c>
      <c r="V58" s="988"/>
      <c r="W58" s="988"/>
    </row>
    <row r="59" spans="1:24" ht="12.75" customHeight="1">
      <c r="A59" s="1341"/>
      <c r="B59" s="1001">
        <v>0.01</v>
      </c>
      <c r="C59" s="1008">
        <v>0</v>
      </c>
      <c r="D59" s="1023">
        <v>9.9999999999999995E-7</v>
      </c>
      <c r="E59" s="1023">
        <v>9.9999999999999995E-7</v>
      </c>
      <c r="F59" s="994">
        <f>0.5*(MAX(C59:E59)-MIN(C59:E59))</f>
        <v>4.9999999999999998E-7</v>
      </c>
      <c r="G59" s="1001">
        <f>B59*$H$59</f>
        <v>1.2E-4</v>
      </c>
      <c r="H59" s="989">
        <f>1.2/100</f>
        <v>1.2E-2</v>
      </c>
      <c r="I59" s="1341"/>
      <c r="J59" s="1021">
        <v>0.01</v>
      </c>
      <c r="K59" s="1023">
        <v>0</v>
      </c>
      <c r="L59" s="1023">
        <v>9.9999999999999995E-7</v>
      </c>
      <c r="M59" s="1023">
        <v>9.9999999999999995E-7</v>
      </c>
      <c r="N59" s="994">
        <f>0.5*(MAX(K59:M59)-MIN(K59:M59))</f>
        <v>4.9999999999999998E-7</v>
      </c>
      <c r="O59" s="1001">
        <f>J59*$P$59</f>
        <v>1.2E-4</v>
      </c>
      <c r="P59" s="989">
        <f>1.2/100</f>
        <v>1.2E-2</v>
      </c>
      <c r="Q59" s="1341"/>
      <c r="R59" s="1001">
        <v>0.01</v>
      </c>
      <c r="S59" s="1008">
        <v>0</v>
      </c>
      <c r="T59" s="1023">
        <v>0</v>
      </c>
      <c r="U59" s="1023">
        <v>9.9999999999999995E-7</v>
      </c>
      <c r="V59" s="994">
        <f t="shared" ref="V59:V62" si="40">0.5*(MAX(S59:U59)-MIN(S59:U59))</f>
        <v>4.9999999999999998E-7</v>
      </c>
      <c r="W59" s="1001">
        <f>R59*$X$59</f>
        <v>1.2E-4</v>
      </c>
      <c r="X59" s="1024">
        <f>1.2/100</f>
        <v>1.2E-2</v>
      </c>
    </row>
    <row r="60" spans="1:24" ht="12.75" customHeight="1">
      <c r="A60" s="1341"/>
      <c r="B60" s="1001">
        <v>0.1</v>
      </c>
      <c r="C60" s="1008">
        <v>0</v>
      </c>
      <c r="D60" s="1023">
        <v>-2E-3</v>
      </c>
      <c r="E60" s="1023">
        <v>9.9999999999999995E-7</v>
      </c>
      <c r="F60" s="994">
        <f t="shared" ref="F60:F62" si="41">0.5*(MAX(C60:E60)-MIN(C60:E60))</f>
        <v>1.0005000000000001E-3</v>
      </c>
      <c r="G60" s="1001">
        <f t="shared" ref="G60:G62" si="42">B60*$H$59</f>
        <v>1.2000000000000001E-3</v>
      </c>
      <c r="H60" s="989"/>
      <c r="I60" s="1341"/>
      <c r="J60" s="1021">
        <v>0.1</v>
      </c>
      <c r="K60" s="1023">
        <v>-6.0000000000000001E-3</v>
      </c>
      <c r="L60" s="1023">
        <v>5.0000000000000001E-3</v>
      </c>
      <c r="M60" s="1023">
        <v>2E-3</v>
      </c>
      <c r="N60" s="994">
        <f>0.5*(MAX(K60:M60)-MIN(K60:M60))</f>
        <v>5.4999999999999997E-3</v>
      </c>
      <c r="O60" s="1001">
        <f t="shared" ref="O60:O62" si="43">J60*$P$59</f>
        <v>1.2000000000000001E-3</v>
      </c>
      <c r="P60" s="989"/>
      <c r="Q60" s="1341"/>
      <c r="R60" s="1001">
        <v>0.1</v>
      </c>
      <c r="S60" s="1008">
        <v>0</v>
      </c>
      <c r="T60" s="1023">
        <v>-3.0000000000000001E-3</v>
      </c>
      <c r="U60" s="1023">
        <v>-2E-3</v>
      </c>
      <c r="V60" s="994">
        <f t="shared" si="40"/>
        <v>1.5E-3</v>
      </c>
      <c r="W60" s="1001">
        <f t="shared" ref="W60:W62" si="44">R60*$X$59</f>
        <v>1.2000000000000001E-3</v>
      </c>
    </row>
    <row r="61" spans="1:24" ht="12.75" customHeight="1">
      <c r="A61" s="1341"/>
      <c r="B61" s="1001">
        <v>1</v>
      </c>
      <c r="C61" s="1008">
        <v>-2E-3</v>
      </c>
      <c r="D61" s="1023">
        <v>-8.0000000000000002E-3</v>
      </c>
      <c r="E61" s="1023">
        <v>-1E-3</v>
      </c>
      <c r="F61" s="994">
        <f t="shared" si="41"/>
        <v>3.5000000000000001E-3</v>
      </c>
      <c r="G61" s="1001">
        <f t="shared" si="42"/>
        <v>1.2E-2</v>
      </c>
      <c r="H61" s="989"/>
      <c r="I61" s="1341"/>
      <c r="J61" s="1021">
        <v>1</v>
      </c>
      <c r="K61" s="1023">
        <v>-2E-3</v>
      </c>
      <c r="L61" s="1023">
        <v>1.7999999999999999E-2</v>
      </c>
      <c r="M61" s="1023">
        <v>1.2E-2</v>
      </c>
      <c r="N61" s="994">
        <f t="shared" ref="N61:N62" si="45">0.5*(MAX(K61:M61)-MIN(K61:M61))</f>
        <v>9.9999999999999985E-3</v>
      </c>
      <c r="O61" s="1001">
        <f t="shared" si="43"/>
        <v>1.2E-2</v>
      </c>
      <c r="P61" s="989"/>
      <c r="Q61" s="1341"/>
      <c r="R61" s="1001">
        <v>1</v>
      </c>
      <c r="S61" s="1008">
        <v>-6.0000000000000001E-3</v>
      </c>
      <c r="T61" s="1023">
        <v>-7.0000000000000001E-3</v>
      </c>
      <c r="U61" s="1023">
        <v>-1E-3</v>
      </c>
      <c r="V61" s="994">
        <f t="shared" si="40"/>
        <v>3.0000000000000001E-3</v>
      </c>
      <c r="W61" s="1001">
        <f t="shared" si="44"/>
        <v>1.2E-2</v>
      </c>
    </row>
    <row r="62" spans="1:24" ht="12.75" customHeight="1">
      <c r="A62" s="1342"/>
      <c r="B62" s="1001">
        <v>2</v>
      </c>
      <c r="C62" s="1008">
        <v>-6.0000000000000001E-3</v>
      </c>
      <c r="D62" s="1023">
        <v>-7.0000000000000001E-3</v>
      </c>
      <c r="E62" s="1023">
        <v>9.9999999999999995E-7</v>
      </c>
      <c r="F62" s="994">
        <f t="shared" si="41"/>
        <v>3.5005000000000001E-3</v>
      </c>
      <c r="G62" s="1001">
        <f t="shared" si="42"/>
        <v>2.4E-2</v>
      </c>
      <c r="H62" s="989" t="s">
        <v>123</v>
      </c>
      <c r="I62" s="1342"/>
      <c r="J62" s="1021">
        <v>2</v>
      </c>
      <c r="K62" s="1025">
        <v>-4.0000000000000001E-3</v>
      </c>
      <c r="L62" s="1025">
        <v>0.113</v>
      </c>
      <c r="M62" s="1025">
        <v>9.9999999999999995E-7</v>
      </c>
      <c r="N62" s="994">
        <f t="shared" si="45"/>
        <v>5.8500000000000003E-2</v>
      </c>
      <c r="O62" s="1001">
        <f t="shared" si="43"/>
        <v>2.4E-2</v>
      </c>
      <c r="P62" s="989"/>
      <c r="Q62" s="1342"/>
      <c r="R62" s="1001">
        <v>2</v>
      </c>
      <c r="S62" s="1008">
        <v>-7.0000000000000001E-3</v>
      </c>
      <c r="T62" s="1023">
        <v>-7.0000000000000001E-3</v>
      </c>
      <c r="U62" s="1023">
        <v>9.9999999999999995E-7</v>
      </c>
      <c r="V62" s="994">
        <f t="shared" si="40"/>
        <v>3.5005000000000001E-3</v>
      </c>
      <c r="W62" s="1001">
        <f t="shared" si="44"/>
        <v>2.4E-2</v>
      </c>
    </row>
    <row r="63" spans="1:24" s="249" customFormat="1" ht="15.5">
      <c r="A63" s="1026"/>
      <c r="B63" s="1027"/>
      <c r="C63" s="1028"/>
      <c r="E63" s="1028"/>
      <c r="F63" s="1028"/>
      <c r="G63" s="1028"/>
      <c r="H63" s="1015"/>
      <c r="I63" s="967"/>
      <c r="J63" s="1029"/>
      <c r="K63" s="1028"/>
      <c r="M63" s="1028"/>
      <c r="N63" s="1028"/>
      <c r="O63" s="1028"/>
      <c r="P63" s="1015"/>
      <c r="Q63" s="967"/>
      <c r="R63" s="1027"/>
      <c r="S63" s="1028"/>
      <c r="U63" s="722"/>
      <c r="V63" s="722"/>
      <c r="W63" s="1016"/>
      <c r="X63" s="1017"/>
    </row>
    <row r="64" spans="1:24" ht="30" customHeight="1">
      <c r="A64" s="1340">
        <v>7</v>
      </c>
      <c r="B64" s="1351" t="str">
        <f>A173</f>
        <v>Electrical Safety Analyzer, Merek : Fluke, Model : ESA 615, SN : 3699030</v>
      </c>
      <c r="C64" s="1351"/>
      <c r="D64" s="1351"/>
      <c r="E64" s="1351"/>
      <c r="F64" s="1351"/>
      <c r="G64" s="1351"/>
      <c r="H64" s="984"/>
      <c r="I64" s="1340">
        <v>8</v>
      </c>
      <c r="J64" s="1343" t="str">
        <f>A174</f>
        <v>Electrical Safety Analyzer, Merek : Fluke, Model : ESA 615, SN : 4670010</v>
      </c>
      <c r="K64" s="1343"/>
      <c r="L64" s="1343"/>
      <c r="M64" s="1343"/>
      <c r="N64" s="1343"/>
      <c r="O64" s="1343"/>
      <c r="P64" s="984"/>
      <c r="Q64" s="1340">
        <v>9</v>
      </c>
      <c r="R64" s="1343" t="str">
        <f>A175</f>
        <v>Electrical Safety Analyzer, Merek : Fluke, Model : ESA 615, SN : 4669058</v>
      </c>
      <c r="S64" s="1343"/>
      <c r="T64" s="1343"/>
      <c r="U64" s="1343"/>
      <c r="V64" s="1343"/>
      <c r="W64" s="1343"/>
    </row>
    <row r="65" spans="1:26" ht="15" customHeight="1">
      <c r="A65" s="1341"/>
      <c r="B65" s="1352" t="s">
        <v>118</v>
      </c>
      <c r="C65" s="1352"/>
      <c r="D65" s="1352"/>
      <c r="E65" s="1352"/>
      <c r="F65" s="1019"/>
      <c r="G65" s="1019"/>
      <c r="H65" s="986"/>
      <c r="I65" s="1341"/>
      <c r="J65" s="1353" t="s">
        <v>118</v>
      </c>
      <c r="K65" s="1354"/>
      <c r="L65" s="1354"/>
      <c r="M65" s="1355"/>
      <c r="N65" s="1020"/>
      <c r="O65" s="1020"/>
      <c r="P65" s="986"/>
      <c r="Q65" s="1341"/>
      <c r="R65" s="1352" t="s">
        <v>118</v>
      </c>
      <c r="S65" s="1352"/>
      <c r="T65" s="1352"/>
      <c r="U65" s="1352"/>
      <c r="V65" s="1020"/>
      <c r="W65" s="1020"/>
    </row>
    <row r="66" spans="1:26" ht="12.75" customHeight="1">
      <c r="A66" s="1341"/>
      <c r="B66" s="1345" t="s">
        <v>119</v>
      </c>
      <c r="C66" s="1346"/>
      <c r="D66" s="1346"/>
      <c r="E66" s="1347"/>
      <c r="F66" s="988" t="s">
        <v>120</v>
      </c>
      <c r="G66" s="988" t="s">
        <v>77</v>
      </c>
      <c r="H66" s="989"/>
      <c r="I66" s="1341"/>
      <c r="J66" s="1345" t="s">
        <v>119</v>
      </c>
      <c r="K66" s="1346"/>
      <c r="L66" s="1346"/>
      <c r="M66" s="1347"/>
      <c r="N66" s="988" t="s">
        <v>120</v>
      </c>
      <c r="O66" s="988" t="s">
        <v>77</v>
      </c>
      <c r="P66" s="989"/>
      <c r="Q66" s="1341"/>
      <c r="R66" s="1345" t="s">
        <v>119</v>
      </c>
      <c r="S66" s="1346"/>
      <c r="T66" s="1346"/>
      <c r="U66" s="1347"/>
      <c r="V66" s="988" t="s">
        <v>120</v>
      </c>
      <c r="W66" s="988" t="s">
        <v>77</v>
      </c>
    </row>
    <row r="67" spans="1:26" ht="15" customHeight="1">
      <c r="A67" s="1341"/>
      <c r="B67" s="987" t="s">
        <v>122</v>
      </c>
      <c r="C67" s="990">
        <v>2023</v>
      </c>
      <c r="D67" s="990">
        <v>2022</v>
      </c>
      <c r="E67" s="990">
        <v>2020</v>
      </c>
      <c r="F67" s="988"/>
      <c r="G67" s="988"/>
      <c r="H67" s="989"/>
      <c r="I67" s="1341"/>
      <c r="J67" s="987" t="s">
        <v>122</v>
      </c>
      <c r="K67" s="988">
        <v>2023</v>
      </c>
      <c r="L67" s="990">
        <v>2022</v>
      </c>
      <c r="M67" s="990">
        <v>2020</v>
      </c>
      <c r="N67" s="988"/>
      <c r="O67" s="988"/>
      <c r="P67" s="989"/>
      <c r="Q67" s="1341"/>
      <c r="R67" s="987" t="s">
        <v>122</v>
      </c>
      <c r="S67" s="988">
        <v>2019</v>
      </c>
      <c r="T67" s="990">
        <v>2022</v>
      </c>
      <c r="U67" s="990">
        <v>2020</v>
      </c>
      <c r="V67" s="988"/>
      <c r="W67" s="988"/>
    </row>
    <row r="68" spans="1:26" ht="12.75" customHeight="1">
      <c r="A68" s="1341"/>
      <c r="B68" s="992">
        <v>150</v>
      </c>
      <c r="C68" s="996">
        <v>0.14000000000000001</v>
      </c>
      <c r="D68" s="993">
        <v>0.36</v>
      </c>
      <c r="E68" s="993">
        <v>0.21</v>
      </c>
      <c r="F68" s="994">
        <f t="shared" ref="F68:F73" si="46">0.5*(MAX(C68:E68)-MIN(C68:E68))</f>
        <v>0.10999999999999999</v>
      </c>
      <c r="G68" s="1000">
        <f>B68*$H$68</f>
        <v>1.8</v>
      </c>
      <c r="H68" s="989">
        <f>1.2/100</f>
        <v>1.2E-2</v>
      </c>
      <c r="I68" s="1341"/>
      <c r="J68" s="992">
        <v>150</v>
      </c>
      <c r="K68" s="995">
        <v>-0.17</v>
      </c>
      <c r="L68" s="1030">
        <v>-0.08</v>
      </c>
      <c r="M68" s="1030">
        <v>-0.17</v>
      </c>
      <c r="N68" s="994">
        <f>0.5*(MAX(K68:M68)-MIN(K68:M68))</f>
        <v>4.5000000000000005E-2</v>
      </c>
      <c r="O68" s="994">
        <f>J68*$P$68</f>
        <v>1.8</v>
      </c>
      <c r="P68" s="989">
        <f>1.2/100</f>
        <v>1.2E-2</v>
      </c>
      <c r="Q68" s="1341"/>
      <c r="R68" s="992">
        <v>150</v>
      </c>
      <c r="S68" s="995">
        <v>9.9999999999999995E-7</v>
      </c>
      <c r="T68" s="1030">
        <v>-0.17</v>
      </c>
      <c r="U68" s="1030">
        <v>-0.24</v>
      </c>
      <c r="V68" s="994">
        <f t="shared" ref="V68:V73" si="47">0.5*(MAX(S68:U68)-MIN(S68:U68))</f>
        <v>0.1200005</v>
      </c>
      <c r="W68" s="994">
        <f>R68*$X$68</f>
        <v>1.8</v>
      </c>
      <c r="X68" s="983">
        <f>1.2/100</f>
        <v>1.2E-2</v>
      </c>
    </row>
    <row r="69" spans="1:26" ht="12.75" customHeight="1">
      <c r="A69" s="1341"/>
      <c r="B69" s="992">
        <v>180</v>
      </c>
      <c r="C69" s="996">
        <v>0.34</v>
      </c>
      <c r="D69" s="993">
        <v>0.46</v>
      </c>
      <c r="E69" s="993">
        <v>0.33</v>
      </c>
      <c r="F69" s="994">
        <f t="shared" si="46"/>
        <v>6.5000000000000002E-2</v>
      </c>
      <c r="G69" s="1000">
        <f t="shared" ref="G69:G73" si="48">B69*$H$68</f>
        <v>2.16</v>
      </c>
      <c r="H69" s="989"/>
      <c r="I69" s="1341"/>
      <c r="J69" s="992">
        <v>180</v>
      </c>
      <c r="K69" s="995">
        <v>-0.16</v>
      </c>
      <c r="L69" s="1030">
        <v>-0.2</v>
      </c>
      <c r="M69" s="1030">
        <v>-0.22</v>
      </c>
      <c r="N69" s="994">
        <f t="shared" ref="N69:N73" si="49">0.5*(MAX(K69:M69)-MIN(K69:M69))</f>
        <v>0.03</v>
      </c>
      <c r="O69" s="994">
        <f t="shared" ref="O69:O73" si="50">J69*$P$68</f>
        <v>2.16</v>
      </c>
      <c r="P69" s="989"/>
      <c r="Q69" s="1341"/>
      <c r="R69" s="992">
        <v>180</v>
      </c>
      <c r="S69" s="995">
        <v>9.9999999999999995E-7</v>
      </c>
      <c r="T69" s="1030">
        <v>-0.39</v>
      </c>
      <c r="U69" s="1030">
        <v>-0.14000000000000001</v>
      </c>
      <c r="V69" s="994">
        <f t="shared" si="47"/>
        <v>0.19500049999999999</v>
      </c>
      <c r="W69" s="994">
        <f t="shared" ref="W69:W72" si="51">R69*$X$68</f>
        <v>2.16</v>
      </c>
    </row>
    <row r="70" spans="1:26" ht="12.75" customHeight="1">
      <c r="A70" s="1341"/>
      <c r="B70" s="992">
        <v>200</v>
      </c>
      <c r="C70" s="996">
        <v>0.42</v>
      </c>
      <c r="D70" s="993">
        <v>0.52</v>
      </c>
      <c r="E70" s="993">
        <v>0.34</v>
      </c>
      <c r="F70" s="994">
        <f t="shared" si="46"/>
        <v>0.09</v>
      </c>
      <c r="G70" s="1000">
        <f t="shared" si="48"/>
        <v>2.4</v>
      </c>
      <c r="H70" s="989"/>
      <c r="I70" s="1341"/>
      <c r="J70" s="992">
        <v>200</v>
      </c>
      <c r="K70" s="995">
        <v>0.1</v>
      </c>
      <c r="L70" s="993">
        <v>-0.25</v>
      </c>
      <c r="M70" s="993">
        <v>-0.33</v>
      </c>
      <c r="N70" s="994">
        <f t="shared" si="49"/>
        <v>0.21500000000000002</v>
      </c>
      <c r="O70" s="994">
        <f t="shared" si="50"/>
        <v>2.4</v>
      </c>
      <c r="P70" s="989"/>
      <c r="Q70" s="1341"/>
      <c r="R70" s="992">
        <v>200</v>
      </c>
      <c r="S70" s="995">
        <v>9.9999999999999995E-7</v>
      </c>
      <c r="T70" s="993">
        <v>-0.23</v>
      </c>
      <c r="U70" s="993">
        <v>-0.33</v>
      </c>
      <c r="V70" s="994">
        <f t="shared" si="47"/>
        <v>0.16500049999999999</v>
      </c>
      <c r="W70" s="994">
        <f t="shared" si="51"/>
        <v>2.4</v>
      </c>
    </row>
    <row r="71" spans="1:26" ht="12.75" customHeight="1">
      <c r="A71" s="1341"/>
      <c r="B71" s="992">
        <v>220</v>
      </c>
      <c r="C71" s="996">
        <v>0.32</v>
      </c>
      <c r="D71" s="993">
        <v>0.57999999999999996</v>
      </c>
      <c r="E71" s="993">
        <v>0.37</v>
      </c>
      <c r="F71" s="994">
        <f t="shared" si="46"/>
        <v>0.12999999999999998</v>
      </c>
      <c r="G71" s="1000">
        <f t="shared" si="48"/>
        <v>2.64</v>
      </c>
      <c r="H71" s="989"/>
      <c r="I71" s="1341"/>
      <c r="J71" s="992">
        <v>220</v>
      </c>
      <c r="K71" s="995">
        <v>-0.35</v>
      </c>
      <c r="L71" s="993">
        <v>-0.28999999999999998</v>
      </c>
      <c r="M71" s="993">
        <v>-0.39</v>
      </c>
      <c r="N71" s="994">
        <f t="shared" si="49"/>
        <v>5.0000000000000017E-2</v>
      </c>
      <c r="O71" s="994">
        <f t="shared" si="50"/>
        <v>2.64</v>
      </c>
      <c r="P71" s="989"/>
      <c r="Q71" s="1341"/>
      <c r="R71" s="992">
        <v>220</v>
      </c>
      <c r="S71" s="995">
        <v>9.9999999999999995E-7</v>
      </c>
      <c r="T71" s="993">
        <v>-0.16</v>
      </c>
      <c r="U71" s="993">
        <v>-0.45</v>
      </c>
      <c r="V71" s="994">
        <f t="shared" si="47"/>
        <v>0.22500049999999999</v>
      </c>
      <c r="W71" s="994">
        <f t="shared" si="51"/>
        <v>2.64</v>
      </c>
    </row>
    <row r="72" spans="1:26" ht="12.75" customHeight="1">
      <c r="A72" s="1341"/>
      <c r="B72" s="992">
        <v>230</v>
      </c>
      <c r="C72" s="996">
        <v>0.38</v>
      </c>
      <c r="D72" s="993">
        <v>0.47</v>
      </c>
      <c r="E72" s="993">
        <v>0.47</v>
      </c>
      <c r="F72" s="994">
        <f t="shared" si="46"/>
        <v>4.4999999999999984E-2</v>
      </c>
      <c r="G72" s="1000">
        <f t="shared" si="48"/>
        <v>2.7600000000000002</v>
      </c>
      <c r="H72" s="989"/>
      <c r="I72" s="1341"/>
      <c r="J72" s="992">
        <v>230</v>
      </c>
      <c r="K72" s="995">
        <v>-0.37</v>
      </c>
      <c r="L72" s="993">
        <v>-0.34</v>
      </c>
      <c r="M72" s="993">
        <v>-0.39</v>
      </c>
      <c r="N72" s="994">
        <f t="shared" si="49"/>
        <v>2.4999999999999994E-2</v>
      </c>
      <c r="O72" s="994">
        <f t="shared" si="50"/>
        <v>2.7600000000000002</v>
      </c>
      <c r="P72" s="989"/>
      <c r="Q72" s="1341"/>
      <c r="R72" s="992">
        <v>230</v>
      </c>
      <c r="S72" s="995">
        <v>9.9999999999999995E-7</v>
      </c>
      <c r="T72" s="993">
        <v>-0.15</v>
      </c>
      <c r="U72" s="993">
        <v>-0.54</v>
      </c>
      <c r="V72" s="994">
        <f t="shared" si="47"/>
        <v>0.27000050000000003</v>
      </c>
      <c r="W72" s="994">
        <f t="shared" si="51"/>
        <v>2.7600000000000002</v>
      </c>
    </row>
    <row r="73" spans="1:26" ht="12.75" customHeight="1">
      <c r="A73" s="1341"/>
      <c r="B73" s="992">
        <v>250</v>
      </c>
      <c r="C73" s="996">
        <v>0.44</v>
      </c>
      <c r="D73" s="993">
        <v>0</v>
      </c>
      <c r="E73" s="993">
        <v>0.38</v>
      </c>
      <c r="F73" s="994">
        <f t="shared" si="46"/>
        <v>0.22</v>
      </c>
      <c r="G73" s="1000">
        <f t="shared" si="48"/>
        <v>3</v>
      </c>
      <c r="H73" s="989"/>
      <c r="I73" s="1341"/>
      <c r="J73" s="992">
        <v>250</v>
      </c>
      <c r="K73" s="995">
        <v>9.9999999999999995E-7</v>
      </c>
      <c r="L73" s="993">
        <v>9.9999999999999995E-7</v>
      </c>
      <c r="M73" s="993">
        <v>-0.39</v>
      </c>
      <c r="N73" s="994">
        <f t="shared" si="49"/>
        <v>0.19500049999999999</v>
      </c>
      <c r="O73" s="994">
        <f t="shared" si="50"/>
        <v>3</v>
      </c>
      <c r="P73" s="989"/>
      <c r="Q73" s="1341"/>
      <c r="R73" s="992">
        <v>250</v>
      </c>
      <c r="S73" s="995">
        <v>9.9999999999999995E-7</v>
      </c>
      <c r="T73" s="993">
        <v>9.9999999999999995E-7</v>
      </c>
      <c r="U73" s="993">
        <v>-0.49</v>
      </c>
      <c r="V73" s="994">
        <f t="shared" si="47"/>
        <v>0.24500049999999998</v>
      </c>
      <c r="W73" s="994" t="s">
        <v>10</v>
      </c>
    </row>
    <row r="74" spans="1:26" ht="12.75" customHeight="1">
      <c r="A74" s="1341"/>
      <c r="B74" s="1348" t="s">
        <v>125</v>
      </c>
      <c r="C74" s="1349"/>
      <c r="D74" s="1349"/>
      <c r="E74" s="1350"/>
      <c r="F74" s="988" t="s">
        <v>120</v>
      </c>
      <c r="G74" s="988" t="s">
        <v>77</v>
      </c>
      <c r="H74" s="989"/>
      <c r="I74" s="1341"/>
      <c r="J74" s="1348" t="s">
        <v>125</v>
      </c>
      <c r="K74" s="1349"/>
      <c r="L74" s="1349"/>
      <c r="M74" s="1350"/>
      <c r="N74" s="988" t="s">
        <v>120</v>
      </c>
      <c r="O74" s="988" t="s">
        <v>77</v>
      </c>
      <c r="P74" s="989"/>
      <c r="Q74" s="1341"/>
      <c r="R74" s="1348" t="s">
        <v>125</v>
      </c>
      <c r="S74" s="1349"/>
      <c r="T74" s="1349"/>
      <c r="U74" s="1350"/>
      <c r="V74" s="988" t="s">
        <v>120</v>
      </c>
      <c r="W74" s="988" t="s">
        <v>77</v>
      </c>
      <c r="Z74" s="1031"/>
    </row>
    <row r="75" spans="1:26" ht="15" customHeight="1">
      <c r="A75" s="1341"/>
      <c r="B75" s="987" t="s">
        <v>127</v>
      </c>
      <c r="C75" s="988">
        <f>C67</f>
        <v>2023</v>
      </c>
      <c r="D75" s="988">
        <f>D67</f>
        <v>2022</v>
      </c>
      <c r="E75" s="988">
        <f>E67</f>
        <v>2020</v>
      </c>
      <c r="F75" s="988"/>
      <c r="G75" s="988"/>
      <c r="H75" s="989"/>
      <c r="I75" s="1341"/>
      <c r="J75" s="987" t="s">
        <v>127</v>
      </c>
      <c r="K75" s="988">
        <f>K67</f>
        <v>2023</v>
      </c>
      <c r="L75" s="988">
        <f>L67</f>
        <v>2022</v>
      </c>
      <c r="M75" s="988">
        <f>M67</f>
        <v>2020</v>
      </c>
      <c r="N75" s="988"/>
      <c r="O75" s="988"/>
      <c r="P75" s="989"/>
      <c r="Q75" s="1341"/>
      <c r="R75" s="987" t="s">
        <v>127</v>
      </c>
      <c r="S75" s="988">
        <f>S67</f>
        <v>2019</v>
      </c>
      <c r="T75" s="990">
        <f>T67</f>
        <v>2022</v>
      </c>
      <c r="U75" s="990">
        <f>U67</f>
        <v>2020</v>
      </c>
      <c r="V75" s="988"/>
      <c r="W75" s="988"/>
    </row>
    <row r="76" spans="1:26" ht="12.75" customHeight="1">
      <c r="A76" s="1341"/>
      <c r="B76" s="1006">
        <v>9.9999999999999995E-7</v>
      </c>
      <c r="C76" s="996">
        <v>0</v>
      </c>
      <c r="D76" s="993">
        <v>0</v>
      </c>
      <c r="E76" s="993">
        <v>9.9999999999999995E-7</v>
      </c>
      <c r="F76" s="994">
        <f t="shared" ref="F76:F81" si="52">0.5*(MAX(C76:E76)-MIN(C76:E76))</f>
        <v>4.9999999999999998E-7</v>
      </c>
      <c r="G76" s="1005">
        <f>B76*$H$76</f>
        <v>5.8999999999999999E-9</v>
      </c>
      <c r="H76" s="989">
        <f>0.59/100</f>
        <v>5.8999999999999999E-3</v>
      </c>
      <c r="I76" s="1341"/>
      <c r="J76" s="1006">
        <v>9.9999999999999995E-7</v>
      </c>
      <c r="K76" s="999">
        <v>9.9999999999999995E-7</v>
      </c>
      <c r="L76" s="993">
        <v>0</v>
      </c>
      <c r="M76" s="993">
        <v>9.9999999999999995E-7</v>
      </c>
      <c r="N76" s="994">
        <f t="shared" ref="N76:N81" si="53">0.5*(MAX(K76:M76)-MIN(K76:M76))</f>
        <v>4.9999999999999998E-7</v>
      </c>
      <c r="O76" s="994">
        <f>J76*$P$76</f>
        <v>5.8999999999999999E-9</v>
      </c>
      <c r="P76" s="989">
        <f>0.59/100</f>
        <v>5.8999999999999999E-3</v>
      </c>
      <c r="Q76" s="1341"/>
      <c r="R76" s="1006">
        <v>9.9999999999999995E-7</v>
      </c>
      <c r="S76" s="999">
        <v>9.9999999999999995E-7</v>
      </c>
      <c r="T76" s="993">
        <v>9.9999999999999995E-7</v>
      </c>
      <c r="U76" s="993">
        <v>9.9999999999999995E-7</v>
      </c>
      <c r="V76" s="994">
        <f t="shared" ref="V76:V81" si="54">0.5*(MAX(S76:U76)-MIN(S76:U76))</f>
        <v>0</v>
      </c>
      <c r="W76" s="994">
        <f>R76*$X$76</f>
        <v>5.8999999999999999E-9</v>
      </c>
      <c r="X76" s="983">
        <f>0.59/100</f>
        <v>5.8999999999999999E-3</v>
      </c>
    </row>
    <row r="77" spans="1:26" ht="12.75" customHeight="1">
      <c r="A77" s="1341"/>
      <c r="B77" s="1001">
        <v>50</v>
      </c>
      <c r="C77" s="996">
        <v>5</v>
      </c>
      <c r="D77" s="993">
        <v>1.9</v>
      </c>
      <c r="E77" s="993">
        <v>1.7</v>
      </c>
      <c r="F77" s="994">
        <f t="shared" si="52"/>
        <v>1.65</v>
      </c>
      <c r="G77" s="1005">
        <f t="shared" ref="G77:G81" si="55">B77*$H$76</f>
        <v>0.29499999999999998</v>
      </c>
      <c r="H77" s="989"/>
      <c r="I77" s="1341"/>
      <c r="J77" s="1001">
        <v>50</v>
      </c>
      <c r="K77" s="999">
        <v>4.0999999999999996</v>
      </c>
      <c r="L77" s="993">
        <v>4.9000000000000004</v>
      </c>
      <c r="M77" s="993">
        <v>0.8</v>
      </c>
      <c r="N77" s="994">
        <f t="shared" si="53"/>
        <v>2.0500000000000003</v>
      </c>
      <c r="O77" s="994">
        <f t="shared" ref="O77:O81" si="56">J77*$P$76</f>
        <v>0.29499999999999998</v>
      </c>
      <c r="P77" s="989"/>
      <c r="Q77" s="1341"/>
      <c r="R77" s="1001">
        <v>50</v>
      </c>
      <c r="S77" s="999">
        <v>9.9999999999999995E-7</v>
      </c>
      <c r="T77" s="993">
        <v>6.6</v>
      </c>
      <c r="U77" s="993">
        <v>0.9</v>
      </c>
      <c r="V77" s="994">
        <f t="shared" si="54"/>
        <v>3.2999994999999998</v>
      </c>
      <c r="W77" s="994">
        <f t="shared" ref="W77:W81" si="57">R77*$X$76</f>
        <v>0.29499999999999998</v>
      </c>
    </row>
    <row r="78" spans="1:26" ht="12.75" customHeight="1">
      <c r="A78" s="1341"/>
      <c r="B78" s="1001">
        <v>100</v>
      </c>
      <c r="C78" s="996">
        <v>6.2</v>
      </c>
      <c r="D78" s="993">
        <v>1.7</v>
      </c>
      <c r="E78" s="993">
        <v>1.7</v>
      </c>
      <c r="F78" s="994">
        <f t="shared" si="52"/>
        <v>2.25</v>
      </c>
      <c r="G78" s="1005">
        <f t="shared" si="55"/>
        <v>0.59</v>
      </c>
      <c r="H78" s="989"/>
      <c r="I78" s="1341"/>
      <c r="J78" s="1001">
        <v>100</v>
      </c>
      <c r="K78" s="999">
        <v>6</v>
      </c>
      <c r="L78" s="993">
        <v>9.1999999999999993</v>
      </c>
      <c r="M78" s="993">
        <v>1.7</v>
      </c>
      <c r="N78" s="994">
        <f t="shared" si="53"/>
        <v>3.7499999999999996</v>
      </c>
      <c r="O78" s="994">
        <f t="shared" si="56"/>
        <v>0.59</v>
      </c>
      <c r="P78" s="989"/>
      <c r="Q78" s="1341"/>
      <c r="R78" s="1001">
        <v>100</v>
      </c>
      <c r="S78" s="999">
        <v>9.9999999999999995E-7</v>
      </c>
      <c r="T78" s="993">
        <v>5</v>
      </c>
      <c r="U78" s="993">
        <v>2.1</v>
      </c>
      <c r="V78" s="994">
        <f t="shared" si="54"/>
        <v>2.4999994999999999</v>
      </c>
      <c r="W78" s="994">
        <f t="shared" si="57"/>
        <v>0.59</v>
      </c>
    </row>
    <row r="79" spans="1:26" ht="12.75" customHeight="1">
      <c r="A79" s="1341"/>
      <c r="B79" s="1001">
        <v>200</v>
      </c>
      <c r="C79" s="996">
        <v>8.6</v>
      </c>
      <c r="D79" s="993">
        <v>1.5</v>
      </c>
      <c r="E79" s="993">
        <v>0.4</v>
      </c>
      <c r="F79" s="994">
        <f t="shared" si="52"/>
        <v>4.0999999999999996</v>
      </c>
      <c r="G79" s="1005">
        <f t="shared" si="55"/>
        <v>1.18</v>
      </c>
      <c r="H79" s="989"/>
      <c r="I79" s="1341"/>
      <c r="J79" s="1001">
        <v>500</v>
      </c>
      <c r="K79" s="999">
        <v>9</v>
      </c>
      <c r="L79" s="993">
        <v>-0.2</v>
      </c>
      <c r="M79" s="993">
        <v>3.4</v>
      </c>
      <c r="N79" s="994">
        <f t="shared" si="53"/>
        <v>4.5999999999999996</v>
      </c>
      <c r="O79" s="994">
        <f t="shared" si="56"/>
        <v>2.9499999999999997</v>
      </c>
      <c r="P79" s="989"/>
      <c r="Q79" s="1341"/>
      <c r="R79" s="1001">
        <v>500</v>
      </c>
      <c r="S79" s="999">
        <v>9.9999999999999995E-7</v>
      </c>
      <c r="T79" s="993">
        <v>-8.1999999999999993</v>
      </c>
      <c r="U79" s="993">
        <v>3.7</v>
      </c>
      <c r="V79" s="994">
        <f t="shared" si="54"/>
        <v>5.9499999999999993</v>
      </c>
      <c r="W79" s="994">
        <f t="shared" si="57"/>
        <v>2.9499999999999997</v>
      </c>
    </row>
    <row r="80" spans="1:26" ht="12.75" customHeight="1">
      <c r="A80" s="1341"/>
      <c r="B80" s="1001">
        <v>500</v>
      </c>
      <c r="C80" s="996">
        <v>9.3000000000000007</v>
      </c>
      <c r="D80" s="993">
        <v>0.9</v>
      </c>
      <c r="E80" s="993">
        <v>3</v>
      </c>
      <c r="F80" s="994">
        <f t="shared" si="52"/>
        <v>4.2</v>
      </c>
      <c r="G80" s="1005">
        <f t="shared" si="55"/>
        <v>2.9499999999999997</v>
      </c>
      <c r="H80" s="989"/>
      <c r="I80" s="1341"/>
      <c r="J80" s="1001">
        <v>500</v>
      </c>
      <c r="K80" s="999">
        <v>9.5</v>
      </c>
      <c r="L80" s="993">
        <v>-25.1</v>
      </c>
      <c r="M80" s="993">
        <v>7.2</v>
      </c>
      <c r="N80" s="994">
        <f t="shared" si="53"/>
        <v>17.3</v>
      </c>
      <c r="O80" s="994">
        <f t="shared" si="56"/>
        <v>2.9499999999999997</v>
      </c>
      <c r="P80" s="989"/>
      <c r="Q80" s="1341"/>
      <c r="R80" s="1001">
        <v>500</v>
      </c>
      <c r="S80" s="999">
        <v>9.9999999999999995E-7</v>
      </c>
      <c r="T80" s="993">
        <v>-31.8</v>
      </c>
      <c r="U80" s="993">
        <v>8.3000000000000007</v>
      </c>
      <c r="V80" s="994">
        <f t="shared" si="54"/>
        <v>20.05</v>
      </c>
      <c r="W80" s="994">
        <f t="shared" si="57"/>
        <v>2.9499999999999997</v>
      </c>
    </row>
    <row r="81" spans="1:24" ht="12.75" customHeight="1">
      <c r="A81" s="1341"/>
      <c r="B81" s="1001">
        <v>1000</v>
      </c>
      <c r="C81" s="996">
        <v>-88</v>
      </c>
      <c r="D81" s="993">
        <v>0</v>
      </c>
      <c r="E81" s="993">
        <v>9.9999999999999995E-7</v>
      </c>
      <c r="F81" s="994">
        <f t="shared" si="52"/>
        <v>44.000000499999999</v>
      </c>
      <c r="G81" s="1005">
        <f t="shared" si="55"/>
        <v>5.8999999999999995</v>
      </c>
      <c r="H81" s="989"/>
      <c r="I81" s="1341"/>
      <c r="J81" s="1001">
        <v>1000</v>
      </c>
      <c r="K81" s="999">
        <v>9.9999999999999995E-7</v>
      </c>
      <c r="L81" s="993">
        <v>-6.6000000000000003E-2</v>
      </c>
      <c r="M81" s="993">
        <v>9.9999999999999995E-7</v>
      </c>
      <c r="N81" s="994">
        <f t="shared" si="53"/>
        <v>3.3000500000000002E-2</v>
      </c>
      <c r="O81" s="994">
        <f t="shared" si="56"/>
        <v>5.8999999999999995</v>
      </c>
      <c r="P81" s="989"/>
      <c r="Q81" s="1341"/>
      <c r="R81" s="1001">
        <v>1000</v>
      </c>
      <c r="S81" s="999">
        <v>9.9999999999999995E-7</v>
      </c>
      <c r="T81" s="993">
        <v>-74</v>
      </c>
      <c r="U81" s="993">
        <v>9.9999999999999995E-7</v>
      </c>
      <c r="V81" s="994">
        <f t="shared" si="54"/>
        <v>37.000000499999999</v>
      </c>
      <c r="W81" s="994">
        <f t="shared" si="57"/>
        <v>5.8999999999999995</v>
      </c>
    </row>
    <row r="82" spans="1:24" ht="12.75" customHeight="1">
      <c r="A82" s="1341"/>
      <c r="B82" s="1348" t="s">
        <v>129</v>
      </c>
      <c r="C82" s="1349"/>
      <c r="D82" s="1349"/>
      <c r="E82" s="1350"/>
      <c r="F82" s="988" t="s">
        <v>120</v>
      </c>
      <c r="G82" s="988" t="s">
        <v>77</v>
      </c>
      <c r="H82" s="989"/>
      <c r="I82" s="1341"/>
      <c r="J82" s="1348" t="s">
        <v>129</v>
      </c>
      <c r="K82" s="1349"/>
      <c r="L82" s="1349"/>
      <c r="M82" s="1350"/>
      <c r="N82" s="988" t="s">
        <v>120</v>
      </c>
      <c r="O82" s="988" t="s">
        <v>77</v>
      </c>
      <c r="P82" s="989"/>
      <c r="Q82" s="1341"/>
      <c r="R82" s="1348" t="str">
        <f>B82</f>
        <v>Main-PE</v>
      </c>
      <c r="S82" s="1349"/>
      <c r="T82" s="1349"/>
      <c r="U82" s="1350"/>
      <c r="V82" s="988" t="s">
        <v>120</v>
      </c>
      <c r="W82" s="988" t="s">
        <v>77</v>
      </c>
    </row>
    <row r="83" spans="1:24" ht="15" customHeight="1">
      <c r="A83" s="1341"/>
      <c r="B83" s="987" t="s">
        <v>130</v>
      </c>
      <c r="C83" s="988">
        <f>C75</f>
        <v>2023</v>
      </c>
      <c r="D83" s="988">
        <f>D75</f>
        <v>2022</v>
      </c>
      <c r="E83" s="988">
        <f>E75</f>
        <v>2020</v>
      </c>
      <c r="F83" s="988"/>
      <c r="G83" s="988"/>
      <c r="H83" s="989"/>
      <c r="I83" s="1341"/>
      <c r="J83" s="987" t="s">
        <v>130</v>
      </c>
      <c r="K83" s="988">
        <f>K67</f>
        <v>2023</v>
      </c>
      <c r="L83" s="988">
        <f>L67</f>
        <v>2022</v>
      </c>
      <c r="M83" s="988">
        <f>M67</f>
        <v>2020</v>
      </c>
      <c r="N83" s="988"/>
      <c r="O83" s="988"/>
      <c r="P83" s="989"/>
      <c r="Q83" s="1341"/>
      <c r="R83" s="987" t="s">
        <v>130</v>
      </c>
      <c r="S83" s="988">
        <f>S67</f>
        <v>2019</v>
      </c>
      <c r="T83" s="990">
        <f>T67</f>
        <v>2022</v>
      </c>
      <c r="U83" s="990">
        <f>U67</f>
        <v>2020</v>
      </c>
      <c r="V83" s="988"/>
      <c r="W83" s="988"/>
    </row>
    <row r="84" spans="1:24" ht="12.75" customHeight="1">
      <c r="A84" s="1341"/>
      <c r="B84" s="1001">
        <v>10</v>
      </c>
      <c r="C84" s="996">
        <v>0</v>
      </c>
      <c r="D84" s="993">
        <v>0</v>
      </c>
      <c r="E84" s="993">
        <v>9.9999999999999995E-7</v>
      </c>
      <c r="F84" s="994">
        <f t="shared" ref="F84:F87" si="58">0.5*(MAX(C84:E84)-MIN(C84:E84))</f>
        <v>4.9999999999999998E-7</v>
      </c>
      <c r="G84" s="1006">
        <f>B84*$H$84</f>
        <v>0.17</v>
      </c>
      <c r="H84" s="989">
        <f>1.7/100</f>
        <v>1.7000000000000001E-2</v>
      </c>
      <c r="I84" s="1341"/>
      <c r="J84" s="1001">
        <v>10</v>
      </c>
      <c r="K84" s="999">
        <v>9.9999999999999995E-7</v>
      </c>
      <c r="L84" s="993">
        <v>9.9999999999999995E-7</v>
      </c>
      <c r="M84" s="993">
        <v>9.9999999999999995E-7</v>
      </c>
      <c r="N84" s="994">
        <f t="shared" ref="N84:N87" si="59">0.5*(MAX(K84:M84)-MIN(K84:M84))</f>
        <v>0</v>
      </c>
      <c r="O84" s="994">
        <f>J84*$P$84</f>
        <v>0.17</v>
      </c>
      <c r="P84" s="989">
        <f>1.7/100</f>
        <v>1.7000000000000001E-2</v>
      </c>
      <c r="Q84" s="1341"/>
      <c r="R84" s="1001">
        <v>10</v>
      </c>
      <c r="S84" s="999">
        <v>9.9999999999999995E-7</v>
      </c>
      <c r="T84" s="993">
        <v>9.9999999999999995E-7</v>
      </c>
      <c r="U84" s="993">
        <v>9.9999999999999995E-7</v>
      </c>
      <c r="V84" s="994">
        <f t="shared" ref="V84:V87" si="60">0.5*(MAX(S84:U84)-MIN(S84:U84))</f>
        <v>0</v>
      </c>
      <c r="W84" s="994">
        <f>R84*$X$84</f>
        <v>0.17</v>
      </c>
      <c r="X84" s="983">
        <v>1.7000000000000001E-2</v>
      </c>
    </row>
    <row r="85" spans="1:24" ht="12.75" customHeight="1">
      <c r="A85" s="1341"/>
      <c r="B85" s="1001">
        <v>20</v>
      </c>
      <c r="C85" s="996">
        <v>0.1</v>
      </c>
      <c r="D85" s="993">
        <v>0.1</v>
      </c>
      <c r="E85" s="993">
        <v>9.9999999999999995E-7</v>
      </c>
      <c r="F85" s="994">
        <f t="shared" si="58"/>
        <v>4.9999500000000002E-2</v>
      </c>
      <c r="G85" s="1006">
        <f t="shared" ref="G85:G87" si="61">B85*$H$84</f>
        <v>0.34</v>
      </c>
      <c r="H85" s="989"/>
      <c r="I85" s="1341"/>
      <c r="J85" s="1001">
        <v>20</v>
      </c>
      <c r="K85" s="999">
        <v>1E-3</v>
      </c>
      <c r="L85" s="993">
        <v>9.9999999999999995E-7</v>
      </c>
      <c r="M85" s="993">
        <v>9.9999999999999995E-7</v>
      </c>
      <c r="N85" s="994">
        <f t="shared" si="59"/>
        <v>4.9950000000000005E-4</v>
      </c>
      <c r="O85" s="994">
        <f t="shared" ref="O85:O86" si="62">J85*$P$84</f>
        <v>0.34</v>
      </c>
      <c r="P85" s="989"/>
      <c r="Q85" s="1341"/>
      <c r="R85" s="1001">
        <v>20</v>
      </c>
      <c r="S85" s="999">
        <v>9.9999999999999995E-7</v>
      </c>
      <c r="T85" s="993">
        <v>9.9999999999999995E-7</v>
      </c>
      <c r="U85" s="993">
        <v>9.9999999999999995E-7</v>
      </c>
      <c r="V85" s="994">
        <f t="shared" si="60"/>
        <v>0</v>
      </c>
      <c r="W85" s="994">
        <f t="shared" ref="W85:W86" si="63">R85*$X$84</f>
        <v>0.34</v>
      </c>
    </row>
    <row r="86" spans="1:24" ht="12.75" customHeight="1">
      <c r="A86" s="1341"/>
      <c r="B86" s="1001">
        <v>50</v>
      </c>
      <c r="C86" s="996">
        <v>0.3</v>
      </c>
      <c r="D86" s="993">
        <v>0.5</v>
      </c>
      <c r="E86" s="993">
        <v>9.9999999999999995E-7</v>
      </c>
      <c r="F86" s="994">
        <f t="shared" si="58"/>
        <v>0.24999950000000001</v>
      </c>
      <c r="G86" s="1006">
        <f t="shared" si="61"/>
        <v>0.85000000000000009</v>
      </c>
      <c r="H86" s="989"/>
      <c r="I86" s="1341"/>
      <c r="J86" s="1001">
        <v>50</v>
      </c>
      <c r="K86" s="999">
        <v>0.2</v>
      </c>
      <c r="L86" s="993">
        <v>0.2</v>
      </c>
      <c r="M86" s="993">
        <v>9.9999999999999995E-7</v>
      </c>
      <c r="N86" s="994">
        <f t="shared" si="59"/>
        <v>9.9999500000000005E-2</v>
      </c>
      <c r="O86" s="994">
        <f t="shared" si="62"/>
        <v>0.85000000000000009</v>
      </c>
      <c r="P86" s="989"/>
      <c r="Q86" s="1341"/>
      <c r="R86" s="1001">
        <v>50</v>
      </c>
      <c r="S86" s="999">
        <v>9.9999999999999995E-7</v>
      </c>
      <c r="T86" s="993">
        <v>0.2</v>
      </c>
      <c r="U86" s="993">
        <v>9.9999999999999995E-7</v>
      </c>
      <c r="V86" s="994">
        <f t="shared" si="60"/>
        <v>9.9999500000000005E-2</v>
      </c>
      <c r="W86" s="994">
        <f t="shared" si="63"/>
        <v>0.85000000000000009</v>
      </c>
    </row>
    <row r="87" spans="1:24" ht="12.75" customHeight="1">
      <c r="A87" s="1341"/>
      <c r="B87" s="1001">
        <v>100</v>
      </c>
      <c r="C87" s="996">
        <v>0.8</v>
      </c>
      <c r="D87" s="993">
        <v>0.9</v>
      </c>
      <c r="E87" s="993">
        <v>9.9999999999999995E-7</v>
      </c>
      <c r="F87" s="994">
        <f t="shared" si="58"/>
        <v>0.4499995</v>
      </c>
      <c r="G87" s="1006">
        <f t="shared" si="61"/>
        <v>1.7000000000000002</v>
      </c>
      <c r="H87" s="989"/>
      <c r="I87" s="1341"/>
      <c r="J87" s="1001">
        <v>100</v>
      </c>
      <c r="K87" s="999">
        <v>1.1000000000000001</v>
      </c>
      <c r="L87" s="993">
        <v>0.6</v>
      </c>
      <c r="M87" s="993">
        <v>9.9999999999999995E-7</v>
      </c>
      <c r="N87" s="994">
        <f t="shared" si="59"/>
        <v>0.54999950000000009</v>
      </c>
      <c r="O87" s="994">
        <f>J87*$P$84</f>
        <v>1.7000000000000002</v>
      </c>
      <c r="P87" s="989"/>
      <c r="Q87" s="1341"/>
      <c r="R87" s="1001">
        <v>100</v>
      </c>
      <c r="S87" s="999">
        <v>9.9999999999999995E-7</v>
      </c>
      <c r="T87" s="993">
        <v>0.4</v>
      </c>
      <c r="U87" s="993">
        <v>9.9999999999999995E-7</v>
      </c>
      <c r="V87" s="994">
        <f t="shared" si="60"/>
        <v>0.19999950000000002</v>
      </c>
      <c r="W87" s="994">
        <f>R87*$X$84</f>
        <v>1.7000000000000002</v>
      </c>
    </row>
    <row r="88" spans="1:24" ht="12.75" customHeight="1">
      <c r="A88" s="1341"/>
      <c r="B88" s="1348" t="s">
        <v>131</v>
      </c>
      <c r="C88" s="1349"/>
      <c r="D88" s="1349"/>
      <c r="E88" s="1350"/>
      <c r="F88" s="988" t="s">
        <v>120</v>
      </c>
      <c r="G88" s="988" t="s">
        <v>77</v>
      </c>
      <c r="H88" s="989"/>
      <c r="I88" s="1341"/>
      <c r="J88" s="1348" t="s">
        <v>131</v>
      </c>
      <c r="K88" s="1349"/>
      <c r="L88" s="1349"/>
      <c r="M88" s="1350"/>
      <c r="N88" s="988" t="s">
        <v>120</v>
      </c>
      <c r="O88" s="988" t="s">
        <v>77</v>
      </c>
      <c r="P88" s="989"/>
      <c r="Q88" s="1341"/>
      <c r="R88" s="1348" t="str">
        <f>B88</f>
        <v>Resistance</v>
      </c>
      <c r="S88" s="1349"/>
      <c r="T88" s="1349"/>
      <c r="U88" s="1350"/>
      <c r="V88" s="988" t="s">
        <v>120</v>
      </c>
      <c r="W88" s="988" t="s">
        <v>77</v>
      </c>
    </row>
    <row r="89" spans="1:24" ht="15" customHeight="1">
      <c r="A89" s="1341"/>
      <c r="B89" s="987" t="s">
        <v>132</v>
      </c>
      <c r="C89" s="988">
        <f>C67</f>
        <v>2023</v>
      </c>
      <c r="D89" s="988">
        <f>D67</f>
        <v>2022</v>
      </c>
      <c r="E89" s="988">
        <f>E67</f>
        <v>2020</v>
      </c>
      <c r="F89" s="988"/>
      <c r="G89" s="988"/>
      <c r="H89" s="989"/>
      <c r="I89" s="1341"/>
      <c r="J89" s="987" t="s">
        <v>132</v>
      </c>
      <c r="K89" s="988">
        <f>K67</f>
        <v>2023</v>
      </c>
      <c r="L89" s="988">
        <f>L67</f>
        <v>2022</v>
      </c>
      <c r="M89" s="988">
        <f>M67</f>
        <v>2020</v>
      </c>
      <c r="N89" s="988"/>
      <c r="O89" s="988"/>
      <c r="P89" s="989"/>
      <c r="Q89" s="1341"/>
      <c r="R89" s="987" t="s">
        <v>132</v>
      </c>
      <c r="S89" s="988">
        <f>S67</f>
        <v>2019</v>
      </c>
      <c r="T89" s="990">
        <f>T67</f>
        <v>2022</v>
      </c>
      <c r="U89" s="990">
        <f>U67</f>
        <v>2020</v>
      </c>
      <c r="V89" s="988"/>
      <c r="W89" s="988"/>
    </row>
    <row r="90" spans="1:24" ht="12.75" customHeight="1">
      <c r="A90" s="1341"/>
      <c r="B90" s="1001">
        <v>0.01</v>
      </c>
      <c r="C90" s="1008">
        <v>0</v>
      </c>
      <c r="D90" s="1009">
        <v>0</v>
      </c>
      <c r="E90" s="1009">
        <v>9.9999999999999995E-7</v>
      </c>
      <c r="F90" s="994">
        <f t="shared" ref="F90:F93" si="64">0.5*(MAX(C90:E90)-MIN(C90:E90))</f>
        <v>4.9999999999999998E-7</v>
      </c>
      <c r="G90" s="1001">
        <f>B90*$H$90</f>
        <v>1.2E-4</v>
      </c>
      <c r="H90" s="989">
        <f>1.2/100</f>
        <v>1.2E-2</v>
      </c>
      <c r="I90" s="1341"/>
      <c r="J90" s="1001">
        <v>0.01</v>
      </c>
      <c r="K90" s="1001">
        <v>9.9999999999999995E-7</v>
      </c>
      <c r="L90" s="1002">
        <v>9.9999999999999995E-7</v>
      </c>
      <c r="M90" s="1002">
        <v>9.9999999999999995E-7</v>
      </c>
      <c r="N90" s="994">
        <f t="shared" ref="N90:N93" si="65">0.5*(MAX(K90:M90)-MIN(K90:M90))</f>
        <v>0</v>
      </c>
      <c r="O90" s="1001">
        <f>J90*$P$90</f>
        <v>1.2E-4</v>
      </c>
      <c r="P90" s="989">
        <f>1.2/100</f>
        <v>1.2E-2</v>
      </c>
      <c r="Q90" s="1341"/>
      <c r="R90" s="1001">
        <v>0.01</v>
      </c>
      <c r="S90" s="1001">
        <v>9.9999999999999995E-7</v>
      </c>
      <c r="T90" s="1009">
        <v>-1E-3</v>
      </c>
      <c r="U90" s="1009">
        <v>-1E-3</v>
      </c>
      <c r="V90" s="994">
        <f t="shared" ref="V90:V93" si="66">0.5*(MAX(S90:U90)-MIN(S90:U90))</f>
        <v>5.0049999999999997E-4</v>
      </c>
      <c r="W90" s="1001">
        <f>R90*$X$90</f>
        <v>1.2E-4</v>
      </c>
      <c r="X90" s="983">
        <f>1.2/100</f>
        <v>1.2E-2</v>
      </c>
    </row>
    <row r="91" spans="1:24" ht="12.75" customHeight="1">
      <c r="A91" s="1341"/>
      <c r="B91" s="1001">
        <v>0.1</v>
      </c>
      <c r="C91" s="1008">
        <v>8.0000000000000002E-3</v>
      </c>
      <c r="D91" s="1009">
        <v>3.0000000000000001E-3</v>
      </c>
      <c r="E91" s="1009">
        <v>9.9999999999999995E-7</v>
      </c>
      <c r="F91" s="994">
        <f t="shared" si="64"/>
        <v>3.9995000000000005E-3</v>
      </c>
      <c r="G91" s="1001">
        <f t="shared" ref="G91:G93" si="67">B91*$H$90</f>
        <v>1.2000000000000001E-3</v>
      </c>
      <c r="H91" s="989"/>
      <c r="I91" s="1341"/>
      <c r="J91" s="1001">
        <v>0.1</v>
      </c>
      <c r="K91" s="1001">
        <v>1E-3</v>
      </c>
      <c r="L91" s="1002">
        <v>-2E-3</v>
      </c>
      <c r="M91" s="1002">
        <v>1E-3</v>
      </c>
      <c r="N91" s="994">
        <f t="shared" si="65"/>
        <v>1.5E-3</v>
      </c>
      <c r="O91" s="1001">
        <f t="shared" ref="O91:O93" si="68">J91*$P$90</f>
        <v>1.2000000000000001E-3</v>
      </c>
      <c r="P91" s="989"/>
      <c r="Q91" s="1341"/>
      <c r="R91" s="1001">
        <v>0.1</v>
      </c>
      <c r="S91" s="1001">
        <v>9.9999999999999995E-7</v>
      </c>
      <c r="T91" s="1009">
        <v>4.0000000000000001E-3</v>
      </c>
      <c r="U91" s="1009">
        <v>-3.0000000000000001E-3</v>
      </c>
      <c r="V91" s="994">
        <f t="shared" si="66"/>
        <v>3.5000000000000001E-3</v>
      </c>
      <c r="W91" s="1001">
        <f t="shared" ref="W91:W93" si="69">R91*$X$90</f>
        <v>1.2000000000000001E-3</v>
      </c>
    </row>
    <row r="92" spans="1:24" ht="12.75" customHeight="1">
      <c r="A92" s="1341"/>
      <c r="B92" s="1001">
        <v>1</v>
      </c>
      <c r="C92" s="1008">
        <v>-6.0000000000000001E-3</v>
      </c>
      <c r="D92" s="1009">
        <v>2E-3</v>
      </c>
      <c r="E92" s="1009">
        <v>-2E-3</v>
      </c>
      <c r="F92" s="994">
        <f t="shared" si="64"/>
        <v>4.0000000000000001E-3</v>
      </c>
      <c r="G92" s="1001">
        <f t="shared" si="67"/>
        <v>1.2E-2</v>
      </c>
      <c r="H92" s="989"/>
      <c r="I92" s="1341"/>
      <c r="J92" s="1001">
        <v>1</v>
      </c>
      <c r="K92" s="1001">
        <v>-5.0000000000000001E-3</v>
      </c>
      <c r="L92" s="1002">
        <v>-1E-3</v>
      </c>
      <c r="M92" s="1002">
        <v>9.9999999999999995E-7</v>
      </c>
      <c r="N92" s="994">
        <f t="shared" si="65"/>
        <v>2.5005000000000001E-3</v>
      </c>
      <c r="O92" s="1001">
        <f t="shared" si="68"/>
        <v>1.2E-2</v>
      </c>
      <c r="P92" s="989"/>
      <c r="Q92" s="1341"/>
      <c r="R92" s="1001">
        <v>1</v>
      </c>
      <c r="S92" s="1001">
        <v>9.9999999999999995E-7</v>
      </c>
      <c r="T92" s="1009">
        <v>5.0000000000000001E-3</v>
      </c>
      <c r="U92" s="1009">
        <v>1E-3</v>
      </c>
      <c r="V92" s="994">
        <f t="shared" si="66"/>
        <v>2.4995E-3</v>
      </c>
      <c r="W92" s="1001">
        <f t="shared" si="69"/>
        <v>1.2E-2</v>
      </c>
    </row>
    <row r="93" spans="1:24" ht="12.75" customHeight="1">
      <c r="A93" s="1342"/>
      <c r="B93" s="1001">
        <v>2</v>
      </c>
      <c r="C93" s="1008">
        <v>-8.0000000000000002E-3</v>
      </c>
      <c r="D93" s="1009">
        <v>-1E-3</v>
      </c>
      <c r="E93" s="1009">
        <v>9.9999999999999995E-7</v>
      </c>
      <c r="F93" s="994">
        <f t="shared" si="64"/>
        <v>4.0004999999999997E-3</v>
      </c>
      <c r="G93" s="1001">
        <f t="shared" si="67"/>
        <v>2.4E-2</v>
      </c>
      <c r="H93" s="989"/>
      <c r="I93" s="1342"/>
      <c r="J93" s="1001">
        <v>2</v>
      </c>
      <c r="K93" s="1001">
        <v>-3.0000000000000001E-3</v>
      </c>
      <c r="L93" s="1002">
        <v>-6.0000000000000001E-3</v>
      </c>
      <c r="M93" s="1002">
        <v>9.9999999999999995E-7</v>
      </c>
      <c r="N93" s="994">
        <f t="shared" si="65"/>
        <v>3.0005000000000001E-3</v>
      </c>
      <c r="O93" s="1001">
        <f t="shared" si="68"/>
        <v>2.4E-2</v>
      </c>
      <c r="P93" s="989"/>
      <c r="Q93" s="1342"/>
      <c r="R93" s="1001">
        <v>2</v>
      </c>
      <c r="S93" s="1001">
        <v>9.9999999999999995E-7</v>
      </c>
      <c r="T93" s="1009">
        <v>5.0000000000000001E-3</v>
      </c>
      <c r="U93" s="1009">
        <v>-1E-3</v>
      </c>
      <c r="V93" s="994">
        <f t="shared" si="66"/>
        <v>3.0000000000000001E-3</v>
      </c>
      <c r="W93" s="1001">
        <f t="shared" si="69"/>
        <v>2.4E-2</v>
      </c>
    </row>
    <row r="94" spans="1:24" s="249" customFormat="1" ht="15.5">
      <c r="A94" s="1026"/>
      <c r="B94" s="1027"/>
      <c r="C94" s="1028"/>
      <c r="E94" s="1028"/>
      <c r="F94" s="1028"/>
      <c r="G94" s="1028"/>
      <c r="H94" s="1015"/>
      <c r="I94" s="967"/>
      <c r="J94" s="1029"/>
      <c r="K94" s="1028"/>
      <c r="M94" s="1028"/>
      <c r="N94" s="1028"/>
      <c r="O94" s="1028"/>
      <c r="P94" s="1015"/>
      <c r="Q94" s="967"/>
      <c r="R94" s="1027"/>
      <c r="S94" s="1028"/>
      <c r="U94" s="722"/>
      <c r="V94" s="722"/>
      <c r="W94" s="1016"/>
      <c r="X94" s="1017"/>
    </row>
    <row r="95" spans="1:24" ht="30" customHeight="1">
      <c r="A95" s="1340">
        <v>10</v>
      </c>
      <c r="B95" s="1351" t="str">
        <f>A176</f>
        <v>Electrical Safety Analyzer, Merek : Fluke, Model : ESA 615, SN : 5838068</v>
      </c>
      <c r="C95" s="1351"/>
      <c r="D95" s="1351"/>
      <c r="E95" s="1351"/>
      <c r="F95" s="1351"/>
      <c r="G95" s="1351"/>
      <c r="H95" s="984"/>
      <c r="I95" s="1340">
        <v>11</v>
      </c>
      <c r="J95" s="1356" t="str">
        <f>A177</f>
        <v>Electrical Safety Analyzer 11</v>
      </c>
      <c r="K95" s="1356"/>
      <c r="L95" s="1356"/>
      <c r="M95" s="1356"/>
      <c r="N95" s="1356"/>
      <c r="O95" s="1356"/>
      <c r="P95" s="984"/>
      <c r="Q95" s="1340">
        <v>12</v>
      </c>
      <c r="R95" s="1356" t="str">
        <f>A178</f>
        <v>Electrical Safety Analyzer 12</v>
      </c>
      <c r="S95" s="1356"/>
      <c r="T95" s="1356"/>
      <c r="U95" s="1356"/>
      <c r="V95" s="1356"/>
      <c r="W95" s="1356"/>
    </row>
    <row r="96" spans="1:24" ht="15" customHeight="1">
      <c r="A96" s="1341"/>
      <c r="B96" s="1352" t="s">
        <v>118</v>
      </c>
      <c r="C96" s="1352"/>
      <c r="D96" s="1352"/>
      <c r="E96" s="1352"/>
      <c r="F96" s="1019"/>
      <c r="G96" s="1019"/>
      <c r="H96" s="986"/>
      <c r="I96" s="1341"/>
      <c r="J96" s="1344" t="s">
        <v>118</v>
      </c>
      <c r="K96" s="1344"/>
      <c r="L96" s="1344"/>
      <c r="M96" s="1344"/>
      <c r="N96" s="1020"/>
      <c r="O96" s="1020"/>
      <c r="P96" s="986"/>
      <c r="Q96" s="1341"/>
      <c r="R96" s="1352" t="s">
        <v>118</v>
      </c>
      <c r="S96" s="1352"/>
      <c r="T96" s="1352"/>
      <c r="U96" s="1352"/>
      <c r="V96" s="1020"/>
      <c r="W96" s="1020"/>
    </row>
    <row r="97" spans="1:23" ht="12.75" customHeight="1">
      <c r="A97" s="1341"/>
      <c r="B97" s="1345" t="s">
        <v>119</v>
      </c>
      <c r="C97" s="1346"/>
      <c r="D97" s="1346"/>
      <c r="E97" s="1347"/>
      <c r="F97" s="988" t="s">
        <v>120</v>
      </c>
      <c r="G97" s="988" t="s">
        <v>77</v>
      </c>
      <c r="H97" s="989"/>
      <c r="I97" s="1341"/>
      <c r="J97" s="1357" t="s">
        <v>119</v>
      </c>
      <c r="K97" s="1358"/>
      <c r="L97" s="1358"/>
      <c r="M97" s="1359"/>
      <c r="N97" s="988" t="s">
        <v>120</v>
      </c>
      <c r="O97" s="988" t="s">
        <v>77</v>
      </c>
      <c r="P97" s="989"/>
      <c r="Q97" s="1341"/>
      <c r="R97" s="1345" t="s">
        <v>119</v>
      </c>
      <c r="S97" s="1346"/>
      <c r="T97" s="1346"/>
      <c r="U97" s="1347"/>
      <c r="V97" s="988" t="s">
        <v>120</v>
      </c>
      <c r="W97" s="988" t="s">
        <v>77</v>
      </c>
    </row>
    <row r="98" spans="1:23" ht="15" customHeight="1">
      <c r="A98" s="1341"/>
      <c r="B98" s="987" t="s">
        <v>122</v>
      </c>
      <c r="C98" s="988">
        <v>2023</v>
      </c>
      <c r="D98" s="988">
        <v>2024</v>
      </c>
      <c r="E98" s="988">
        <v>2025</v>
      </c>
      <c r="F98" s="988"/>
      <c r="G98" s="988"/>
      <c r="H98" s="989"/>
      <c r="I98" s="1341"/>
      <c r="J98" s="987" t="s">
        <v>122</v>
      </c>
      <c r="K98" s="988">
        <v>2019</v>
      </c>
      <c r="L98" s="988">
        <v>2019</v>
      </c>
      <c r="M98" s="988">
        <v>2020</v>
      </c>
      <c r="N98" s="988"/>
      <c r="O98" s="988"/>
      <c r="P98" s="989"/>
      <c r="Q98" s="1341"/>
      <c r="R98" s="987" t="s">
        <v>122</v>
      </c>
      <c r="S98" s="988">
        <v>2019</v>
      </c>
      <c r="T98" s="988">
        <v>2019</v>
      </c>
      <c r="U98" s="988">
        <v>2020</v>
      </c>
      <c r="V98" s="988"/>
      <c r="W98" s="988"/>
    </row>
    <row r="99" spans="1:23" ht="12.75" customHeight="1">
      <c r="A99" s="1341"/>
      <c r="B99" s="992">
        <v>150</v>
      </c>
      <c r="C99" s="1032">
        <v>9.9999999999999995E-8</v>
      </c>
      <c r="D99" s="1032">
        <v>9.9999999999999995E-8</v>
      </c>
      <c r="E99" s="1032">
        <v>9.9999999999999995E-8</v>
      </c>
      <c r="F99" s="994">
        <f t="shared" ref="F99:F104" si="70">0.5*(MAX(C99:E99)-MIN(C99:E99))</f>
        <v>0</v>
      </c>
      <c r="G99" s="1000">
        <v>1.2</v>
      </c>
      <c r="H99" s="989"/>
      <c r="I99" s="1341"/>
      <c r="J99" s="992">
        <v>150</v>
      </c>
      <c r="K99" s="995">
        <v>9.9999999999999995E-7</v>
      </c>
      <c r="L99" s="995">
        <v>9.9999999999999995E-7</v>
      </c>
      <c r="M99" s="1032">
        <v>-0.17</v>
      </c>
      <c r="N99" s="994">
        <f>0.5*(MAX(K99:M99)-MIN(K99:M99))</f>
        <v>8.5000500000000007E-2</v>
      </c>
      <c r="O99" s="1032">
        <v>1.2</v>
      </c>
      <c r="P99" s="989"/>
      <c r="Q99" s="1341"/>
      <c r="R99" s="992">
        <v>150</v>
      </c>
      <c r="S99" s="995">
        <v>9.9999999999999995E-7</v>
      </c>
      <c r="T99" s="995">
        <v>9.9999999999999995E-7</v>
      </c>
      <c r="U99" s="1032">
        <v>-0.24</v>
      </c>
      <c r="V99" s="994">
        <f t="shared" ref="V99:V104" si="71">0.5*(MAX(S99:U99)-MIN(S99:U99))</f>
        <v>0.1200005</v>
      </c>
      <c r="W99" s="1032">
        <v>1.2</v>
      </c>
    </row>
    <row r="100" spans="1:23" ht="12.75" customHeight="1">
      <c r="A100" s="1341"/>
      <c r="B100" s="992">
        <v>180</v>
      </c>
      <c r="C100" s="1032">
        <v>9.9999999999999995E-8</v>
      </c>
      <c r="D100" s="1032">
        <v>9.9999999999999995E-8</v>
      </c>
      <c r="E100" s="1032">
        <v>9.9999999999999995E-8</v>
      </c>
      <c r="F100" s="994">
        <f t="shared" si="70"/>
        <v>0</v>
      </c>
      <c r="G100" s="1000">
        <v>1.2</v>
      </c>
      <c r="H100" s="989"/>
      <c r="I100" s="1341"/>
      <c r="J100" s="992">
        <v>180</v>
      </c>
      <c r="K100" s="995">
        <v>9.9999999999999995E-7</v>
      </c>
      <c r="L100" s="995">
        <v>9.9999999999999995E-7</v>
      </c>
      <c r="M100" s="1007">
        <v>-0.22</v>
      </c>
      <c r="N100" s="994">
        <f t="shared" ref="N100:N104" si="72">0.5*(MAX(K100:M100)-MIN(K100:M100))</f>
        <v>0.1100005</v>
      </c>
      <c r="O100" s="1032">
        <v>1.2</v>
      </c>
      <c r="P100" s="989"/>
      <c r="Q100" s="1341"/>
      <c r="R100" s="992">
        <v>180</v>
      </c>
      <c r="S100" s="995">
        <v>9.9999999999999995E-7</v>
      </c>
      <c r="T100" s="995">
        <v>9.9999999999999995E-7</v>
      </c>
      <c r="U100" s="1007">
        <v>-0.14000000000000001</v>
      </c>
      <c r="V100" s="994">
        <f t="shared" si="71"/>
        <v>7.0000500000000007E-2</v>
      </c>
      <c r="W100" s="1032">
        <v>1.2</v>
      </c>
    </row>
    <row r="101" spans="1:23" ht="12.75" customHeight="1">
      <c r="A101" s="1341"/>
      <c r="B101" s="992">
        <v>200</v>
      </c>
      <c r="C101" s="1032">
        <v>9.9999999999999995E-8</v>
      </c>
      <c r="D101" s="1032">
        <v>9.9999999999999995E-8</v>
      </c>
      <c r="E101" s="1032">
        <v>9.9999999999999995E-8</v>
      </c>
      <c r="F101" s="994">
        <f t="shared" si="70"/>
        <v>0</v>
      </c>
      <c r="G101" s="1000">
        <v>1.2</v>
      </c>
      <c r="H101" s="989"/>
      <c r="I101" s="1341"/>
      <c r="J101" s="992">
        <v>200</v>
      </c>
      <c r="K101" s="995">
        <v>9.9999999999999995E-7</v>
      </c>
      <c r="L101" s="995">
        <v>9.9999999999999995E-7</v>
      </c>
      <c r="M101" s="1007">
        <v>-0.33</v>
      </c>
      <c r="N101" s="994">
        <f t="shared" si="72"/>
        <v>0.16500049999999999</v>
      </c>
      <c r="O101" s="1032">
        <v>1.2</v>
      </c>
      <c r="P101" s="989"/>
      <c r="Q101" s="1341"/>
      <c r="R101" s="992">
        <v>200</v>
      </c>
      <c r="S101" s="995">
        <v>9.9999999999999995E-7</v>
      </c>
      <c r="T101" s="995">
        <v>9.9999999999999995E-7</v>
      </c>
      <c r="U101" s="1007">
        <v>-0.33</v>
      </c>
      <c r="V101" s="994">
        <f t="shared" si="71"/>
        <v>0.16500049999999999</v>
      </c>
      <c r="W101" s="1032">
        <v>1.2</v>
      </c>
    </row>
    <row r="102" spans="1:23" ht="12.75" customHeight="1">
      <c r="A102" s="1341"/>
      <c r="B102" s="992">
        <v>220</v>
      </c>
      <c r="C102" s="1032">
        <v>9.9999999999999995E-8</v>
      </c>
      <c r="D102" s="1032">
        <v>9.9999999999999995E-8</v>
      </c>
      <c r="E102" s="1032">
        <v>9.9999999999999995E-8</v>
      </c>
      <c r="F102" s="994">
        <f t="shared" si="70"/>
        <v>0</v>
      </c>
      <c r="G102" s="1000">
        <v>1.2</v>
      </c>
      <c r="H102" s="989"/>
      <c r="I102" s="1341"/>
      <c r="J102" s="992">
        <v>220</v>
      </c>
      <c r="K102" s="995">
        <v>9.9999999999999995E-7</v>
      </c>
      <c r="L102" s="995">
        <v>9.9999999999999995E-7</v>
      </c>
      <c r="M102" s="1007">
        <v>-0.39</v>
      </c>
      <c r="N102" s="994">
        <f t="shared" si="72"/>
        <v>0.19500049999999999</v>
      </c>
      <c r="O102" s="1032">
        <v>1.2</v>
      </c>
      <c r="P102" s="989"/>
      <c r="Q102" s="1341"/>
      <c r="R102" s="992">
        <v>220</v>
      </c>
      <c r="S102" s="995">
        <v>9.9999999999999995E-7</v>
      </c>
      <c r="T102" s="995">
        <v>9.9999999999999995E-7</v>
      </c>
      <c r="U102" s="1007">
        <v>-0.45</v>
      </c>
      <c r="V102" s="994">
        <f t="shared" si="71"/>
        <v>0.22500049999999999</v>
      </c>
      <c r="W102" s="1032">
        <v>1.2</v>
      </c>
    </row>
    <row r="103" spans="1:23" ht="12.75" customHeight="1">
      <c r="A103" s="1341"/>
      <c r="B103" s="992">
        <v>230</v>
      </c>
      <c r="C103" s="1032">
        <v>9.9999999999999995E-8</v>
      </c>
      <c r="D103" s="1032">
        <v>9.9999999999999995E-8</v>
      </c>
      <c r="E103" s="1032">
        <v>9.9999999999999995E-8</v>
      </c>
      <c r="F103" s="994">
        <f t="shared" si="70"/>
        <v>0</v>
      </c>
      <c r="G103" s="1000">
        <v>1.2</v>
      </c>
      <c r="H103" s="989"/>
      <c r="I103" s="1341"/>
      <c r="J103" s="992">
        <v>230</v>
      </c>
      <c r="K103" s="995">
        <v>9.9999999999999995E-7</v>
      </c>
      <c r="L103" s="995">
        <v>9.9999999999999995E-7</v>
      </c>
      <c r="M103" s="1007">
        <v>-0.39</v>
      </c>
      <c r="N103" s="994">
        <f t="shared" si="72"/>
        <v>0.19500049999999999</v>
      </c>
      <c r="O103" s="1032">
        <v>1.2</v>
      </c>
      <c r="P103" s="989"/>
      <c r="Q103" s="1341"/>
      <c r="R103" s="992">
        <v>230</v>
      </c>
      <c r="S103" s="995">
        <v>9.9999999999999995E-7</v>
      </c>
      <c r="T103" s="995">
        <v>9.9999999999999995E-7</v>
      </c>
      <c r="U103" s="1007">
        <v>-0.54</v>
      </c>
      <c r="V103" s="994">
        <f t="shared" si="71"/>
        <v>0.27000050000000003</v>
      </c>
      <c r="W103" s="1032">
        <v>1.2</v>
      </c>
    </row>
    <row r="104" spans="1:23" ht="12.75" customHeight="1">
      <c r="A104" s="1341"/>
      <c r="B104" s="992">
        <v>250</v>
      </c>
      <c r="C104" s="1032">
        <v>9.9999999999999995E-8</v>
      </c>
      <c r="D104" s="1032">
        <v>9.9999999999999995E-8</v>
      </c>
      <c r="E104" s="1032">
        <v>9.9999999999999995E-8</v>
      </c>
      <c r="F104" s="994">
        <f t="shared" si="70"/>
        <v>0</v>
      </c>
      <c r="G104" s="1000">
        <v>1.2</v>
      </c>
      <c r="H104" s="989"/>
      <c r="I104" s="1341"/>
      <c r="J104" s="992">
        <v>250</v>
      </c>
      <c r="K104" s="995">
        <v>9.9999999999999995E-7</v>
      </c>
      <c r="L104" s="995">
        <v>9.9999999999999995E-7</v>
      </c>
      <c r="M104" s="1002">
        <v>9.9999999999999995E-7</v>
      </c>
      <c r="N104" s="994">
        <f t="shared" si="72"/>
        <v>0</v>
      </c>
      <c r="O104" s="1032">
        <v>1.2</v>
      </c>
      <c r="P104" s="989"/>
      <c r="Q104" s="1341"/>
      <c r="R104" s="992">
        <v>250</v>
      </c>
      <c r="S104" s="995">
        <v>9.9999999999999995E-7</v>
      </c>
      <c r="T104" s="995">
        <v>9.9999999999999995E-7</v>
      </c>
      <c r="U104" s="1002">
        <v>9.9999999999999995E-7</v>
      </c>
      <c r="V104" s="994">
        <f t="shared" si="71"/>
        <v>0</v>
      </c>
      <c r="W104" s="1032">
        <v>1.2</v>
      </c>
    </row>
    <row r="105" spans="1:23" ht="12.75" customHeight="1">
      <c r="A105" s="1341"/>
      <c r="B105" s="1348" t="s">
        <v>125</v>
      </c>
      <c r="C105" s="1349"/>
      <c r="D105" s="1349"/>
      <c r="E105" s="1350"/>
      <c r="F105" s="988" t="s">
        <v>120</v>
      </c>
      <c r="G105" s="988" t="s">
        <v>77</v>
      </c>
      <c r="H105" s="989"/>
      <c r="I105" s="1341"/>
      <c r="J105" s="1348" t="s">
        <v>125</v>
      </c>
      <c r="K105" s="1349"/>
      <c r="L105" s="1349"/>
      <c r="M105" s="1350"/>
      <c r="N105" s="988" t="s">
        <v>120</v>
      </c>
      <c r="O105" s="988" t="s">
        <v>77</v>
      </c>
      <c r="P105" s="989"/>
      <c r="Q105" s="1341"/>
      <c r="R105" s="1348" t="s">
        <v>125</v>
      </c>
      <c r="S105" s="1349"/>
      <c r="T105" s="1349"/>
      <c r="U105" s="1350"/>
      <c r="V105" s="988" t="s">
        <v>120</v>
      </c>
      <c r="W105" s="988" t="s">
        <v>77</v>
      </c>
    </row>
    <row r="106" spans="1:23" ht="15" customHeight="1">
      <c r="A106" s="1341"/>
      <c r="B106" s="987" t="s">
        <v>127</v>
      </c>
      <c r="C106" s="988">
        <f>C98</f>
        <v>2023</v>
      </c>
      <c r="D106" s="988">
        <f>D98</f>
        <v>2024</v>
      </c>
      <c r="E106" s="988">
        <f>E98</f>
        <v>2025</v>
      </c>
      <c r="F106" s="988"/>
      <c r="G106" s="988"/>
      <c r="H106" s="989"/>
      <c r="I106" s="1341"/>
      <c r="J106" s="987" t="s">
        <v>127</v>
      </c>
      <c r="K106" s="988">
        <f>K98</f>
        <v>2019</v>
      </c>
      <c r="L106" s="988">
        <f>L98</f>
        <v>2019</v>
      </c>
      <c r="M106" s="988">
        <f>M98</f>
        <v>2020</v>
      </c>
      <c r="N106" s="988"/>
      <c r="O106" s="988"/>
      <c r="P106" s="989"/>
      <c r="Q106" s="1341"/>
      <c r="R106" s="987" t="s">
        <v>127</v>
      </c>
      <c r="S106" s="988">
        <f>S98</f>
        <v>2019</v>
      </c>
      <c r="T106" s="988">
        <f>T98</f>
        <v>2019</v>
      </c>
      <c r="U106" s="988">
        <f>U98</f>
        <v>2020</v>
      </c>
      <c r="V106" s="988"/>
      <c r="W106" s="988"/>
    </row>
    <row r="107" spans="1:23" ht="12.75" customHeight="1">
      <c r="A107" s="1341"/>
      <c r="B107" s="999">
        <v>9.9999999999999995E-7</v>
      </c>
      <c r="C107" s="1032">
        <v>9.9999999999999995E-8</v>
      </c>
      <c r="D107" s="1032">
        <v>9.9999999999999995E-8</v>
      </c>
      <c r="E107" s="1032">
        <v>9.9999999999999995E-8</v>
      </c>
      <c r="F107" s="994">
        <f t="shared" ref="F107:F112" si="73">0.5*(MAX(C107:E107)-MIN(C107:E107))</f>
        <v>0</v>
      </c>
      <c r="G107" s="1005">
        <v>0.59</v>
      </c>
      <c r="H107" s="989"/>
      <c r="I107" s="1341"/>
      <c r="J107" s="1006">
        <v>9.9999999999999995E-7</v>
      </c>
      <c r="K107" s="999">
        <v>9.9999999999999995E-7</v>
      </c>
      <c r="L107" s="999">
        <v>9.9999999999999995E-7</v>
      </c>
      <c r="M107" s="1002">
        <v>9.9999999999999995E-7</v>
      </c>
      <c r="N107" s="994">
        <f t="shared" ref="N107:N112" si="74">0.5*(MAX(K107:M107)-MIN(K107:M107))</f>
        <v>0</v>
      </c>
      <c r="O107" s="1004">
        <v>0.59</v>
      </c>
      <c r="P107" s="989"/>
      <c r="Q107" s="1341"/>
      <c r="R107" s="1006">
        <v>9.9999999999999995E-7</v>
      </c>
      <c r="S107" s="999">
        <v>9.9999999999999995E-7</v>
      </c>
      <c r="T107" s="999">
        <v>9.9999999999999995E-7</v>
      </c>
      <c r="U107" s="1002">
        <v>9.9999999999999995E-7</v>
      </c>
      <c r="V107" s="994">
        <f t="shared" ref="V107:V112" si="75">0.5*(MAX(S107:U107)-MIN(S107:U107))</f>
        <v>0</v>
      </c>
      <c r="W107" s="1004">
        <v>0.59</v>
      </c>
    </row>
    <row r="108" spans="1:23" ht="12.75" customHeight="1">
      <c r="A108" s="1341"/>
      <c r="B108" s="1001">
        <v>50</v>
      </c>
      <c r="C108" s="1032">
        <v>9.9999999999999995E-8</v>
      </c>
      <c r="D108" s="1032">
        <v>9.9999999999999995E-8</v>
      </c>
      <c r="E108" s="1032">
        <v>9.9999999999999995E-8</v>
      </c>
      <c r="F108" s="994">
        <f t="shared" si="73"/>
        <v>0</v>
      </c>
      <c r="G108" s="1005">
        <v>0.59</v>
      </c>
      <c r="H108" s="989"/>
      <c r="I108" s="1341"/>
      <c r="J108" s="1001">
        <v>50</v>
      </c>
      <c r="K108" s="999">
        <v>9.9999999999999995E-7</v>
      </c>
      <c r="L108" s="999">
        <v>9.9999999999999995E-7</v>
      </c>
      <c r="M108" s="1007">
        <v>1.7</v>
      </c>
      <c r="N108" s="994">
        <f t="shared" si="74"/>
        <v>0.84999950000000002</v>
      </c>
      <c r="O108" s="1004">
        <v>0.59</v>
      </c>
      <c r="P108" s="989"/>
      <c r="Q108" s="1341"/>
      <c r="R108" s="1001">
        <v>50</v>
      </c>
      <c r="S108" s="999">
        <v>9.9999999999999995E-7</v>
      </c>
      <c r="T108" s="999">
        <v>9.9999999999999995E-7</v>
      </c>
      <c r="U108" s="1007">
        <v>2.1</v>
      </c>
      <c r="V108" s="994">
        <f t="shared" si="75"/>
        <v>1.0499995</v>
      </c>
      <c r="W108" s="1007">
        <v>0.59</v>
      </c>
    </row>
    <row r="109" spans="1:23" ht="12.75" customHeight="1">
      <c r="A109" s="1341"/>
      <c r="B109" s="1001">
        <v>100</v>
      </c>
      <c r="C109" s="1032">
        <v>9.9999999999999995E-8</v>
      </c>
      <c r="D109" s="1032">
        <v>9.9999999999999995E-8</v>
      </c>
      <c r="E109" s="1032">
        <v>9.9999999999999995E-8</v>
      </c>
      <c r="F109" s="994">
        <f t="shared" si="73"/>
        <v>0</v>
      </c>
      <c r="G109" s="1005">
        <v>0.59</v>
      </c>
      <c r="H109" s="989"/>
      <c r="I109" s="1341"/>
      <c r="J109" s="1001">
        <v>100</v>
      </c>
      <c r="K109" s="999">
        <v>9.9999999999999995E-7</v>
      </c>
      <c r="L109" s="999">
        <v>9.9999999999999995E-7</v>
      </c>
      <c r="M109" s="1007">
        <v>3.4</v>
      </c>
      <c r="N109" s="994">
        <f t="shared" si="74"/>
        <v>1.6999994999999999</v>
      </c>
      <c r="O109" s="1004">
        <v>0.59</v>
      </c>
      <c r="P109" s="989"/>
      <c r="Q109" s="1341"/>
      <c r="R109" s="1001">
        <v>100</v>
      </c>
      <c r="S109" s="999">
        <v>9.9999999999999995E-7</v>
      </c>
      <c r="T109" s="999">
        <v>9.9999999999999995E-7</v>
      </c>
      <c r="U109" s="1007">
        <v>3.7</v>
      </c>
      <c r="V109" s="994">
        <f t="shared" si="75"/>
        <v>1.8499995</v>
      </c>
      <c r="W109" s="1007">
        <v>0.59</v>
      </c>
    </row>
    <row r="110" spans="1:23" ht="12.75" customHeight="1">
      <c r="A110" s="1341"/>
      <c r="B110" s="1001">
        <v>200</v>
      </c>
      <c r="C110" s="1032">
        <v>9.9999999999999995E-8</v>
      </c>
      <c r="D110" s="1032">
        <v>9.9999999999999995E-8</v>
      </c>
      <c r="E110" s="1032">
        <v>9.9999999999999995E-8</v>
      </c>
      <c r="F110" s="994">
        <f t="shared" si="73"/>
        <v>0</v>
      </c>
      <c r="G110" s="1005">
        <v>0.59</v>
      </c>
      <c r="H110" s="989"/>
      <c r="I110" s="1341"/>
      <c r="J110" s="1001">
        <v>500</v>
      </c>
      <c r="K110" s="999">
        <v>9.9999999999999995E-7</v>
      </c>
      <c r="L110" s="999">
        <v>9.9999999999999995E-7</v>
      </c>
      <c r="M110" s="1007">
        <v>7.2</v>
      </c>
      <c r="N110" s="994">
        <f t="shared" si="74"/>
        <v>3.5999995</v>
      </c>
      <c r="O110" s="1004">
        <v>0.59</v>
      </c>
      <c r="P110" s="989"/>
      <c r="Q110" s="1341"/>
      <c r="R110" s="1001">
        <v>500</v>
      </c>
      <c r="S110" s="999">
        <v>9.9999999999999995E-7</v>
      </c>
      <c r="T110" s="999">
        <v>9.9999999999999995E-7</v>
      </c>
      <c r="U110" s="1007">
        <v>8.3000000000000007</v>
      </c>
      <c r="V110" s="994">
        <f t="shared" si="75"/>
        <v>4.1499995000000007</v>
      </c>
      <c r="W110" s="1007">
        <v>0.59</v>
      </c>
    </row>
    <row r="111" spans="1:23" ht="12.75" customHeight="1">
      <c r="A111" s="1341"/>
      <c r="B111" s="1001">
        <v>500</v>
      </c>
      <c r="C111" s="1032">
        <v>9.9999999999999995E-8</v>
      </c>
      <c r="D111" s="1032">
        <v>9.9999999999999995E-8</v>
      </c>
      <c r="E111" s="1032">
        <v>9.9999999999999995E-8</v>
      </c>
      <c r="F111" s="994">
        <f t="shared" si="73"/>
        <v>0</v>
      </c>
      <c r="G111" s="1005">
        <v>0.59</v>
      </c>
      <c r="H111" s="989"/>
      <c r="I111" s="1341"/>
      <c r="J111" s="1001">
        <v>500</v>
      </c>
      <c r="K111" s="999">
        <v>9.9999999999999995E-7</v>
      </c>
      <c r="L111" s="999">
        <v>9.9999999999999995E-7</v>
      </c>
      <c r="M111" s="1007">
        <v>7.2</v>
      </c>
      <c r="N111" s="994">
        <f t="shared" si="74"/>
        <v>3.5999995</v>
      </c>
      <c r="O111" s="1004">
        <v>0.59</v>
      </c>
      <c r="P111" s="989"/>
      <c r="Q111" s="1341"/>
      <c r="R111" s="1001">
        <v>500</v>
      </c>
      <c r="S111" s="999">
        <v>9.9999999999999995E-7</v>
      </c>
      <c r="T111" s="999">
        <v>9.9999999999999995E-7</v>
      </c>
      <c r="U111" s="1007">
        <v>8.3000000000000007</v>
      </c>
      <c r="V111" s="994">
        <f t="shared" si="75"/>
        <v>4.1499995000000007</v>
      </c>
      <c r="W111" s="1007">
        <v>0.59</v>
      </c>
    </row>
    <row r="112" spans="1:23" ht="12.75" customHeight="1">
      <c r="A112" s="1341"/>
      <c r="B112" s="1001">
        <v>1000</v>
      </c>
      <c r="C112" s="1032">
        <v>9.9999999999999995E-8</v>
      </c>
      <c r="D112" s="1032">
        <v>9.9999999999999995E-8</v>
      </c>
      <c r="E112" s="1032">
        <v>9.9999999999999995E-8</v>
      </c>
      <c r="F112" s="994">
        <f t="shared" si="73"/>
        <v>0</v>
      </c>
      <c r="G112" s="1005">
        <v>0.59</v>
      </c>
      <c r="H112" s="989"/>
      <c r="I112" s="1341"/>
      <c r="J112" s="1001">
        <v>1000</v>
      </c>
      <c r="K112" s="999">
        <v>9.9999999999999995E-7</v>
      </c>
      <c r="L112" s="999">
        <v>9.9999999999999995E-7</v>
      </c>
      <c r="M112" s="1007">
        <v>80</v>
      </c>
      <c r="N112" s="994">
        <f t="shared" si="74"/>
        <v>39.999999500000001</v>
      </c>
      <c r="O112" s="1004">
        <v>0.59</v>
      </c>
      <c r="P112" s="989"/>
      <c r="Q112" s="1341"/>
      <c r="R112" s="1001">
        <v>1000</v>
      </c>
      <c r="S112" s="999">
        <v>9.9999999999999995E-7</v>
      </c>
      <c r="T112" s="999">
        <v>9.9999999999999995E-7</v>
      </c>
      <c r="U112" s="1007">
        <v>-97</v>
      </c>
      <c r="V112" s="994">
        <f t="shared" si="75"/>
        <v>48.500000499999999</v>
      </c>
      <c r="W112" s="1007">
        <v>0.59</v>
      </c>
    </row>
    <row r="113" spans="1:24" ht="12.75" customHeight="1">
      <c r="A113" s="1341"/>
      <c r="B113" s="1348" t="s">
        <v>129</v>
      </c>
      <c r="C113" s="1349"/>
      <c r="D113" s="1349"/>
      <c r="E113" s="1350"/>
      <c r="F113" s="988" t="s">
        <v>120</v>
      </c>
      <c r="G113" s="988" t="s">
        <v>77</v>
      </c>
      <c r="H113" s="989"/>
      <c r="I113" s="1341"/>
      <c r="J113" s="1348" t="s">
        <v>129</v>
      </c>
      <c r="K113" s="1349"/>
      <c r="L113" s="1349"/>
      <c r="M113" s="1350"/>
      <c r="N113" s="988" t="s">
        <v>120</v>
      </c>
      <c r="O113" s="988" t="s">
        <v>77</v>
      </c>
      <c r="P113" s="989"/>
      <c r="Q113" s="1341"/>
      <c r="R113" s="1348" t="s">
        <v>129</v>
      </c>
      <c r="S113" s="1349"/>
      <c r="T113" s="1349"/>
      <c r="U113" s="1350"/>
      <c r="V113" s="988" t="s">
        <v>120</v>
      </c>
      <c r="W113" s="988" t="s">
        <v>77</v>
      </c>
    </row>
    <row r="114" spans="1:24" ht="15" customHeight="1">
      <c r="A114" s="1341"/>
      <c r="B114" s="987" t="s">
        <v>130</v>
      </c>
      <c r="C114" s="988">
        <v>2020</v>
      </c>
      <c r="D114" s="988">
        <v>2021</v>
      </c>
      <c r="E114" s="988">
        <v>2018</v>
      </c>
      <c r="F114" s="988"/>
      <c r="G114" s="988"/>
      <c r="H114" s="989"/>
      <c r="I114" s="1341"/>
      <c r="J114" s="987" t="s">
        <v>130</v>
      </c>
      <c r="K114" s="988">
        <f>K98</f>
        <v>2019</v>
      </c>
      <c r="L114" s="988">
        <f>L98</f>
        <v>2019</v>
      </c>
      <c r="M114" s="988">
        <f>M98</f>
        <v>2020</v>
      </c>
      <c r="N114" s="988"/>
      <c r="O114" s="988"/>
      <c r="P114" s="989"/>
      <c r="Q114" s="1341"/>
      <c r="R114" s="987" t="s">
        <v>130</v>
      </c>
      <c r="S114" s="988">
        <f>S98</f>
        <v>2019</v>
      </c>
      <c r="T114" s="988">
        <f>T98</f>
        <v>2019</v>
      </c>
      <c r="U114" s="988">
        <f>U98</f>
        <v>2020</v>
      </c>
      <c r="V114" s="988"/>
      <c r="W114" s="988"/>
    </row>
    <row r="115" spans="1:24" ht="12.75" customHeight="1">
      <c r="A115" s="1341"/>
      <c r="B115" s="1001">
        <v>10</v>
      </c>
      <c r="C115" s="1032">
        <v>9.9999999999999995E-8</v>
      </c>
      <c r="D115" s="1032">
        <v>9.9999999999999995E-8</v>
      </c>
      <c r="E115" s="1032">
        <v>9.9999999999999995E-8</v>
      </c>
      <c r="F115" s="994">
        <f t="shared" ref="F115:F118" si="76">0.5*(MAX(C115:E115)-MIN(C115:E115))</f>
        <v>0</v>
      </c>
      <c r="G115" s="1006">
        <v>1.7</v>
      </c>
      <c r="H115" s="989"/>
      <c r="I115" s="1341"/>
      <c r="J115" s="1001">
        <v>10</v>
      </c>
      <c r="K115" s="999">
        <v>9.9999999999999995E-7</v>
      </c>
      <c r="L115" s="999">
        <v>9.9999999999999995E-7</v>
      </c>
      <c r="M115" s="999">
        <v>9.9999999999999995E-7</v>
      </c>
      <c r="N115" s="994">
        <f t="shared" ref="N115:N118" si="77">0.5*(MAX(K115:M115)-MIN(K115:M115))</f>
        <v>0</v>
      </c>
      <c r="O115" s="1007">
        <v>0</v>
      </c>
      <c r="P115" s="989"/>
      <c r="Q115" s="1341"/>
      <c r="R115" s="1001">
        <v>10</v>
      </c>
      <c r="S115" s="999">
        <v>9.9999999999999995E-7</v>
      </c>
      <c r="T115" s="999">
        <v>9.9999999999999995E-7</v>
      </c>
      <c r="U115" s="999">
        <v>9.9999999999999995E-7</v>
      </c>
      <c r="V115" s="994">
        <f t="shared" ref="V115:V118" si="78">0.5*(MAX(S115:U115)-MIN(S115:U115))</f>
        <v>0</v>
      </c>
      <c r="W115" s="1007">
        <v>0</v>
      </c>
    </row>
    <row r="116" spans="1:24" ht="12.75" customHeight="1">
      <c r="A116" s="1341"/>
      <c r="B116" s="1001">
        <v>20</v>
      </c>
      <c r="C116" s="1032">
        <v>9.9999999999999995E-8</v>
      </c>
      <c r="D116" s="1032">
        <v>9.9999999999999995E-8</v>
      </c>
      <c r="E116" s="1032">
        <v>9.9999999999999995E-8</v>
      </c>
      <c r="F116" s="994">
        <f t="shared" si="76"/>
        <v>0</v>
      </c>
      <c r="G116" s="1006">
        <v>1.7</v>
      </c>
      <c r="H116" s="989"/>
      <c r="I116" s="1341"/>
      <c r="J116" s="1001">
        <v>20</v>
      </c>
      <c r="K116" s="999">
        <v>9.9999999999999995E-7</v>
      </c>
      <c r="L116" s="999">
        <v>9.9999999999999995E-7</v>
      </c>
      <c r="M116" s="999">
        <v>9.9999999999999995E-7</v>
      </c>
      <c r="N116" s="994">
        <f t="shared" si="77"/>
        <v>0</v>
      </c>
      <c r="O116" s="1007">
        <v>0</v>
      </c>
      <c r="P116" s="989"/>
      <c r="Q116" s="1341"/>
      <c r="R116" s="1001">
        <v>20</v>
      </c>
      <c r="S116" s="999">
        <v>9.9999999999999995E-7</v>
      </c>
      <c r="T116" s="999">
        <v>9.9999999999999995E-7</v>
      </c>
      <c r="U116" s="999">
        <v>9.9999999999999995E-7</v>
      </c>
      <c r="V116" s="994">
        <f t="shared" si="78"/>
        <v>0</v>
      </c>
      <c r="W116" s="1007">
        <v>0</v>
      </c>
    </row>
    <row r="117" spans="1:24" ht="12.75" customHeight="1">
      <c r="A117" s="1341"/>
      <c r="B117" s="1001">
        <v>50</v>
      </c>
      <c r="C117" s="1032">
        <v>9.9999999999999995E-8</v>
      </c>
      <c r="D117" s="1032">
        <v>9.9999999999999995E-8</v>
      </c>
      <c r="E117" s="1032">
        <v>9.9999999999999995E-8</v>
      </c>
      <c r="F117" s="994">
        <f t="shared" si="76"/>
        <v>0</v>
      </c>
      <c r="G117" s="1006">
        <v>1.7</v>
      </c>
      <c r="H117" s="989"/>
      <c r="I117" s="1341"/>
      <c r="J117" s="1001">
        <v>50</v>
      </c>
      <c r="K117" s="999">
        <v>9.9999999999999995E-7</v>
      </c>
      <c r="L117" s="999">
        <v>9.9999999999999995E-7</v>
      </c>
      <c r="M117" s="999">
        <v>9.9999999999999995E-7</v>
      </c>
      <c r="N117" s="994">
        <f t="shared" si="77"/>
        <v>0</v>
      </c>
      <c r="O117" s="1007">
        <v>0</v>
      </c>
      <c r="P117" s="989"/>
      <c r="Q117" s="1341"/>
      <c r="R117" s="1001">
        <v>50</v>
      </c>
      <c r="S117" s="999">
        <v>9.9999999999999995E-7</v>
      </c>
      <c r="T117" s="999">
        <v>9.9999999999999995E-7</v>
      </c>
      <c r="U117" s="999">
        <v>9.9999999999999995E-7</v>
      </c>
      <c r="V117" s="994">
        <f t="shared" si="78"/>
        <v>0</v>
      </c>
      <c r="W117" s="1007">
        <v>0</v>
      </c>
    </row>
    <row r="118" spans="1:24" ht="12.75" customHeight="1">
      <c r="A118" s="1341"/>
      <c r="B118" s="1001">
        <v>100</v>
      </c>
      <c r="C118" s="1032">
        <v>9.9999999999999995E-8</v>
      </c>
      <c r="D118" s="1032">
        <v>9.9999999999999995E-8</v>
      </c>
      <c r="E118" s="1032">
        <v>9.9999999999999995E-8</v>
      </c>
      <c r="F118" s="994">
        <f t="shared" si="76"/>
        <v>0</v>
      </c>
      <c r="G118" s="1006">
        <v>1.7</v>
      </c>
      <c r="H118" s="989"/>
      <c r="I118" s="1341"/>
      <c r="J118" s="1001">
        <v>100</v>
      </c>
      <c r="K118" s="999">
        <v>9.9999999999999995E-7</v>
      </c>
      <c r="L118" s="999">
        <v>9.9999999999999995E-7</v>
      </c>
      <c r="M118" s="999">
        <v>9.9999999999999995E-7</v>
      </c>
      <c r="N118" s="994">
        <f t="shared" si="77"/>
        <v>0</v>
      </c>
      <c r="O118" s="1007">
        <v>0</v>
      </c>
      <c r="P118" s="989"/>
      <c r="Q118" s="1341"/>
      <c r="R118" s="1001">
        <v>100</v>
      </c>
      <c r="S118" s="999">
        <v>9.9999999999999995E-7</v>
      </c>
      <c r="T118" s="999">
        <v>9.9999999999999995E-7</v>
      </c>
      <c r="U118" s="999">
        <v>9.9999999999999995E-7</v>
      </c>
      <c r="V118" s="994">
        <f t="shared" si="78"/>
        <v>0</v>
      </c>
      <c r="W118" s="1007">
        <v>0</v>
      </c>
    </row>
    <row r="119" spans="1:24" ht="12.75" customHeight="1">
      <c r="A119" s="1341"/>
      <c r="B119" s="1348" t="s">
        <v>131</v>
      </c>
      <c r="C119" s="1349"/>
      <c r="D119" s="1349"/>
      <c r="E119" s="1350"/>
      <c r="F119" s="988" t="s">
        <v>120</v>
      </c>
      <c r="G119" s="988" t="s">
        <v>77</v>
      </c>
      <c r="H119" s="989"/>
      <c r="I119" s="1341"/>
      <c r="J119" s="1348" t="s">
        <v>131</v>
      </c>
      <c r="K119" s="1349"/>
      <c r="L119" s="1349"/>
      <c r="M119" s="1350"/>
      <c r="N119" s="988" t="s">
        <v>120</v>
      </c>
      <c r="O119" s="988" t="s">
        <v>77</v>
      </c>
      <c r="P119" s="989"/>
      <c r="Q119" s="1341"/>
      <c r="R119" s="1348" t="str">
        <f>B119</f>
        <v>Resistance</v>
      </c>
      <c r="S119" s="1349"/>
      <c r="T119" s="1349"/>
      <c r="U119" s="1350"/>
      <c r="V119" s="988" t="s">
        <v>120</v>
      </c>
      <c r="W119" s="988" t="s">
        <v>77</v>
      </c>
    </row>
    <row r="120" spans="1:24" ht="15" customHeight="1">
      <c r="A120" s="1341"/>
      <c r="B120" s="987" t="s">
        <v>132</v>
      </c>
      <c r="C120" s="988">
        <f>C98</f>
        <v>2023</v>
      </c>
      <c r="D120" s="988">
        <f>D98</f>
        <v>2024</v>
      </c>
      <c r="E120" s="988">
        <f>E98</f>
        <v>2025</v>
      </c>
      <c r="F120" s="988"/>
      <c r="G120" s="988"/>
      <c r="H120" s="989"/>
      <c r="I120" s="1341"/>
      <c r="J120" s="987" t="s">
        <v>132</v>
      </c>
      <c r="K120" s="988">
        <f>K98</f>
        <v>2019</v>
      </c>
      <c r="L120" s="988">
        <f>L98</f>
        <v>2019</v>
      </c>
      <c r="M120" s="988">
        <f>M98</f>
        <v>2020</v>
      </c>
      <c r="N120" s="988"/>
      <c r="O120" s="988"/>
      <c r="P120" s="989"/>
      <c r="Q120" s="1341"/>
      <c r="R120" s="987" t="s">
        <v>132</v>
      </c>
      <c r="S120" s="988">
        <f>S98</f>
        <v>2019</v>
      </c>
      <c r="T120" s="988">
        <f>T98</f>
        <v>2019</v>
      </c>
      <c r="U120" s="988">
        <f>U98</f>
        <v>2020</v>
      </c>
      <c r="V120" s="988"/>
      <c r="W120" s="988"/>
    </row>
    <row r="121" spans="1:24" ht="12.75" customHeight="1">
      <c r="A121" s="1341"/>
      <c r="B121" s="1001">
        <v>0.01</v>
      </c>
      <c r="C121" s="1032">
        <v>9.9999999999999995E-8</v>
      </c>
      <c r="D121" s="1032">
        <v>9.9999999999999995E-8</v>
      </c>
      <c r="E121" s="1032">
        <v>9.9999999999999995E-8</v>
      </c>
      <c r="F121" s="994">
        <f t="shared" ref="F121:F124" si="79">0.5*(MAX(C121:E121)-MIN(C121:E121))</f>
        <v>0</v>
      </c>
      <c r="G121" s="1001">
        <v>1.2</v>
      </c>
      <c r="H121" s="989"/>
      <c r="I121" s="1341"/>
      <c r="J121" s="1001">
        <v>0.01</v>
      </c>
      <c r="K121" s="1001">
        <v>9.9999999999999995E-7</v>
      </c>
      <c r="L121" s="1001">
        <v>9.9999999999999995E-7</v>
      </c>
      <c r="M121" s="1002">
        <v>9.9999999999999995E-7</v>
      </c>
      <c r="N121" s="994">
        <f t="shared" ref="N121:N124" si="80">0.5*(MAX(K121:M121)-MIN(K121:M121))</f>
        <v>0</v>
      </c>
      <c r="O121" s="1033">
        <v>1.2</v>
      </c>
      <c r="P121" s="989"/>
      <c r="Q121" s="1341"/>
      <c r="R121" s="1001">
        <v>0.01</v>
      </c>
      <c r="S121" s="1001">
        <v>9.9999999999999995E-7</v>
      </c>
      <c r="T121" s="1001">
        <v>9.9999999999999995E-7</v>
      </c>
      <c r="U121" s="1002">
        <v>9.9999999999999995E-7</v>
      </c>
      <c r="V121" s="994">
        <f t="shared" ref="V121:V124" si="81">0.5*(MAX(S121:U121)-MIN(S121:U121))</f>
        <v>0</v>
      </c>
      <c r="W121" s="1034">
        <v>1.2</v>
      </c>
    </row>
    <row r="122" spans="1:24" ht="12.75" customHeight="1">
      <c r="A122" s="1341"/>
      <c r="B122" s="1001">
        <v>0.1</v>
      </c>
      <c r="C122" s="1032">
        <v>9.9999999999999995E-8</v>
      </c>
      <c r="D122" s="1032">
        <v>9.9999999999999995E-8</v>
      </c>
      <c r="E122" s="1032">
        <v>9.9999999999999995E-8</v>
      </c>
      <c r="F122" s="994">
        <f t="shared" si="79"/>
        <v>0</v>
      </c>
      <c r="G122" s="1001">
        <v>1.2</v>
      </c>
      <c r="H122" s="989"/>
      <c r="I122" s="1341"/>
      <c r="J122" s="1001">
        <v>0.1</v>
      </c>
      <c r="K122" s="1011">
        <v>9.9999999999999995E-7</v>
      </c>
      <c r="L122" s="1011">
        <v>9.9999999999999995E-7</v>
      </c>
      <c r="M122" s="1002">
        <v>-2E-3</v>
      </c>
      <c r="N122" s="994">
        <f t="shared" si="80"/>
        <v>1.0005000000000001E-3</v>
      </c>
      <c r="O122" s="1033">
        <v>1.2</v>
      </c>
      <c r="P122" s="989"/>
      <c r="Q122" s="1341"/>
      <c r="R122" s="1001">
        <v>0.1</v>
      </c>
      <c r="S122" s="1001">
        <v>9.9999999999999995E-7</v>
      </c>
      <c r="T122" s="1001">
        <v>9.9999999999999995E-7</v>
      </c>
      <c r="U122" s="1002">
        <v>-3.0000000000000001E-3</v>
      </c>
      <c r="V122" s="994">
        <f t="shared" si="81"/>
        <v>1.5005000000000001E-3</v>
      </c>
      <c r="W122" s="1034">
        <v>1.2</v>
      </c>
    </row>
    <row r="123" spans="1:24" ht="12.75" customHeight="1">
      <c r="A123" s="1341"/>
      <c r="B123" s="1001">
        <v>1</v>
      </c>
      <c r="C123" s="1032">
        <v>9.9999999999999995E-8</v>
      </c>
      <c r="D123" s="1032">
        <v>9.9999999999999995E-8</v>
      </c>
      <c r="E123" s="1032">
        <v>9.9999999999999995E-8</v>
      </c>
      <c r="F123" s="994">
        <f t="shared" si="79"/>
        <v>0</v>
      </c>
      <c r="G123" s="1001">
        <v>1.2</v>
      </c>
      <c r="H123" s="989"/>
      <c r="I123" s="1341"/>
      <c r="J123" s="1001">
        <v>1</v>
      </c>
      <c r="K123" s="1011">
        <v>9.9999999999999995E-7</v>
      </c>
      <c r="L123" s="1011">
        <v>9.9999999999999995E-7</v>
      </c>
      <c r="M123" s="1002">
        <v>-1E-3</v>
      </c>
      <c r="N123" s="994">
        <f t="shared" si="80"/>
        <v>5.0049999999999997E-4</v>
      </c>
      <c r="O123" s="1033">
        <v>1.2</v>
      </c>
      <c r="P123" s="989"/>
      <c r="Q123" s="1341"/>
      <c r="R123" s="1001">
        <v>1</v>
      </c>
      <c r="S123" s="1001">
        <v>9.9999999999999995E-7</v>
      </c>
      <c r="T123" s="1001">
        <v>9.9999999999999995E-7</v>
      </c>
      <c r="U123" s="1002">
        <v>-1E-3</v>
      </c>
      <c r="V123" s="994">
        <f t="shared" si="81"/>
        <v>5.0049999999999997E-4</v>
      </c>
      <c r="W123" s="1034">
        <v>1.2</v>
      </c>
    </row>
    <row r="124" spans="1:24" ht="12.75" customHeight="1">
      <c r="A124" s="1342"/>
      <c r="B124" s="1001">
        <v>2</v>
      </c>
      <c r="C124" s="1032">
        <v>9.9999999999999995E-8</v>
      </c>
      <c r="D124" s="1032">
        <v>9.9999999999999995E-8</v>
      </c>
      <c r="E124" s="1032">
        <v>9.9999999999999995E-8</v>
      </c>
      <c r="F124" s="994">
        <f t="shared" si="79"/>
        <v>0</v>
      </c>
      <c r="G124" s="1001">
        <v>1.2</v>
      </c>
      <c r="H124" s="989"/>
      <c r="I124" s="1342"/>
      <c r="J124" s="1001">
        <v>2</v>
      </c>
      <c r="K124" s="1011">
        <v>9.9999999999999995E-7</v>
      </c>
      <c r="L124" s="1011">
        <v>9.9999999999999995E-7</v>
      </c>
      <c r="M124" s="1002">
        <v>-6.0000000000000001E-3</v>
      </c>
      <c r="N124" s="994">
        <f t="shared" si="80"/>
        <v>3.0005000000000001E-3</v>
      </c>
      <c r="O124" s="1033">
        <v>1.2</v>
      </c>
      <c r="P124" s="989"/>
      <c r="Q124" s="1342"/>
      <c r="R124" s="1001">
        <v>2</v>
      </c>
      <c r="S124" s="1001">
        <v>9.9999999999999995E-7</v>
      </c>
      <c r="T124" s="1001">
        <v>9.9999999999999995E-7</v>
      </c>
      <c r="U124" s="1002">
        <v>-6.0000000000000001E-3</v>
      </c>
      <c r="V124" s="994">
        <f t="shared" si="81"/>
        <v>3.0005000000000001E-3</v>
      </c>
      <c r="W124" s="1034">
        <v>1.2</v>
      </c>
    </row>
    <row r="125" spans="1:24" s="249" customFormat="1" ht="16" thickBot="1">
      <c r="A125" s="1026"/>
      <c r="B125" s="1027"/>
      <c r="C125" s="1028"/>
      <c r="E125" s="1028"/>
      <c r="F125" s="1028"/>
      <c r="G125" s="1028"/>
      <c r="H125" s="1015"/>
      <c r="I125" s="967"/>
      <c r="J125" s="1029"/>
      <c r="K125" s="1028"/>
      <c r="M125" s="1028"/>
      <c r="N125" s="1028"/>
      <c r="O125" s="1028"/>
      <c r="P125" s="1015"/>
      <c r="Q125" s="967"/>
      <c r="R125" s="1027"/>
      <c r="S125" s="1028"/>
      <c r="U125" s="722"/>
      <c r="V125" s="722"/>
      <c r="W125" s="1016"/>
      <c r="X125" s="1017"/>
    </row>
    <row r="126" spans="1:24" ht="16" thickBot="1">
      <c r="A126" s="1035"/>
      <c r="B126" s="1036"/>
      <c r="C126" s="1036"/>
      <c r="D126" s="1037"/>
      <c r="E126" s="1036"/>
      <c r="F126" s="1036"/>
      <c r="G126" s="1036"/>
      <c r="H126" s="1038"/>
      <c r="I126" s="1036"/>
      <c r="J126" s="1036"/>
      <c r="K126" s="1036"/>
      <c r="L126" s="1037"/>
      <c r="M126" s="1036"/>
      <c r="N126" s="1036"/>
      <c r="O126" s="1036"/>
      <c r="P126" s="1038"/>
      <c r="Q126" s="1036"/>
      <c r="R126" s="1036"/>
      <c r="S126" s="1036"/>
      <c r="T126" s="1037"/>
      <c r="U126" s="1039"/>
      <c r="V126" s="1039"/>
      <c r="W126" s="1040"/>
    </row>
    <row r="127" spans="1:24">
      <c r="A127" s="247"/>
      <c r="B127" s="1041"/>
      <c r="C127" s="1041"/>
    </row>
    <row r="128" spans="1:24" ht="15" customHeight="1"/>
    <row r="129" spans="1:19" ht="15.75" customHeight="1"/>
    <row r="131" spans="1:19" ht="16" thickBot="1">
      <c r="S131" s="1042"/>
    </row>
    <row r="132" spans="1:19" ht="30" customHeight="1">
      <c r="A132" s="1043">
        <f>IF($A$166=$A$167,A2,IF($A$166=$A$168,I2,IF($A$166=$A$169,Q2,IF($A$166=$A$170,A33,IF($A$166=$A$171,I33,IF($A$166=$A$172,Q33,IF($A$166=$A$173,A64,IF($A$166=$A$174,I64,IF($A$166=$A$175,Q64,IF($A$166=$A$176,A95,IF($A$166=$A$177,I95,Q95)))))))))))</f>
        <v>6</v>
      </c>
      <c r="B132" s="1372" t="str">
        <f>IF($A$166=$A$167,B2,IF($A$166=$A$168,J2,IF($A$166=$A$169,R2,IF($A$166=$A$170,B33,IF($A$166=$A$171,J33,IF($A$166=$A$172,R33,IF($A$166=$A$173,B64,IF($A$166=$A$174,J64,IF($A$166=$A$175,R64,IF($A$166=$A$176,B95,IF($A$166=$A$177,J95,R95)))))))))))</f>
        <v>Electrical Safety Analyzer, Merek : Fluke, Model : ESA 615, SN : 3148908</v>
      </c>
      <c r="C132" s="1373"/>
      <c r="D132" s="1373"/>
      <c r="E132" s="1373"/>
      <c r="F132" s="1373"/>
      <c r="G132" s="1374"/>
    </row>
    <row r="133" spans="1:19" ht="15.75" customHeight="1" thickBot="1">
      <c r="A133" s="1044"/>
      <c r="B133" s="1045" t="str">
        <f t="shared" ref="B133:G148" si="82">IF($A$166=$A$167,B3,IF($A$166=$A$168,J3,IF($A$166=$A$169,R3,IF($A$166=$A$170,B34,IF($A$166=$A$171,J34,IF($A$166=$A$172,R34,IF($A$166=$A$173,B65,IF($A$166=$A$174,J65,IF($A$166=$A$175,R65,IF($A$166=$A$176,B96,IF($A$166=$A$177,J96,R96)))))))))))</f>
        <v>KOREKSI ESA</v>
      </c>
      <c r="C133" s="1046"/>
      <c r="D133" s="1046"/>
      <c r="E133" s="1046"/>
      <c r="F133" s="1046"/>
      <c r="G133" s="1047"/>
      <c r="I133" s="249"/>
    </row>
    <row r="134" spans="1:19" ht="15.75" customHeight="1">
      <c r="A134" s="1044"/>
      <c r="B134" s="1048" t="str">
        <f t="shared" si="82"/>
        <v>Setting VAC</v>
      </c>
      <c r="C134" s="1049"/>
      <c r="D134" s="1049"/>
      <c r="E134" s="1050"/>
      <c r="F134" s="1051" t="str">
        <f>IF($A$166=$A$167,F4,IF($A$166=$A$168,N4,IF($A$166=$A$169,V4,IF($A$166=$A$170,F35,IF($A$166=$A$171,N35,IF($A$166=$A$172,V35,IF($A$166=$A$173,F66,IF($A$166=$A$174,N66,IF($A$166=$A$175,V66,IF($A$166=$A$176,F97,IF($A$166=$A$177,N97,V97)))))))))))</f>
        <v>Driff</v>
      </c>
      <c r="G134" s="1052" t="str">
        <f>IF($A$166=$A$167,G4,IF($A$166=$A$168,O4,IF($A$166=$A$169,W4,IF($A$166=$A$170,G35,IF($A$166=$A$171,O35,IF($A$166=$A$172,W35,IF($A$166=$A$173,G66,IF($A$166=$A$174,O66,IF($A$166=$A$175,W66,IF($A$166=$A$176,G97,IF($A$166=$A$177,O97,W97)))))))))))</f>
        <v>U95</v>
      </c>
      <c r="I134" s="1375" t="s">
        <v>114</v>
      </c>
      <c r="J134" s="1376"/>
      <c r="K134" s="1376"/>
      <c r="L134" s="1377"/>
      <c r="M134" s="1053"/>
      <c r="N134" s="1054" t="s">
        <v>111</v>
      </c>
      <c r="O134" s="1055" t="s">
        <v>112</v>
      </c>
      <c r="P134" s="1056" t="s">
        <v>113</v>
      </c>
    </row>
    <row r="135" spans="1:19" ht="12.75" customHeight="1">
      <c r="A135" s="1044"/>
      <c r="B135" s="1057" t="str">
        <f t="shared" si="82"/>
        <v>( V )</v>
      </c>
      <c r="C135" s="1051">
        <f t="shared" si="82"/>
        <v>2023</v>
      </c>
      <c r="D135" s="1051">
        <f t="shared" si="82"/>
        <v>2022</v>
      </c>
      <c r="E135" s="1051">
        <f t="shared" si="82"/>
        <v>2019</v>
      </c>
      <c r="F135" s="1051"/>
      <c r="G135" s="1052"/>
      <c r="I135" s="1058">
        <f>N137</f>
        <v>220</v>
      </c>
      <c r="J135" s="1059"/>
      <c r="K135" s="1060">
        <f>IF(I135="-","-",(FORECAST(I135,$E$136:$E$141,$B$136:$B$141)))</f>
        <v>-9.3383954198473312E-2</v>
      </c>
      <c r="L135" s="1061"/>
      <c r="M135" s="249"/>
      <c r="N135" s="1062"/>
      <c r="O135" s="1063"/>
      <c r="P135" s="1064"/>
    </row>
    <row r="136" spans="1:19" ht="16.5" customHeight="1" thickBot="1">
      <c r="A136" s="1044"/>
      <c r="B136" s="1057">
        <f t="shared" si="82"/>
        <v>150</v>
      </c>
      <c r="C136" s="1065">
        <f t="shared" si="82"/>
        <v>0.14000000000000001</v>
      </c>
      <c r="D136" s="1065">
        <f t="shared" si="82"/>
        <v>0.15</v>
      </c>
      <c r="E136" s="1065">
        <f t="shared" si="82"/>
        <v>-0.15</v>
      </c>
      <c r="F136" s="1051">
        <f t="shared" si="82"/>
        <v>0.15</v>
      </c>
      <c r="G136" s="1052">
        <f t="shared" si="82"/>
        <v>1.8</v>
      </c>
      <c r="I136" s="1366" t="s">
        <v>121</v>
      </c>
      <c r="J136" s="1367"/>
      <c r="K136" s="1367"/>
      <c r="L136" s="1368"/>
      <c r="M136" s="249"/>
      <c r="N136" s="1066"/>
      <c r="O136" s="1063"/>
      <c r="P136" s="1067"/>
    </row>
    <row r="137" spans="1:19" ht="15.75" customHeight="1">
      <c r="A137" s="1044"/>
      <c r="B137" s="1057">
        <f t="shared" si="82"/>
        <v>180</v>
      </c>
      <c r="C137" s="1065">
        <f t="shared" si="82"/>
        <v>0.17</v>
      </c>
      <c r="D137" s="1065">
        <f t="shared" si="82"/>
        <v>0.17</v>
      </c>
      <c r="E137" s="1065">
        <f t="shared" si="82"/>
        <v>-0.11</v>
      </c>
      <c r="F137" s="1051">
        <f t="shared" si="82"/>
        <v>0.14000000000000001</v>
      </c>
      <c r="G137" s="1052">
        <f t="shared" si="82"/>
        <v>2.16</v>
      </c>
      <c r="I137" s="1058" t="str">
        <f>N138</f>
        <v>OL</v>
      </c>
      <c r="J137" s="1059"/>
      <c r="K137" s="1060" t="str">
        <f>IF(I137="-","-",IF(I137="OL","OL",(FORECAST(I137,$E$152:$E$156,$B$152:$B$156))))</f>
        <v>OL</v>
      </c>
      <c r="L137" s="1061"/>
      <c r="M137" s="249"/>
      <c r="N137" s="1068">
        <f>ID!F16</f>
        <v>220</v>
      </c>
      <c r="O137" s="1069">
        <f>IF(N137="-","-",N137+K135)</f>
        <v>219.90661604580151</v>
      </c>
      <c r="P137" s="1070">
        <f>IF(N137="-","-",O137)</f>
        <v>219.90661604580151</v>
      </c>
      <c r="Q137" s="62" t="str">
        <f>TEXT(P137,"0.0")</f>
        <v>219.9</v>
      </c>
    </row>
    <row r="138" spans="1:19" ht="15.75" customHeight="1">
      <c r="A138" s="1044"/>
      <c r="B138" s="1057">
        <f t="shared" si="82"/>
        <v>200</v>
      </c>
      <c r="C138" s="1065">
        <f t="shared" si="82"/>
        <v>0.08</v>
      </c>
      <c r="D138" s="1065">
        <f t="shared" si="82"/>
        <v>0.1</v>
      </c>
      <c r="E138" s="1065">
        <f t="shared" si="82"/>
        <v>-0.1</v>
      </c>
      <c r="F138" s="1051">
        <f t="shared" si="82"/>
        <v>0.1</v>
      </c>
      <c r="G138" s="1052">
        <f t="shared" si="82"/>
        <v>2.4</v>
      </c>
      <c r="I138" s="1366" t="s">
        <v>124</v>
      </c>
      <c r="J138" s="1367"/>
      <c r="K138" s="1367"/>
      <c r="L138" s="1368"/>
      <c r="M138" s="249"/>
      <c r="N138" s="1071" t="str">
        <f>ID!J25</f>
        <v>OL</v>
      </c>
      <c r="O138" s="1072" t="str">
        <f>IF(N138="-","-",IF(N138="OL","OL",N138+K137))</f>
        <v>OL</v>
      </c>
      <c r="P138" s="1073" t="str">
        <f>IF(N138="OL","OL",IF(N138="NC","NC",IF(N138="OR","OR",IF(N138="-","-",O138))))</f>
        <v>OL</v>
      </c>
    </row>
    <row r="139" spans="1:19" ht="12.75" customHeight="1">
      <c r="A139" s="1044"/>
      <c r="B139" s="1057">
        <f t="shared" si="82"/>
        <v>220</v>
      </c>
      <c r="C139" s="1065">
        <f t="shared" si="82"/>
        <v>0.06</v>
      </c>
      <c r="D139" s="1065">
        <f t="shared" si="82"/>
        <v>7.0000000000000007E-2</v>
      </c>
      <c r="E139" s="1065">
        <f t="shared" si="82"/>
        <v>-0.13</v>
      </c>
      <c r="F139" s="1051">
        <f t="shared" si="82"/>
        <v>0.1</v>
      </c>
      <c r="G139" s="1052">
        <f t="shared" si="82"/>
        <v>2.64</v>
      </c>
      <c r="I139" s="1074">
        <f>N139</f>
        <v>0.1</v>
      </c>
      <c r="J139" s="1059"/>
      <c r="K139" s="1075">
        <f>IF(I139="-","-",(FORECAST(I139,$E$159:$E$162,$B$159:$B$162)))</f>
        <v>-1.0456245382560307E-3</v>
      </c>
      <c r="L139" s="1076"/>
      <c r="M139" s="249"/>
      <c r="N139" s="1071">
        <f>ID!J26</f>
        <v>0.1</v>
      </c>
      <c r="O139" s="1077">
        <f>IF(N139="-","-",IF(N139="OL","OL",N139+K139))</f>
        <v>9.8954375461743974E-2</v>
      </c>
      <c r="P139" s="1073">
        <f>IF(N139="OL","OL",IF(N139="NC","NC",IF(N139="-","-",O139)))</f>
        <v>9.8954375461743974E-2</v>
      </c>
    </row>
    <row r="140" spans="1:19" ht="12.75" customHeight="1">
      <c r="A140" s="1044"/>
      <c r="B140" s="1057">
        <f t="shared" si="82"/>
        <v>230</v>
      </c>
      <c r="C140" s="1065">
        <f t="shared" si="82"/>
        <v>0.04</v>
      </c>
      <c r="D140" s="1065">
        <f t="shared" si="82"/>
        <v>0.08</v>
      </c>
      <c r="E140" s="1065">
        <f t="shared" si="82"/>
        <v>-0.15</v>
      </c>
      <c r="F140" s="1051">
        <f t="shared" si="82"/>
        <v>0.11499999999999999</v>
      </c>
      <c r="G140" s="1052">
        <f t="shared" si="82"/>
        <v>2.7600000000000002</v>
      </c>
      <c r="I140" s="1366" t="s">
        <v>126</v>
      </c>
      <c r="J140" s="1367"/>
      <c r="K140" s="1367"/>
      <c r="L140" s="1368"/>
      <c r="M140" s="249"/>
      <c r="N140" s="1071">
        <f>ID!J27</f>
        <v>600</v>
      </c>
      <c r="O140" s="1069">
        <f>IF(N140="-","-",N140+K141)</f>
        <v>600.38581721898936</v>
      </c>
      <c r="P140" s="1078">
        <f>IF(N140="-","-",O140)</f>
        <v>600.38581721898936</v>
      </c>
    </row>
    <row r="141" spans="1:19" ht="12.75" customHeight="1" thickBot="1">
      <c r="A141" s="1044"/>
      <c r="B141" s="1057">
        <f t="shared" si="82"/>
        <v>250</v>
      </c>
      <c r="C141" s="1065">
        <f t="shared" si="82"/>
        <v>0</v>
      </c>
      <c r="D141" s="1065">
        <f t="shared" si="82"/>
        <v>0</v>
      </c>
      <c r="E141" s="1065">
        <f t="shared" si="82"/>
        <v>9.9999999999999995E-7</v>
      </c>
      <c r="F141" s="1051">
        <f t="shared" si="82"/>
        <v>4.9999999999999998E-7</v>
      </c>
      <c r="G141" s="1052">
        <f t="shared" si="82"/>
        <v>3</v>
      </c>
      <c r="I141" s="1079">
        <f>N140</f>
        <v>600</v>
      </c>
      <c r="J141" s="1059"/>
      <c r="K141" s="1080">
        <f>IF(I141="-","-",(FORECAST(I141,$E$144:$E$149,$B$144:$B$149)))</f>
        <v>0.38581721898930527</v>
      </c>
      <c r="L141" s="1061"/>
      <c r="M141" s="249"/>
      <c r="N141" s="1071">
        <f>ID!J28</f>
        <v>34</v>
      </c>
      <c r="O141" s="1069">
        <f>IF(N141="-","-",N141+K143)</f>
        <v>34.329249136849732</v>
      </c>
      <c r="P141" s="1078">
        <f>IF(N141="-","-",O141)</f>
        <v>34.329249136849732</v>
      </c>
    </row>
    <row r="142" spans="1:19" ht="13.5" customHeight="1" thickBot="1">
      <c r="A142" s="1044"/>
      <c r="B142" s="1048" t="str">
        <f t="shared" si="82"/>
        <v>Current Leakage</v>
      </c>
      <c r="C142" s="1049"/>
      <c r="D142" s="1049"/>
      <c r="E142" s="1050"/>
      <c r="F142" s="1051" t="str">
        <f t="shared" si="82"/>
        <v>Driff</v>
      </c>
      <c r="G142" s="1052" t="str">
        <f t="shared" si="82"/>
        <v>U95</v>
      </c>
      <c r="I142" s="1366" t="s">
        <v>126</v>
      </c>
      <c r="J142" s="1367"/>
      <c r="K142" s="1367"/>
      <c r="L142" s="1368"/>
      <c r="M142" s="1081" t="s">
        <v>149</v>
      </c>
      <c r="N142" s="1082">
        <f>ID!P28</f>
        <v>10</v>
      </c>
      <c r="O142" s="1069">
        <f>IF(N142="-","-",N142+K145)</f>
        <v>10.326850490257243</v>
      </c>
      <c r="P142" s="1078">
        <f>IF(N142="-","-",O142)</f>
        <v>10.326850490257243</v>
      </c>
    </row>
    <row r="143" spans="1:19" ht="12.75" customHeight="1">
      <c r="A143" s="1044"/>
      <c r="B143" s="1057" t="str">
        <f t="shared" si="82"/>
        <v>( uA )</v>
      </c>
      <c r="C143" s="1051">
        <f t="shared" si="82"/>
        <v>2023</v>
      </c>
      <c r="D143" s="1051">
        <f t="shared" si="82"/>
        <v>2022</v>
      </c>
      <c r="E143" s="1051">
        <f t="shared" si="82"/>
        <v>2019</v>
      </c>
      <c r="F143" s="1051"/>
      <c r="G143" s="1052"/>
      <c r="I143" s="1079">
        <f>N141</f>
        <v>34</v>
      </c>
      <c r="J143" s="1059"/>
      <c r="K143" s="1080">
        <f>IF(I143="-","-",(FORECAST(I143,$E$144:$E$149,$B$144:$B$149)))</f>
        <v>0.32924913684973456</v>
      </c>
      <c r="L143" s="1061"/>
      <c r="M143" s="1083" t="s">
        <v>412</v>
      </c>
      <c r="N143" s="1084">
        <f>P137</f>
        <v>219.90661604580151</v>
      </c>
      <c r="O143" s="1085">
        <f>IF(N143="-","-",(FORECAST(N143,G136:G141,B136:B141)))</f>
        <v>2.6388793925496183</v>
      </c>
      <c r="P143" s="1086" t="s">
        <v>140</v>
      </c>
      <c r="Q143" s="62" t="str">
        <f>TEXT(O143,"0.0")</f>
        <v>2.6</v>
      </c>
    </row>
    <row r="144" spans="1:19" ht="15.75" customHeight="1" thickBot="1">
      <c r="A144" s="1044"/>
      <c r="B144" s="1087">
        <f t="shared" si="82"/>
        <v>9.9999999999999995E-7</v>
      </c>
      <c r="C144" s="1088">
        <f t="shared" si="82"/>
        <v>9.9999999999999995E-7</v>
      </c>
      <c r="D144" s="1088">
        <f t="shared" si="82"/>
        <v>9.9999999999999995E-7</v>
      </c>
      <c r="E144" s="1088">
        <f t="shared" si="82"/>
        <v>9.9999999999999995E-7</v>
      </c>
      <c r="F144" s="1051">
        <f t="shared" si="82"/>
        <v>0</v>
      </c>
      <c r="G144" s="1052">
        <f t="shared" si="82"/>
        <v>5.8999999999999999E-9</v>
      </c>
      <c r="I144" s="1369" t="s">
        <v>126</v>
      </c>
      <c r="J144" s="1370"/>
      <c r="K144" s="1370"/>
      <c r="L144" s="1371"/>
      <c r="M144" s="1089"/>
      <c r="N144" s="1090" t="str">
        <f>P144&amp;FIXED(N143,1)&amp;P145&amp;FIXED(O143,1)&amp;P146&amp;P143</f>
        <v>( 219.9 ± 2.6 ) Volt</v>
      </c>
      <c r="O144" s="1091"/>
      <c r="P144" s="1092" t="s">
        <v>100</v>
      </c>
    </row>
    <row r="145" spans="1:17" ht="12.75" customHeight="1">
      <c r="A145" s="1044"/>
      <c r="B145" s="1057">
        <f t="shared" si="82"/>
        <v>50</v>
      </c>
      <c r="C145" s="1088">
        <f t="shared" si="82"/>
        <v>4.5</v>
      </c>
      <c r="D145" s="1088">
        <f t="shared" si="82"/>
        <v>19.100000000000001</v>
      </c>
      <c r="E145" s="1088">
        <f t="shared" si="82"/>
        <v>0.02</v>
      </c>
      <c r="F145" s="1051">
        <f t="shared" si="82"/>
        <v>9.5400000000000009</v>
      </c>
      <c r="G145" s="1052">
        <f t="shared" si="82"/>
        <v>0.29499999999999998</v>
      </c>
      <c r="I145" s="1093">
        <f>N142</f>
        <v>10</v>
      </c>
      <c r="J145" s="1094"/>
      <c r="K145" s="1095">
        <f>FORECAST(I145,$E$144:$E$149,$B$144:$B$149)</f>
        <v>0.32685049025724394</v>
      </c>
      <c r="L145" s="1095"/>
      <c r="M145" s="249"/>
      <c r="N145" s="1096"/>
      <c r="O145" s="250"/>
      <c r="P145" s="1097" t="s">
        <v>101</v>
      </c>
    </row>
    <row r="146" spans="1:17" ht="13.5" customHeight="1" thickBot="1">
      <c r="A146" s="1044"/>
      <c r="B146" s="1057">
        <f t="shared" si="82"/>
        <v>100</v>
      </c>
      <c r="C146" s="1088">
        <f t="shared" si="82"/>
        <v>6.2</v>
      </c>
      <c r="D146" s="1088">
        <f t="shared" si="82"/>
        <v>18.399999999999999</v>
      </c>
      <c r="E146" s="1088">
        <f t="shared" si="82"/>
        <v>0.22</v>
      </c>
      <c r="F146" s="1051">
        <f t="shared" si="82"/>
        <v>9.09</v>
      </c>
      <c r="G146" s="1052">
        <f t="shared" si="82"/>
        <v>0.59</v>
      </c>
      <c r="I146" s="1098"/>
      <c r="M146" s="249"/>
      <c r="N146" s="251"/>
      <c r="O146" s="251"/>
      <c r="P146" s="1099" t="s">
        <v>413</v>
      </c>
    </row>
    <row r="147" spans="1:17" ht="13.5" customHeight="1" thickBot="1">
      <c r="A147" s="1044"/>
      <c r="B147" s="1057">
        <f t="shared" si="82"/>
        <v>200</v>
      </c>
      <c r="C147" s="1088">
        <f t="shared" si="82"/>
        <v>9.4</v>
      </c>
      <c r="D147" s="1088">
        <f t="shared" si="82"/>
        <v>14.4</v>
      </c>
      <c r="E147" s="1088">
        <f t="shared" si="82"/>
        <v>0.8</v>
      </c>
      <c r="F147" s="1051">
        <f t="shared" si="82"/>
        <v>6.8</v>
      </c>
      <c r="G147" s="1052">
        <f t="shared" si="82"/>
        <v>1.18</v>
      </c>
      <c r="H147" s="1100"/>
      <c r="I147" s="1101"/>
      <c r="J147" s="1102"/>
      <c r="K147" s="1102"/>
      <c r="L147" s="1103"/>
      <c r="M147" s="1104"/>
      <c r="N147" s="1105">
        <f>MAX(N140:N145)</f>
        <v>600</v>
      </c>
      <c r="O147" s="1105">
        <f>MAX(P140:P142)</f>
        <v>600.38581721898936</v>
      </c>
      <c r="P147" s="1106">
        <f>IF(N147=0,"-",IF(N147=N147,O147,))</f>
        <v>600.38581721898936</v>
      </c>
    </row>
    <row r="148" spans="1:17" ht="12.75" customHeight="1">
      <c r="A148" s="1044"/>
      <c r="B148" s="1057">
        <f t="shared" si="82"/>
        <v>500</v>
      </c>
      <c r="C148" s="1088">
        <f t="shared" si="82"/>
        <v>10.8</v>
      </c>
      <c r="D148" s="1088">
        <f t="shared" si="82"/>
        <v>6.2</v>
      </c>
      <c r="E148" s="1088">
        <f t="shared" si="82"/>
        <v>1.1000000000000001</v>
      </c>
      <c r="F148" s="1051">
        <f t="shared" si="82"/>
        <v>4.8500000000000005</v>
      </c>
      <c r="G148" s="1052">
        <f t="shared" si="82"/>
        <v>2.9499999999999997</v>
      </c>
      <c r="I148" s="1107"/>
      <c r="J148" s="1107"/>
      <c r="K148" s="1107"/>
      <c r="L148" s="1053"/>
      <c r="M148" s="1053"/>
      <c r="N148" s="1053"/>
      <c r="O148" s="1053"/>
    </row>
    <row r="149" spans="1:17" ht="12.75" customHeight="1">
      <c r="A149" s="1044"/>
      <c r="B149" s="1057">
        <f t="shared" ref="B149:G149" si="83">IF($A$166=$A$167,B19,IF($A$166=$A$168,J19,IF($A$166=$A$169,R19,IF($A$166=$A$170,B50,IF($A$166=$A$171,J50,IF($A$166=$A$172,R50,IF($A$166=$A$173,B81,IF($A$166=$A$174,J81,IF($A$166=$A$175,R81,IF($A$166=$A$176,B112,IF($A$166=$A$177,J112,R112)))))))))))</f>
        <v>1000</v>
      </c>
      <c r="C149" s="1088">
        <f t="shared" si="83"/>
        <v>-88</v>
      </c>
      <c r="D149" s="1088">
        <f t="shared" si="83"/>
        <v>0</v>
      </c>
      <c r="E149" s="1088">
        <f t="shared" si="83"/>
        <v>9.9999999999999995E-7</v>
      </c>
      <c r="F149" s="1051">
        <f t="shared" si="83"/>
        <v>44.000000499999999</v>
      </c>
      <c r="G149" s="1052">
        <f t="shared" si="83"/>
        <v>5.8999999999999995</v>
      </c>
      <c r="H149" s="1108"/>
      <c r="I149" s="1109"/>
      <c r="J149" s="1109"/>
      <c r="K149" s="1110"/>
      <c r="L149" s="249"/>
      <c r="M149" s="249"/>
      <c r="N149" s="249"/>
      <c r="O149" s="249"/>
    </row>
    <row r="150" spans="1:17" ht="12.75" customHeight="1">
      <c r="A150" s="1044"/>
      <c r="B150" s="1048" t="str">
        <f>IF($A$166=$A$167,B20,IF($A$166=$A$168,J20,IF($A$166=$A$169,R20,IF($A$166=$A$170,B51,IF($A$166=$A$171,J51,IF($A$166=$A$172,R51,IF($A$166=$A$173,B82,IF($A$166=$A$174,J82,IF($A$166=$A$175,R82,IF($A$166=$A$176,B113,IF($A$166=$A$177,J113,R113)))))))))))</f>
        <v>Main-PE</v>
      </c>
      <c r="C150" s="1049"/>
      <c r="D150" s="1049"/>
      <c r="E150" s="1050"/>
      <c r="F150" s="1051" t="str">
        <f>IF($A$166=$A$167,F20,IF($A$166=$A$168,N20,IF($A$166=$A$169,V20,IF($A$166=$A$170,F51,IF($A$166=$A$171,N51,IF($A$166=$A$172,V51,IF($A$166=$A$173,F82,IF($A$166=$A$174,N82,IF($A$166=$A$175,V82,IF($A$166=$A$176,F113,IF($A$166=$A$177,N113,V113)))))))))))</f>
        <v>Driff</v>
      </c>
      <c r="G150" s="1052" t="str">
        <f>IF($A$166=$A$167,G20,IF($A$166=$A$168,O20,IF($A$166=$A$169,W20,IF($A$166=$A$170,G51,IF($A$166=$A$171,O51,IF($A$166=$A$172,W51,IF($A$166=$A$173,G82,IF($A$166=$A$174,O82,IF($A$166=$A$175,W82,IF($A$166=$A$176,G113,IF($A$166=$A$177,O113,W113)))))))))))</f>
        <v>U95</v>
      </c>
      <c r="L150" s="133"/>
      <c r="M150" s="133"/>
      <c r="N150" s="133"/>
      <c r="O150" s="133"/>
      <c r="P150" s="1111"/>
    </row>
    <row r="151" spans="1:17" ht="12.75" customHeight="1">
      <c r="A151" s="1044"/>
      <c r="B151" s="1057" t="str">
        <f>IF($A$166=$A$167,B21,IF($A$166=$A$168,J21,IF($A$166=$A$169,R21,IF($A$166=$A$170,B52,IF($A$166=$A$171,J52,IF($A$166=$A$172,R52,IF($A$166=$A$173,B83,IF($A$166=$A$174,J83,IF($A$166=$A$175,R83,IF($A$166=$A$176,B114,IF($A$166=$A$177,J114,R114)))))))))))</f>
        <v>( MΩ )</v>
      </c>
      <c r="C151" s="1051">
        <f>IF($A$166=$A$167,C21,IF($A$166=$A$168,K21,IF($A$166=$A$169,S21,IF($A$166=$A$170,C52,IF($A$166=$A$171,K52,IF($A$166=$A$172,S52,IF($A$166=$A$173,C83,IF($A$166=$A$174,K83,IF($A$166=$A$175,S83,IF($A$166=$A$176,C114,IF($A$166=$A$177,K114,S114)))))))))))</f>
        <v>2023</v>
      </c>
      <c r="D151" s="1051">
        <f>IF($A$166=$A$167,D21,IF($A$166=$A$168,L21,IF($A$166=$A$169,T21,IF($A$166=$A$170,D52,IF($A$166=$A$171,L52,IF($A$166=$A$172,T52,IF($A$166=$A$173,D83,IF($A$166=$A$174,L83,IF($A$166=$A$175,T83,IF($A$166=$A$176,D114,IF($A$166=$A$177,L114,T114)))))))))))</f>
        <v>2022</v>
      </c>
      <c r="E151" s="1051">
        <f>IF($A$166=$A$167,E21,IF($A$166=$A$168,M21,IF($A$166=$A$169,U21,IF($A$166=$A$170,E52,IF($A$166=$A$171,M52,IF($A$166=$A$172,U52,IF($A$166=$A$173,E83,IF($A$166=$A$174,M83,IF($A$166=$A$175,U83,IF($A$166=$A$176,E114,IF($A$166=$A$177,M114,U114)))))))))))</f>
        <v>2019</v>
      </c>
      <c r="F151" s="1051"/>
      <c r="G151" s="1052"/>
      <c r="H151" s="1108"/>
      <c r="I151" s="1109"/>
      <c r="J151" s="1109"/>
      <c r="K151" s="1110"/>
      <c r="L151" s="1109"/>
      <c r="M151" s="1109"/>
      <c r="N151" s="1109"/>
      <c r="O151" s="1110"/>
      <c r="P151" s="1112"/>
    </row>
    <row r="152" spans="1:17">
      <c r="B152" s="62">
        <v>0</v>
      </c>
      <c r="C152" s="62">
        <v>0</v>
      </c>
      <c r="D152" s="62">
        <v>0</v>
      </c>
      <c r="E152" s="62">
        <v>0</v>
      </c>
      <c r="F152" s="62">
        <v>0</v>
      </c>
      <c r="G152" s="62">
        <v>0</v>
      </c>
    </row>
    <row r="153" spans="1:17" ht="12.75" customHeight="1">
      <c r="A153" s="1044"/>
      <c r="B153" s="1057">
        <f t="shared" ref="B153:G162" si="84">IF($A$166=$A$167,B22,IF($A$166=$A$168,J22,IF($A$166=$A$169,R22,IF($A$166=$A$170,B53,IF($A$166=$A$171,J53,IF($A$166=$A$172,R53,IF($A$166=$A$173,B84,IF($A$166=$A$174,J84,IF($A$166=$A$175,R84,IF($A$166=$A$176,B115,IF($A$166=$A$177,J115,R115)))))))))))</f>
        <v>9.9999999999999995E-7</v>
      </c>
      <c r="C153" s="1051">
        <f t="shared" si="84"/>
        <v>0</v>
      </c>
      <c r="D153" s="1088">
        <f t="shared" si="84"/>
        <v>0.1</v>
      </c>
      <c r="E153" s="1088">
        <f t="shared" si="84"/>
        <v>0.1</v>
      </c>
      <c r="F153" s="1051">
        <f t="shared" si="84"/>
        <v>0.05</v>
      </c>
      <c r="G153" s="1052">
        <f t="shared" si="84"/>
        <v>1.7E-8</v>
      </c>
      <c r="L153" s="249"/>
      <c r="M153" s="1109"/>
      <c r="N153" s="249"/>
      <c r="O153" s="1110"/>
      <c r="P153" s="1113"/>
    </row>
    <row r="154" spans="1:17" ht="12.75" customHeight="1">
      <c r="A154" s="1044"/>
      <c r="B154" s="1057">
        <f t="shared" si="84"/>
        <v>20</v>
      </c>
      <c r="C154" s="1051">
        <f t="shared" si="84"/>
        <v>0.1</v>
      </c>
      <c r="D154" s="1051">
        <f t="shared" si="84"/>
        <v>0.1</v>
      </c>
      <c r="E154" s="1051">
        <f t="shared" si="84"/>
        <v>0.1</v>
      </c>
      <c r="F154" s="1051">
        <f t="shared" si="84"/>
        <v>0</v>
      </c>
      <c r="G154" s="1052">
        <f t="shared" si="84"/>
        <v>0.34</v>
      </c>
      <c r="H154" s="1108"/>
      <c r="I154" s="1109"/>
      <c r="J154" s="1109"/>
      <c r="K154" s="1110"/>
      <c r="L154" s="1109"/>
      <c r="M154" s="1109"/>
      <c r="N154" s="1109"/>
      <c r="O154" s="1110"/>
      <c r="P154" s="1112"/>
    </row>
    <row r="155" spans="1:17" ht="12.75" customHeight="1">
      <c r="A155" s="1044"/>
      <c r="B155" s="1057">
        <f t="shared" si="84"/>
        <v>50</v>
      </c>
      <c r="C155" s="1051">
        <f t="shared" si="84"/>
        <v>0.1</v>
      </c>
      <c r="D155" s="1051">
        <f t="shared" si="84"/>
        <v>0.3</v>
      </c>
      <c r="E155" s="1051">
        <f t="shared" si="84"/>
        <v>0.3</v>
      </c>
      <c r="F155" s="1051">
        <f t="shared" si="84"/>
        <v>9.9999999999999992E-2</v>
      </c>
      <c r="G155" s="1052">
        <f t="shared" si="84"/>
        <v>0.85000000000000009</v>
      </c>
      <c r="L155" s="249"/>
      <c r="M155" s="249"/>
      <c r="N155" s="249"/>
      <c r="O155" s="249"/>
    </row>
    <row r="156" spans="1:17" ht="12.75" customHeight="1">
      <c r="A156" s="1044"/>
      <c r="B156" s="1057">
        <f t="shared" si="84"/>
        <v>100</v>
      </c>
      <c r="C156" s="1051">
        <f t="shared" si="84"/>
        <v>2</v>
      </c>
      <c r="D156" s="1051">
        <f t="shared" si="84"/>
        <v>0.6</v>
      </c>
      <c r="E156" s="1051">
        <f t="shared" si="84"/>
        <v>0.6</v>
      </c>
      <c r="F156" s="1051">
        <f t="shared" si="84"/>
        <v>0.7</v>
      </c>
      <c r="G156" s="1052">
        <f t="shared" si="84"/>
        <v>1.7000000000000002</v>
      </c>
      <c r="H156" s="1114"/>
      <c r="I156" s="1115"/>
      <c r="J156" s="1115"/>
      <c r="K156" s="1116"/>
      <c r="L156" s="249"/>
      <c r="M156" s="249"/>
      <c r="N156" s="249"/>
      <c r="O156" s="249"/>
    </row>
    <row r="157" spans="1:17" ht="12.75" customHeight="1">
      <c r="A157" s="1044"/>
      <c r="B157" s="1048" t="str">
        <f t="shared" si="84"/>
        <v>Resistance</v>
      </c>
      <c r="C157" s="1049"/>
      <c r="D157" s="1049"/>
      <c r="E157" s="1050"/>
      <c r="F157" s="1051" t="str">
        <f>IF($A$166=$A$167,F26,IF($A$166=$A$168,N26,IF($A$166=$A$169,V26,IF($A$166=$A$170,F57,IF($A$166=$A$171,N57,IF($A$166=$A$172,V57,IF($A$166=$A$173,F88,IF($A$166=$A$174,N88,IF($A$166=$A$175,V88,IF($A$166=$A$176,F119,IF($A$166=$A$177,N119,V119)))))))))))</f>
        <v>Driff</v>
      </c>
      <c r="G157" s="1052" t="str">
        <f>IF($A$166=$A$167,G26,IF($A$166=$A$168,O26,IF($A$166=$A$169,W26,IF($A$166=$A$170,G57,IF($A$166=$A$171,O57,IF($A$166=$A$172,W57,IF($A$166=$A$173,G88,IF($A$166=$A$174,O88,IF($A$166=$A$175,W88,IF($A$166=$A$176,G119,IF($A$166=$A$177,O119,W119)))))))))))</f>
        <v>U95</v>
      </c>
      <c r="L157" s="1117"/>
      <c r="M157" s="1117"/>
      <c r="O157" s="249"/>
    </row>
    <row r="158" spans="1:17" ht="12.75" customHeight="1">
      <c r="A158" s="1044"/>
      <c r="B158" s="1057" t="str">
        <f t="shared" si="84"/>
        <v>( Ω )</v>
      </c>
      <c r="C158" s="1051">
        <f t="shared" si="84"/>
        <v>2023</v>
      </c>
      <c r="D158" s="1051">
        <f t="shared" si="84"/>
        <v>2022</v>
      </c>
      <c r="E158" s="1051">
        <f t="shared" si="84"/>
        <v>2019</v>
      </c>
      <c r="F158" s="1051"/>
      <c r="G158" s="1052"/>
      <c r="H158" s="1114"/>
      <c r="I158" s="1115"/>
      <c r="J158" s="1115"/>
      <c r="K158" s="1116"/>
      <c r="L158" s="1118"/>
      <c r="M158" s="249"/>
      <c r="N158" s="249"/>
      <c r="O158" s="249"/>
      <c r="Q158" s="249"/>
    </row>
    <row r="159" spans="1:17" ht="12.75" customHeight="1">
      <c r="A159" s="1044"/>
      <c r="B159" s="1057">
        <f t="shared" si="84"/>
        <v>0.01</v>
      </c>
      <c r="C159" s="1088">
        <f t="shared" si="84"/>
        <v>0</v>
      </c>
      <c r="D159" s="1088">
        <f t="shared" si="84"/>
        <v>0</v>
      </c>
      <c r="E159" s="1088">
        <f t="shared" si="84"/>
        <v>9.9999999999999995E-7</v>
      </c>
      <c r="F159" s="1051">
        <f t="shared" si="84"/>
        <v>4.9999999999999998E-7</v>
      </c>
      <c r="G159" s="1052">
        <f t="shared" si="84"/>
        <v>1.2E-4</v>
      </c>
      <c r="I159" s="249"/>
      <c r="J159" s="253"/>
      <c r="K159" s="253"/>
      <c r="L159" s="253"/>
      <c r="M159" s="254"/>
      <c r="N159" s="249"/>
      <c r="O159" s="249"/>
      <c r="P159" s="1017"/>
      <c r="Q159" s="249"/>
    </row>
    <row r="160" spans="1:17" ht="12.75" customHeight="1">
      <c r="A160" s="1044"/>
      <c r="B160" s="1057">
        <f t="shared" si="84"/>
        <v>0.1</v>
      </c>
      <c r="C160" s="1088">
        <f t="shared" si="84"/>
        <v>0</v>
      </c>
      <c r="D160" s="1088">
        <f t="shared" si="84"/>
        <v>-3.0000000000000001E-3</v>
      </c>
      <c r="E160" s="1088">
        <f t="shared" si="84"/>
        <v>-2E-3</v>
      </c>
      <c r="F160" s="1065">
        <f t="shared" si="84"/>
        <v>1.5E-3</v>
      </c>
      <c r="G160" s="1052">
        <f t="shared" si="84"/>
        <v>1.2000000000000001E-3</v>
      </c>
      <c r="I160" s="249"/>
      <c r="J160" s="254"/>
      <c r="K160" s="253"/>
      <c r="L160" s="254"/>
      <c r="M160" s="254"/>
      <c r="N160" s="249"/>
      <c r="O160" s="249"/>
      <c r="P160" s="1017"/>
      <c r="Q160" s="249"/>
    </row>
    <row r="161" spans="1:38" ht="15.75" customHeight="1">
      <c r="A161" s="1044"/>
      <c r="B161" s="1057">
        <f t="shared" si="84"/>
        <v>1</v>
      </c>
      <c r="C161" s="1088">
        <f t="shared" si="84"/>
        <v>-6.0000000000000001E-3</v>
      </c>
      <c r="D161" s="1088">
        <f t="shared" si="84"/>
        <v>-7.0000000000000001E-3</v>
      </c>
      <c r="E161" s="1088">
        <f t="shared" si="84"/>
        <v>-1E-3</v>
      </c>
      <c r="F161" s="1065">
        <f t="shared" si="84"/>
        <v>3.0000000000000001E-3</v>
      </c>
      <c r="G161" s="1052">
        <f t="shared" si="84"/>
        <v>1.2E-2</v>
      </c>
      <c r="I161" s="249"/>
      <c r="J161" s="253"/>
      <c r="K161" s="253"/>
      <c r="L161" s="253"/>
      <c r="M161" s="254"/>
      <c r="N161" s="249"/>
      <c r="O161" s="249"/>
      <c r="P161" s="1017"/>
      <c r="Q161" s="249"/>
    </row>
    <row r="162" spans="1:38" ht="13.5" customHeight="1" thickBot="1">
      <c r="A162" s="1119"/>
      <c r="B162" s="1120">
        <f t="shared" si="84"/>
        <v>2</v>
      </c>
      <c r="C162" s="1121">
        <f t="shared" si="84"/>
        <v>-7.0000000000000001E-3</v>
      </c>
      <c r="D162" s="1121">
        <f t="shared" si="84"/>
        <v>-7.0000000000000001E-3</v>
      </c>
      <c r="E162" s="1121">
        <f t="shared" si="84"/>
        <v>9.9999999999999995E-7</v>
      </c>
      <c r="F162" s="1122">
        <f t="shared" si="84"/>
        <v>3.5005000000000001E-3</v>
      </c>
      <c r="G162" s="1123">
        <f t="shared" si="84"/>
        <v>2.4E-2</v>
      </c>
      <c r="I162" s="249"/>
      <c r="J162" s="966"/>
      <c r="K162" s="966"/>
      <c r="L162" s="966"/>
      <c r="M162" s="966"/>
      <c r="N162" s="249"/>
      <c r="O162" s="249"/>
      <c r="P162" s="1017"/>
      <c r="Q162" s="249"/>
    </row>
    <row r="163" spans="1:38">
      <c r="I163" s="249"/>
      <c r="J163" s="253"/>
      <c r="K163" s="253"/>
      <c r="L163" s="253"/>
      <c r="M163" s="254"/>
      <c r="N163" s="249"/>
      <c r="O163" s="249"/>
      <c r="P163" s="1017"/>
      <c r="Q163" s="249"/>
    </row>
    <row r="164" spans="1:38">
      <c r="I164" s="249"/>
      <c r="J164" s="254"/>
      <c r="K164" s="253"/>
      <c r="L164" s="254"/>
      <c r="M164" s="254"/>
      <c r="N164" s="249"/>
      <c r="O164" s="249"/>
      <c r="P164" s="1017"/>
      <c r="Q164" s="249"/>
    </row>
    <row r="165" spans="1:38" ht="13" thickBot="1">
      <c r="I165" s="249"/>
      <c r="J165" s="253"/>
      <c r="K165" s="253"/>
      <c r="L165" s="253"/>
      <c r="M165" s="254"/>
      <c r="N165" s="249"/>
      <c r="O165" s="249"/>
      <c r="P165" s="1017"/>
      <c r="Q165" s="249"/>
    </row>
    <row r="166" spans="1:38" ht="15" customHeight="1">
      <c r="A166" s="1124" t="str">
        <f>ID!B70</f>
        <v>Electrical Safety Analyzer, Merek : Fluke, Model : ESA 615, SN : 3148908</v>
      </c>
      <c r="B166" s="1124"/>
      <c r="C166" s="1124"/>
      <c r="D166" s="1124"/>
      <c r="E166" s="1124"/>
      <c r="F166" s="1124"/>
      <c r="G166" s="1124"/>
      <c r="H166" s="1125"/>
      <c r="I166" s="1125"/>
      <c r="J166" s="1125"/>
      <c r="K166" s="1125"/>
      <c r="L166" s="1126"/>
      <c r="N166" s="1360">
        <f>A179</f>
        <v>6</v>
      </c>
      <c r="O166" s="1361"/>
      <c r="P166" s="1361"/>
      <c r="Q166" s="1361"/>
      <c r="R166" s="1361"/>
      <c r="S166" s="1361"/>
      <c r="T166" s="1361"/>
      <c r="U166" s="1361"/>
      <c r="V166" s="1361"/>
      <c r="W166" s="1361"/>
      <c r="X166" s="1361"/>
      <c r="Y166" s="1362"/>
    </row>
    <row r="167" spans="1:38" ht="14">
      <c r="A167" s="1127" t="s">
        <v>414</v>
      </c>
      <c r="B167" s="1128"/>
      <c r="C167" s="1129"/>
      <c r="D167" s="1130"/>
      <c r="E167" s="1130"/>
      <c r="F167" s="1130"/>
      <c r="G167" s="1130"/>
      <c r="H167" s="1131"/>
      <c r="I167" s="1132">
        <f>C5</f>
        <v>2022</v>
      </c>
      <c r="J167" s="1132">
        <f t="shared" ref="J167:K167" si="85">D5</f>
        <v>2020</v>
      </c>
      <c r="K167" s="1132">
        <f t="shared" si="85"/>
        <v>2019</v>
      </c>
      <c r="L167" s="1133">
        <v>1</v>
      </c>
      <c r="N167" s="1134">
        <v>1</v>
      </c>
      <c r="O167" s="1135" t="s">
        <v>415</v>
      </c>
      <c r="P167" s="1136"/>
      <c r="Q167" s="1137"/>
      <c r="R167" s="1137"/>
      <c r="S167" s="1137"/>
      <c r="T167" s="1137"/>
      <c r="U167" s="1137"/>
      <c r="V167" s="1137"/>
      <c r="W167" s="1137"/>
      <c r="X167" s="1136"/>
      <c r="Y167" s="1138"/>
    </row>
    <row r="168" spans="1:38" ht="14">
      <c r="A168" s="1127" t="s">
        <v>416</v>
      </c>
      <c r="B168" s="1128"/>
      <c r="C168" s="1129"/>
      <c r="D168" s="1130"/>
      <c r="E168" s="1130"/>
      <c r="F168" s="1130"/>
      <c r="G168" s="1130"/>
      <c r="H168" s="1131"/>
      <c r="I168" s="1132">
        <f>K5</f>
        <v>2022</v>
      </c>
      <c r="J168" s="1132">
        <f t="shared" ref="J168:K168" si="86">L5</f>
        <v>2019</v>
      </c>
      <c r="K168" s="1132">
        <f t="shared" si="86"/>
        <v>2017</v>
      </c>
      <c r="L168" s="1133">
        <v>2</v>
      </c>
      <c r="N168" s="1134">
        <v>2</v>
      </c>
      <c r="O168" s="1135" t="s">
        <v>415</v>
      </c>
      <c r="P168" s="1136"/>
      <c r="Q168" s="1137"/>
      <c r="R168" s="1137"/>
      <c r="S168" s="1137"/>
      <c r="T168" s="1137"/>
      <c r="U168" s="1137"/>
      <c r="V168" s="1137"/>
      <c r="W168" s="1137"/>
      <c r="X168" s="1136"/>
      <c r="Y168" s="1138"/>
      <c r="AL168" s="1139"/>
    </row>
    <row r="169" spans="1:38" ht="14">
      <c r="A169" s="1127" t="s">
        <v>150</v>
      </c>
      <c r="B169" s="1128"/>
      <c r="C169" s="1129"/>
      <c r="D169" s="1130"/>
      <c r="E169" s="1130"/>
      <c r="F169" s="1130"/>
      <c r="G169" s="1130"/>
      <c r="H169" s="1131"/>
      <c r="I169" s="1132">
        <f>S5</f>
        <v>2018</v>
      </c>
      <c r="J169" s="1132">
        <f t="shared" ref="J169:K169" si="87">T5</f>
        <v>2021</v>
      </c>
      <c r="K169" s="1132">
        <f t="shared" si="87"/>
        <v>2022</v>
      </c>
      <c r="L169" s="1133">
        <v>3</v>
      </c>
      <c r="N169" s="1134">
        <v>3</v>
      </c>
      <c r="O169" s="1135" t="s">
        <v>415</v>
      </c>
      <c r="P169" s="1136"/>
      <c r="Q169" s="1137"/>
      <c r="R169" s="1137"/>
      <c r="S169" s="1137"/>
      <c r="T169" s="1137"/>
      <c r="U169" s="1137"/>
      <c r="V169" s="1137"/>
      <c r="W169" s="1137"/>
      <c r="X169" s="1136"/>
      <c r="Y169" s="1138"/>
      <c r="AL169" s="1139"/>
    </row>
    <row r="170" spans="1:38" ht="14">
      <c r="A170" s="1127" t="s">
        <v>417</v>
      </c>
      <c r="B170" s="1128"/>
      <c r="C170" s="1129"/>
      <c r="D170" s="1130"/>
      <c r="E170" s="1130"/>
      <c r="F170" s="1130"/>
      <c r="G170" s="1130"/>
      <c r="H170" s="1131"/>
      <c r="I170" s="1132">
        <f>C36</f>
        <v>2022</v>
      </c>
      <c r="J170" s="1132">
        <f t="shared" ref="J170:K170" si="88">D36</f>
        <v>2021</v>
      </c>
      <c r="K170" s="1132">
        <f t="shared" si="88"/>
        <v>2019</v>
      </c>
      <c r="L170" s="1133">
        <v>4</v>
      </c>
      <c r="N170" s="1134">
        <v>4</v>
      </c>
      <c r="O170" s="1135" t="s">
        <v>415</v>
      </c>
      <c r="P170" s="1136"/>
      <c r="Q170" s="1137"/>
      <c r="R170" s="1137"/>
      <c r="S170" s="1137"/>
      <c r="T170" s="1137"/>
      <c r="U170" s="1137"/>
      <c r="V170" s="1137"/>
      <c r="W170" s="1137"/>
      <c r="X170" s="1136"/>
      <c r="Y170" s="1138"/>
      <c r="AL170" s="1139"/>
    </row>
    <row r="171" spans="1:38" ht="14">
      <c r="A171" s="1127" t="s">
        <v>418</v>
      </c>
      <c r="B171" s="1129"/>
      <c r="C171" s="1129"/>
      <c r="D171" s="1130"/>
      <c r="E171" s="1130"/>
      <c r="F171" s="1130"/>
      <c r="G171" s="1130"/>
      <c r="H171" s="1131"/>
      <c r="I171" s="1132">
        <f>K36</f>
        <v>2022</v>
      </c>
      <c r="J171" s="1132">
        <f t="shared" ref="J171:K171" si="89">L36</f>
        <v>2021</v>
      </c>
      <c r="K171" s="1132">
        <f t="shared" si="89"/>
        <v>2019</v>
      </c>
      <c r="L171" s="1133">
        <v>5</v>
      </c>
      <c r="N171" s="1134">
        <v>5</v>
      </c>
      <c r="O171" s="1135" t="s">
        <v>415</v>
      </c>
      <c r="P171" s="1136"/>
      <c r="Q171" s="1137"/>
      <c r="R171" s="1137"/>
      <c r="S171" s="1137"/>
      <c r="T171" s="1137"/>
      <c r="U171" s="1137"/>
      <c r="V171" s="1137"/>
      <c r="W171" s="1137"/>
      <c r="X171" s="1136"/>
      <c r="Y171" s="1138"/>
      <c r="AL171" s="1139"/>
    </row>
    <row r="172" spans="1:38" ht="14">
      <c r="A172" s="1127" t="s">
        <v>154</v>
      </c>
      <c r="B172" s="1129"/>
      <c r="C172" s="1129"/>
      <c r="D172" s="1130"/>
      <c r="E172" s="1130"/>
      <c r="F172" s="1130"/>
      <c r="G172" s="1130"/>
      <c r="H172" s="1131"/>
      <c r="I172" s="1132">
        <f>S36</f>
        <v>2023</v>
      </c>
      <c r="J172" s="1132">
        <f t="shared" ref="J172:K172" si="90">T36</f>
        <v>2022</v>
      </c>
      <c r="K172" s="1132">
        <f t="shared" si="90"/>
        <v>2019</v>
      </c>
      <c r="L172" s="1133">
        <v>6</v>
      </c>
      <c r="N172" s="1134">
        <v>6</v>
      </c>
      <c r="O172" s="1135" t="s">
        <v>415</v>
      </c>
      <c r="P172" s="1136"/>
      <c r="Q172" s="1137"/>
      <c r="R172" s="1137"/>
      <c r="S172" s="1137"/>
      <c r="T172" s="1137"/>
      <c r="U172" s="1137"/>
      <c r="V172" s="1137"/>
      <c r="W172" s="1137"/>
      <c r="X172" s="1136"/>
      <c r="Y172" s="1138"/>
      <c r="AL172" s="1139"/>
    </row>
    <row r="173" spans="1:38" ht="14">
      <c r="A173" s="1127" t="s">
        <v>155</v>
      </c>
      <c r="B173" s="1129"/>
      <c r="C173" s="1129"/>
      <c r="D173" s="1130"/>
      <c r="E173" s="1130"/>
      <c r="F173" s="1130"/>
      <c r="G173" s="1130"/>
      <c r="H173" s="1131"/>
      <c r="I173" s="1132">
        <f>C67</f>
        <v>2023</v>
      </c>
      <c r="J173" s="1132">
        <f t="shared" ref="J173:K173" si="91">D67</f>
        <v>2022</v>
      </c>
      <c r="K173" s="1132">
        <f t="shared" si="91"/>
        <v>2020</v>
      </c>
      <c r="L173" s="1133">
        <v>7</v>
      </c>
      <c r="N173" s="1134">
        <v>7</v>
      </c>
      <c r="O173" s="1135" t="s">
        <v>415</v>
      </c>
      <c r="P173" s="1136"/>
      <c r="Q173" s="1137"/>
      <c r="R173" s="1137"/>
      <c r="S173" s="1137"/>
      <c r="T173" s="1137"/>
      <c r="U173" s="1137"/>
      <c r="V173" s="1137"/>
      <c r="W173" s="1137"/>
      <c r="X173" s="1136"/>
      <c r="Y173" s="1138"/>
      <c r="AL173" s="1139"/>
    </row>
    <row r="174" spans="1:38" ht="14">
      <c r="A174" s="1127" t="s">
        <v>157</v>
      </c>
      <c r="B174" s="1129"/>
      <c r="C174" s="1129"/>
      <c r="D174" s="1130"/>
      <c r="E174" s="1130"/>
      <c r="F174" s="1130"/>
      <c r="G174" s="1130"/>
      <c r="H174" s="1131"/>
      <c r="I174" s="1140">
        <f>K67</f>
        <v>2023</v>
      </c>
      <c r="J174" s="1140">
        <f t="shared" ref="J174:K174" si="92">L67</f>
        <v>2022</v>
      </c>
      <c r="K174" s="1140">
        <f t="shared" si="92"/>
        <v>2020</v>
      </c>
      <c r="L174" s="1133">
        <v>8</v>
      </c>
      <c r="N174" s="1134">
        <v>8</v>
      </c>
      <c r="O174" s="1135" t="s">
        <v>415</v>
      </c>
      <c r="P174" s="1136"/>
      <c r="Q174" s="1137"/>
      <c r="R174" s="1137"/>
      <c r="S174" s="1137"/>
      <c r="T174" s="1137"/>
      <c r="U174" s="1137"/>
      <c r="V174" s="1137"/>
      <c r="W174" s="1137"/>
      <c r="X174" s="1136"/>
      <c r="Y174" s="1138"/>
      <c r="AL174" s="1139"/>
    </row>
    <row r="175" spans="1:38" ht="14">
      <c r="A175" s="1127" t="s">
        <v>156</v>
      </c>
      <c r="B175" s="1129"/>
      <c r="C175" s="1129"/>
      <c r="D175" s="1130"/>
      <c r="E175" s="1130"/>
      <c r="F175" s="1130"/>
      <c r="G175" s="1130"/>
      <c r="H175" s="1131"/>
      <c r="I175" s="1140">
        <f>S67</f>
        <v>2019</v>
      </c>
      <c r="J175" s="1140">
        <f t="shared" ref="J175:K175" si="93">T67</f>
        <v>2022</v>
      </c>
      <c r="K175" s="1140">
        <f t="shared" si="93"/>
        <v>2020</v>
      </c>
      <c r="L175" s="1133">
        <v>9</v>
      </c>
      <c r="N175" s="1134">
        <v>9</v>
      </c>
      <c r="O175" s="1135" t="s">
        <v>415</v>
      </c>
      <c r="P175" s="1136"/>
      <c r="Q175" s="1137"/>
      <c r="R175" s="1137"/>
      <c r="S175" s="1137"/>
      <c r="T175" s="1137"/>
      <c r="U175" s="1137"/>
      <c r="V175" s="1137"/>
      <c r="W175" s="1137"/>
      <c r="X175" s="1136"/>
      <c r="Y175" s="1138"/>
      <c r="AL175" s="1139"/>
    </row>
    <row r="176" spans="1:38" ht="14">
      <c r="A176" s="1127" t="s">
        <v>419</v>
      </c>
      <c r="B176" s="1129"/>
      <c r="C176" s="1129"/>
      <c r="D176" s="1130"/>
      <c r="E176" s="1130"/>
      <c r="F176" s="1130"/>
      <c r="G176" s="1130"/>
      <c r="H176" s="1131"/>
      <c r="I176" s="1140">
        <f>C98</f>
        <v>2023</v>
      </c>
      <c r="J176" s="1140">
        <f t="shared" ref="J176:K176" si="94">D98</f>
        <v>2024</v>
      </c>
      <c r="K176" s="1140">
        <f t="shared" si="94"/>
        <v>2025</v>
      </c>
      <c r="L176" s="1133">
        <v>10</v>
      </c>
      <c r="M176" s="1139"/>
      <c r="N176" s="1134">
        <v>10</v>
      </c>
      <c r="O176" s="1135" t="s">
        <v>415</v>
      </c>
      <c r="P176" s="1136"/>
      <c r="Q176" s="1137"/>
      <c r="R176" s="1137"/>
      <c r="S176" s="1137"/>
      <c r="T176" s="1137"/>
      <c r="U176" s="1137"/>
      <c r="V176" s="1137"/>
      <c r="W176" s="1137"/>
      <c r="X176" s="1136"/>
      <c r="Y176" s="1138"/>
      <c r="AL176" s="1139"/>
    </row>
    <row r="177" spans="1:50" ht="14">
      <c r="A177" s="1127" t="s">
        <v>160</v>
      </c>
      <c r="B177" s="1129"/>
      <c r="C177" s="1129"/>
      <c r="D177" s="1130"/>
      <c r="E177" s="1130"/>
      <c r="F177" s="1130"/>
      <c r="G177" s="1130"/>
      <c r="H177" s="1131"/>
      <c r="I177" s="1140">
        <f>K98</f>
        <v>2019</v>
      </c>
      <c r="J177" s="1140">
        <f t="shared" ref="J177:K177" si="95">L98</f>
        <v>2019</v>
      </c>
      <c r="K177" s="1140">
        <f t="shared" si="95"/>
        <v>2020</v>
      </c>
      <c r="L177" s="1133">
        <v>11</v>
      </c>
      <c r="N177" s="1134">
        <v>11</v>
      </c>
      <c r="O177" s="1135" t="s">
        <v>415</v>
      </c>
      <c r="P177" s="1136"/>
      <c r="Q177" s="1137"/>
      <c r="R177" s="1137"/>
      <c r="S177" s="1137"/>
      <c r="T177" s="1137"/>
      <c r="U177" s="1137"/>
      <c r="V177" s="1137"/>
      <c r="W177" s="1137"/>
      <c r="X177" s="1136"/>
      <c r="Y177" s="1138"/>
      <c r="AL177" s="1139"/>
    </row>
    <row r="178" spans="1:50" ht="14">
      <c r="A178" s="1127" t="s">
        <v>162</v>
      </c>
      <c r="B178" s="1129"/>
      <c r="C178" s="1129"/>
      <c r="D178" s="1130"/>
      <c r="E178" s="1130"/>
      <c r="F178" s="1130"/>
      <c r="G178" s="1130"/>
      <c r="H178" s="1131"/>
      <c r="I178" s="1140">
        <f>S98</f>
        <v>2019</v>
      </c>
      <c r="J178" s="1140">
        <f t="shared" ref="J178:K178" si="96">T98</f>
        <v>2019</v>
      </c>
      <c r="K178" s="1140">
        <f t="shared" si="96"/>
        <v>2020</v>
      </c>
      <c r="L178" s="1133">
        <v>12</v>
      </c>
      <c r="N178" s="1134">
        <v>12</v>
      </c>
      <c r="O178" s="1135" t="s">
        <v>415</v>
      </c>
      <c r="P178" s="1136"/>
      <c r="Q178" s="1137"/>
      <c r="R178" s="1137"/>
      <c r="S178" s="1137"/>
      <c r="T178" s="1137"/>
      <c r="U178" s="1137"/>
      <c r="V178" s="1137"/>
      <c r="W178" s="1137"/>
      <c r="X178" s="1136"/>
      <c r="Y178" s="1138"/>
      <c r="AL178" s="1139"/>
    </row>
    <row r="179" spans="1:50" ht="15.75" customHeight="1" thickBot="1">
      <c r="A179" s="1363">
        <f>VLOOKUP(A166,A167:L178,12,(FALSE))</f>
        <v>6</v>
      </c>
      <c r="B179" s="1364"/>
      <c r="C179" s="1364"/>
      <c r="D179" s="1364"/>
      <c r="E179" s="1364"/>
      <c r="F179" s="1364"/>
      <c r="G179" s="1364"/>
      <c r="H179" s="1364"/>
      <c r="I179" s="1364"/>
      <c r="J179" s="1364"/>
      <c r="K179" s="1364"/>
      <c r="L179" s="1365"/>
      <c r="O179" s="1141" t="str">
        <f>VLOOKUP(N166,N167:Y178,2,FALSE)</f>
        <v>Hasil pengukuran keselamatan listrik tertelusur ke Satuan Internasional ( SI ) melalui PT. Kaliman</v>
      </c>
      <c r="P179" s="1142"/>
      <c r="Q179" s="1142"/>
      <c r="R179" s="1142"/>
      <c r="S179" s="1142"/>
      <c r="T179" s="1142"/>
      <c r="U179" s="1142"/>
      <c r="V179" s="1142"/>
      <c r="W179" s="1142"/>
      <c r="X179" s="1142"/>
      <c r="Y179" s="1143"/>
      <c r="AL179" s="1139"/>
    </row>
    <row r="180" spans="1:50">
      <c r="AL180" s="1139"/>
    </row>
    <row r="181" spans="1:50" ht="14">
      <c r="A181" s="1144"/>
      <c r="AL181" s="1139"/>
    </row>
    <row r="182" spans="1:50">
      <c r="AA182" s="1139"/>
      <c r="AB182" s="1139"/>
      <c r="AC182" s="1139"/>
      <c r="AD182" s="1139"/>
      <c r="AE182" s="1139"/>
      <c r="AF182" s="1139"/>
      <c r="AG182" s="1139"/>
      <c r="AH182" s="1139"/>
      <c r="AI182" s="1139"/>
      <c r="AJ182" s="1139"/>
      <c r="AK182" s="1139"/>
      <c r="AL182" s="1139"/>
      <c r="AM182" s="1139"/>
      <c r="AN182" s="1139"/>
      <c r="AO182" s="1139"/>
      <c r="AP182" s="1139"/>
      <c r="AQ182" s="1139"/>
      <c r="AR182" s="1139"/>
      <c r="AS182" s="1139"/>
      <c r="AT182" s="1139"/>
      <c r="AU182" s="1139"/>
      <c r="AV182" s="1139"/>
      <c r="AW182" s="1139"/>
      <c r="AX182" s="1139"/>
    </row>
    <row r="215" spans="27:31">
      <c r="AA215" s="255"/>
      <c r="AB215" s="249"/>
      <c r="AC215" s="249"/>
      <c r="AD215" s="249"/>
      <c r="AE215" s="249"/>
    </row>
    <row r="216" spans="27:31">
      <c r="AA216" s="255"/>
      <c r="AB216" s="249"/>
      <c r="AC216" s="249"/>
      <c r="AD216" s="249"/>
      <c r="AE216" s="249"/>
    </row>
    <row r="217" spans="27:31">
      <c r="AA217" s="255"/>
      <c r="AB217" s="249"/>
      <c r="AC217" s="249"/>
      <c r="AD217" s="249"/>
      <c r="AE217" s="249"/>
    </row>
    <row r="218" spans="27:31">
      <c r="AA218" s="255"/>
      <c r="AB218" s="249"/>
      <c r="AC218" s="249"/>
      <c r="AD218" s="249"/>
      <c r="AE218" s="249"/>
    </row>
    <row r="219" spans="27:31">
      <c r="AA219" s="255"/>
      <c r="AB219" s="249"/>
      <c r="AC219" s="249"/>
      <c r="AD219" s="249"/>
      <c r="AE219" s="249"/>
    </row>
    <row r="220" spans="27:31" ht="13" thickBot="1">
      <c r="AA220" s="1145"/>
      <c r="AB220" s="1104"/>
      <c r="AC220" s="1104"/>
      <c r="AD220" s="1104"/>
      <c r="AE220" s="1104"/>
    </row>
  </sheetData>
  <mergeCells count="94">
    <mergeCell ref="N166:Y166"/>
    <mergeCell ref="A95:A124"/>
    <mergeCell ref="B95:G95"/>
    <mergeCell ref="A179:L179"/>
    <mergeCell ref="B119:E119"/>
    <mergeCell ref="J119:M119"/>
    <mergeCell ref="I140:L140"/>
    <mergeCell ref="I142:L142"/>
    <mergeCell ref="I144:L144"/>
    <mergeCell ref="R119:U119"/>
    <mergeCell ref="B132:G132"/>
    <mergeCell ref="I134:L134"/>
    <mergeCell ref="I136:L136"/>
    <mergeCell ref="I138:L138"/>
    <mergeCell ref="I95:I124"/>
    <mergeCell ref="J95:O95"/>
    <mergeCell ref="B113:E113"/>
    <mergeCell ref="J113:M113"/>
    <mergeCell ref="R113:U113"/>
    <mergeCell ref="R95:W95"/>
    <mergeCell ref="R96:U96"/>
    <mergeCell ref="R97:U97"/>
    <mergeCell ref="R105:U105"/>
    <mergeCell ref="Q95:Q124"/>
    <mergeCell ref="B96:E96"/>
    <mergeCell ref="J96:M96"/>
    <mergeCell ref="B97:E97"/>
    <mergeCell ref="J97:M97"/>
    <mergeCell ref="B105:E105"/>
    <mergeCell ref="J105:M105"/>
    <mergeCell ref="R43:U43"/>
    <mergeCell ref="R74:U74"/>
    <mergeCell ref="B57:E57"/>
    <mergeCell ref="J57:M57"/>
    <mergeCell ref="R57:U57"/>
    <mergeCell ref="R64:W64"/>
    <mergeCell ref="B51:E51"/>
    <mergeCell ref="J51:M51"/>
    <mergeCell ref="R51:U51"/>
    <mergeCell ref="R65:U65"/>
    <mergeCell ref="B66:E66"/>
    <mergeCell ref="J66:M66"/>
    <mergeCell ref="R66:U66"/>
    <mergeCell ref="Q64:Q93"/>
    <mergeCell ref="R82:U82"/>
    <mergeCell ref="R88:U88"/>
    <mergeCell ref="B82:E82"/>
    <mergeCell ref="A64:A93"/>
    <mergeCell ref="B64:G64"/>
    <mergeCell ref="I64:I93"/>
    <mergeCell ref="J64:O64"/>
    <mergeCell ref="B65:E65"/>
    <mergeCell ref="B74:E74"/>
    <mergeCell ref="J74:M74"/>
    <mergeCell ref="J65:M65"/>
    <mergeCell ref="B88:E88"/>
    <mergeCell ref="J88:M88"/>
    <mergeCell ref="J82:M82"/>
    <mergeCell ref="A33:A62"/>
    <mergeCell ref="B33:G33"/>
    <mergeCell ref="I33:I62"/>
    <mergeCell ref="J33:O33"/>
    <mergeCell ref="Q33:Q62"/>
    <mergeCell ref="B43:E43"/>
    <mergeCell ref="J43:M43"/>
    <mergeCell ref="R33:W33"/>
    <mergeCell ref="B34:E34"/>
    <mergeCell ref="J34:M34"/>
    <mergeCell ref="R34:U34"/>
    <mergeCell ref="B35:E35"/>
    <mergeCell ref="J35:M35"/>
    <mergeCell ref="R35:U35"/>
    <mergeCell ref="B20:E20"/>
    <mergeCell ref="J20:M20"/>
    <mergeCell ref="R20:U20"/>
    <mergeCell ref="B26:E26"/>
    <mergeCell ref="J26:M26"/>
    <mergeCell ref="R26:U26"/>
    <mergeCell ref="A1:W1"/>
    <mergeCell ref="A2:A31"/>
    <mergeCell ref="B2:G2"/>
    <mergeCell ref="I2:I31"/>
    <mergeCell ref="J2:O2"/>
    <mergeCell ref="Q2:Q31"/>
    <mergeCell ref="R2:W2"/>
    <mergeCell ref="B3:E3"/>
    <mergeCell ref="J3:M3"/>
    <mergeCell ref="R3:U3"/>
    <mergeCell ref="B4:E4"/>
    <mergeCell ref="J4:M4"/>
    <mergeCell ref="R4:U4"/>
    <mergeCell ref="B12:E12"/>
    <mergeCell ref="J12:M12"/>
    <mergeCell ref="R12:U12"/>
  </mergeCells>
  <pageMargins left="0.69930555555555596" right="0.69930555555555596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S79"/>
  <sheetViews>
    <sheetView showGridLines="0" view="pageBreakPreview" topLeftCell="A46" zoomScale="68" zoomScaleNormal="100" zoomScaleSheetLayoutView="68" zoomScalePageLayoutView="87" workbookViewId="0">
      <selection activeCell="E74" sqref="E74"/>
    </sheetView>
  </sheetViews>
  <sheetFormatPr defaultColWidth="9.1796875" defaultRowHeight="13"/>
  <cols>
    <col min="1" max="1" width="5.81640625" style="4" customWidth="1"/>
    <col min="2" max="2" width="4.7265625" style="4" customWidth="1"/>
    <col min="3" max="3" width="13.1796875" style="4" customWidth="1"/>
    <col min="4" max="14" width="11" style="4" customWidth="1"/>
    <col min="15" max="15" width="10.453125" style="4" customWidth="1"/>
    <col min="16" max="16" width="8.453125" style="4" customWidth="1"/>
    <col min="17" max="17" width="9.1796875" style="309"/>
    <col min="18" max="16384" width="9.1796875" style="4"/>
  </cols>
  <sheetData>
    <row r="1" spans="1:17" ht="18">
      <c r="A1" s="1378" t="s">
        <v>435</v>
      </c>
      <c r="B1" s="1378"/>
      <c r="C1" s="1378"/>
      <c r="D1" s="1378"/>
      <c r="E1" s="1378"/>
      <c r="F1" s="1378"/>
      <c r="G1" s="1378"/>
      <c r="H1" s="1378"/>
      <c r="I1" s="1378"/>
      <c r="J1" s="1378"/>
      <c r="K1" s="1378"/>
      <c r="L1" s="1378"/>
      <c r="M1" s="1378"/>
      <c r="N1" s="315"/>
      <c r="O1" s="315"/>
      <c r="P1" s="315"/>
      <c r="Q1" s="315"/>
    </row>
    <row r="2" spans="1:17" ht="15.5">
      <c r="A2" s="1379" t="s">
        <v>438</v>
      </c>
      <c r="B2" s="1379"/>
      <c r="C2" s="1379"/>
      <c r="D2" s="1379"/>
      <c r="E2" s="1379"/>
      <c r="F2" s="1379"/>
      <c r="G2" s="1379"/>
      <c r="H2" s="1379"/>
      <c r="I2" s="1379"/>
      <c r="J2" s="1379"/>
      <c r="K2" s="1379"/>
      <c r="L2" s="1379"/>
      <c r="M2" s="1379"/>
      <c r="N2" s="316"/>
      <c r="O2" s="316"/>
      <c r="P2" s="316"/>
      <c r="Q2" s="316"/>
    </row>
    <row r="3" spans="1:17" ht="7.5" customHeight="1">
      <c r="B3" s="27" t="s">
        <v>123</v>
      </c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</row>
    <row r="4" spans="1:17" ht="14">
      <c r="A4" s="28" t="s">
        <v>163</v>
      </c>
      <c r="B4" s="28"/>
      <c r="C4" s="28"/>
      <c r="D4" s="43" t="s">
        <v>164</v>
      </c>
      <c r="E4" s="31" t="s">
        <v>165</v>
      </c>
      <c r="F4" s="28"/>
      <c r="G4" s="28"/>
      <c r="H4" s="28"/>
      <c r="I4" s="28"/>
      <c r="J4" s="28"/>
      <c r="K4" s="28"/>
      <c r="L4" s="28"/>
      <c r="M4" s="28"/>
      <c r="O4" s="28"/>
      <c r="P4" s="28"/>
    </row>
    <row r="5" spans="1:17" ht="16.5" customHeight="1">
      <c r="A5" s="28" t="s">
        <v>166</v>
      </c>
      <c r="B5" s="28"/>
      <c r="C5" s="28"/>
      <c r="D5" s="43" t="s">
        <v>164</v>
      </c>
      <c r="E5" s="31" t="s">
        <v>165</v>
      </c>
      <c r="F5" s="28"/>
      <c r="G5" s="28"/>
      <c r="H5" s="28"/>
      <c r="I5" s="28"/>
      <c r="J5" s="28"/>
      <c r="K5" s="28"/>
      <c r="L5" s="28"/>
      <c r="M5" s="28"/>
      <c r="O5" s="28"/>
      <c r="P5" s="28"/>
    </row>
    <row r="6" spans="1:17" ht="16.5" customHeight="1">
      <c r="A6" s="28" t="s">
        <v>167</v>
      </c>
      <c r="B6" s="28"/>
      <c r="C6" s="28"/>
      <c r="D6" s="43" t="s">
        <v>164</v>
      </c>
      <c r="E6" s="31" t="s">
        <v>165</v>
      </c>
      <c r="F6" s="28"/>
      <c r="G6" s="28"/>
      <c r="H6" s="28"/>
      <c r="I6" s="28"/>
      <c r="J6" s="28"/>
      <c r="K6" s="28"/>
      <c r="L6" s="28"/>
      <c r="M6" s="28"/>
      <c r="O6" s="28"/>
      <c r="P6" s="28"/>
    </row>
    <row r="7" spans="1:17" ht="16.5" customHeight="1">
      <c r="A7" s="28" t="s">
        <v>168</v>
      </c>
      <c r="B7" s="28"/>
      <c r="C7" s="28"/>
      <c r="D7" s="43" t="s">
        <v>164</v>
      </c>
      <c r="E7" s="31" t="s">
        <v>165</v>
      </c>
      <c r="F7" s="28"/>
      <c r="G7" s="28"/>
      <c r="H7" s="28"/>
      <c r="I7" s="28"/>
      <c r="J7" s="28"/>
      <c r="K7" s="28"/>
      <c r="L7" s="28"/>
      <c r="M7" s="28"/>
      <c r="O7" s="28"/>
      <c r="P7" s="28"/>
    </row>
    <row r="8" spans="1:17" ht="16.5" customHeight="1">
      <c r="A8" s="28" t="s">
        <v>169</v>
      </c>
      <c r="B8" s="28"/>
      <c r="C8" s="28"/>
      <c r="D8" s="43" t="s">
        <v>164</v>
      </c>
      <c r="E8" s="31" t="s">
        <v>165</v>
      </c>
      <c r="F8" s="28"/>
      <c r="G8" s="28"/>
      <c r="H8" s="28"/>
      <c r="I8" s="28"/>
      <c r="J8" s="28"/>
      <c r="K8" s="28"/>
      <c r="L8" s="28"/>
      <c r="M8" s="28"/>
      <c r="O8" s="28"/>
      <c r="P8" s="28"/>
    </row>
    <row r="9" spans="1:17" ht="16.5" customHeight="1">
      <c r="A9" s="28" t="s">
        <v>170</v>
      </c>
      <c r="B9" s="28"/>
      <c r="C9" s="28"/>
      <c r="D9" s="43" t="s">
        <v>164</v>
      </c>
      <c r="E9" s="31" t="s">
        <v>165</v>
      </c>
      <c r="F9" s="28"/>
      <c r="G9" s="28"/>
      <c r="H9" s="28"/>
      <c r="I9" s="28"/>
      <c r="J9" s="28"/>
      <c r="K9" s="28"/>
      <c r="L9" s="28"/>
      <c r="M9" s="28"/>
      <c r="O9" s="28"/>
      <c r="P9" s="28"/>
    </row>
    <row r="10" spans="1:17" ht="16.5" customHeight="1">
      <c r="A10" s="28" t="s">
        <v>171</v>
      </c>
      <c r="B10" s="28"/>
      <c r="C10" s="28"/>
      <c r="D10" s="43" t="s">
        <v>164</v>
      </c>
      <c r="E10" s="31" t="s">
        <v>165</v>
      </c>
      <c r="F10" s="28"/>
      <c r="G10" s="28"/>
      <c r="H10" s="28"/>
      <c r="I10" s="28"/>
      <c r="J10" s="28"/>
      <c r="K10" s="28"/>
      <c r="L10" s="28"/>
      <c r="M10" s="28"/>
      <c r="O10" s="28"/>
      <c r="P10" s="28"/>
    </row>
    <row r="11" spans="1:17" ht="14">
      <c r="A11" s="28" t="s">
        <v>172</v>
      </c>
      <c r="B11" s="28"/>
      <c r="D11" s="38" t="s">
        <v>164</v>
      </c>
      <c r="E11" s="31" t="s">
        <v>173</v>
      </c>
    </row>
    <row r="12" spans="1:17" ht="14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O12" s="28"/>
      <c r="P12" s="28"/>
    </row>
    <row r="13" spans="1:17" ht="20.149999999999999" customHeight="1">
      <c r="A13" s="29" t="s">
        <v>174</v>
      </c>
      <c r="B13" s="29" t="s">
        <v>175</v>
      </c>
      <c r="C13" s="29"/>
      <c r="D13" s="28"/>
      <c r="E13" s="29"/>
      <c r="F13" s="1399" t="s">
        <v>176</v>
      </c>
      <c r="G13" s="1400"/>
      <c r="H13" s="1399" t="s">
        <v>177</v>
      </c>
      <c r="I13" s="1400"/>
      <c r="J13" s="35"/>
      <c r="K13" s="28"/>
      <c r="L13" s="28"/>
      <c r="M13" s="28"/>
      <c r="O13" s="28"/>
      <c r="P13" s="28"/>
    </row>
    <row r="14" spans="1:17" ht="20.149999999999999" customHeight="1">
      <c r="A14" s="28"/>
      <c r="B14" s="28" t="s">
        <v>178</v>
      </c>
      <c r="C14" s="28"/>
      <c r="D14" s="28"/>
      <c r="E14" s="28" t="s">
        <v>179</v>
      </c>
      <c r="F14" s="1401"/>
      <c r="G14" s="1402"/>
      <c r="H14" s="1401"/>
      <c r="I14" s="1402"/>
      <c r="J14" s="28" t="s">
        <v>180</v>
      </c>
      <c r="K14" s="28"/>
      <c r="L14" s="28"/>
      <c r="M14" s="28"/>
      <c r="O14" s="28"/>
      <c r="P14" s="28"/>
    </row>
    <row r="15" spans="1:17" ht="20.149999999999999" customHeight="1">
      <c r="A15" s="28"/>
      <c r="B15" s="28" t="s">
        <v>181</v>
      </c>
      <c r="C15" s="28"/>
      <c r="D15" s="28"/>
      <c r="E15" s="28" t="s">
        <v>164</v>
      </c>
      <c r="F15" s="1401"/>
      <c r="G15" s="1402"/>
      <c r="H15" s="1401"/>
      <c r="I15" s="1402"/>
      <c r="J15" s="28" t="s">
        <v>75</v>
      </c>
      <c r="K15" s="28"/>
      <c r="L15" s="28"/>
      <c r="M15" s="28"/>
      <c r="O15" s="28"/>
      <c r="P15" s="28"/>
    </row>
    <row r="16" spans="1:17" ht="20.149999999999999" customHeight="1">
      <c r="A16" s="28"/>
      <c r="B16" s="28" t="s">
        <v>182</v>
      </c>
      <c r="C16" s="28"/>
      <c r="D16" s="33"/>
      <c r="E16" s="28" t="s">
        <v>164</v>
      </c>
      <c r="F16" s="44"/>
      <c r="G16" s="45"/>
      <c r="H16" s="45"/>
      <c r="I16" s="46"/>
      <c r="J16" s="28" t="s">
        <v>140</v>
      </c>
      <c r="K16" s="28"/>
      <c r="L16" s="28"/>
      <c r="M16" s="28"/>
      <c r="O16" s="28"/>
      <c r="P16" s="28"/>
    </row>
    <row r="17" spans="1:17" ht="14">
      <c r="A17" s="28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O17" s="28"/>
      <c r="P17" s="28"/>
    </row>
    <row r="18" spans="1:17" ht="14">
      <c r="A18" s="29" t="s">
        <v>183</v>
      </c>
      <c r="B18" s="29" t="s">
        <v>184</v>
      </c>
      <c r="C18" s="29"/>
      <c r="D18" s="28"/>
      <c r="E18" s="29"/>
      <c r="F18" s="29"/>
      <c r="G18" s="29"/>
      <c r="H18" s="29"/>
      <c r="I18" s="28"/>
      <c r="J18" s="28"/>
      <c r="K18" s="28"/>
      <c r="L18" s="28"/>
      <c r="M18" s="28"/>
      <c r="O18" s="28"/>
      <c r="P18" s="28"/>
      <c r="Q18" s="317" t="s">
        <v>185</v>
      </c>
    </row>
    <row r="19" spans="1:17" ht="16.5" customHeight="1">
      <c r="A19" s="28"/>
      <c r="B19" s="28" t="s">
        <v>186</v>
      </c>
      <c r="C19" s="28"/>
      <c r="D19" s="28"/>
      <c r="E19" s="28" t="s">
        <v>187</v>
      </c>
      <c r="F19" s="28"/>
      <c r="G19" s="28"/>
      <c r="H19" s="1380" t="s">
        <v>188</v>
      </c>
      <c r="I19" s="1380"/>
      <c r="J19" s="1380"/>
      <c r="K19" s="1380"/>
      <c r="L19" s="1380"/>
      <c r="M19" s="313"/>
      <c r="N19" s="313"/>
      <c r="O19" s="28"/>
      <c r="P19" s="28"/>
      <c r="Q19" s="318">
        <v>5</v>
      </c>
    </row>
    <row r="20" spans="1:17" ht="16.5" customHeight="1">
      <c r="A20" s="28"/>
      <c r="B20" s="28" t="s">
        <v>189</v>
      </c>
      <c r="C20" s="28"/>
      <c r="D20" s="28"/>
      <c r="E20" s="28" t="s">
        <v>187</v>
      </c>
      <c r="F20" s="28"/>
      <c r="G20" s="28"/>
      <c r="H20" s="313"/>
      <c r="I20" s="313"/>
      <c r="J20" s="313"/>
      <c r="K20" s="313"/>
      <c r="L20" s="313"/>
      <c r="M20" s="313"/>
      <c r="N20" s="313"/>
      <c r="O20" s="28"/>
      <c r="P20" s="28"/>
      <c r="Q20" s="318">
        <v>5</v>
      </c>
    </row>
    <row r="21" spans="1:17" ht="6.75" customHeight="1">
      <c r="A21" s="29"/>
      <c r="B21" s="29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O21" s="28"/>
      <c r="P21" s="28"/>
    </row>
    <row r="22" spans="1:17" ht="14">
      <c r="A22" s="29" t="s">
        <v>110</v>
      </c>
      <c r="B22" s="29" t="s">
        <v>190</v>
      </c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O22" s="28"/>
      <c r="P22" s="28"/>
    </row>
    <row r="23" spans="1:17" ht="20.149999999999999" customHeight="1">
      <c r="B23" s="1381" t="s">
        <v>87</v>
      </c>
      <c r="C23" s="381" t="s">
        <v>116</v>
      </c>
      <c r="D23" s="382"/>
      <c r="E23" s="382"/>
      <c r="F23" s="382"/>
      <c r="G23" s="382"/>
      <c r="H23" s="382"/>
      <c r="I23" s="1403" t="s">
        <v>117</v>
      </c>
      <c r="J23" s="1404"/>
      <c r="K23" s="1403" t="s">
        <v>191</v>
      </c>
      <c r="L23" s="1404"/>
      <c r="Q23" s="1411" t="s">
        <v>185</v>
      </c>
    </row>
    <row r="24" spans="1:17" ht="15" customHeight="1">
      <c r="B24" s="1382"/>
      <c r="C24" s="383"/>
      <c r="D24" s="384"/>
      <c r="E24" s="384"/>
      <c r="F24" s="384"/>
      <c r="G24" s="384"/>
      <c r="H24" s="384"/>
      <c r="I24" s="1407"/>
      <c r="J24" s="1408"/>
      <c r="K24" s="1405"/>
      <c r="L24" s="1406"/>
      <c r="Q24" s="1411"/>
    </row>
    <row r="25" spans="1:17" ht="20.149999999999999" customHeight="1">
      <c r="B25" s="47">
        <v>1</v>
      </c>
      <c r="C25" s="310" t="s">
        <v>192</v>
      </c>
      <c r="D25" s="311"/>
      <c r="E25" s="311"/>
      <c r="F25" s="311"/>
      <c r="G25" s="311"/>
      <c r="H25" s="311"/>
      <c r="I25" s="44"/>
      <c r="J25" s="48" t="s">
        <v>193</v>
      </c>
      <c r="K25" s="60" t="s">
        <v>194</v>
      </c>
      <c r="L25" s="48" t="s">
        <v>193</v>
      </c>
      <c r="Q25" s="319">
        <v>10</v>
      </c>
    </row>
    <row r="26" spans="1:17" ht="20.149999999999999" customHeight="1">
      <c r="B26" s="47">
        <v>2</v>
      </c>
      <c r="C26" s="310" t="s">
        <v>195</v>
      </c>
      <c r="D26" s="311"/>
      <c r="E26" s="311"/>
      <c r="F26" s="311"/>
      <c r="G26" s="311"/>
      <c r="H26" s="311"/>
      <c r="I26" s="44"/>
      <c r="J26" s="48" t="s">
        <v>153</v>
      </c>
      <c r="K26" s="60" t="s">
        <v>196</v>
      </c>
      <c r="L26" s="48" t="s">
        <v>153</v>
      </c>
      <c r="Q26" s="1412">
        <v>10</v>
      </c>
    </row>
    <row r="27" spans="1:17" ht="20.149999999999999" customHeight="1">
      <c r="B27" s="47">
        <v>3</v>
      </c>
      <c r="C27" s="310" t="s">
        <v>197</v>
      </c>
      <c r="D27" s="311"/>
      <c r="E27" s="311"/>
      <c r="F27" s="311"/>
      <c r="G27" s="311"/>
      <c r="H27" s="311"/>
      <c r="I27" s="44"/>
      <c r="J27" s="48" t="s">
        <v>153</v>
      </c>
      <c r="K27" s="60" t="s">
        <v>198</v>
      </c>
      <c r="L27" s="48" t="s">
        <v>153</v>
      </c>
      <c r="Q27" s="1412"/>
    </row>
    <row r="28" spans="1:17" ht="20.149999999999999" customHeight="1">
      <c r="B28" s="47">
        <v>4</v>
      </c>
      <c r="C28" s="310" t="s">
        <v>199</v>
      </c>
      <c r="D28" s="311"/>
      <c r="E28" s="311"/>
      <c r="F28" s="311"/>
      <c r="G28" s="311"/>
      <c r="H28" s="311"/>
      <c r="I28" s="44"/>
      <c r="J28" s="48" t="s">
        <v>200</v>
      </c>
      <c r="K28" s="60" t="s">
        <v>201</v>
      </c>
      <c r="L28" s="48" t="s">
        <v>200</v>
      </c>
      <c r="Q28" s="1413">
        <v>10</v>
      </c>
    </row>
    <row r="29" spans="1:17" ht="20.149999999999999" customHeight="1">
      <c r="B29" s="47">
        <v>5</v>
      </c>
      <c r="C29" s="310" t="s">
        <v>202</v>
      </c>
      <c r="D29" s="311"/>
      <c r="E29" s="311"/>
      <c r="F29" s="311"/>
      <c r="G29" s="311"/>
      <c r="H29" s="311"/>
      <c r="I29" s="44"/>
      <c r="J29" s="48" t="s">
        <v>200</v>
      </c>
      <c r="K29" s="60" t="s">
        <v>203</v>
      </c>
      <c r="L29" s="48" t="s">
        <v>200</v>
      </c>
      <c r="Q29" s="1413"/>
    </row>
    <row r="30" spans="1:17" ht="20.149999999999999" customHeight="1">
      <c r="B30" s="47">
        <v>6</v>
      </c>
      <c r="C30" s="310" t="s">
        <v>204</v>
      </c>
      <c r="D30" s="311"/>
      <c r="E30" s="311"/>
      <c r="F30" s="311"/>
      <c r="G30" s="311"/>
      <c r="H30" s="311"/>
      <c r="I30" s="44"/>
      <c r="J30" s="48" t="s">
        <v>200</v>
      </c>
      <c r="K30" s="60" t="s">
        <v>205</v>
      </c>
      <c r="L30" s="48" t="s">
        <v>200</v>
      </c>
      <c r="Q30" s="319">
        <v>10</v>
      </c>
    </row>
    <row r="31" spans="1:17" ht="14">
      <c r="B31" s="49"/>
      <c r="C31" s="28"/>
      <c r="D31" s="28"/>
      <c r="E31" s="28"/>
      <c r="F31" s="28"/>
      <c r="G31" s="28"/>
      <c r="H31" s="27"/>
      <c r="I31" s="28"/>
      <c r="J31" s="50" t="s">
        <v>206</v>
      </c>
      <c r="K31" s="314" t="s">
        <v>207</v>
      </c>
      <c r="L31" s="27"/>
    </row>
    <row r="32" spans="1:17" ht="14">
      <c r="B32" s="49"/>
      <c r="C32" s="28"/>
      <c r="D32" s="28"/>
      <c r="E32" s="28"/>
      <c r="F32" s="28"/>
      <c r="G32" s="28"/>
      <c r="H32" s="27"/>
      <c r="I32" s="28"/>
      <c r="J32" s="43" t="s">
        <v>208</v>
      </c>
      <c r="K32" s="314" t="s">
        <v>207</v>
      </c>
      <c r="L32" s="27"/>
    </row>
    <row r="33" spans="1:17" ht="14">
      <c r="A33" s="30" t="s">
        <v>209</v>
      </c>
      <c r="B33" s="30" t="s">
        <v>210</v>
      </c>
    </row>
    <row r="34" spans="1:17" ht="16.5" customHeight="1">
      <c r="B34" s="30" t="s">
        <v>211</v>
      </c>
      <c r="E34" s="53"/>
      <c r="F34" s="53"/>
      <c r="G34" s="53"/>
      <c r="H34" s="53"/>
      <c r="I34" s="53"/>
      <c r="J34" s="53"/>
      <c r="K34" s="53"/>
      <c r="L34" s="53"/>
      <c r="N34" s="83"/>
      <c r="O34" s="54"/>
      <c r="Q34" s="307"/>
    </row>
    <row r="35" spans="1:17" ht="16.5" customHeight="1">
      <c r="B35" s="1387" t="s">
        <v>87</v>
      </c>
      <c r="C35" s="1389" t="s">
        <v>116</v>
      </c>
      <c r="D35" s="1387" t="s">
        <v>212</v>
      </c>
      <c r="E35" s="1409" t="s">
        <v>213</v>
      </c>
      <c r="F35" s="1409"/>
      <c r="G35" s="1409"/>
      <c r="H35" s="1391" t="s">
        <v>214</v>
      </c>
      <c r="I35" s="53"/>
      <c r="J35" s="53"/>
      <c r="K35" s="53"/>
      <c r="L35" s="53"/>
      <c r="N35" s="83"/>
      <c r="O35" s="54"/>
      <c r="Q35" s="307"/>
    </row>
    <row r="36" spans="1:17" ht="16.5" customHeight="1">
      <c r="B36" s="1388"/>
      <c r="C36" s="1390"/>
      <c r="D36" s="1388"/>
      <c r="E36" s="379" t="s">
        <v>27</v>
      </c>
      <c r="F36" s="379" t="s">
        <v>29</v>
      </c>
      <c r="G36" s="379" t="s">
        <v>31</v>
      </c>
      <c r="H36" s="1392"/>
      <c r="I36" s="53"/>
      <c r="J36" s="53"/>
      <c r="K36" s="53"/>
      <c r="L36" s="53"/>
      <c r="N36" s="83"/>
      <c r="O36" s="54"/>
      <c r="Q36" s="307"/>
    </row>
    <row r="37" spans="1:17" ht="16.5" customHeight="1">
      <c r="B37" s="378">
        <v>1</v>
      </c>
      <c r="C37" s="1385" t="s">
        <v>215</v>
      </c>
      <c r="D37" s="378">
        <v>5</v>
      </c>
      <c r="E37" s="73"/>
      <c r="F37" s="73"/>
      <c r="G37" s="73"/>
      <c r="H37" s="1393" t="s">
        <v>216</v>
      </c>
      <c r="I37" s="377" t="s">
        <v>217</v>
      </c>
      <c r="J37" s="53"/>
      <c r="K37" s="53"/>
      <c r="L37" s="53"/>
      <c r="N37" s="83"/>
      <c r="O37" s="54"/>
      <c r="Q37" s="307"/>
    </row>
    <row r="38" spans="1:17" ht="16.5" customHeight="1">
      <c r="B38" s="378">
        <v>2</v>
      </c>
      <c r="C38" s="1385"/>
      <c r="D38" s="378">
        <v>10</v>
      </c>
      <c r="E38" s="73"/>
      <c r="F38" s="73"/>
      <c r="G38" s="73"/>
      <c r="H38" s="1393"/>
      <c r="I38" s="53"/>
      <c r="J38" s="53"/>
      <c r="K38" s="53"/>
      <c r="L38" s="53"/>
      <c r="N38" s="83"/>
      <c r="O38" s="54"/>
      <c r="Q38" s="307"/>
    </row>
    <row r="39" spans="1:17" ht="16.5" customHeight="1">
      <c r="B39" s="378">
        <v>3</v>
      </c>
      <c r="C39" s="1385"/>
      <c r="D39" s="378">
        <v>20</v>
      </c>
      <c r="E39" s="73"/>
      <c r="F39" s="73"/>
      <c r="G39" s="73"/>
      <c r="H39" s="1393"/>
      <c r="I39" s="53"/>
      <c r="J39" s="53"/>
      <c r="K39" s="53"/>
      <c r="L39" s="53"/>
      <c r="N39" s="83"/>
      <c r="O39" s="54"/>
      <c r="Q39" s="307"/>
    </row>
    <row r="40" spans="1:17" ht="16.5" customHeight="1">
      <c r="B40" s="378">
        <v>4</v>
      </c>
      <c r="C40" s="1385"/>
      <c r="D40" s="378">
        <v>30</v>
      </c>
      <c r="E40" s="73"/>
      <c r="F40" s="73"/>
      <c r="G40" s="73"/>
      <c r="H40" s="1393"/>
      <c r="I40" s="53"/>
      <c r="J40" s="53"/>
      <c r="K40" s="53"/>
      <c r="L40" s="53"/>
      <c r="N40" s="83"/>
      <c r="O40" s="54"/>
      <c r="Q40" s="307"/>
    </row>
    <row r="41" spans="1:17" ht="16.5" customHeight="1">
      <c r="B41" s="378">
        <v>5</v>
      </c>
      <c r="C41" s="1385"/>
      <c r="D41" s="378">
        <v>50</v>
      </c>
      <c r="E41" s="73"/>
      <c r="F41" s="73"/>
      <c r="G41" s="73"/>
      <c r="H41" s="1393"/>
      <c r="I41" s="53"/>
      <c r="J41" s="53"/>
      <c r="K41" s="53"/>
      <c r="L41" s="53"/>
      <c r="N41" s="83"/>
      <c r="O41" s="54"/>
      <c r="Q41" s="307"/>
    </row>
    <row r="42" spans="1:17" ht="16.5" customHeight="1">
      <c r="B42" s="378">
        <v>6</v>
      </c>
      <c r="C42" s="1385"/>
      <c r="D42" s="378">
        <v>100</v>
      </c>
      <c r="E42" s="73"/>
      <c r="F42" s="73"/>
      <c r="G42" s="73"/>
      <c r="H42" s="1393"/>
      <c r="I42" s="53"/>
      <c r="J42" s="53"/>
      <c r="K42" s="53"/>
      <c r="L42" s="53"/>
      <c r="N42" s="83"/>
      <c r="O42" s="54"/>
      <c r="Q42" s="307"/>
    </row>
    <row r="43" spans="1:17" ht="16.5" customHeight="1">
      <c r="B43" s="378">
        <v>7</v>
      </c>
      <c r="C43" s="1385"/>
      <c r="D43" s="378">
        <v>150</v>
      </c>
      <c r="E43" s="73"/>
      <c r="F43" s="73"/>
      <c r="G43" s="73"/>
      <c r="H43" s="1393"/>
      <c r="I43" s="53"/>
      <c r="J43" s="53"/>
      <c r="K43" s="53"/>
      <c r="L43" s="53"/>
      <c r="N43" s="83"/>
      <c r="O43" s="54"/>
      <c r="Q43" s="307"/>
    </row>
    <row r="44" spans="1:17" ht="16.5" customHeight="1">
      <c r="B44" s="378">
        <v>8</v>
      </c>
      <c r="C44" s="1385"/>
      <c r="D44" s="378">
        <v>200</v>
      </c>
      <c r="E44" s="73"/>
      <c r="F44" s="73"/>
      <c r="G44" s="73"/>
      <c r="H44" s="1393"/>
      <c r="I44" s="53"/>
      <c r="J44" s="53"/>
      <c r="K44" s="53"/>
      <c r="L44" s="53"/>
      <c r="N44" s="83"/>
      <c r="O44" s="54"/>
      <c r="Q44" s="307"/>
    </row>
    <row r="45" spans="1:17" ht="16.5" customHeight="1">
      <c r="B45" s="378">
        <v>9</v>
      </c>
      <c r="C45" s="1385"/>
      <c r="D45" s="378">
        <v>300</v>
      </c>
      <c r="E45" s="73"/>
      <c r="F45" s="73"/>
      <c r="G45" s="73"/>
      <c r="H45" s="1393"/>
      <c r="I45" s="53"/>
      <c r="J45" s="53"/>
      <c r="K45" s="53"/>
      <c r="L45" s="53"/>
      <c r="N45" s="83"/>
      <c r="O45" s="54"/>
      <c r="Q45" s="307"/>
    </row>
    <row r="46" spans="1:17" ht="16.5" customHeight="1">
      <c r="B46" s="82"/>
      <c r="C46" s="32"/>
      <c r="D46" s="78"/>
      <c r="E46" s="53"/>
      <c r="F46" s="53"/>
      <c r="G46" s="53"/>
      <c r="H46" s="53"/>
      <c r="I46" s="53"/>
      <c r="J46" s="53"/>
      <c r="K46" s="53"/>
      <c r="L46" s="53"/>
      <c r="N46" s="83"/>
      <c r="O46" s="54"/>
      <c r="Q46" s="307"/>
    </row>
    <row r="47" spans="1:17" ht="16.5" customHeight="1">
      <c r="B47" s="30" t="s">
        <v>218</v>
      </c>
      <c r="D47" s="30"/>
      <c r="E47" s="53"/>
      <c r="F47" s="53"/>
      <c r="G47" s="53"/>
      <c r="H47" s="53"/>
      <c r="I47" s="53"/>
      <c r="J47" s="53"/>
      <c r="K47" s="53"/>
      <c r="L47" s="53"/>
      <c r="N47" s="83"/>
      <c r="O47" s="54"/>
      <c r="Q47" s="307"/>
    </row>
    <row r="48" spans="1:17" ht="16.5" customHeight="1">
      <c r="B48" s="1387" t="s">
        <v>87</v>
      </c>
      <c r="C48" s="1389" t="s">
        <v>116</v>
      </c>
      <c r="D48" s="1394" t="s">
        <v>212</v>
      </c>
      <c r="E48" s="1397" t="s">
        <v>213</v>
      </c>
      <c r="F48" s="1397"/>
      <c r="G48" s="1397"/>
      <c r="H48" s="1397"/>
      <c r="I48" s="1397"/>
      <c r="J48" s="1398" t="s">
        <v>214</v>
      </c>
      <c r="K48" s="53"/>
      <c r="L48" s="53"/>
      <c r="N48" s="83"/>
      <c r="O48" s="54"/>
      <c r="Q48" s="307"/>
    </row>
    <row r="49" spans="1:19" ht="16.5" customHeight="1">
      <c r="B49" s="1388"/>
      <c r="C49" s="1390"/>
      <c r="D49" s="1395"/>
      <c r="E49" s="1397"/>
      <c r="F49" s="1397"/>
      <c r="G49" s="1397"/>
      <c r="H49" s="1397"/>
      <c r="I49" s="1397"/>
      <c r="J49" s="1398"/>
      <c r="K49" s="53"/>
      <c r="L49" s="53"/>
      <c r="N49" s="83"/>
      <c r="O49" s="54"/>
      <c r="Q49" s="307"/>
    </row>
    <row r="50" spans="1:19" ht="16.5" customHeight="1">
      <c r="B50" s="1383">
        <v>1</v>
      </c>
      <c r="C50" s="1385" t="s">
        <v>215</v>
      </c>
      <c r="D50" s="1386" t="s">
        <v>219</v>
      </c>
      <c r="E50" s="380">
        <v>1</v>
      </c>
      <c r="F50" s="380">
        <v>2</v>
      </c>
      <c r="G50" s="380">
        <v>3</v>
      </c>
      <c r="H50" s="380">
        <v>4</v>
      </c>
      <c r="I50" s="380">
        <v>5</v>
      </c>
      <c r="J50" s="1414" t="s">
        <v>216</v>
      </c>
      <c r="K50" s="556" t="s">
        <v>220</v>
      </c>
      <c r="L50" s="53"/>
      <c r="N50" s="83"/>
      <c r="O50" s="54"/>
      <c r="Q50" s="307"/>
    </row>
    <row r="51" spans="1:19" ht="16.5" customHeight="1">
      <c r="B51" s="1384"/>
      <c r="C51" s="1385"/>
      <c r="D51" s="1386"/>
      <c r="E51" s="380">
        <v>6</v>
      </c>
      <c r="F51" s="380">
        <v>7</v>
      </c>
      <c r="G51" s="380">
        <v>8</v>
      </c>
      <c r="H51" s="380">
        <v>9</v>
      </c>
      <c r="I51" s="380">
        <v>10</v>
      </c>
      <c r="J51" s="1415"/>
      <c r="K51" s="53"/>
      <c r="L51" s="53"/>
      <c r="N51" s="83"/>
      <c r="O51" s="54"/>
      <c r="Q51" s="307"/>
    </row>
    <row r="52" spans="1:19" ht="16.5" customHeight="1">
      <c r="B52" s="82"/>
      <c r="C52" s="32"/>
      <c r="D52" s="78"/>
      <c r="E52" s="53"/>
      <c r="F52" s="53"/>
      <c r="G52" s="53"/>
      <c r="H52" s="53"/>
      <c r="I52" s="53"/>
      <c r="J52" s="53"/>
      <c r="K52" s="53"/>
      <c r="L52" s="53"/>
      <c r="N52" s="83"/>
      <c r="O52" s="54"/>
      <c r="Q52" s="307"/>
    </row>
    <row r="53" spans="1:19" ht="16.5" customHeight="1">
      <c r="B53" s="30" t="s">
        <v>221</v>
      </c>
      <c r="D53" s="30"/>
      <c r="E53" s="53"/>
      <c r="F53" s="53"/>
      <c r="G53" s="53"/>
      <c r="H53" s="53"/>
      <c r="I53" s="53"/>
      <c r="J53" s="53"/>
      <c r="K53" s="53"/>
      <c r="L53" s="53"/>
      <c r="N53" s="83"/>
      <c r="O53" s="54"/>
      <c r="Q53" s="307"/>
    </row>
    <row r="54" spans="1:19" ht="16.5" customHeight="1">
      <c r="B54" s="385" t="s">
        <v>9</v>
      </c>
      <c r="C54" s="1416" t="s">
        <v>116</v>
      </c>
      <c r="D54" s="1416"/>
      <c r="E54" s="1418" t="s">
        <v>222</v>
      </c>
      <c r="F54" s="1418"/>
      <c r="G54" s="1409" t="s">
        <v>213</v>
      </c>
      <c r="H54" s="1409"/>
      <c r="I54" s="379" t="s">
        <v>214</v>
      </c>
      <c r="J54" s="53"/>
      <c r="K54" s="53"/>
      <c r="L54" s="53"/>
      <c r="N54" s="83"/>
      <c r="O54" s="54"/>
      <c r="Q54" s="307"/>
    </row>
    <row r="55" spans="1:19" ht="16.5" customHeight="1">
      <c r="B55" s="386">
        <v>1</v>
      </c>
      <c r="C55" s="1417" t="s">
        <v>223</v>
      </c>
      <c r="D55" s="1417"/>
      <c r="E55" s="1419" t="s">
        <v>224</v>
      </c>
      <c r="F55" s="1419"/>
      <c r="G55" s="1420"/>
      <c r="H55" s="1420"/>
      <c r="I55" s="73" t="s">
        <v>225</v>
      </c>
      <c r="J55" s="556" t="s">
        <v>220</v>
      </c>
      <c r="K55" s="53"/>
      <c r="L55" s="53"/>
      <c r="N55" s="83"/>
      <c r="O55" s="54"/>
      <c r="Q55" s="307"/>
    </row>
    <row r="56" spans="1:19" ht="16.5" customHeight="1">
      <c r="B56" s="264"/>
      <c r="C56" s="387"/>
      <c r="D56" s="387"/>
      <c r="E56" s="388"/>
      <c r="F56" s="388"/>
      <c r="G56" s="53"/>
      <c r="H56" s="53"/>
      <c r="I56" s="53"/>
      <c r="J56" s="53"/>
      <c r="K56" s="53"/>
      <c r="L56" s="53"/>
      <c r="N56" s="83"/>
      <c r="O56" s="54"/>
      <c r="Q56" s="307"/>
    </row>
    <row r="57" spans="1:19" ht="14.25" customHeight="1">
      <c r="A57" s="78" t="s">
        <v>227</v>
      </c>
      <c r="B57" s="84" t="s">
        <v>151</v>
      </c>
      <c r="D57" s="78"/>
      <c r="E57" s="53"/>
      <c r="F57" s="53"/>
      <c r="G57" s="53"/>
      <c r="H57" s="53"/>
      <c r="I57" s="53"/>
      <c r="J57" s="53"/>
      <c r="K57" s="53"/>
      <c r="L57" s="30"/>
      <c r="M57" s="30"/>
      <c r="N57" s="30"/>
      <c r="O57" s="27"/>
      <c r="Q57" s="308"/>
    </row>
    <row r="58" spans="1:19" ht="17.25" customHeight="1">
      <c r="B58" s="1410" t="s">
        <v>228</v>
      </c>
      <c r="C58" s="1410"/>
      <c r="D58" s="1410"/>
      <c r="E58" s="1410"/>
      <c r="F58" s="1410"/>
      <c r="G58" s="1410"/>
      <c r="H58" s="1410"/>
      <c r="I58" s="1410"/>
      <c r="J58" s="1410"/>
      <c r="K58" s="1410"/>
      <c r="L58" s="30"/>
      <c r="M58" s="30"/>
      <c r="N58" s="30"/>
      <c r="O58" s="27"/>
      <c r="P58" s="27"/>
    </row>
    <row r="59" spans="1:19" ht="16.5" customHeight="1">
      <c r="B59" s="1396" t="s">
        <v>229</v>
      </c>
      <c r="C59" s="1396"/>
      <c r="D59" s="1396"/>
      <c r="E59" s="1396"/>
      <c r="F59" s="1396"/>
      <c r="G59" s="1396"/>
      <c r="H59" s="1396"/>
      <c r="I59" s="1396"/>
      <c r="J59" s="1396"/>
      <c r="K59" s="1396"/>
      <c r="L59" s="30"/>
      <c r="M59" s="30"/>
      <c r="N59" s="30"/>
    </row>
    <row r="60" spans="1:19" ht="14">
      <c r="B60" s="79"/>
      <c r="C60" s="52"/>
      <c r="D60" s="78"/>
      <c r="E60" s="53"/>
      <c r="F60" s="53"/>
      <c r="G60" s="53"/>
      <c r="H60" s="53"/>
      <c r="I60" s="53"/>
      <c r="J60" s="53"/>
      <c r="K60" s="53"/>
    </row>
    <row r="61" spans="1:19" ht="14">
      <c r="A61" s="78" t="s">
        <v>230</v>
      </c>
      <c r="B61" s="30" t="s">
        <v>231</v>
      </c>
      <c r="D61" s="78"/>
      <c r="E61" s="53"/>
      <c r="F61" s="53"/>
      <c r="G61" s="53"/>
      <c r="H61" s="53"/>
      <c r="I61" s="53"/>
      <c r="J61" s="53"/>
      <c r="K61" s="53"/>
    </row>
    <row r="62" spans="1:19" ht="14">
      <c r="A62" s="31"/>
      <c r="B62" s="41" t="s">
        <v>232</v>
      </c>
      <c r="D62" s="27"/>
      <c r="E62" s="9"/>
      <c r="F62" s="9"/>
      <c r="G62" s="27"/>
      <c r="H62" s="27"/>
      <c r="I62" s="27"/>
      <c r="J62" s="27"/>
      <c r="K62" s="27"/>
    </row>
    <row r="63" spans="1:19" ht="14">
      <c r="A63" s="31"/>
      <c r="B63" s="41" t="s">
        <v>233</v>
      </c>
      <c r="D63" s="27"/>
      <c r="E63" s="27"/>
      <c r="F63" s="27"/>
      <c r="G63" s="27"/>
      <c r="H63" s="27"/>
      <c r="I63" s="27"/>
      <c r="J63" s="27"/>
      <c r="K63" s="27"/>
    </row>
    <row r="64" spans="1:19" ht="14">
      <c r="A64" s="31"/>
      <c r="B64" s="41" t="s">
        <v>234</v>
      </c>
      <c r="D64" s="27"/>
      <c r="E64" s="27"/>
      <c r="F64" s="27"/>
      <c r="G64" s="27"/>
      <c r="H64" s="27"/>
      <c r="I64" s="27"/>
      <c r="J64" s="27"/>
      <c r="K64" s="27"/>
      <c r="S64" s="309"/>
    </row>
    <row r="65" spans="1:19" ht="14">
      <c r="A65" s="31"/>
      <c r="B65" s="41"/>
      <c r="C65" s="28" t="s">
        <v>235</v>
      </c>
      <c r="D65" s="27"/>
      <c r="E65" s="27"/>
      <c r="F65" s="27"/>
      <c r="G65" s="27"/>
      <c r="H65" s="27"/>
      <c r="I65" s="27"/>
      <c r="J65" s="27"/>
      <c r="K65" s="27"/>
      <c r="S65" s="309"/>
    </row>
    <row r="66" spans="1:19" ht="14">
      <c r="A66" s="9"/>
      <c r="B66" s="41" t="s">
        <v>236</v>
      </c>
      <c r="D66" s="78"/>
      <c r="E66" s="53"/>
      <c r="F66" s="53"/>
      <c r="G66" s="53"/>
      <c r="H66" s="53"/>
      <c r="I66" s="53"/>
      <c r="J66" s="53"/>
      <c r="K66" s="53"/>
    </row>
    <row r="67" spans="1:19" ht="14">
      <c r="A67" s="9"/>
      <c r="B67" s="41" t="s">
        <v>237</v>
      </c>
      <c r="D67" s="78"/>
      <c r="E67" s="53"/>
      <c r="F67" s="53"/>
      <c r="G67" s="53"/>
      <c r="H67" s="53"/>
      <c r="I67" s="53"/>
      <c r="J67" s="53"/>
      <c r="K67" s="53"/>
    </row>
    <row r="68" spans="1:19" ht="14">
      <c r="A68" s="9"/>
      <c r="B68" s="41" t="s">
        <v>238</v>
      </c>
      <c r="D68" s="78"/>
      <c r="E68" s="53"/>
      <c r="F68" s="53"/>
      <c r="G68" s="53"/>
      <c r="H68" s="53"/>
      <c r="I68" s="53"/>
      <c r="J68" s="53"/>
      <c r="K68" s="53"/>
    </row>
    <row r="69" spans="1:19" ht="14">
      <c r="A69" s="31"/>
      <c r="B69" s="41" t="s">
        <v>239</v>
      </c>
      <c r="D69" s="27"/>
      <c r="E69" s="27"/>
      <c r="F69" s="27"/>
      <c r="G69" s="27"/>
      <c r="H69" s="27"/>
      <c r="I69" s="27"/>
      <c r="J69" s="27"/>
      <c r="K69" s="27"/>
      <c r="L69" s="714"/>
      <c r="M69" s="714"/>
      <c r="N69" s="714"/>
    </row>
    <row r="70" spans="1:19" ht="14">
      <c r="A70" s="79"/>
      <c r="B70" s="40" t="s">
        <v>433</v>
      </c>
      <c r="D70" s="78"/>
      <c r="E70" s="53"/>
      <c r="F70" s="53"/>
      <c r="G70" s="53"/>
      <c r="H70" s="53"/>
      <c r="I70" s="53"/>
      <c r="J70" s="53"/>
      <c r="K70" s="53"/>
    </row>
    <row r="71" spans="1:19" ht="14">
      <c r="A71" s="9"/>
      <c r="B71" s="40" t="s">
        <v>434</v>
      </c>
      <c r="D71" s="9"/>
      <c r="E71" s="9"/>
      <c r="F71" s="9"/>
      <c r="G71" s="9"/>
      <c r="H71" s="9"/>
      <c r="I71" s="9"/>
      <c r="J71" s="9"/>
      <c r="K71" s="9"/>
    </row>
    <row r="72" spans="1:19" ht="14">
      <c r="A72" s="9"/>
      <c r="B72" s="31" t="s">
        <v>240</v>
      </c>
      <c r="D72" s="9"/>
      <c r="E72" s="9"/>
      <c r="F72" s="9"/>
      <c r="G72" s="9"/>
      <c r="H72" s="9"/>
      <c r="I72" s="9"/>
      <c r="J72" s="9"/>
      <c r="K72" s="9"/>
    </row>
    <row r="73" spans="1:19" ht="14">
      <c r="A73" s="9"/>
      <c r="B73" s="31" t="s">
        <v>241</v>
      </c>
      <c r="D73" s="9"/>
      <c r="E73" s="9"/>
      <c r="F73" s="9"/>
      <c r="G73" s="9"/>
      <c r="H73" s="9"/>
      <c r="I73" s="9"/>
      <c r="J73" s="9"/>
      <c r="K73" s="9"/>
    </row>
    <row r="74" spans="1:19" ht="14">
      <c r="A74" s="80"/>
      <c r="B74" s="31" t="s">
        <v>242</v>
      </c>
      <c r="D74" s="9"/>
      <c r="E74" s="9"/>
      <c r="F74" s="9"/>
      <c r="G74" s="9"/>
      <c r="H74" s="9"/>
      <c r="I74" s="9"/>
      <c r="J74" s="9"/>
      <c r="K74" s="9"/>
    </row>
    <row r="75" spans="1:19">
      <c r="B75" s="9"/>
      <c r="C75" s="9"/>
      <c r="D75" s="9"/>
      <c r="E75" s="9"/>
      <c r="F75" s="9"/>
      <c r="G75" s="9"/>
      <c r="H75" s="9"/>
      <c r="I75" s="9"/>
      <c r="J75" s="9"/>
      <c r="K75" s="9"/>
    </row>
    <row r="76" spans="1:19" ht="14">
      <c r="A76" s="78" t="s">
        <v>243</v>
      </c>
      <c r="B76" s="30" t="s">
        <v>244</v>
      </c>
      <c r="D76" s="9"/>
      <c r="E76" s="9"/>
      <c r="F76" s="9"/>
      <c r="G76" s="9"/>
      <c r="H76" s="9"/>
      <c r="I76" s="9"/>
      <c r="J76" s="9"/>
      <c r="K76" s="9"/>
    </row>
    <row r="77" spans="1:19" ht="14">
      <c r="A77" s="31"/>
      <c r="B77" s="42" t="s">
        <v>245</v>
      </c>
      <c r="D77" s="9"/>
      <c r="E77" s="9"/>
      <c r="F77" s="9"/>
      <c r="G77" s="9"/>
      <c r="H77" s="9"/>
      <c r="I77" s="9"/>
      <c r="J77" s="9"/>
      <c r="K77" s="9"/>
      <c r="N77" s="11"/>
      <c r="P77" s="1"/>
    </row>
    <row r="78" spans="1:19">
      <c r="B78" s="9"/>
      <c r="C78" s="81"/>
      <c r="D78" s="80"/>
      <c r="E78" s="9"/>
      <c r="F78" s="9"/>
      <c r="G78" s="9"/>
      <c r="H78" s="9"/>
      <c r="I78" s="9"/>
      <c r="J78" s="9"/>
      <c r="K78" s="9"/>
      <c r="L78" s="2"/>
      <c r="M78" s="2"/>
      <c r="N78" s="2"/>
      <c r="O78" s="2"/>
      <c r="P78" s="2"/>
    </row>
    <row r="79" spans="1:19"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</row>
  </sheetData>
  <sheetProtection insertRows="0"/>
  <mergeCells count="39">
    <mergeCell ref="Q23:Q24"/>
    <mergeCell ref="Q26:Q27"/>
    <mergeCell ref="Q28:Q29"/>
    <mergeCell ref="J50:J51"/>
    <mergeCell ref="C54:D54"/>
    <mergeCell ref="E54:F54"/>
    <mergeCell ref="G54:H54"/>
    <mergeCell ref="B59:K59"/>
    <mergeCell ref="E48:I49"/>
    <mergeCell ref="J48:J49"/>
    <mergeCell ref="F13:G13"/>
    <mergeCell ref="F14:G14"/>
    <mergeCell ref="F15:G15"/>
    <mergeCell ref="H13:I13"/>
    <mergeCell ref="H14:I14"/>
    <mergeCell ref="H15:I15"/>
    <mergeCell ref="K23:L24"/>
    <mergeCell ref="I23:J24"/>
    <mergeCell ref="E35:G35"/>
    <mergeCell ref="B58:K58"/>
    <mergeCell ref="C55:D55"/>
    <mergeCell ref="E55:F55"/>
    <mergeCell ref="G55:H55"/>
    <mergeCell ref="A1:M1"/>
    <mergeCell ref="A2:M2"/>
    <mergeCell ref="H19:L19"/>
    <mergeCell ref="B23:B24"/>
    <mergeCell ref="B50:B51"/>
    <mergeCell ref="C50:C51"/>
    <mergeCell ref="D50:D51"/>
    <mergeCell ref="B35:B36"/>
    <mergeCell ref="C35:C36"/>
    <mergeCell ref="D35:D36"/>
    <mergeCell ref="C37:C45"/>
    <mergeCell ref="H35:H36"/>
    <mergeCell ref="H37:H45"/>
    <mergeCell ref="B48:B49"/>
    <mergeCell ref="C48:C49"/>
    <mergeCell ref="D48:D49"/>
  </mergeCells>
  <printOptions horizontalCentered="1"/>
  <pageMargins left="0.19685039370078741" right="7.874015748031496E-2" top="0.35433070866141736" bottom="0.23622047244094491" header="0.15748031496062992" footer="0.19685039370078741"/>
  <pageSetup paperSize="9" scale="65" orientation="portrait" horizontalDpi="4294967294" verticalDpi="4294967294" r:id="rId1"/>
  <headerFooter>
    <oddHeader>&amp;R&amp;8KL.LK.012-18 / REV : 0</oddHead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3CBC1-4B37-44F2-BA03-E27C7FFB08CA}">
  <dimension ref="A2:F100"/>
  <sheetViews>
    <sheetView workbookViewId="0">
      <selection activeCell="B23" sqref="B23"/>
    </sheetView>
  </sheetViews>
  <sheetFormatPr defaultColWidth="9.1796875" defaultRowHeight="12.5"/>
  <cols>
    <col min="1" max="1" width="9.1796875" style="62"/>
    <col min="2" max="2" width="19" style="62" customWidth="1"/>
    <col min="3" max="4" width="39.81640625" style="62" customWidth="1"/>
    <col min="5" max="6" width="12.54296875" style="62" customWidth="1"/>
    <col min="7" max="16384" width="9.1796875" style="62"/>
  </cols>
  <sheetData>
    <row r="2" spans="1:6">
      <c r="A2" s="1421" t="s">
        <v>9</v>
      </c>
      <c r="B2" s="1421" t="s">
        <v>246</v>
      </c>
      <c r="C2" s="1421" t="s">
        <v>247</v>
      </c>
      <c r="D2" s="1421"/>
      <c r="E2" s="1422" t="s">
        <v>248</v>
      </c>
      <c r="F2" s="1422" t="s">
        <v>249</v>
      </c>
    </row>
    <row r="3" spans="1:6">
      <c r="A3" s="1421"/>
      <c r="B3" s="1421"/>
      <c r="C3" s="368" t="s">
        <v>250</v>
      </c>
      <c r="D3" s="368" t="s">
        <v>251</v>
      </c>
      <c r="E3" s="1422"/>
      <c r="F3" s="1422"/>
    </row>
    <row r="4" spans="1:6" ht="14">
      <c r="A4" s="368"/>
      <c r="B4" s="369"/>
      <c r="C4" s="370"/>
      <c r="D4" s="370"/>
      <c r="E4" s="371"/>
      <c r="F4" s="371"/>
    </row>
    <row r="5" spans="1:6">
      <c r="A5" s="368"/>
      <c r="B5" s="372"/>
      <c r="C5" s="373"/>
      <c r="D5" s="374"/>
      <c r="E5" s="371"/>
      <c r="F5" s="371"/>
    </row>
    <row r="6" spans="1:6">
      <c r="A6" s="368"/>
      <c r="B6" s="372"/>
      <c r="C6" s="375"/>
      <c r="D6" s="375"/>
      <c r="E6" s="371"/>
      <c r="F6" s="371"/>
    </row>
    <row r="7" spans="1:6">
      <c r="A7" s="368"/>
      <c r="B7" s="372"/>
      <c r="C7" s="368"/>
      <c r="D7" s="368"/>
      <c r="E7" s="371"/>
      <c r="F7" s="371"/>
    </row>
    <row r="8" spans="1:6">
      <c r="A8" s="368"/>
      <c r="B8" s="372"/>
      <c r="C8" s="368"/>
      <c r="D8" s="368"/>
      <c r="E8" s="371"/>
      <c r="F8" s="371"/>
    </row>
    <row r="9" spans="1:6">
      <c r="A9" s="368"/>
      <c r="B9" s="372"/>
      <c r="C9" s="368"/>
      <c r="D9" s="368"/>
      <c r="E9" s="371"/>
      <c r="F9" s="371"/>
    </row>
    <row r="10" spans="1:6">
      <c r="A10" s="368"/>
      <c r="B10" s="372"/>
      <c r="C10" s="368"/>
      <c r="D10" s="368"/>
      <c r="E10" s="371"/>
      <c r="F10" s="371"/>
    </row>
    <row r="11" spans="1:6">
      <c r="A11" s="368"/>
      <c r="B11" s="372"/>
      <c r="C11" s="368"/>
      <c r="D11" s="368"/>
      <c r="E11" s="371"/>
      <c r="F11" s="371"/>
    </row>
    <row r="12" spans="1:6">
      <c r="A12" s="368"/>
      <c r="B12" s="372"/>
      <c r="C12" s="368"/>
      <c r="D12" s="368"/>
      <c r="E12" s="371"/>
      <c r="F12" s="371"/>
    </row>
    <row r="13" spans="1:6">
      <c r="A13" s="368"/>
      <c r="B13" s="372"/>
      <c r="C13" s="368"/>
      <c r="D13" s="368"/>
      <c r="E13" s="371"/>
      <c r="F13" s="371"/>
    </row>
    <row r="14" spans="1:6">
      <c r="A14" s="368"/>
      <c r="B14" s="372"/>
      <c r="C14" s="368"/>
      <c r="D14" s="368"/>
      <c r="E14" s="371"/>
      <c r="F14" s="371"/>
    </row>
    <row r="15" spans="1:6">
      <c r="A15" s="368"/>
      <c r="B15" s="372"/>
      <c r="C15" s="368"/>
      <c r="D15" s="368"/>
      <c r="E15" s="371"/>
      <c r="F15" s="371"/>
    </row>
    <row r="16" spans="1:6">
      <c r="A16" s="368"/>
      <c r="B16" s="372"/>
      <c r="C16" s="368"/>
      <c r="D16" s="368"/>
      <c r="E16" s="371"/>
      <c r="F16" s="371"/>
    </row>
    <row r="17" spans="1:6">
      <c r="A17" s="368"/>
      <c r="B17" s="372"/>
      <c r="C17" s="368"/>
      <c r="D17" s="368"/>
      <c r="E17" s="371"/>
      <c r="F17" s="371"/>
    </row>
    <row r="18" spans="1:6">
      <c r="A18" s="368"/>
      <c r="B18" s="372"/>
      <c r="C18" s="368"/>
      <c r="D18" s="368"/>
      <c r="E18" s="371"/>
      <c r="F18" s="371"/>
    </row>
    <row r="19" spans="1:6">
      <c r="A19" s="368"/>
      <c r="B19" s="372"/>
      <c r="C19" s="368"/>
      <c r="D19" s="368"/>
      <c r="E19" s="371"/>
      <c r="F19" s="371"/>
    </row>
    <row r="20" spans="1:6">
      <c r="A20" s="368"/>
      <c r="B20" s="372"/>
      <c r="C20" s="368"/>
      <c r="D20" s="368"/>
      <c r="E20" s="371"/>
      <c r="F20" s="371"/>
    </row>
    <row r="21" spans="1:6">
      <c r="A21" s="368"/>
      <c r="B21" s="372"/>
      <c r="C21" s="368"/>
      <c r="D21" s="368"/>
      <c r="E21" s="371"/>
      <c r="F21" s="371"/>
    </row>
    <row r="22" spans="1:6">
      <c r="A22" s="368"/>
      <c r="B22" s="372"/>
      <c r="C22" s="368"/>
      <c r="D22" s="368"/>
      <c r="E22" s="371"/>
      <c r="F22" s="371"/>
    </row>
    <row r="23" spans="1:6">
      <c r="A23" s="368"/>
      <c r="B23" s="372"/>
      <c r="C23" s="368"/>
      <c r="D23" s="368"/>
      <c r="E23" s="371"/>
      <c r="F23" s="371"/>
    </row>
    <row r="24" spans="1:6">
      <c r="A24" s="368"/>
      <c r="B24" s="372"/>
      <c r="C24" s="368"/>
      <c r="D24" s="368"/>
      <c r="E24" s="371"/>
      <c r="F24" s="371"/>
    </row>
    <row r="25" spans="1:6">
      <c r="A25" s="368"/>
      <c r="B25" s="372"/>
      <c r="C25" s="368"/>
      <c r="D25" s="368"/>
      <c r="E25" s="371"/>
      <c r="F25" s="371"/>
    </row>
    <row r="26" spans="1:6">
      <c r="A26" s="368"/>
      <c r="B26" s="372"/>
      <c r="C26" s="368"/>
      <c r="D26" s="368"/>
      <c r="E26" s="371"/>
      <c r="F26" s="371"/>
    </row>
    <row r="27" spans="1:6">
      <c r="A27" s="368"/>
      <c r="B27" s="372"/>
      <c r="C27" s="368"/>
      <c r="D27" s="368"/>
      <c r="E27" s="371"/>
      <c r="F27" s="371"/>
    </row>
    <row r="28" spans="1:6">
      <c r="A28" s="368"/>
      <c r="B28" s="372"/>
      <c r="C28" s="368"/>
      <c r="D28" s="368"/>
      <c r="E28" s="371"/>
      <c r="F28" s="371"/>
    </row>
    <row r="29" spans="1:6">
      <c r="A29" s="368"/>
      <c r="B29" s="372"/>
      <c r="C29" s="368"/>
      <c r="D29" s="368"/>
      <c r="E29" s="371"/>
      <c r="F29" s="371"/>
    </row>
    <row r="30" spans="1:6">
      <c r="A30" s="368"/>
      <c r="B30" s="372"/>
      <c r="C30" s="368"/>
      <c r="D30" s="368"/>
      <c r="E30" s="371"/>
      <c r="F30" s="371"/>
    </row>
    <row r="31" spans="1:6">
      <c r="A31" s="368"/>
      <c r="B31" s="372"/>
      <c r="C31" s="368"/>
      <c r="D31" s="368"/>
      <c r="E31" s="371"/>
      <c r="F31" s="371"/>
    </row>
    <row r="100" spans="1:1">
      <c r="A100" s="376" t="s">
        <v>252</v>
      </c>
    </row>
  </sheetData>
  <mergeCells count="5">
    <mergeCell ref="A2:A3"/>
    <mergeCell ref="B2:B3"/>
    <mergeCell ref="C2:D2"/>
    <mergeCell ref="E2:E3"/>
    <mergeCell ref="F2:F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AE175"/>
  <sheetViews>
    <sheetView showGridLines="0" view="pageBreakPreview" topLeftCell="A4" zoomScale="65" zoomScaleNormal="100" zoomScaleSheetLayoutView="65" workbookViewId="0">
      <selection activeCell="H14" sqref="H14:I14"/>
    </sheetView>
  </sheetViews>
  <sheetFormatPr defaultColWidth="9.1796875" defaultRowHeight="13"/>
  <cols>
    <col min="1" max="1" width="4.1796875" style="827" customWidth="1"/>
    <col min="2" max="2" width="5.1796875" style="827" customWidth="1"/>
    <col min="3" max="3" width="12.26953125" style="827" customWidth="1"/>
    <col min="4" max="4" width="11.7265625" style="827" customWidth="1"/>
    <col min="5" max="7" width="9.54296875" style="827" customWidth="1"/>
    <col min="8" max="10" width="12.26953125" style="827" customWidth="1"/>
    <col min="11" max="11" width="12.81640625" style="827" customWidth="1"/>
    <col min="12" max="12" width="11.81640625" style="827" customWidth="1"/>
    <col min="13" max="13" width="8.1796875" style="827" customWidth="1"/>
    <col min="14" max="14" width="11.26953125" style="827" customWidth="1"/>
    <col min="15" max="16384" width="9.1796875" style="827"/>
  </cols>
  <sheetData>
    <row r="1" spans="1:31" ht="18">
      <c r="A1" s="1423" t="s">
        <v>436</v>
      </c>
      <c r="B1" s="1423"/>
      <c r="C1" s="1423"/>
      <c r="D1" s="1423"/>
      <c r="E1" s="1423"/>
      <c r="F1" s="1423"/>
      <c r="G1" s="1423"/>
      <c r="H1" s="1423"/>
      <c r="I1" s="1423"/>
      <c r="J1" s="1423"/>
      <c r="K1" s="1423"/>
      <c r="L1" s="1423"/>
      <c r="M1" s="1423"/>
      <c r="N1" s="826"/>
    </row>
    <row r="2" spans="1:31" ht="15.5">
      <c r="A2" s="828"/>
      <c r="B2" s="828"/>
      <c r="C2" s="828"/>
      <c r="H2" s="829" t="str">
        <f>IF(Penyelia!K79&lt;70,'kata-kata'!B4,'kata-kata'!B3)</f>
        <v>Nomor Sertifikat : 14 /</v>
      </c>
      <c r="I2" s="821" t="s">
        <v>253</v>
      </c>
      <c r="J2" s="821"/>
      <c r="K2" s="828"/>
      <c r="L2" s="828"/>
      <c r="M2" s="828"/>
    </row>
    <row r="3" spans="1:31">
      <c r="B3" s="830"/>
      <c r="C3" s="830"/>
      <c r="D3" s="830"/>
      <c r="E3" s="830"/>
      <c r="F3" s="830"/>
      <c r="G3" s="830"/>
      <c r="H3" s="830"/>
      <c r="I3" s="830"/>
      <c r="J3" s="830"/>
      <c r="K3" s="830"/>
      <c r="L3" s="830"/>
      <c r="M3" s="830"/>
    </row>
    <row r="4" spans="1:31" ht="14">
      <c r="A4" s="831" t="str">
        <f>LK!A4</f>
        <v>Merek</v>
      </c>
      <c r="B4" s="831"/>
      <c r="D4" s="831"/>
      <c r="E4" s="832" t="s">
        <v>164</v>
      </c>
      <c r="F4" s="822" t="s">
        <v>254</v>
      </c>
      <c r="G4" s="721"/>
      <c r="H4" s="721"/>
      <c r="I4" s="721"/>
      <c r="J4" s="721"/>
      <c r="K4" s="830"/>
      <c r="L4" s="830"/>
      <c r="M4" s="830"/>
    </row>
    <row r="5" spans="1:31" ht="14">
      <c r="A5" s="831" t="str">
        <f>LK!A5</f>
        <v>Model/Tipe</v>
      </c>
      <c r="B5" s="831"/>
      <c r="D5" s="831"/>
      <c r="E5" s="832" t="s">
        <v>164</v>
      </c>
      <c r="F5" s="822" t="s">
        <v>255</v>
      </c>
      <c r="G5" s="721"/>
      <c r="H5" s="721"/>
      <c r="I5" s="721"/>
      <c r="J5" s="721"/>
      <c r="K5" s="830"/>
      <c r="L5" s="830"/>
      <c r="M5" s="830"/>
      <c r="N5" s="827" t="s">
        <v>123</v>
      </c>
    </row>
    <row r="6" spans="1:31" ht="14">
      <c r="A6" s="831" t="str">
        <f>LK!A6</f>
        <v>No. Seri</v>
      </c>
      <c r="B6" s="831"/>
      <c r="D6" s="831"/>
      <c r="E6" s="832" t="s">
        <v>164</v>
      </c>
      <c r="F6" s="823">
        <v>123456</v>
      </c>
      <c r="G6" s="721"/>
      <c r="H6" s="721"/>
      <c r="I6" s="721"/>
      <c r="J6" s="721"/>
      <c r="K6" s="830"/>
      <c r="L6" s="830"/>
      <c r="M6" s="830"/>
    </row>
    <row r="7" spans="1:31" ht="14">
      <c r="A7" s="831" t="str">
        <f>LK!A7</f>
        <v>Tanggal Penerimaan Alat</v>
      </c>
      <c r="B7" s="831"/>
      <c r="D7" s="831"/>
      <c r="E7" s="832" t="s">
        <v>164</v>
      </c>
      <c r="F7" s="823">
        <v>2210</v>
      </c>
      <c r="G7" s="721"/>
      <c r="H7" s="721"/>
      <c r="I7" s="721"/>
      <c r="J7" s="721"/>
      <c r="K7" s="830"/>
      <c r="L7" s="830"/>
      <c r="M7" s="830"/>
    </row>
    <row r="8" spans="1:31" ht="14">
      <c r="A8" s="831" t="str">
        <f>LK!A8</f>
        <v>Tanggal Kalibrasi</v>
      </c>
      <c r="B8" s="831"/>
      <c r="D8" s="831"/>
      <c r="E8" s="832" t="s">
        <v>164</v>
      </c>
      <c r="F8" s="824" t="s">
        <v>256</v>
      </c>
      <c r="G8" s="721"/>
      <c r="H8" s="721"/>
      <c r="I8" s="721"/>
      <c r="J8" s="721"/>
      <c r="K8" s="830"/>
      <c r="L8" s="830"/>
      <c r="M8" s="830"/>
    </row>
    <row r="9" spans="1:31" ht="14">
      <c r="A9" s="831" t="str">
        <f>LK!A9</f>
        <v>Tempat Kalibrasi</v>
      </c>
      <c r="B9" s="831"/>
      <c r="D9" s="831"/>
      <c r="E9" s="832" t="s">
        <v>164</v>
      </c>
      <c r="F9" s="1440" t="s">
        <v>257</v>
      </c>
      <c r="G9" s="1440"/>
      <c r="H9" s="1440"/>
      <c r="I9" s="1440"/>
      <c r="J9" s="1440"/>
      <c r="K9" s="830"/>
      <c r="L9" s="830"/>
      <c r="M9" s="830"/>
    </row>
    <row r="10" spans="1:31" ht="14">
      <c r="A10" s="831" t="s">
        <v>171</v>
      </c>
      <c r="B10" s="831"/>
      <c r="D10" s="831"/>
      <c r="E10" s="832" t="s">
        <v>164</v>
      </c>
      <c r="F10" s="1183" t="s">
        <v>258</v>
      </c>
      <c r="G10" s="721"/>
      <c r="H10" s="721"/>
      <c r="I10" s="721"/>
      <c r="J10" s="825"/>
      <c r="K10" s="830"/>
      <c r="L10" s="830"/>
      <c r="M10" s="830"/>
    </row>
    <row r="11" spans="1:31" ht="14.5">
      <c r="A11" s="831" t="s">
        <v>172</v>
      </c>
      <c r="B11" s="831"/>
      <c r="D11" s="831"/>
      <c r="E11" s="832" t="s">
        <v>164</v>
      </c>
      <c r="F11" s="833" t="s">
        <v>173</v>
      </c>
      <c r="G11" s="831"/>
      <c r="H11" s="831"/>
      <c r="I11" s="831"/>
      <c r="J11" s="831"/>
      <c r="K11" s="830"/>
      <c r="L11" s="830"/>
      <c r="M11" s="830"/>
      <c r="O11" s="1201"/>
    </row>
    <row r="12" spans="1:31">
      <c r="A12" s="830"/>
      <c r="B12" s="830"/>
      <c r="D12" s="830"/>
      <c r="E12" s="830"/>
      <c r="F12" s="830"/>
      <c r="G12" s="830"/>
      <c r="H12" s="830"/>
      <c r="I12" s="830"/>
      <c r="J12" s="830"/>
      <c r="K12" s="830"/>
      <c r="L12" s="830"/>
      <c r="M12" s="830"/>
    </row>
    <row r="13" spans="1:31" ht="14">
      <c r="A13" s="834" t="s">
        <v>174</v>
      </c>
      <c r="B13" s="834" t="s">
        <v>175</v>
      </c>
      <c r="D13" s="834"/>
      <c r="E13" s="830"/>
      <c r="F13" s="835" t="s">
        <v>250</v>
      </c>
      <c r="G13" s="835" t="s">
        <v>251</v>
      </c>
      <c r="H13" s="1441" t="s">
        <v>111</v>
      </c>
      <c r="I13" s="1442"/>
      <c r="J13" s="830"/>
      <c r="K13" s="830"/>
      <c r="L13" s="830"/>
    </row>
    <row r="14" spans="1:31" ht="14">
      <c r="A14" s="831"/>
      <c r="B14" s="831" t="s">
        <v>178</v>
      </c>
      <c r="D14" s="831"/>
      <c r="E14" s="832" t="s">
        <v>164</v>
      </c>
      <c r="F14" s="1191">
        <v>23.2</v>
      </c>
      <c r="G14" s="1191">
        <v>23.6</v>
      </c>
      <c r="H14" s="1443">
        <f>'DB Suhu'!M233</f>
        <v>23.9</v>
      </c>
      <c r="I14" s="1444"/>
      <c r="J14" s="831" t="s">
        <v>180</v>
      </c>
      <c r="K14" s="830"/>
      <c r="L14" s="830"/>
      <c r="W14" s="1146"/>
      <c r="X14" s="1146"/>
      <c r="Y14" s="1146"/>
      <c r="Z14" s="1146"/>
      <c r="AA14" s="1146"/>
      <c r="AB14" s="1146"/>
      <c r="AC14" s="1146"/>
    </row>
    <row r="15" spans="1:31" ht="14">
      <c r="A15" s="831"/>
      <c r="B15" s="831" t="s">
        <v>181</v>
      </c>
      <c r="D15" s="831"/>
      <c r="E15" s="832" t="s">
        <v>164</v>
      </c>
      <c r="F15" s="1192">
        <v>67.5</v>
      </c>
      <c r="G15" s="1192">
        <v>66.400000000000006</v>
      </c>
      <c r="H15" s="1443">
        <f>'DB Suhu'!M234</f>
        <v>61.893888888888895</v>
      </c>
      <c r="I15" s="1444"/>
      <c r="J15" s="831" t="s">
        <v>75</v>
      </c>
      <c r="K15" s="830"/>
      <c r="L15" s="830"/>
      <c r="O15" s="836"/>
      <c r="P15" s="836"/>
      <c r="W15" s="1146"/>
      <c r="X15" s="1146"/>
      <c r="Y15" s="1146"/>
      <c r="Z15" s="1146"/>
      <c r="AA15" s="1146"/>
      <c r="AB15" s="1146"/>
      <c r="AC15" s="1146"/>
      <c r="AE15" s="836"/>
    </row>
    <row r="16" spans="1:31" ht="14">
      <c r="A16" s="831"/>
      <c r="B16" s="831" t="s">
        <v>182</v>
      </c>
      <c r="D16" s="831"/>
      <c r="E16" s="832" t="s">
        <v>164</v>
      </c>
      <c r="F16" s="1193">
        <v>220</v>
      </c>
      <c r="G16" s="837"/>
      <c r="H16" s="1445"/>
      <c r="I16" s="1446"/>
      <c r="J16" s="830" t="s">
        <v>140</v>
      </c>
      <c r="K16" s="830"/>
      <c r="L16" s="830"/>
      <c r="O16" s="836"/>
      <c r="P16" s="836"/>
      <c r="W16" s="1146"/>
      <c r="X16" s="1146"/>
      <c r="Y16" s="1147"/>
      <c r="Z16" s="1148"/>
      <c r="AA16" s="1146"/>
      <c r="AB16" s="1146"/>
      <c r="AC16" s="1146"/>
      <c r="AE16" s="836"/>
    </row>
    <row r="17" spans="1:31" ht="14">
      <c r="A17" s="831"/>
      <c r="B17" s="831"/>
      <c r="D17" s="831"/>
      <c r="E17" s="830"/>
      <c r="F17" s="831"/>
      <c r="G17" s="831"/>
      <c r="H17" s="831"/>
      <c r="I17" s="830"/>
      <c r="J17" s="830"/>
      <c r="K17" s="830"/>
      <c r="L17" s="830"/>
      <c r="M17" s="830"/>
      <c r="O17" s="836"/>
      <c r="P17" s="836"/>
      <c r="W17" s="1146"/>
      <c r="X17" s="1146"/>
      <c r="Y17" s="1147"/>
      <c r="Z17" s="1146"/>
      <c r="AA17" s="1146"/>
      <c r="AB17" s="1146"/>
      <c r="AC17" s="1146"/>
      <c r="AE17" s="836"/>
    </row>
    <row r="18" spans="1:31" ht="14">
      <c r="A18" s="834" t="s">
        <v>183</v>
      </c>
      <c r="B18" s="834" t="s">
        <v>184</v>
      </c>
      <c r="D18" s="834"/>
      <c r="E18" s="830"/>
      <c r="F18" s="834"/>
      <c r="G18" s="834"/>
      <c r="H18" s="834"/>
      <c r="I18" s="838"/>
      <c r="J18" s="830"/>
      <c r="K18" s="830"/>
      <c r="L18" s="830"/>
      <c r="M18" s="830"/>
      <c r="O18" s="836"/>
      <c r="P18" s="836"/>
      <c r="W18" s="1146"/>
      <c r="X18" s="1146"/>
      <c r="Y18" s="1149"/>
      <c r="Z18" s="1148"/>
      <c r="AA18" s="1146"/>
      <c r="AB18" s="1146"/>
      <c r="AC18" s="1146"/>
      <c r="AE18" s="836"/>
    </row>
    <row r="19" spans="1:31" ht="14">
      <c r="A19" s="831"/>
      <c r="B19" s="831" t="str">
        <f>LK!B19</f>
        <v>1. Fisik</v>
      </c>
      <c r="D19" s="831"/>
      <c r="E19" s="832" t="s">
        <v>164</v>
      </c>
      <c r="F19" s="1210" t="s">
        <v>259</v>
      </c>
      <c r="G19" s="831"/>
      <c r="H19" s="831"/>
      <c r="I19" s="830"/>
      <c r="J19" s="830"/>
      <c r="K19" s="830"/>
      <c r="L19" s="830"/>
      <c r="M19" s="830"/>
      <c r="O19" s="836"/>
      <c r="W19" s="1146"/>
      <c r="X19" s="1146"/>
      <c r="Y19" s="1147"/>
      <c r="Z19" s="1150"/>
      <c r="AA19" s="1146"/>
      <c r="AB19" s="1146"/>
      <c r="AC19" s="1146"/>
      <c r="AE19" s="836"/>
    </row>
    <row r="20" spans="1:31" ht="14">
      <c r="A20" s="831"/>
      <c r="B20" s="831" t="str">
        <f>LK!B20</f>
        <v>2. Fungsi</v>
      </c>
      <c r="D20" s="831"/>
      <c r="E20" s="832" t="s">
        <v>164</v>
      </c>
      <c r="F20" s="1210" t="s">
        <v>259</v>
      </c>
      <c r="G20" s="831"/>
      <c r="H20" s="831"/>
      <c r="I20" s="830"/>
      <c r="J20" s="830"/>
      <c r="K20" s="830"/>
      <c r="L20" s="830"/>
      <c r="M20" s="830"/>
      <c r="O20" s="836"/>
      <c r="W20" s="1146"/>
      <c r="X20" s="1146"/>
      <c r="Y20" s="1151"/>
      <c r="Z20" s="1148"/>
      <c r="AA20" s="1146"/>
      <c r="AB20" s="1146"/>
      <c r="AC20" s="1146"/>
      <c r="AE20" s="836"/>
    </row>
    <row r="21" spans="1:31" ht="14">
      <c r="A21" s="834"/>
      <c r="B21" s="834"/>
      <c r="D21" s="831"/>
      <c r="E21" s="831"/>
      <c r="F21" s="831"/>
      <c r="G21" s="831"/>
      <c r="H21" s="831"/>
      <c r="I21" s="830"/>
      <c r="J21" s="830"/>
      <c r="K21" s="830"/>
      <c r="L21" s="830"/>
      <c r="M21" s="830"/>
      <c r="O21" s="836"/>
      <c r="W21" s="1146"/>
      <c r="X21" s="1146"/>
      <c r="Y21" s="1146"/>
      <c r="Z21" s="1152"/>
      <c r="AA21" s="1146"/>
      <c r="AB21" s="1146"/>
      <c r="AC21" s="1146"/>
      <c r="AE21" s="836"/>
    </row>
    <row r="22" spans="1:31" ht="14">
      <c r="A22" s="834" t="s">
        <v>110</v>
      </c>
      <c r="B22" s="834" t="s">
        <v>260</v>
      </c>
      <c r="D22" s="831"/>
      <c r="E22" s="831"/>
      <c r="F22" s="831"/>
      <c r="G22" s="831"/>
      <c r="H22" s="831"/>
      <c r="I22" s="830"/>
      <c r="J22" s="830"/>
      <c r="K22" s="830"/>
      <c r="L22" s="830"/>
      <c r="M22" s="830"/>
      <c r="N22" s="840"/>
      <c r="O22" s="841"/>
      <c r="W22" s="1146"/>
      <c r="X22" s="1146"/>
      <c r="Y22" s="1153"/>
      <c r="Z22" s="1154"/>
      <c r="AA22" s="1146"/>
      <c r="AB22" s="1146"/>
      <c r="AC22" s="1146"/>
      <c r="AE22" s="836"/>
    </row>
    <row r="23" spans="1:31" ht="12.75" customHeight="1">
      <c r="B23" s="1438" t="s">
        <v>87</v>
      </c>
      <c r="C23" s="1433" t="s">
        <v>116</v>
      </c>
      <c r="D23" s="1434"/>
      <c r="E23" s="1434"/>
      <c r="F23" s="1434"/>
      <c r="G23" s="1434"/>
      <c r="H23" s="1434"/>
      <c r="I23" s="1434"/>
      <c r="J23" s="1426" t="s">
        <v>117</v>
      </c>
      <c r="K23" s="1427"/>
      <c r="L23" s="1426" t="s">
        <v>191</v>
      </c>
      <c r="M23" s="1427"/>
      <c r="N23" s="840"/>
      <c r="O23" s="841"/>
      <c r="W23" s="1146"/>
      <c r="X23" s="1146"/>
      <c r="Y23" s="1148"/>
      <c r="Z23" s="1146"/>
      <c r="AA23" s="1146"/>
      <c r="AB23" s="1146"/>
      <c r="AC23" s="1146"/>
      <c r="AE23" s="836"/>
    </row>
    <row r="24" spans="1:31" ht="17.25" customHeight="1">
      <c r="B24" s="1439"/>
      <c r="C24" s="1435"/>
      <c r="D24" s="1436"/>
      <c r="E24" s="1436"/>
      <c r="F24" s="1436"/>
      <c r="G24" s="1436"/>
      <c r="H24" s="1436"/>
      <c r="I24" s="1436"/>
      <c r="J24" s="1428"/>
      <c r="K24" s="1429"/>
      <c r="L24" s="1428"/>
      <c r="M24" s="1429"/>
      <c r="O24" s="841"/>
      <c r="W24" s="1146"/>
      <c r="X24" s="1146"/>
      <c r="Y24" s="1146"/>
      <c r="Z24" s="1146"/>
      <c r="AA24" s="1146"/>
      <c r="AB24" s="1146"/>
      <c r="AC24" s="1146"/>
      <c r="AE24" s="836"/>
    </row>
    <row r="25" spans="1:31" ht="15.5">
      <c r="B25" s="842">
        <v>1</v>
      </c>
      <c r="C25" s="843" t="s">
        <v>192</v>
      </c>
      <c r="D25" s="844"/>
      <c r="E25" s="844"/>
      <c r="F25" s="844"/>
      <c r="G25" s="844"/>
      <c r="H25" s="844"/>
      <c r="I25" s="845"/>
      <c r="J25" s="1194" t="s">
        <v>261</v>
      </c>
      <c r="K25" s="846" t="s">
        <v>262</v>
      </c>
      <c r="L25" s="1155" t="s">
        <v>420</v>
      </c>
      <c r="M25" s="1202" t="s">
        <v>421</v>
      </c>
      <c r="N25" s="847"/>
      <c r="O25" s="848"/>
      <c r="W25" s="1146"/>
      <c r="X25" s="1146"/>
      <c r="Y25" s="1146"/>
      <c r="Z25" s="1146"/>
      <c r="AA25" s="1146"/>
      <c r="AB25" s="1146"/>
      <c r="AC25" s="1146"/>
      <c r="AE25" s="836"/>
    </row>
    <row r="26" spans="1:31" ht="14.5">
      <c r="B26" s="842">
        <v>2</v>
      </c>
      <c r="C26" s="1450" t="s">
        <v>311</v>
      </c>
      <c r="D26" s="1451"/>
      <c r="E26" s="1451"/>
      <c r="F26" s="1451"/>
      <c r="G26" s="1451"/>
      <c r="H26" s="1451"/>
      <c r="I26" s="1452"/>
      <c r="J26" s="1195">
        <v>0.1</v>
      </c>
      <c r="K26" s="846" t="s">
        <v>263</v>
      </c>
      <c r="L26" s="1155" t="str">
        <f>'kata-kata'!I49&amp;'kata-kata'!J49</f>
        <v>≤ 0.3</v>
      </c>
      <c r="M26" s="1202" t="s">
        <v>153</v>
      </c>
      <c r="N26" s="847"/>
      <c r="O26" s="1447" t="s">
        <v>142</v>
      </c>
      <c r="W26" s="1146"/>
      <c r="X26" s="1146"/>
      <c r="Y26" s="1146"/>
      <c r="Z26" s="1146"/>
      <c r="AA26" s="1146"/>
      <c r="AB26" s="1146"/>
      <c r="AC26" s="1146"/>
      <c r="AE26" s="836"/>
    </row>
    <row r="27" spans="1:31" ht="14.5">
      <c r="B27" s="842">
        <v>3</v>
      </c>
      <c r="C27" s="1450" t="s">
        <v>313</v>
      </c>
      <c r="D27" s="1451"/>
      <c r="E27" s="1451"/>
      <c r="F27" s="1451"/>
      <c r="G27" s="1451"/>
      <c r="H27" s="1451"/>
      <c r="I27" s="1452"/>
      <c r="J27" s="1196">
        <v>600</v>
      </c>
      <c r="K27" s="846" t="s">
        <v>200</v>
      </c>
      <c r="L27" s="1155" t="str">
        <f>'kata-kata'!I49&amp;'kata-kata'!K49</f>
        <v>≤ 500</v>
      </c>
      <c r="M27" s="1202" t="s">
        <v>200</v>
      </c>
      <c r="O27" s="1448"/>
      <c r="P27" s="1203" t="s">
        <v>200</v>
      </c>
      <c r="AE27" s="836"/>
    </row>
    <row r="28" spans="1:31" ht="15.5">
      <c r="B28" s="842">
        <v>4</v>
      </c>
      <c r="C28" s="1465" t="s">
        <v>141</v>
      </c>
      <c r="D28" s="1466"/>
      <c r="E28" s="1466"/>
      <c r="F28" s="1466"/>
      <c r="G28" s="1466"/>
      <c r="H28" s="1466"/>
      <c r="I28" s="1467"/>
      <c r="J28" s="1196">
        <v>34</v>
      </c>
      <c r="K28" s="846" t="s">
        <v>200</v>
      </c>
      <c r="L28" s="1155" t="s">
        <v>205</v>
      </c>
      <c r="M28" s="1202" t="s">
        <v>200</v>
      </c>
      <c r="O28" s="1180" t="s">
        <v>422</v>
      </c>
      <c r="P28" s="1197">
        <v>10</v>
      </c>
      <c r="Q28" s="1204"/>
      <c r="R28" s="849"/>
      <c r="AE28" s="836"/>
    </row>
    <row r="29" spans="1:31">
      <c r="B29" s="850"/>
      <c r="C29" s="830"/>
      <c r="D29" s="830"/>
      <c r="E29" s="830"/>
      <c r="F29" s="830"/>
      <c r="G29" s="830"/>
      <c r="H29" s="830"/>
      <c r="I29" s="851"/>
      <c r="J29" s="852"/>
      <c r="K29" s="830"/>
      <c r="L29" s="830"/>
      <c r="M29" s="830"/>
      <c r="O29" s="836"/>
      <c r="P29" s="836"/>
      <c r="Q29" s="836"/>
      <c r="R29" s="836"/>
      <c r="S29" s="836"/>
      <c r="T29" s="836"/>
      <c r="U29" s="836"/>
      <c r="AE29" s="836"/>
    </row>
    <row r="30" spans="1:31" ht="14">
      <c r="A30" s="853" t="str">
        <f>LK!A33</f>
        <v>IV.</v>
      </c>
      <c r="B30" s="853" t="str">
        <f>LK!B33</f>
        <v xml:space="preserve">Pengujian Kinerja </v>
      </c>
    </row>
    <row r="31" spans="1:31" ht="2.25" customHeight="1">
      <c r="A31" s="853"/>
      <c r="B31" s="853"/>
    </row>
    <row r="32" spans="1:31" ht="20.25" customHeight="1">
      <c r="B32" s="854" t="s">
        <v>211</v>
      </c>
      <c r="E32" s="855"/>
      <c r="F32" s="855"/>
      <c r="G32" s="855"/>
      <c r="H32" s="855"/>
      <c r="I32" s="855"/>
      <c r="J32" s="855"/>
      <c r="K32" s="855"/>
      <c r="L32" s="855"/>
      <c r="N32" s="856"/>
      <c r="Q32" s="831"/>
    </row>
    <row r="33" spans="2:17" ht="16.5" customHeight="1">
      <c r="B33" s="1468" t="s">
        <v>87</v>
      </c>
      <c r="C33" s="1470" t="s">
        <v>116</v>
      </c>
      <c r="D33" s="1468" t="s">
        <v>212</v>
      </c>
      <c r="E33" s="1453" t="s">
        <v>213</v>
      </c>
      <c r="F33" s="1453"/>
      <c r="G33" s="1453"/>
      <c r="H33" s="1454" t="s">
        <v>264</v>
      </c>
      <c r="I33" s="1432" t="s">
        <v>265</v>
      </c>
      <c r="J33" s="1425" t="s">
        <v>44</v>
      </c>
      <c r="K33" s="855"/>
      <c r="L33" s="855"/>
      <c r="N33" s="856"/>
      <c r="O33" s="857"/>
      <c r="Q33" s="831"/>
    </row>
    <row r="34" spans="2:17" ht="16.5" customHeight="1">
      <c r="B34" s="1469"/>
      <c r="C34" s="1471"/>
      <c r="D34" s="1469"/>
      <c r="E34" s="1181" t="s">
        <v>27</v>
      </c>
      <c r="F34" s="1181" t="s">
        <v>29</v>
      </c>
      <c r="G34" s="1181" t="s">
        <v>31</v>
      </c>
      <c r="H34" s="1455"/>
      <c r="I34" s="1432"/>
      <c r="J34" s="1425"/>
      <c r="K34" s="855"/>
      <c r="L34" s="855"/>
      <c r="N34" s="856"/>
      <c r="O34" s="857"/>
      <c r="Q34" s="831"/>
    </row>
    <row r="35" spans="2:17" ht="16.5" customHeight="1">
      <c r="B35" s="1182">
        <v>1</v>
      </c>
      <c r="C35" s="1459" t="s">
        <v>215</v>
      </c>
      <c r="D35" s="1198">
        <v>5</v>
      </c>
      <c r="E35" s="1199">
        <v>5</v>
      </c>
      <c r="F35" s="1199">
        <v>5</v>
      </c>
      <c r="G35" s="1199">
        <v>5</v>
      </c>
      <c r="H35" s="858">
        <f>AVERAGE(E35:G35)</f>
        <v>5</v>
      </c>
      <c r="I35" s="859">
        <f>'Input Data Sertifikat Defib'!E103</f>
        <v>5.2375662290099534</v>
      </c>
      <c r="J35" s="860">
        <f>IF(STDEV(E35:G35)=0,0.00001,STDEV(E35:G35))</f>
        <v>1.0000000000000001E-5</v>
      </c>
      <c r="K35" s="855"/>
      <c r="L35" s="855"/>
      <c r="N35" s="856"/>
      <c r="O35" s="857"/>
      <c r="Q35" s="831"/>
    </row>
    <row r="36" spans="2:17" ht="16.5" customHeight="1">
      <c r="B36" s="1182">
        <v>2</v>
      </c>
      <c r="C36" s="1459"/>
      <c r="D36" s="1198">
        <v>10</v>
      </c>
      <c r="E36" s="1199">
        <v>10</v>
      </c>
      <c r="F36" s="1199">
        <v>11</v>
      </c>
      <c r="G36" s="1199">
        <v>10.5</v>
      </c>
      <c r="H36" s="858">
        <f t="shared" ref="H36:H43" si="0">AVERAGE(E36:G36)</f>
        <v>10.5</v>
      </c>
      <c r="I36" s="859">
        <f>'Input Data Sertifikat Defib'!E104</f>
        <v>10.729337726692501</v>
      </c>
      <c r="J36" s="860">
        <f t="shared" ref="J36:J43" si="1">IF(STDEV(E36:G36)=0,0.00001,STDEV(E36:G36))</f>
        <v>0.5</v>
      </c>
      <c r="K36" s="855"/>
      <c r="L36" s="855"/>
      <c r="N36" s="856"/>
      <c r="O36" s="857"/>
      <c r="Q36" s="831"/>
    </row>
    <row r="37" spans="2:17" ht="16.5" customHeight="1">
      <c r="B37" s="1182">
        <v>3</v>
      </c>
      <c r="C37" s="1459"/>
      <c r="D37" s="1198">
        <v>20</v>
      </c>
      <c r="E37" s="1200">
        <v>20</v>
      </c>
      <c r="F37" s="1200">
        <v>20</v>
      </c>
      <c r="G37" s="1200">
        <v>20</v>
      </c>
      <c r="H37" s="858">
        <f t="shared" si="0"/>
        <v>20</v>
      </c>
      <c r="I37" s="859">
        <f>'Input Data Sertifikat Defib'!E105</f>
        <v>20.215124859053262</v>
      </c>
      <c r="J37" s="860">
        <f t="shared" si="1"/>
        <v>1.0000000000000001E-5</v>
      </c>
      <c r="K37" s="855"/>
      <c r="L37" s="855"/>
      <c r="N37" s="856"/>
      <c r="O37" s="857"/>
      <c r="Q37" s="831"/>
    </row>
    <row r="38" spans="2:17" ht="16.5" customHeight="1">
      <c r="B38" s="1182">
        <v>4</v>
      </c>
      <c r="C38" s="1459"/>
      <c r="D38" s="1198">
        <v>30</v>
      </c>
      <c r="E38" s="1199">
        <v>30</v>
      </c>
      <c r="F38" s="1199">
        <v>30</v>
      </c>
      <c r="G38" s="1199">
        <v>30</v>
      </c>
      <c r="H38" s="858">
        <f t="shared" si="0"/>
        <v>30</v>
      </c>
      <c r="I38" s="859">
        <f>'Input Data Sertifikat Defib'!E106</f>
        <v>30.200163945748802</v>
      </c>
      <c r="J38" s="860">
        <f t="shared" si="1"/>
        <v>1.0000000000000001E-5</v>
      </c>
      <c r="K38" s="855"/>
      <c r="L38" s="855"/>
      <c r="N38" s="856"/>
      <c r="O38" s="857"/>
      <c r="Q38" s="831"/>
    </row>
    <row r="39" spans="2:17" ht="16.5" customHeight="1">
      <c r="B39" s="1182">
        <v>5</v>
      </c>
      <c r="C39" s="1459"/>
      <c r="D39" s="1198">
        <v>50</v>
      </c>
      <c r="E39" s="1199">
        <v>50</v>
      </c>
      <c r="F39" s="1199">
        <v>54</v>
      </c>
      <c r="G39" s="1199">
        <v>50</v>
      </c>
      <c r="H39" s="858">
        <f t="shared" si="0"/>
        <v>51.333333333333336</v>
      </c>
      <c r="I39" s="859">
        <f>'Input Data Sertifikat Defib'!E107</f>
        <v>51.501580664032623</v>
      </c>
      <c r="J39" s="860">
        <f t="shared" si="1"/>
        <v>2.3094010767585029</v>
      </c>
      <c r="K39" s="855"/>
      <c r="L39" s="855"/>
      <c r="N39" s="856"/>
      <c r="O39" s="857"/>
      <c r="Q39" s="831"/>
    </row>
    <row r="40" spans="2:17" ht="16.5" customHeight="1">
      <c r="B40" s="1182">
        <v>6</v>
      </c>
      <c r="C40" s="1459"/>
      <c r="D40" s="1198">
        <v>100</v>
      </c>
      <c r="E40" s="1199">
        <v>100</v>
      </c>
      <c r="F40" s="1199">
        <v>96</v>
      </c>
      <c r="G40" s="1199">
        <v>100</v>
      </c>
      <c r="H40" s="858">
        <f t="shared" si="0"/>
        <v>98.666666666666671</v>
      </c>
      <c r="I40" s="859">
        <f>'Input Data Sertifikat Defib'!E108</f>
        <v>98.764099007724852</v>
      </c>
      <c r="J40" s="860">
        <f t="shared" si="1"/>
        <v>2.3094010767585034</v>
      </c>
      <c r="K40" s="855"/>
      <c r="L40" s="855"/>
      <c r="N40" s="856"/>
      <c r="O40" s="857"/>
      <c r="Q40" s="831"/>
    </row>
    <row r="41" spans="2:17" ht="16.5" customHeight="1">
      <c r="B41" s="1182">
        <v>7</v>
      </c>
      <c r="C41" s="1459"/>
      <c r="D41" s="1198">
        <v>150</v>
      </c>
      <c r="E41" s="1199">
        <v>150</v>
      </c>
      <c r="F41" s="1199">
        <v>148</v>
      </c>
      <c r="G41" s="1199">
        <v>151</v>
      </c>
      <c r="H41" s="858">
        <f t="shared" si="0"/>
        <v>149.66666666666666</v>
      </c>
      <c r="I41" s="859">
        <f>'Input Data Sertifikat Defib'!E109</f>
        <v>149.68779834987208</v>
      </c>
      <c r="J41" s="860">
        <f t="shared" si="1"/>
        <v>1.5275252316519465</v>
      </c>
      <c r="K41" s="855"/>
      <c r="L41" s="855"/>
      <c r="N41" s="856"/>
      <c r="O41" s="857"/>
      <c r="Q41" s="831"/>
    </row>
    <row r="42" spans="2:17" ht="16.5" customHeight="1">
      <c r="B42" s="1182">
        <v>8</v>
      </c>
      <c r="C42" s="1459"/>
      <c r="D42" s="1198">
        <v>200</v>
      </c>
      <c r="E42" s="1199">
        <v>200</v>
      </c>
      <c r="F42" s="1199">
        <v>206</v>
      </c>
      <c r="G42" s="1199">
        <v>200</v>
      </c>
      <c r="H42" s="858">
        <f t="shared" si="0"/>
        <v>202</v>
      </c>
      <c r="I42" s="859">
        <f>'Input Data Sertifikat Defib'!E110</f>
        <v>201.94283623691209</v>
      </c>
      <c r="J42" s="860">
        <f t="shared" si="1"/>
        <v>3.4641016151377544</v>
      </c>
      <c r="K42" s="855"/>
      <c r="L42" s="855"/>
      <c r="N42" s="856"/>
      <c r="O42" s="857"/>
      <c r="Q42" s="831"/>
    </row>
    <row r="43" spans="2:17" ht="16.5" customHeight="1">
      <c r="B43" s="1182">
        <v>9</v>
      </c>
      <c r="C43" s="1459"/>
      <c r="D43" s="1198">
        <v>300</v>
      </c>
      <c r="E43" s="1199">
        <v>300</v>
      </c>
      <c r="F43" s="1199">
        <v>286</v>
      </c>
      <c r="G43" s="1199">
        <v>290</v>
      </c>
      <c r="H43" s="858">
        <f t="shared" si="0"/>
        <v>292</v>
      </c>
      <c r="I43" s="859">
        <f>'Input Data Sertifikat Defib'!E111</f>
        <v>291.80818801717197</v>
      </c>
      <c r="J43" s="860">
        <f t="shared" si="1"/>
        <v>7.2111025509279782</v>
      </c>
      <c r="K43" s="855"/>
      <c r="L43" s="855"/>
      <c r="N43" s="856"/>
      <c r="O43" s="857"/>
      <c r="Q43" s="831"/>
    </row>
    <row r="44" spans="2:17" ht="16.5" customHeight="1">
      <c r="B44" s="727"/>
      <c r="C44" s="861"/>
      <c r="D44" s="862"/>
      <c r="E44" s="855"/>
      <c r="F44" s="855"/>
      <c r="G44" s="855"/>
      <c r="H44" s="855"/>
      <c r="I44" s="855"/>
      <c r="J44" s="855"/>
      <c r="K44" s="855"/>
      <c r="L44" s="855"/>
      <c r="N44" s="856"/>
      <c r="O44" s="857"/>
      <c r="Q44" s="831"/>
    </row>
    <row r="45" spans="2:17" ht="16.5" customHeight="1">
      <c r="B45" s="854" t="s">
        <v>218</v>
      </c>
      <c r="D45" s="853"/>
      <c r="E45" s="855"/>
      <c r="F45" s="855"/>
      <c r="G45" s="855"/>
      <c r="H45" s="855"/>
      <c r="I45" s="855"/>
      <c r="J45" s="855"/>
      <c r="K45" s="855"/>
      <c r="L45" s="855"/>
      <c r="N45" s="856"/>
      <c r="O45" s="857"/>
      <c r="Q45" s="831"/>
    </row>
    <row r="46" spans="2:17" ht="16.5" customHeight="1">
      <c r="B46" s="1468" t="s">
        <v>87</v>
      </c>
      <c r="C46" s="1470" t="s">
        <v>116</v>
      </c>
      <c r="D46" s="1472" t="s">
        <v>212</v>
      </c>
      <c r="E46" s="1456" t="s">
        <v>213</v>
      </c>
      <c r="F46" s="1456"/>
      <c r="G46" s="1456"/>
      <c r="H46" s="1456"/>
      <c r="I46" s="1456"/>
      <c r="J46" s="1432" t="s">
        <v>266</v>
      </c>
      <c r="K46" s="1432" t="s">
        <v>267</v>
      </c>
      <c r="L46" s="1425" t="s">
        <v>44</v>
      </c>
      <c r="N46" s="856"/>
      <c r="O46" s="857"/>
      <c r="Q46" s="831"/>
    </row>
    <row r="47" spans="2:17" ht="16.5" customHeight="1">
      <c r="B47" s="1469"/>
      <c r="C47" s="1471"/>
      <c r="D47" s="1473"/>
      <c r="E47" s="1456"/>
      <c r="F47" s="1456"/>
      <c r="G47" s="1456"/>
      <c r="H47" s="1456"/>
      <c r="I47" s="1456"/>
      <c r="J47" s="1432"/>
      <c r="K47" s="1432"/>
      <c r="L47" s="1425"/>
      <c r="N47" s="856"/>
      <c r="O47" s="857"/>
      <c r="Q47" s="831"/>
    </row>
    <row r="48" spans="2:17" ht="16.5" customHeight="1">
      <c r="B48" s="1447">
        <v>1</v>
      </c>
      <c r="C48" s="1459" t="s">
        <v>215</v>
      </c>
      <c r="D48" s="1460">
        <v>200</v>
      </c>
      <c r="E48" s="1199">
        <v>200</v>
      </c>
      <c r="F48" s="1199">
        <v>200</v>
      </c>
      <c r="G48" s="1199">
        <v>200</v>
      </c>
      <c r="H48" s="1199">
        <v>200</v>
      </c>
      <c r="I48" s="1199">
        <v>200</v>
      </c>
      <c r="J48" s="1430">
        <f>AVERAGE(E48:I49)</f>
        <v>200</v>
      </c>
      <c r="K48" s="1430">
        <f>'Input Data Sertifikat Defib'!E114</f>
        <v>199.94582841957299</v>
      </c>
      <c r="L48" s="1430">
        <f>IF(STDEV(E48:I49)=0,0.00001,STDEV(E48:I49))</f>
        <v>1.0000000000000001E-5</v>
      </c>
      <c r="N48" s="856"/>
      <c r="O48" s="857"/>
      <c r="Q48" s="831"/>
    </row>
    <row r="49" spans="1:17" ht="16.5" customHeight="1">
      <c r="B49" s="1448"/>
      <c r="C49" s="1459"/>
      <c r="D49" s="1460"/>
      <c r="E49" s="1199">
        <v>200</v>
      </c>
      <c r="F49" s="1199">
        <v>200</v>
      </c>
      <c r="G49" s="1199">
        <v>200</v>
      </c>
      <c r="H49" s="1199">
        <v>200</v>
      </c>
      <c r="I49" s="1199">
        <v>200</v>
      </c>
      <c r="J49" s="1431"/>
      <c r="K49" s="1431"/>
      <c r="L49" s="1431"/>
      <c r="N49" s="856"/>
      <c r="O49" s="857"/>
      <c r="Q49" s="831"/>
    </row>
    <row r="50" spans="1:17" ht="16.5" customHeight="1">
      <c r="B50" s="727"/>
      <c r="C50" s="861"/>
      <c r="D50" s="862"/>
      <c r="E50" s="855"/>
      <c r="F50" s="855"/>
      <c r="G50" s="855"/>
      <c r="H50" s="855"/>
      <c r="I50" s="855"/>
      <c r="J50" s="855"/>
      <c r="K50" s="855"/>
      <c r="L50" s="855"/>
      <c r="N50" s="856"/>
      <c r="O50" s="857"/>
      <c r="Q50" s="831"/>
    </row>
    <row r="51" spans="1:17" ht="16.5" customHeight="1">
      <c r="B51" s="854" t="s">
        <v>221</v>
      </c>
      <c r="D51" s="853"/>
      <c r="E51" s="855"/>
      <c r="F51" s="855"/>
      <c r="G51" s="855"/>
      <c r="H51" s="855"/>
      <c r="I51" s="855"/>
      <c r="J51" s="855"/>
      <c r="K51" s="855"/>
      <c r="L51" s="855"/>
      <c r="N51" s="856"/>
      <c r="O51" s="857"/>
      <c r="Q51" s="831"/>
    </row>
    <row r="52" spans="1:17" ht="16.5" customHeight="1">
      <c r="B52" s="863" t="s">
        <v>9</v>
      </c>
      <c r="C52" s="1461" t="s">
        <v>116</v>
      </c>
      <c r="D52" s="1461"/>
      <c r="E52" s="1457" t="s">
        <v>222</v>
      </c>
      <c r="F52" s="1457"/>
      <c r="G52" s="1425" t="s">
        <v>213</v>
      </c>
      <c r="H52" s="1425"/>
      <c r="I52" s="1425"/>
      <c r="J52" s="1181" t="s">
        <v>214</v>
      </c>
      <c r="K52" s="855"/>
      <c r="L52" s="855"/>
      <c r="N52" s="856"/>
      <c r="O52" s="857"/>
      <c r="Q52" s="831"/>
    </row>
    <row r="53" spans="1:17" s="864" customFormat="1" ht="16.5" customHeight="1">
      <c r="B53" s="865">
        <v>1</v>
      </c>
      <c r="C53" s="1462" t="s">
        <v>223</v>
      </c>
      <c r="D53" s="1462"/>
      <c r="E53" s="1458" t="s">
        <v>224</v>
      </c>
      <c r="F53" s="1458"/>
      <c r="G53" s="1437">
        <v>7</v>
      </c>
      <c r="H53" s="1437"/>
      <c r="I53" s="1437"/>
      <c r="J53" s="866" t="s">
        <v>225</v>
      </c>
      <c r="K53" s="867"/>
      <c r="L53" s="867"/>
      <c r="N53" s="856"/>
      <c r="O53" s="868"/>
      <c r="Q53" s="869"/>
    </row>
    <row r="54" spans="1:17" ht="14">
      <c r="A54" s="853"/>
      <c r="B54" s="853"/>
    </row>
    <row r="55" spans="1:17" ht="13.5" customHeight="1">
      <c r="A55" s="873" t="str">
        <f>LK!A57</f>
        <v>V.</v>
      </c>
      <c r="B55" s="873" t="s">
        <v>269</v>
      </c>
      <c r="D55" s="874"/>
      <c r="E55" s="875"/>
      <c r="F55" s="875"/>
      <c r="G55" s="875"/>
      <c r="H55" s="875"/>
      <c r="I55" s="875"/>
      <c r="J55" s="876"/>
      <c r="K55" s="876"/>
      <c r="L55" s="876"/>
      <c r="M55" s="876"/>
      <c r="N55" s="870"/>
    </row>
    <row r="56" spans="1:17" ht="13.5" customHeight="1">
      <c r="A56" s="873"/>
      <c r="B56" s="877" t="s">
        <v>270</v>
      </c>
      <c r="D56" s="874"/>
      <c r="E56" s="875"/>
      <c r="F56" s="875"/>
      <c r="G56" s="875"/>
      <c r="H56" s="875"/>
      <c r="I56" s="875"/>
      <c r="J56" s="876"/>
      <c r="K56" s="876"/>
      <c r="L56" s="876"/>
      <c r="M56" s="876"/>
      <c r="N56" s="870"/>
    </row>
    <row r="57" spans="1:17" ht="13.5" customHeight="1">
      <c r="A57" s="873"/>
      <c r="B57" s="877" t="s">
        <v>271</v>
      </c>
      <c r="D57" s="874"/>
      <c r="E57" s="875"/>
      <c r="F57" s="875"/>
      <c r="G57" s="875"/>
      <c r="H57" s="875"/>
      <c r="I57" s="875"/>
      <c r="J57" s="876"/>
      <c r="K57" s="876"/>
      <c r="L57" s="876"/>
      <c r="M57" s="876"/>
      <c r="N57" s="870"/>
    </row>
    <row r="58" spans="1:17" ht="14">
      <c r="B58" s="1205" t="str">
        <f>IF(F16="-","-",ESA!O179)</f>
        <v>Hasil pengukuran keselamatan listrik tertelusur ke Satuan Internasional ( SI ) melalui PT. Kaliman</v>
      </c>
      <c r="D58" s="831"/>
      <c r="E58" s="831"/>
      <c r="F58" s="831"/>
      <c r="G58" s="831"/>
      <c r="H58" s="831"/>
      <c r="I58" s="831"/>
      <c r="J58" s="831"/>
      <c r="K58" s="876"/>
      <c r="L58" s="876"/>
      <c r="M58" s="876"/>
      <c r="N58" s="878"/>
    </row>
    <row r="59" spans="1:17" ht="14">
      <c r="B59" s="1206" t="str">
        <f>'Input Data Sertifikat Defib'!N130</f>
        <v>Hasil kalibrasi Akurasi dan Energi Maksimum tertelusurke Satuan Internasional melalui CALTEK PTE LTD</v>
      </c>
      <c r="C59" s="879"/>
      <c r="D59" s="839"/>
      <c r="E59" s="839"/>
      <c r="F59" s="839"/>
      <c r="G59" s="839"/>
      <c r="H59" s="839"/>
      <c r="I59" s="839"/>
      <c r="J59" s="839"/>
      <c r="K59" s="880"/>
      <c r="L59" s="876"/>
      <c r="M59" s="876"/>
      <c r="N59" s="878"/>
    </row>
    <row r="60" spans="1:17" ht="14">
      <c r="B60" s="1206" t="str">
        <f>'DB Stopwatch (2)'!O242</f>
        <v>Hasil pengujian waktu Pengisian tertelusur ke Satuan Internasional ( SI ) melalui PT KALIMAN</v>
      </c>
      <c r="C60" s="879"/>
      <c r="D60" s="839"/>
      <c r="E60" s="839"/>
      <c r="F60" s="839"/>
      <c r="G60" s="839"/>
      <c r="H60" s="839"/>
      <c r="I60" s="839"/>
      <c r="J60" s="839"/>
      <c r="K60" s="880"/>
      <c r="L60" s="876"/>
      <c r="M60" s="876"/>
      <c r="N60" s="878"/>
    </row>
    <row r="61" spans="1:17" ht="14">
      <c r="B61" s="721" t="str">
        <f>Penyelia!AH17</f>
        <v>Alat tidak boleh digunakan pada instalasi tanpa dilengkapi grounding</v>
      </c>
      <c r="C61" s="721"/>
      <c r="D61" s="721"/>
      <c r="E61" s="721"/>
      <c r="F61" s="721"/>
      <c r="G61" s="721"/>
      <c r="H61" s="721"/>
      <c r="I61" s="721"/>
      <c r="J61" s="721"/>
      <c r="K61" s="721"/>
      <c r="L61" s="881"/>
      <c r="M61" s="881"/>
      <c r="N61" s="878"/>
    </row>
    <row r="62" spans="1:17" ht="14">
      <c r="B62" s="839"/>
      <c r="C62" s="882"/>
      <c r="D62" s="839"/>
      <c r="E62" s="839"/>
      <c r="F62" s="839"/>
      <c r="G62" s="839"/>
      <c r="H62" s="839"/>
      <c r="I62" s="839"/>
      <c r="J62" s="839"/>
      <c r="K62" s="880"/>
      <c r="L62" s="876"/>
      <c r="M62" s="876"/>
      <c r="N62" s="878"/>
    </row>
    <row r="63" spans="1:17" ht="14">
      <c r="B63" s="834"/>
      <c r="C63" s="882" t="s">
        <v>272</v>
      </c>
      <c r="D63" s="831"/>
      <c r="E63" s="831"/>
      <c r="F63" s="831"/>
      <c r="G63" s="831"/>
      <c r="H63" s="831"/>
      <c r="I63" s="831"/>
      <c r="J63" s="831"/>
      <c r="K63" s="876"/>
      <c r="L63" s="876"/>
      <c r="M63" s="876"/>
      <c r="N63" s="878"/>
    </row>
    <row r="64" spans="1:17" ht="14">
      <c r="A64" s="834" t="str">
        <f>LK!A61</f>
        <v>VI.</v>
      </c>
      <c r="B64" s="834" t="s">
        <v>273</v>
      </c>
      <c r="D64" s="831"/>
      <c r="E64" s="830"/>
      <c r="F64" s="830"/>
      <c r="G64" s="830"/>
      <c r="H64" s="830"/>
      <c r="I64" s="830"/>
      <c r="J64" s="830"/>
      <c r="K64" s="830"/>
      <c r="L64" s="830"/>
      <c r="M64" s="830"/>
    </row>
    <row r="65" spans="1:15" ht="14">
      <c r="A65" s="834"/>
      <c r="B65" s="834" t="s">
        <v>274</v>
      </c>
      <c r="D65" s="831"/>
      <c r="E65" s="830"/>
      <c r="F65" s="830"/>
      <c r="G65" s="830"/>
      <c r="H65" s="830"/>
      <c r="I65" s="830"/>
      <c r="J65" s="830"/>
      <c r="K65" s="830"/>
      <c r="L65" s="830"/>
      <c r="M65" s="830"/>
    </row>
    <row r="66" spans="1:15" ht="14">
      <c r="A66" s="834"/>
      <c r="B66" s="1424" t="s">
        <v>275</v>
      </c>
      <c r="C66" s="1424"/>
      <c r="D66" s="1424"/>
      <c r="E66" s="1424"/>
      <c r="F66" s="1424"/>
      <c r="G66" s="1424"/>
      <c r="H66" s="1424"/>
      <c r="I66" s="1424"/>
      <c r="J66" s="1424"/>
      <c r="K66" s="1424"/>
      <c r="L66" s="1424"/>
      <c r="M66" s="1424"/>
    </row>
    <row r="67" spans="1:15" ht="14">
      <c r="A67" s="834"/>
      <c r="B67" s="834" t="s">
        <v>276</v>
      </c>
      <c r="D67" s="831"/>
      <c r="E67" s="830"/>
      <c r="F67" s="830"/>
      <c r="G67" s="830"/>
      <c r="H67" s="830"/>
      <c r="I67" s="830"/>
      <c r="J67" s="830"/>
      <c r="K67" s="830"/>
      <c r="L67" s="830"/>
      <c r="M67" s="830"/>
    </row>
    <row r="68" spans="1:15" ht="14">
      <c r="A68" s="834"/>
      <c r="B68" s="1424" t="s">
        <v>69</v>
      </c>
      <c r="C68" s="1424"/>
      <c r="D68" s="1424"/>
      <c r="E68" s="1424"/>
      <c r="F68" s="1424"/>
      <c r="G68" s="1424"/>
      <c r="H68" s="1424"/>
      <c r="I68" s="1424"/>
      <c r="J68" s="1424"/>
      <c r="K68" s="1424"/>
      <c r="L68" s="1424"/>
      <c r="M68" s="1424"/>
    </row>
    <row r="69" spans="1:15" ht="14">
      <c r="B69" s="883" t="s">
        <v>441</v>
      </c>
      <c r="C69" s="884"/>
      <c r="D69" s="885"/>
      <c r="E69" s="886"/>
      <c r="F69" s="886"/>
      <c r="G69" s="886"/>
      <c r="H69" s="886"/>
      <c r="I69" s="886"/>
      <c r="J69" s="886"/>
      <c r="K69" s="886"/>
      <c r="L69" s="886"/>
      <c r="M69" s="886"/>
    </row>
    <row r="70" spans="1:15" ht="14">
      <c r="B70" s="1464" t="s">
        <v>154</v>
      </c>
      <c r="C70" s="1464"/>
      <c r="D70" s="1464"/>
      <c r="E70" s="1464"/>
      <c r="F70" s="1464"/>
      <c r="G70" s="1464"/>
      <c r="H70" s="1464"/>
      <c r="I70" s="1464"/>
      <c r="J70" s="1464"/>
      <c r="K70" s="1464"/>
      <c r="L70" s="1464"/>
      <c r="M70" s="1464"/>
    </row>
    <row r="71" spans="1:15" ht="14">
      <c r="B71" s="883" t="s">
        <v>442</v>
      </c>
      <c r="C71" s="884"/>
      <c r="D71" s="885"/>
      <c r="E71" s="886"/>
      <c r="F71" s="886"/>
      <c r="G71" s="886"/>
      <c r="H71" s="886"/>
      <c r="I71" s="886"/>
      <c r="J71" s="886"/>
      <c r="K71" s="886"/>
      <c r="L71" s="886"/>
      <c r="M71" s="886"/>
    </row>
    <row r="72" spans="1:15" ht="14">
      <c r="B72" s="1464" t="s">
        <v>109</v>
      </c>
      <c r="C72" s="1464"/>
      <c r="D72" s="1464"/>
      <c r="E72" s="1464"/>
      <c r="F72" s="1464"/>
      <c r="G72" s="1464"/>
      <c r="H72" s="1464"/>
      <c r="I72" s="1464"/>
      <c r="J72" s="1464"/>
      <c r="K72" s="1464"/>
      <c r="L72" s="1464"/>
      <c r="M72" s="1464"/>
    </row>
    <row r="73" spans="1:15" ht="6.75" customHeight="1">
      <c r="B73" s="831"/>
      <c r="C73" s="887"/>
      <c r="D73" s="887"/>
      <c r="E73" s="887"/>
      <c r="F73" s="887"/>
      <c r="G73" s="887"/>
      <c r="H73" s="887"/>
      <c r="I73" s="887"/>
      <c r="J73" s="887"/>
      <c r="K73" s="887"/>
      <c r="L73" s="830"/>
      <c r="M73" s="830"/>
    </row>
    <row r="74" spans="1:15" ht="12.75" customHeight="1">
      <c r="A74" s="834" t="str">
        <f>LK!A76</f>
        <v>VII.</v>
      </c>
      <c r="B74" s="853" t="s">
        <v>277</v>
      </c>
      <c r="D74" s="831"/>
      <c r="E74" s="830"/>
      <c r="F74" s="830"/>
      <c r="G74" s="830"/>
      <c r="H74" s="830"/>
      <c r="I74" s="830"/>
      <c r="J74" s="830"/>
      <c r="K74" s="830"/>
      <c r="L74" s="830"/>
      <c r="M74" s="830"/>
    </row>
    <row r="75" spans="1:15" s="888" customFormat="1" ht="33" customHeight="1">
      <c r="B75" s="1463" t="str">
        <f>LOOKUP(H2,'kata-kata'!B3:B4,'kata-kata'!C3:C4)</f>
        <v>Alat yang dikalibrasi dalam batas toleransi dan dinyatakan LAIK PAKAI, dimana hasil atau skor akhir sama dengan atau melampaui 70 % berdasarkan Keputusan Direktur Jenderal Pelayanan Kesehatan No : HK.02.02/V/0412/2020</v>
      </c>
      <c r="C75" s="1463"/>
      <c r="D75" s="1463"/>
      <c r="E75" s="1463"/>
      <c r="F75" s="1463"/>
      <c r="G75" s="1463"/>
      <c r="H75" s="1463"/>
      <c r="I75" s="1463"/>
      <c r="J75" s="1463"/>
      <c r="K75" s="1463"/>
      <c r="L75" s="1463"/>
      <c r="M75" s="1463"/>
      <c r="O75" s="827"/>
    </row>
    <row r="76" spans="1:15" ht="3" customHeight="1">
      <c r="B76" s="834"/>
      <c r="C76" s="853"/>
      <c r="D76" s="831"/>
      <c r="E76" s="830"/>
      <c r="F76" s="830"/>
      <c r="G76" s="830"/>
      <c r="H76" s="830"/>
      <c r="I76" s="830"/>
      <c r="J76" s="830"/>
      <c r="K76" s="830"/>
      <c r="L76" s="830"/>
      <c r="M76" s="830"/>
    </row>
    <row r="77" spans="1:15" ht="14">
      <c r="A77" s="834" t="s">
        <v>278</v>
      </c>
      <c r="B77" s="834" t="s">
        <v>244</v>
      </c>
      <c r="D77" s="834"/>
      <c r="E77" s="830"/>
      <c r="F77" s="830"/>
      <c r="G77" s="830"/>
      <c r="H77" s="830"/>
      <c r="I77" s="830"/>
      <c r="J77" s="830"/>
      <c r="K77" s="830"/>
      <c r="L77" s="830"/>
      <c r="M77" s="830"/>
      <c r="O77" s="888"/>
    </row>
    <row r="78" spans="1:15" ht="14">
      <c r="B78" s="1449" t="s">
        <v>279</v>
      </c>
      <c r="C78" s="1449"/>
      <c r="D78" s="1449"/>
      <c r="E78" s="1449"/>
      <c r="F78" s="830"/>
      <c r="G78" s="830"/>
      <c r="H78" s="830"/>
      <c r="I78" s="830"/>
      <c r="J78" s="830"/>
      <c r="K78" s="830"/>
      <c r="L78" s="830"/>
      <c r="M78" s="830"/>
    </row>
    <row r="79" spans="1:15" ht="6" customHeight="1">
      <c r="B79" s="831"/>
      <c r="C79" s="889"/>
      <c r="D79" s="831"/>
      <c r="E79" s="830"/>
      <c r="F79" s="830"/>
      <c r="G79" s="830"/>
      <c r="H79" s="830"/>
      <c r="I79" s="830"/>
      <c r="J79" s="830"/>
      <c r="K79" s="830"/>
      <c r="L79" s="830"/>
      <c r="M79" s="830"/>
    </row>
    <row r="80" spans="1:15" ht="14">
      <c r="A80" s="834" t="s">
        <v>280</v>
      </c>
      <c r="B80" s="873" t="s">
        <v>281</v>
      </c>
      <c r="D80" s="831"/>
      <c r="E80" s="830"/>
      <c r="F80" s="830"/>
      <c r="G80" s="830"/>
      <c r="H80" s="830"/>
      <c r="I80" s="830"/>
      <c r="J80" s="830"/>
      <c r="K80" s="830"/>
      <c r="L80" s="830"/>
      <c r="M80" s="833"/>
    </row>
    <row r="81" spans="2:13" ht="14">
      <c r="B81" s="890" t="s">
        <v>282</v>
      </c>
      <c r="C81" s="890"/>
      <c r="D81" s="831"/>
      <c r="E81" s="830"/>
      <c r="F81" s="830"/>
      <c r="G81" s="830"/>
      <c r="H81" s="830"/>
      <c r="I81" s="830"/>
      <c r="J81" s="830"/>
      <c r="K81" s="830"/>
      <c r="L81" s="830"/>
      <c r="M81" s="833"/>
    </row>
    <row r="82" spans="2:13">
      <c r="C82" s="827" t="s">
        <v>123</v>
      </c>
    </row>
    <row r="85" spans="2:13" ht="14.5">
      <c r="L85" s="1207"/>
    </row>
    <row r="86" spans="2:13">
      <c r="C86" s="256"/>
    </row>
    <row r="87" spans="2:13">
      <c r="C87" s="256"/>
    </row>
    <row r="88" spans="2:13">
      <c r="C88" s="256"/>
    </row>
    <row r="89" spans="2:13">
      <c r="C89" s="256"/>
    </row>
    <row r="90" spans="2:13">
      <c r="C90" s="256"/>
    </row>
    <row r="91" spans="2:13">
      <c r="C91" s="256"/>
    </row>
    <row r="92" spans="2:13">
      <c r="C92" s="256"/>
    </row>
    <row r="93" spans="2:13">
      <c r="C93" s="256"/>
    </row>
    <row r="94" spans="2:13">
      <c r="C94" s="256"/>
    </row>
    <row r="95" spans="2:13">
      <c r="C95" s="256"/>
    </row>
    <row r="96" spans="2:13">
      <c r="C96" s="256"/>
    </row>
    <row r="97" spans="3:3">
      <c r="C97" s="256"/>
    </row>
    <row r="98" spans="3:3">
      <c r="C98" s="256"/>
    </row>
    <row r="99" spans="3:3">
      <c r="C99" s="256"/>
    </row>
    <row r="100" spans="3:3">
      <c r="C100" s="256"/>
    </row>
    <row r="101" spans="3:3">
      <c r="C101" s="256"/>
    </row>
    <row r="102" spans="3:3">
      <c r="C102" s="256"/>
    </row>
    <row r="103" spans="3:3">
      <c r="C103" s="891"/>
    </row>
    <row r="105" spans="3:3">
      <c r="C105" s="891"/>
    </row>
    <row r="106" spans="3:3">
      <c r="C106" s="891"/>
    </row>
    <row r="107" spans="3:3">
      <c r="C107" s="891"/>
    </row>
    <row r="108" spans="3:3">
      <c r="C108" s="891"/>
    </row>
    <row r="109" spans="3:3">
      <c r="C109" s="891"/>
    </row>
    <row r="110" spans="3:3">
      <c r="C110" s="891"/>
    </row>
    <row r="111" spans="3:3">
      <c r="C111" s="891"/>
    </row>
    <row r="112" spans="3:3">
      <c r="C112" s="891"/>
    </row>
    <row r="113" spans="3:3">
      <c r="C113" s="256"/>
    </row>
    <row r="114" spans="3:3">
      <c r="C114" s="256"/>
    </row>
    <row r="115" spans="3:3">
      <c r="C115" s="256"/>
    </row>
    <row r="116" spans="3:3">
      <c r="C116" s="256"/>
    </row>
    <row r="117" spans="3:3">
      <c r="C117" s="256"/>
    </row>
    <row r="118" spans="3:3">
      <c r="C118" s="256"/>
    </row>
    <row r="119" spans="3:3">
      <c r="C119" s="256"/>
    </row>
    <row r="120" spans="3:3">
      <c r="C120" s="256"/>
    </row>
    <row r="121" spans="3:3">
      <c r="C121" s="256"/>
    </row>
    <row r="122" spans="3:3">
      <c r="C122" s="256"/>
    </row>
    <row r="123" spans="3:3">
      <c r="C123" s="256"/>
    </row>
    <row r="124" spans="3:3">
      <c r="C124" s="256"/>
    </row>
    <row r="125" spans="3:3">
      <c r="C125" s="256"/>
    </row>
    <row r="126" spans="3:3">
      <c r="C126" s="891"/>
    </row>
    <row r="128" spans="3:3">
      <c r="C128" s="891"/>
    </row>
    <row r="129" spans="3:3">
      <c r="C129" s="891"/>
    </row>
    <row r="130" spans="3:3">
      <c r="C130" s="256"/>
    </row>
    <row r="131" spans="3:3">
      <c r="C131" s="256"/>
    </row>
    <row r="132" spans="3:3">
      <c r="C132" s="256"/>
    </row>
    <row r="133" spans="3:3">
      <c r="C133" s="256"/>
    </row>
    <row r="134" spans="3:3">
      <c r="C134" s="256"/>
    </row>
    <row r="135" spans="3:3">
      <c r="C135" s="256"/>
    </row>
    <row r="136" spans="3:3">
      <c r="C136" s="256"/>
    </row>
    <row r="137" spans="3:3">
      <c r="C137" s="256"/>
    </row>
    <row r="138" spans="3:3">
      <c r="C138" s="256"/>
    </row>
    <row r="139" spans="3:3">
      <c r="C139" s="256"/>
    </row>
    <row r="140" spans="3:3">
      <c r="C140" s="256"/>
    </row>
    <row r="141" spans="3:3">
      <c r="C141" s="256"/>
    </row>
    <row r="142" spans="3:3">
      <c r="C142" s="256"/>
    </row>
    <row r="143" spans="3:3">
      <c r="C143" s="891"/>
    </row>
    <row r="145" spans="3:3" ht="14">
      <c r="C145" s="892"/>
    </row>
    <row r="146" spans="3:3" ht="14">
      <c r="C146" s="892"/>
    </row>
    <row r="147" spans="3:3" ht="14">
      <c r="C147" s="892"/>
    </row>
    <row r="148" spans="3:3" ht="14">
      <c r="C148" s="892"/>
    </row>
    <row r="149" spans="3:3" ht="14">
      <c r="C149" s="892"/>
    </row>
    <row r="150" spans="3:3" ht="14">
      <c r="C150" s="892"/>
    </row>
    <row r="151" spans="3:3" ht="14">
      <c r="C151" s="892"/>
    </row>
    <row r="152" spans="3:3" ht="14">
      <c r="C152" s="892"/>
    </row>
    <row r="153" spans="3:3" ht="14">
      <c r="C153" s="892"/>
    </row>
    <row r="154" spans="3:3" ht="14.5">
      <c r="C154" s="1207"/>
    </row>
    <row r="155" spans="3:3" ht="14.5">
      <c r="C155" s="1207"/>
    </row>
    <row r="156" spans="3:3" ht="14">
      <c r="C156" s="893"/>
    </row>
    <row r="161" spans="3:3">
      <c r="C161" s="894"/>
    </row>
    <row r="162" spans="3:3">
      <c r="C162" s="894"/>
    </row>
    <row r="163" spans="3:3">
      <c r="C163" s="894"/>
    </row>
    <row r="164" spans="3:3">
      <c r="C164" s="894"/>
    </row>
    <row r="165" spans="3:3">
      <c r="C165" s="894"/>
    </row>
    <row r="166" spans="3:3">
      <c r="C166" s="894"/>
    </row>
    <row r="167" spans="3:3">
      <c r="C167" s="894"/>
    </row>
    <row r="168" spans="3:3">
      <c r="C168" s="894"/>
    </row>
    <row r="169" spans="3:3">
      <c r="C169" s="894"/>
    </row>
    <row r="170" spans="3:3">
      <c r="C170" s="894"/>
    </row>
    <row r="171" spans="3:3">
      <c r="C171" s="894"/>
    </row>
    <row r="172" spans="3:3">
      <c r="C172" s="895"/>
    </row>
    <row r="173" spans="3:3" ht="14.5">
      <c r="C173" s="1208"/>
    </row>
    <row r="174" spans="3:3" ht="14.5">
      <c r="C174" s="1208"/>
    </row>
    <row r="175" spans="3:3" ht="14.5">
      <c r="C175" s="1208"/>
    </row>
  </sheetData>
  <sheetProtection insertRows="0" selectLockedCells="1"/>
  <mergeCells count="47">
    <mergeCell ref="B70:M70"/>
    <mergeCell ref="B72:M72"/>
    <mergeCell ref="B48:B49"/>
    <mergeCell ref="C28:I28"/>
    <mergeCell ref="L46:L47"/>
    <mergeCell ref="K48:K49"/>
    <mergeCell ref="L48:L49"/>
    <mergeCell ref="G52:I52"/>
    <mergeCell ref="B33:B34"/>
    <mergeCell ref="C33:C34"/>
    <mergeCell ref="D33:D34"/>
    <mergeCell ref="C35:C43"/>
    <mergeCell ref="B46:B47"/>
    <mergeCell ref="C46:C47"/>
    <mergeCell ref="D46:D47"/>
    <mergeCell ref="J23:K24"/>
    <mergeCell ref="H16:I16"/>
    <mergeCell ref="O26:O27"/>
    <mergeCell ref="B78:E78"/>
    <mergeCell ref="C26:I26"/>
    <mergeCell ref="C27:I27"/>
    <mergeCell ref="E33:G33"/>
    <mergeCell ref="H33:H34"/>
    <mergeCell ref="E46:I47"/>
    <mergeCell ref="E52:F52"/>
    <mergeCell ref="E53:F53"/>
    <mergeCell ref="C48:C49"/>
    <mergeCell ref="D48:D49"/>
    <mergeCell ref="C52:D52"/>
    <mergeCell ref="C53:D53"/>
    <mergeCell ref="B75:M75"/>
    <mergeCell ref="A1:M1"/>
    <mergeCell ref="B68:M68"/>
    <mergeCell ref="J33:J34"/>
    <mergeCell ref="B66:M66"/>
    <mergeCell ref="L23:M24"/>
    <mergeCell ref="J48:J49"/>
    <mergeCell ref="I33:I34"/>
    <mergeCell ref="K46:K47"/>
    <mergeCell ref="C23:I24"/>
    <mergeCell ref="J46:J47"/>
    <mergeCell ref="G53:I53"/>
    <mergeCell ref="B23:B24"/>
    <mergeCell ref="F9:J9"/>
    <mergeCell ref="H13:I13"/>
    <mergeCell ref="H14:I14"/>
    <mergeCell ref="H15:I15"/>
  </mergeCells>
  <dataValidations count="3">
    <dataValidation allowBlank="1" showInputMessage="1" sqref="F9:J9 H2:M2 A2:C2 L61:M61" xr:uid="{00000000-0002-0000-0100-000000000000}"/>
    <dataValidation type="list" allowBlank="1" showInputMessage="1" showErrorMessage="1" sqref="O26:O27" xr:uid="{00000000-0002-0000-0100-000001000000}">
      <formula1>#REF!</formula1>
    </dataValidation>
    <dataValidation type="list" allowBlank="1" showInputMessage="1" showErrorMessage="1" sqref="C28:I28" xr:uid="{5F0FE462-A2A5-4EE6-9C93-15FAFD42A8F8}">
      <formula1>#REF!</formula1>
    </dataValidation>
  </dataValidations>
  <printOptions horizontalCentered="1"/>
  <pageMargins left="0.35433070866141736" right="0.31496062992125984" top="0.47244094488188981" bottom="7.874015748031496E-2" header="0.23622047244094491" footer="0.27559055118110237"/>
  <pageSetup paperSize="9" scale="61" orientation="portrait" horizontalDpi="4294967294" verticalDpi="4294967294" r:id="rId1"/>
  <headerFooter>
    <oddHeader>&amp;R&amp;8KL.ID.012-18 / REV : 0</oddHeader>
  </headerFooter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xr:uid="{00000000-0002-0000-0100-000008000000}">
          <x14:formula1>
            <xm:f>'kata-kata'!$K$9:$K$10</xm:f>
          </x14:formula1>
          <xm:sqref>F19:F20</xm:sqref>
        </x14:dataValidation>
        <x14:dataValidation type="list" allowBlank="1" showInputMessage="1" showErrorMessage="1" xr:uid="{00000000-0002-0000-0100-00000F000000}">
          <x14:formula1>
            <xm:f>'DB Suhu'!$A$249:$A$260</xm:f>
          </x14:formula1>
          <xm:sqref>B72:M72</xm:sqref>
        </x14:dataValidation>
        <x14:dataValidation type="list" allowBlank="1" showInputMessage="1" xr:uid="{00000000-0002-0000-0100-00000B000000}">
          <x14:formula1>
            <xm:f>'kata-kata'!$B$37:$B$54</xm:f>
          </x14:formula1>
          <xm:sqref>B78</xm:sqref>
        </x14:dataValidation>
        <x14:dataValidation type="list" allowBlank="1" showInputMessage="1" showErrorMessage="1" xr:uid="{42B2A496-05AB-41BA-AF27-C33E4529A34C}">
          <x14:formula1>
            <xm:f>'DB Stopwatch (2)'!$A$226:$A$241</xm:f>
          </x14:formula1>
          <xm:sqref>B68:M68</xm:sqref>
        </x14:dataValidation>
        <x14:dataValidation type="list" allowBlank="1" showInputMessage="1" showErrorMessage="1" xr:uid="{2EF339A8-F804-449C-8EC3-591511C76BDB}">
          <x14:formula1>
            <xm:f>'Input Data Sertifikat Defib'!$B$121:$B$129</xm:f>
          </x14:formula1>
          <xm:sqref>B66</xm:sqref>
        </x14:dataValidation>
        <x14:dataValidation type="list" allowBlank="1" showInputMessage="1" showErrorMessage="1" xr:uid="{D01A8521-3897-4994-A25D-D313FBDF8D1E}">
          <x14:formula1>
            <xm:f>ESA!$A$167:$A$178</xm:f>
          </x14:formula1>
          <xm:sqref>B70:M70</xm:sqref>
        </x14:dataValidation>
        <x14:dataValidation type="list" allowBlank="1" showInputMessage="1" xr:uid="{00000000-0002-0000-0100-000006000000}">
          <x14:formula1>
            <xm:f>'kata-kata'!$I$45:$I$46</xm:f>
          </x14:formula1>
          <xm:sqref>C26:I26</xm:sqref>
        </x14:dataValidation>
        <x14:dataValidation type="list" allowBlank="1" showInputMessage="1" xr:uid="{00000000-0002-0000-0100-000007000000}">
          <x14:formula1>
            <xm:f>'kata-kata'!$I$47:$I$48</xm:f>
          </x14:formula1>
          <xm:sqref>C27:I27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4">
    <pageSetUpPr fitToPage="1"/>
  </sheetPr>
  <dimension ref="A1:AO77"/>
  <sheetViews>
    <sheetView view="pageBreakPreview" topLeftCell="A64" zoomScale="92" zoomScaleNormal="100" zoomScaleSheetLayoutView="92" zoomScalePageLayoutView="86" workbookViewId="0">
      <selection activeCell="AI57" sqref="AI57"/>
    </sheetView>
  </sheetViews>
  <sheetFormatPr defaultRowHeight="12.5"/>
  <cols>
    <col min="1" max="1" width="22" customWidth="1"/>
    <col min="3" max="3" width="17" customWidth="1"/>
    <col min="4" max="4" width="7.54296875" customWidth="1"/>
    <col min="6" max="6" width="9.1796875" customWidth="1"/>
    <col min="8" max="8" width="11.1796875" customWidth="1"/>
    <col min="9" max="9" width="11.453125" customWidth="1"/>
    <col min="10" max="10" width="11.1796875" customWidth="1"/>
    <col min="11" max="11" width="12.453125" customWidth="1"/>
    <col min="12" max="12" width="6.453125" customWidth="1"/>
    <col min="13" max="13" width="15.1796875" customWidth="1"/>
    <col min="14" max="14" width="9" customWidth="1"/>
    <col min="15" max="15" width="18.7265625" customWidth="1"/>
    <col min="16" max="16" width="8.7265625" customWidth="1"/>
    <col min="17" max="17" width="14.54296875" customWidth="1"/>
    <col min="18" max="18" width="12.54296875" customWidth="1"/>
    <col min="19" max="20" width="10.7265625" customWidth="1"/>
    <col min="21" max="21" width="12.81640625" customWidth="1"/>
    <col min="22" max="22" width="11.26953125" customWidth="1"/>
    <col min="23" max="23" width="13.453125" customWidth="1"/>
    <col min="24" max="24" width="11.1796875" customWidth="1"/>
    <col min="30" max="30" width="10.54296875" customWidth="1"/>
  </cols>
  <sheetData>
    <row r="1" spans="1:34" ht="14.5" thickBot="1">
      <c r="A1" s="5"/>
      <c r="B1" s="6"/>
      <c r="C1" s="6"/>
      <c r="D1" s="6"/>
      <c r="E1" s="7"/>
      <c r="F1" s="6"/>
      <c r="G1" s="55"/>
      <c r="H1" s="6"/>
      <c r="I1" s="6"/>
      <c r="J1" s="69"/>
      <c r="K1" s="70"/>
      <c r="W1" s="59" t="s">
        <v>284</v>
      </c>
    </row>
    <row r="2" spans="1:34" ht="13">
      <c r="A2" s="1475" t="s">
        <v>285</v>
      </c>
      <c r="B2" s="1476"/>
      <c r="C2" s="1476"/>
      <c r="D2" s="1476"/>
      <c r="E2" s="1476"/>
      <c r="F2" s="1476"/>
      <c r="G2" s="1476"/>
      <c r="H2" s="1476"/>
      <c r="I2" s="1476"/>
      <c r="J2" s="1476"/>
      <c r="K2" s="1476"/>
      <c r="L2" s="1476"/>
      <c r="M2" s="1476"/>
      <c r="N2" s="1476"/>
      <c r="O2" s="1476"/>
      <c r="P2" s="1476"/>
      <c r="Q2" s="1476"/>
      <c r="R2" s="1476"/>
      <c r="S2" s="1476"/>
      <c r="T2" s="1476"/>
      <c r="U2" s="1476"/>
      <c r="V2" s="1476"/>
      <c r="W2" s="1477"/>
    </row>
    <row r="3" spans="1:34" ht="13">
      <c r="A3" s="1478"/>
      <c r="B3" s="1479"/>
      <c r="C3" s="1479"/>
      <c r="D3" s="1479"/>
      <c r="E3" s="1479"/>
      <c r="F3" s="1479"/>
      <c r="G3" s="1479"/>
      <c r="H3" s="1479"/>
      <c r="I3" s="1479"/>
      <c r="J3" s="1479"/>
      <c r="K3" s="1479"/>
      <c r="L3" s="62"/>
      <c r="M3" s="1479"/>
      <c r="N3" s="1479"/>
      <c r="O3" s="1479"/>
      <c r="P3" s="1479"/>
      <c r="Q3" s="1479"/>
      <c r="R3" s="1479"/>
      <c r="S3" s="1479"/>
      <c r="T3" s="1479"/>
      <c r="U3" s="1479"/>
      <c r="V3" s="1479"/>
      <c r="W3" s="1480"/>
    </row>
    <row r="4" spans="1:34" ht="14">
      <c r="A4" s="86" t="s">
        <v>300</v>
      </c>
      <c r="B4" s="87"/>
      <c r="C4" s="89">
        <f>[3]Input!D36</f>
        <v>5</v>
      </c>
      <c r="D4" s="88" t="s">
        <v>301</v>
      </c>
      <c r="E4" s="62"/>
      <c r="F4" s="62"/>
      <c r="G4" s="62"/>
      <c r="H4" s="62"/>
      <c r="I4" s="62"/>
      <c r="J4" s="62"/>
      <c r="K4" s="62"/>
      <c r="L4" s="62"/>
      <c r="M4" s="86" t="s">
        <v>300</v>
      </c>
      <c r="N4" s="87"/>
      <c r="O4" s="89">
        <f>[3]Input!D41</f>
        <v>100</v>
      </c>
      <c r="P4" s="88" t="s">
        <v>301</v>
      </c>
      <c r="Q4" s="62"/>
      <c r="R4" s="62"/>
      <c r="S4" s="62"/>
      <c r="T4" s="62"/>
      <c r="U4" s="62"/>
      <c r="V4" s="62"/>
      <c r="W4" s="248"/>
      <c r="X4" s="1483"/>
      <c r="Y4" s="1483"/>
      <c r="Z4" s="1483"/>
      <c r="AA4" s="1474"/>
      <c r="AB4" s="1484"/>
      <c r="AD4" s="1483"/>
      <c r="AE4" s="1483"/>
      <c r="AF4" s="1483"/>
      <c r="AG4" s="1474"/>
      <c r="AH4" s="1484"/>
    </row>
    <row r="5" spans="1:34" ht="14">
      <c r="A5" s="464" t="s">
        <v>286</v>
      </c>
      <c r="B5" s="465" t="s">
        <v>287</v>
      </c>
      <c r="C5" s="466" t="s">
        <v>288</v>
      </c>
      <c r="D5" s="465" t="s">
        <v>289</v>
      </c>
      <c r="E5" s="467" t="s">
        <v>290</v>
      </c>
      <c r="F5" s="465" t="s">
        <v>133</v>
      </c>
      <c r="G5" s="466" t="s">
        <v>134</v>
      </c>
      <c r="H5" s="465" t="s">
        <v>135</v>
      </c>
      <c r="I5" s="466" t="s">
        <v>136</v>
      </c>
      <c r="J5" s="465" t="s">
        <v>137</v>
      </c>
      <c r="K5" s="468" t="s">
        <v>138</v>
      </c>
      <c r="L5" s="62"/>
      <c r="M5" s="464" t="s">
        <v>286</v>
      </c>
      <c r="N5" s="465" t="s">
        <v>287</v>
      </c>
      <c r="O5" s="466" t="s">
        <v>288</v>
      </c>
      <c r="P5" s="465" t="s">
        <v>289</v>
      </c>
      <c r="Q5" s="467" t="s">
        <v>290</v>
      </c>
      <c r="R5" s="465" t="s">
        <v>133</v>
      </c>
      <c r="S5" s="466" t="s">
        <v>134</v>
      </c>
      <c r="T5" s="465" t="s">
        <v>135</v>
      </c>
      <c r="U5" s="466" t="s">
        <v>136</v>
      </c>
      <c r="V5" s="465" t="s">
        <v>137</v>
      </c>
      <c r="W5" s="468" t="s">
        <v>138</v>
      </c>
      <c r="X5" s="278"/>
      <c r="Y5" s="1474"/>
      <c r="Z5" s="1474"/>
      <c r="AA5" s="1474"/>
      <c r="AB5" s="1484"/>
      <c r="AD5" s="278"/>
      <c r="AE5" s="1474"/>
      <c r="AF5" s="1474"/>
      <c r="AG5" s="1474"/>
      <c r="AH5" s="1484"/>
    </row>
    <row r="6" spans="1:34" ht="14">
      <c r="A6" s="469" t="s">
        <v>302</v>
      </c>
      <c r="B6" s="85" t="s">
        <v>301</v>
      </c>
      <c r="C6" s="470" t="s">
        <v>291</v>
      </c>
      <c r="D6" s="533">
        <f>'Input Data Sertifikat Defib'!F103</f>
        <v>1.0000000000000001E-5</v>
      </c>
      <c r="E6" s="472">
        <f>SQRT(3)</f>
        <v>1.7320508075688772</v>
      </c>
      <c r="F6" s="85">
        <v>2</v>
      </c>
      <c r="G6" s="473">
        <f>D6/E6</f>
        <v>5.7735026918962587E-6</v>
      </c>
      <c r="H6" s="474">
        <v>1</v>
      </c>
      <c r="I6" s="473">
        <f>G6*H6</f>
        <v>5.7735026918962587E-6</v>
      </c>
      <c r="J6" s="475">
        <f>I6^2</f>
        <v>3.3333333333333347E-11</v>
      </c>
      <c r="K6" s="476">
        <f>I6^4/F6</f>
        <v>5.5555555555555605E-22</v>
      </c>
      <c r="L6" s="62"/>
      <c r="M6" s="469" t="s">
        <v>302</v>
      </c>
      <c r="N6" s="85" t="s">
        <v>301</v>
      </c>
      <c r="O6" s="470" t="s">
        <v>291</v>
      </c>
      <c r="P6" s="533">
        <f>'Input Data Sertifikat Defib'!F108</f>
        <v>2.3094010767585034</v>
      </c>
      <c r="Q6" s="472">
        <f>SQRT(3)</f>
        <v>1.7320508075688772</v>
      </c>
      <c r="R6" s="85">
        <v>2</v>
      </c>
      <c r="S6" s="473">
        <f>P6/Q6</f>
        <v>1.3333333333333335</v>
      </c>
      <c r="T6" s="474">
        <v>1</v>
      </c>
      <c r="U6" s="473">
        <f>S6*T6</f>
        <v>1.3333333333333335</v>
      </c>
      <c r="V6" s="475">
        <f>U6^2</f>
        <v>1.7777777777777781</v>
      </c>
      <c r="W6" s="476">
        <f>U6^4/R6</f>
        <v>1.5802469135802475</v>
      </c>
      <c r="X6" s="279"/>
      <c r="Y6" s="10"/>
      <c r="Z6" s="10"/>
      <c r="AA6" s="1474"/>
      <c r="AB6" s="1484"/>
      <c r="AD6" s="279"/>
      <c r="AE6" s="280"/>
      <c r="AF6" s="280"/>
      <c r="AG6" s="1474"/>
      <c r="AH6" s="1484"/>
    </row>
    <row r="7" spans="1:34" ht="13">
      <c r="A7" s="477" t="s">
        <v>303</v>
      </c>
      <c r="B7" s="85" t="s">
        <v>301</v>
      </c>
      <c r="C7" s="478" t="s">
        <v>292</v>
      </c>
      <c r="D7" s="534">
        <f>'Input Data Sertifikat Defib'!L103</f>
        <v>0.5</v>
      </c>
      <c r="E7" s="479">
        <f>SQRT(3)</f>
        <v>1.7320508075688772</v>
      </c>
      <c r="F7" s="85">
        <f>0.5*((100/10)^2)</f>
        <v>50</v>
      </c>
      <c r="G7" s="480">
        <f>D7/E7</f>
        <v>0.28867513459481292</v>
      </c>
      <c r="H7" s="85">
        <v>1</v>
      </c>
      <c r="I7" s="480">
        <f>G7*H7</f>
        <v>0.28867513459481292</v>
      </c>
      <c r="J7" s="481">
        <f>I7^2</f>
        <v>8.3333333333333356E-2</v>
      </c>
      <c r="K7" s="482">
        <f>I7^4/F7</f>
        <v>1.3888888888888897E-4</v>
      </c>
      <c r="L7" s="62"/>
      <c r="M7" s="477" t="s">
        <v>303</v>
      </c>
      <c r="N7" s="85" t="s">
        <v>301</v>
      </c>
      <c r="O7" s="478" t="s">
        <v>292</v>
      </c>
      <c r="P7" s="534">
        <f>'Input Data Sertifikat Defib'!L108</f>
        <v>0.5</v>
      </c>
      <c r="Q7" s="479">
        <f>SQRT(3)</f>
        <v>1.7320508075688772</v>
      </c>
      <c r="R7" s="85">
        <f>0.5*((100/10)^2)</f>
        <v>50</v>
      </c>
      <c r="S7" s="480">
        <f>P7/Q7</f>
        <v>0.28867513459481292</v>
      </c>
      <c r="T7" s="85">
        <v>1</v>
      </c>
      <c r="U7" s="480">
        <f>S7*T7</f>
        <v>0.28867513459481292</v>
      </c>
      <c r="V7" s="481">
        <f>U7^2</f>
        <v>8.3333333333333356E-2</v>
      </c>
      <c r="W7" s="482">
        <f>U7^4/R7</f>
        <v>1.3888888888888897E-4</v>
      </c>
      <c r="X7" s="10"/>
      <c r="Y7" s="281"/>
      <c r="Z7" s="281"/>
      <c r="AA7" s="281"/>
      <c r="AB7" s="281"/>
      <c r="AD7" s="10"/>
      <c r="AE7" s="20"/>
      <c r="AF7" s="20"/>
      <c r="AG7" s="20"/>
      <c r="AH7" s="20"/>
    </row>
    <row r="8" spans="1:34" ht="13">
      <c r="A8" s="469" t="s">
        <v>293</v>
      </c>
      <c r="B8" s="85" t="s">
        <v>301</v>
      </c>
      <c r="C8" s="85" t="s">
        <v>292</v>
      </c>
      <c r="D8" s="535">
        <f>'Input Data Sertifikat Defib'!M80</f>
        <v>3.5598751371960242E-3</v>
      </c>
      <c r="E8" s="483">
        <f>SQRT(3)</f>
        <v>1.7320508075688772</v>
      </c>
      <c r="F8" s="85">
        <f>0.5*((100/10)^2)</f>
        <v>50</v>
      </c>
      <c r="G8" s="484">
        <f>D8/E8</f>
        <v>2.0552948687415805E-3</v>
      </c>
      <c r="H8" s="85">
        <v>1</v>
      </c>
      <c r="I8" s="484">
        <f>G8*H8</f>
        <v>2.0552948687415805E-3</v>
      </c>
      <c r="J8" s="481">
        <f>I8^2</f>
        <v>4.2242369974754705E-6</v>
      </c>
      <c r="K8" s="485">
        <f>I8^4/F8</f>
        <v>3.5688356421681157E-13</v>
      </c>
      <c r="L8" s="62"/>
      <c r="M8" s="469" t="s">
        <v>293</v>
      </c>
      <c r="N8" s="85" t="s">
        <v>301</v>
      </c>
      <c r="O8" s="85" t="s">
        <v>292</v>
      </c>
      <c r="P8" s="535">
        <f>'Input Data Sertifikat Defib'!M85</f>
        <v>0.10937253677705536</v>
      </c>
      <c r="Q8" s="483">
        <f>SQRT(3)</f>
        <v>1.7320508075688772</v>
      </c>
      <c r="R8" s="85">
        <f>0.5*((100/10)^2)</f>
        <v>50</v>
      </c>
      <c r="S8" s="484">
        <f>P8/Q8</f>
        <v>6.3146263550185155E-2</v>
      </c>
      <c r="T8" s="85">
        <v>1</v>
      </c>
      <c r="U8" s="484">
        <f>S8*T8</f>
        <v>6.3146263550185155E-2</v>
      </c>
      <c r="V8" s="481">
        <f>U8^2</f>
        <v>3.9874506003494421E-3</v>
      </c>
      <c r="W8" s="485">
        <f>U8^4/R8</f>
        <v>3.1799524580454246E-7</v>
      </c>
      <c r="X8" s="10"/>
      <c r="Y8" s="281"/>
      <c r="Z8" s="281"/>
      <c r="AA8" s="281"/>
      <c r="AB8" s="281"/>
      <c r="AD8" s="10"/>
      <c r="AE8" s="20"/>
      <c r="AF8" s="20"/>
      <c r="AG8" s="20"/>
      <c r="AH8" s="20"/>
    </row>
    <row r="9" spans="1:34" ht="13">
      <c r="A9" s="486" t="s">
        <v>294</v>
      </c>
      <c r="B9" s="85" t="s">
        <v>301</v>
      </c>
      <c r="C9" s="478" t="s">
        <v>291</v>
      </c>
      <c r="D9" s="536">
        <f>'Input Data Sertifikat Defib'!N80</f>
        <v>2.6097225298425682E-2</v>
      </c>
      <c r="E9" s="488">
        <v>2</v>
      </c>
      <c r="F9" s="85">
        <f>0.5*((100/10)^2)</f>
        <v>50</v>
      </c>
      <c r="G9" s="480">
        <f>D9/E9</f>
        <v>1.3048612649212841E-2</v>
      </c>
      <c r="H9" s="85">
        <v>1</v>
      </c>
      <c r="I9" s="480">
        <f>G9*H9</f>
        <v>1.3048612649212841E-2</v>
      </c>
      <c r="J9" s="481">
        <f>I9^2</f>
        <v>1.7026629206919736E-4</v>
      </c>
      <c r="K9" s="485">
        <f>I9^4/F9</f>
        <v>5.7981220429986439E-10</v>
      </c>
      <c r="L9" s="62"/>
      <c r="M9" s="486" t="s">
        <v>294</v>
      </c>
      <c r="N9" s="85" t="s">
        <v>301</v>
      </c>
      <c r="O9" s="478" t="s">
        <v>291</v>
      </c>
      <c r="P9" s="536">
        <f>'Input Data Sertifikat Defib'!N85</f>
        <v>0.47462549061582915</v>
      </c>
      <c r="Q9" s="488">
        <v>2</v>
      </c>
      <c r="R9" s="85">
        <f>0.5*((100/10)^2)</f>
        <v>50</v>
      </c>
      <c r="S9" s="480">
        <f>P9/Q9</f>
        <v>0.23731274530791457</v>
      </c>
      <c r="T9" s="85">
        <v>1</v>
      </c>
      <c r="U9" s="480">
        <f>S9*T9</f>
        <v>0.23731274530791457</v>
      </c>
      <c r="V9" s="481">
        <f>U9^2</f>
        <v>5.6317339085579128E-2</v>
      </c>
      <c r="W9" s="485">
        <f>U9^4/R9</f>
        <v>6.3432853633601968E-5</v>
      </c>
      <c r="X9" s="10"/>
      <c r="Y9" s="281"/>
      <c r="Z9" s="281"/>
      <c r="AA9" s="281"/>
      <c r="AB9" s="281"/>
      <c r="AD9" s="10"/>
      <c r="AE9" s="20"/>
      <c r="AF9" s="20"/>
      <c r="AG9" s="20"/>
      <c r="AH9" s="20"/>
    </row>
    <row r="10" spans="1:34" ht="13">
      <c r="A10" s="486"/>
      <c r="B10" s="85"/>
      <c r="C10" s="85"/>
      <c r="D10" s="85"/>
      <c r="E10" s="483"/>
      <c r="F10" s="85"/>
      <c r="G10" s="484"/>
      <c r="H10" s="85"/>
      <c r="I10" s="484"/>
      <c r="J10" s="481"/>
      <c r="K10" s="485"/>
      <c r="L10" s="62"/>
      <c r="M10" s="486"/>
      <c r="N10" s="85"/>
      <c r="O10" s="85"/>
      <c r="P10" s="85"/>
      <c r="Q10" s="483"/>
      <c r="R10" s="85"/>
      <c r="S10" s="484"/>
      <c r="T10" s="85"/>
      <c r="U10" s="484"/>
      <c r="V10" s="481"/>
      <c r="W10" s="485"/>
      <c r="X10" s="10"/>
      <c r="Y10" s="281"/>
      <c r="Z10" s="281"/>
      <c r="AA10" s="281"/>
      <c r="AB10" s="281"/>
      <c r="AD10" s="10"/>
      <c r="AE10" s="20"/>
      <c r="AF10" s="20"/>
      <c r="AG10" s="20"/>
      <c r="AH10" s="20"/>
    </row>
    <row r="11" spans="1:34" ht="14">
      <c r="A11" s="489" t="s">
        <v>143</v>
      </c>
      <c r="B11" s="252"/>
      <c r="C11" s="252"/>
      <c r="D11" s="252"/>
      <c r="E11" s="490"/>
      <c r="F11" s="252"/>
      <c r="G11" s="252"/>
      <c r="H11" s="252"/>
      <c r="I11" s="252"/>
      <c r="J11" s="491">
        <f>SUM(J6:J9)</f>
        <v>8.3507823895733357E-2</v>
      </c>
      <c r="K11" s="492">
        <f>SUM(K6:K9)</f>
        <v>1.3888946905797684E-4</v>
      </c>
      <c r="L11" s="62"/>
      <c r="M11" s="489" t="s">
        <v>143</v>
      </c>
      <c r="N11" s="252"/>
      <c r="O11" s="252"/>
      <c r="P11" s="252"/>
      <c r="Q11" s="490"/>
      <c r="R11" s="252"/>
      <c r="S11" s="252"/>
      <c r="T11" s="252"/>
      <c r="U11" s="252"/>
      <c r="V11" s="491">
        <f>SUM(V6:V9)</f>
        <v>1.9214159007970399</v>
      </c>
      <c r="W11" s="492">
        <f>SUM(W6:W9)</f>
        <v>1.5804495533180158</v>
      </c>
      <c r="X11" s="10"/>
      <c r="Y11" s="281"/>
      <c r="Z11" s="281"/>
      <c r="AA11" s="281"/>
      <c r="AB11" s="281"/>
      <c r="AD11" s="10"/>
      <c r="AE11" s="20"/>
      <c r="AF11" s="20"/>
      <c r="AG11" s="20"/>
      <c r="AH11" s="20"/>
    </row>
    <row r="12" spans="1:34" ht="17">
      <c r="A12" s="493" t="s">
        <v>145</v>
      </c>
      <c r="B12" s="494"/>
      <c r="C12" s="494"/>
      <c r="D12" s="494"/>
      <c r="E12" s="495"/>
      <c r="F12" s="494"/>
      <c r="G12" s="496" t="s">
        <v>295</v>
      </c>
      <c r="H12" s="494"/>
      <c r="I12" s="494"/>
      <c r="J12" s="497">
        <f>SQRT(J11)</f>
        <v>0.28897720307272223</v>
      </c>
      <c r="K12" s="498"/>
      <c r="L12" s="62"/>
      <c r="M12" s="493" t="s">
        <v>145</v>
      </c>
      <c r="N12" s="494"/>
      <c r="O12" s="494"/>
      <c r="P12" s="494"/>
      <c r="Q12" s="495"/>
      <c r="R12" s="494"/>
      <c r="S12" s="496" t="s">
        <v>295</v>
      </c>
      <c r="T12" s="494"/>
      <c r="U12" s="494"/>
      <c r="V12" s="497">
        <f>SQRT(V11)</f>
        <v>1.3861514710871392</v>
      </c>
      <c r="W12" s="498"/>
      <c r="X12" s="10"/>
      <c r="Y12" s="281"/>
      <c r="Z12" s="281"/>
      <c r="AA12" s="281"/>
      <c r="AB12" s="281"/>
      <c r="AD12" s="10"/>
      <c r="AE12" s="20"/>
      <c r="AF12" s="20"/>
      <c r="AG12" s="20"/>
      <c r="AH12" s="20"/>
    </row>
    <row r="13" spans="1:34" ht="17.5">
      <c r="A13" s="489" t="s">
        <v>146</v>
      </c>
      <c r="B13" s="499"/>
      <c r="C13" s="499"/>
      <c r="D13" s="499"/>
      <c r="E13" s="500"/>
      <c r="F13" s="499"/>
      <c r="G13" s="501" t="s">
        <v>296</v>
      </c>
      <c r="H13" s="499"/>
      <c r="I13" s="499"/>
      <c r="J13" s="502">
        <f>J12^4/(K11)</f>
        <v>50.209398157392556</v>
      </c>
      <c r="K13" s="503"/>
      <c r="L13" s="62"/>
      <c r="M13" s="489" t="s">
        <v>146</v>
      </c>
      <c r="N13" s="499"/>
      <c r="O13" s="499"/>
      <c r="P13" s="499"/>
      <c r="Q13" s="500"/>
      <c r="R13" s="499"/>
      <c r="S13" s="501" t="s">
        <v>296</v>
      </c>
      <c r="T13" s="499"/>
      <c r="U13" s="499"/>
      <c r="V13" s="502">
        <f>V12^4/(W11)</f>
        <v>2.3359423627821641</v>
      </c>
      <c r="W13" s="503"/>
      <c r="X13" s="10"/>
      <c r="Y13" s="281"/>
      <c r="Z13" s="281"/>
      <c r="AA13" s="281"/>
      <c r="AB13" s="281"/>
      <c r="AD13" s="10"/>
      <c r="AE13" s="20"/>
      <c r="AF13" s="20"/>
      <c r="AG13" s="20"/>
      <c r="AH13" s="20"/>
    </row>
    <row r="14" spans="1:34" ht="15.5">
      <c r="A14" s="493" t="s">
        <v>147</v>
      </c>
      <c r="B14" s="494"/>
      <c r="C14" s="494"/>
      <c r="D14" s="494"/>
      <c r="E14" s="495"/>
      <c r="F14" s="494"/>
      <c r="G14" s="504" t="s">
        <v>297</v>
      </c>
      <c r="H14" s="494"/>
      <c r="I14" s="494"/>
      <c r="J14" s="505">
        <f>1.95996+(2.37356/J13)+(2.818745/J13^2)+(2.546662/J13^3)+(1.761829/J13^4)+(0.245458/J13^5)+(1.000764/J13^6)</f>
        <v>2.0083717321548962</v>
      </c>
      <c r="K14" s="498"/>
      <c r="L14" s="62"/>
      <c r="M14" s="493" t="s">
        <v>147</v>
      </c>
      <c r="N14" s="494"/>
      <c r="O14" s="494"/>
      <c r="P14" s="494"/>
      <c r="Q14" s="495"/>
      <c r="R14" s="494"/>
      <c r="S14" s="504" t="s">
        <v>297</v>
      </c>
      <c r="T14" s="494"/>
      <c r="U14" s="494"/>
      <c r="V14" s="505">
        <f>1.95996+(2.37356/V13)+(2.818745/V13^2)+(2.546662/V13^3)+(1.761829/V13^4)+(0.245458/V13^5)+(1.000764/V13^6)</f>
        <v>3.7612924754081063</v>
      </c>
      <c r="W14" s="498"/>
      <c r="X14" s="10"/>
      <c r="Y14" s="281"/>
      <c r="Z14" s="281"/>
      <c r="AA14" s="281"/>
      <c r="AB14" s="281"/>
      <c r="AD14" s="10"/>
      <c r="AE14" s="20"/>
      <c r="AF14" s="20"/>
      <c r="AG14" s="20"/>
      <c r="AH14" s="20"/>
    </row>
    <row r="15" spans="1:34" ht="15.75" customHeight="1">
      <c r="A15" s="506" t="s">
        <v>148</v>
      </c>
      <c r="B15" s="507"/>
      <c r="C15" s="507"/>
      <c r="D15" s="507"/>
      <c r="E15" s="508"/>
      <c r="F15" s="507"/>
      <c r="G15" s="509" t="s">
        <v>298</v>
      </c>
      <c r="H15" s="507"/>
      <c r="I15" s="507"/>
      <c r="J15" s="510">
        <f>J12*J14</f>
        <v>0.58037364588844031</v>
      </c>
      <c r="K15" s="511" t="s">
        <v>301</v>
      </c>
      <c r="L15" s="62"/>
      <c r="M15" s="506" t="s">
        <v>148</v>
      </c>
      <c r="N15" s="507"/>
      <c r="O15" s="507"/>
      <c r="P15" s="507"/>
      <c r="Q15" s="508"/>
      <c r="R15" s="507"/>
      <c r="S15" s="509" t="s">
        <v>298</v>
      </c>
      <c r="T15" s="507"/>
      <c r="U15" s="507"/>
      <c r="V15" s="510">
        <f>V12*V14</f>
        <v>5.2137210979759336</v>
      </c>
      <c r="W15" s="511" t="s">
        <v>301</v>
      </c>
      <c r="AD15" s="10"/>
      <c r="AE15" s="20"/>
      <c r="AF15" s="20"/>
      <c r="AG15" s="20"/>
      <c r="AH15" s="20"/>
    </row>
    <row r="16" spans="1:34" ht="13">
      <c r="A16" s="86" t="s">
        <v>300</v>
      </c>
      <c r="B16" s="87"/>
      <c r="C16" s="89">
        <f>[3]Input!D37</f>
        <v>10</v>
      </c>
      <c r="D16" s="88" t="s">
        <v>301</v>
      </c>
      <c r="E16" s="62"/>
      <c r="F16" s="62"/>
      <c r="G16" s="62"/>
      <c r="H16" s="62"/>
      <c r="I16" s="62"/>
      <c r="J16" s="522">
        <f>(J15/C4)*100</f>
        <v>11.607472917768806</v>
      </c>
      <c r="K16" s="523" t="s">
        <v>299</v>
      </c>
      <c r="L16" s="62"/>
      <c r="M16" s="86" t="s">
        <v>300</v>
      </c>
      <c r="N16" s="87"/>
      <c r="O16" s="89">
        <f>[3]Input!D42</f>
        <v>150</v>
      </c>
      <c r="P16" s="88" t="s">
        <v>301</v>
      </c>
      <c r="Q16" s="62"/>
      <c r="R16" s="62"/>
      <c r="S16" s="62"/>
      <c r="T16" s="62"/>
      <c r="U16" s="62"/>
      <c r="V16" s="522">
        <f>(V15/O4)*100</f>
        <v>5.2137210979759336</v>
      </c>
      <c r="W16" s="524" t="s">
        <v>299</v>
      </c>
      <c r="AD16" s="10"/>
      <c r="AE16" s="20"/>
      <c r="AF16" s="20"/>
      <c r="AG16" s="20"/>
      <c r="AH16" s="20"/>
    </row>
    <row r="17" spans="1:41" ht="14">
      <c r="A17" s="464" t="s">
        <v>286</v>
      </c>
      <c r="B17" s="465" t="s">
        <v>287</v>
      </c>
      <c r="C17" s="466" t="s">
        <v>288</v>
      </c>
      <c r="D17" s="465" t="s">
        <v>289</v>
      </c>
      <c r="E17" s="467" t="s">
        <v>290</v>
      </c>
      <c r="F17" s="465" t="s">
        <v>133</v>
      </c>
      <c r="G17" s="466" t="s">
        <v>134</v>
      </c>
      <c r="H17" s="465" t="s">
        <v>135</v>
      </c>
      <c r="I17" s="466" t="s">
        <v>136</v>
      </c>
      <c r="J17" s="465" t="s">
        <v>137</v>
      </c>
      <c r="K17" s="468" t="s">
        <v>138</v>
      </c>
      <c r="L17" s="62"/>
      <c r="M17" s="464" t="s">
        <v>286</v>
      </c>
      <c r="N17" s="465" t="s">
        <v>287</v>
      </c>
      <c r="O17" s="466" t="s">
        <v>288</v>
      </c>
      <c r="P17" s="465" t="s">
        <v>289</v>
      </c>
      <c r="Q17" s="467" t="s">
        <v>290</v>
      </c>
      <c r="R17" s="465" t="s">
        <v>133</v>
      </c>
      <c r="S17" s="466" t="s">
        <v>134</v>
      </c>
      <c r="T17" s="465" t="s">
        <v>135</v>
      </c>
      <c r="U17" s="466" t="s">
        <v>136</v>
      </c>
      <c r="V17" s="465" t="s">
        <v>137</v>
      </c>
      <c r="W17" s="468" t="s">
        <v>138</v>
      </c>
      <c r="AD17" s="10"/>
      <c r="AE17" s="20"/>
      <c r="AF17" s="20"/>
      <c r="AG17" s="20"/>
      <c r="AH17" s="20"/>
    </row>
    <row r="18" spans="1:41" ht="13">
      <c r="A18" s="469" t="s">
        <v>302</v>
      </c>
      <c r="B18" s="85" t="s">
        <v>301</v>
      </c>
      <c r="C18" s="470" t="s">
        <v>291</v>
      </c>
      <c r="D18" s="533">
        <f>'Input Data Sertifikat Defib'!F104</f>
        <v>0.5</v>
      </c>
      <c r="E18" s="472">
        <f>SQRT(3)</f>
        <v>1.7320508075688772</v>
      </c>
      <c r="F18" s="85">
        <v>2</v>
      </c>
      <c r="G18" s="473">
        <f>D18/E18</f>
        <v>0.28867513459481292</v>
      </c>
      <c r="H18" s="474">
        <v>1</v>
      </c>
      <c r="I18" s="473">
        <f>G18*H18</f>
        <v>0.28867513459481292</v>
      </c>
      <c r="J18" s="475">
        <f>I18^2</f>
        <v>8.3333333333333356E-2</v>
      </c>
      <c r="K18" s="476">
        <f>I18^4/F18</f>
        <v>3.4722222222222242E-3</v>
      </c>
      <c r="L18" s="62"/>
      <c r="M18" s="469" t="s">
        <v>302</v>
      </c>
      <c r="N18" s="85" t="s">
        <v>301</v>
      </c>
      <c r="O18" s="470" t="s">
        <v>291</v>
      </c>
      <c r="P18" s="533">
        <f>'Input Data Sertifikat Defib'!F109</f>
        <v>1.5275252316519465</v>
      </c>
      <c r="Q18" s="472">
        <f>SQRT(3)</f>
        <v>1.7320508075688772</v>
      </c>
      <c r="R18" s="85">
        <v>2</v>
      </c>
      <c r="S18" s="473">
        <f>P18/Q18</f>
        <v>0.88191710368819687</v>
      </c>
      <c r="T18" s="474">
        <v>1</v>
      </c>
      <c r="U18" s="473">
        <f>S18*T18</f>
        <v>0.88191710368819687</v>
      </c>
      <c r="V18" s="475">
        <f>U18^2</f>
        <v>0.77777777777777779</v>
      </c>
      <c r="W18" s="476">
        <f>U18^4/R18</f>
        <v>0.30246913580246915</v>
      </c>
    </row>
    <row r="19" spans="1:41" ht="13">
      <c r="A19" s="477" t="s">
        <v>303</v>
      </c>
      <c r="B19" s="85" t="s">
        <v>301</v>
      </c>
      <c r="C19" s="478" t="s">
        <v>292</v>
      </c>
      <c r="D19" s="534">
        <f>'Input Data Sertifikat Defib'!L104</f>
        <v>0.5</v>
      </c>
      <c r="E19" s="479">
        <f>SQRT(3)</f>
        <v>1.7320508075688772</v>
      </c>
      <c r="F19" s="85">
        <f>0.5*((100/10)^2)</f>
        <v>50</v>
      </c>
      <c r="G19" s="480">
        <f>D19/E19</f>
        <v>0.28867513459481292</v>
      </c>
      <c r="H19" s="85">
        <v>1</v>
      </c>
      <c r="I19" s="480">
        <f>G19*H19</f>
        <v>0.28867513459481292</v>
      </c>
      <c r="J19" s="481">
        <f>I19^2</f>
        <v>8.3333333333333356E-2</v>
      </c>
      <c r="K19" s="482">
        <f>I19^4/F19</f>
        <v>1.3888888888888897E-4</v>
      </c>
      <c r="L19" s="62"/>
      <c r="M19" s="477" t="s">
        <v>303</v>
      </c>
      <c r="N19" s="85" t="s">
        <v>301</v>
      </c>
      <c r="O19" s="478" t="s">
        <v>292</v>
      </c>
      <c r="P19" s="534">
        <f>'Input Data Sertifikat Defib'!L109</f>
        <v>0.5</v>
      </c>
      <c r="Q19" s="479">
        <f>SQRT(3)</f>
        <v>1.7320508075688772</v>
      </c>
      <c r="R19" s="85">
        <f>0.5*((100/10)^2)</f>
        <v>50</v>
      </c>
      <c r="S19" s="480">
        <f>P19/Q19</f>
        <v>0.28867513459481292</v>
      </c>
      <c r="T19" s="85">
        <v>1</v>
      </c>
      <c r="U19" s="480">
        <f>S19*T19</f>
        <v>0.28867513459481292</v>
      </c>
      <c r="V19" s="481">
        <f>U19^2</f>
        <v>8.3333333333333356E-2</v>
      </c>
      <c r="W19" s="482">
        <f>U19^4/R19</f>
        <v>1.3888888888888897E-4</v>
      </c>
    </row>
    <row r="20" spans="1:41" ht="13">
      <c r="A20" s="469" t="s">
        <v>293</v>
      </c>
      <c r="B20" s="85" t="s">
        <v>301</v>
      </c>
      <c r="C20" s="85" t="s">
        <v>292</v>
      </c>
      <c r="D20" s="535">
        <f>'Input Data Sertifikat Defib'!M81</f>
        <v>9.7730741302838493E-3</v>
      </c>
      <c r="E20" s="483">
        <f>SQRT(3)</f>
        <v>1.7320508075688772</v>
      </c>
      <c r="F20" s="85">
        <f>0.5*((100/10)^2)</f>
        <v>50</v>
      </c>
      <c r="G20" s="484">
        <f>D20/E20</f>
        <v>5.6424869799295485E-3</v>
      </c>
      <c r="H20" s="85">
        <v>1</v>
      </c>
      <c r="I20" s="484">
        <f>G20*H20</f>
        <v>5.6424869799295485E-3</v>
      </c>
      <c r="J20" s="481">
        <f>I20^2</f>
        <v>3.1837659318674479E-5</v>
      </c>
      <c r="K20" s="485">
        <f>I20^4/F20</f>
        <v>2.0272731017839595E-11</v>
      </c>
      <c r="L20" s="62"/>
      <c r="M20" s="469" t="s">
        <v>293</v>
      </c>
      <c r="N20" s="85" t="s">
        <v>301</v>
      </c>
      <c r="O20" s="85" t="s">
        <v>292</v>
      </c>
      <c r="P20" s="535">
        <f>'Input Data Sertifikat Defib'!M86</f>
        <v>0.16698583653114243</v>
      </c>
      <c r="Q20" s="483">
        <f>SQRT(3)</f>
        <v>1.7320508075688772</v>
      </c>
      <c r="R20" s="85">
        <f>0.5*((100/10)^2)</f>
        <v>50</v>
      </c>
      <c r="S20" s="484">
        <f>P20/Q20</f>
        <v>9.6409317672109932E-2</v>
      </c>
      <c r="T20" s="85">
        <v>1</v>
      </c>
      <c r="U20" s="484">
        <f>S20*T20</f>
        <v>9.6409317672109932E-2</v>
      </c>
      <c r="V20" s="481">
        <f>U20^2</f>
        <v>9.2947565340018076E-3</v>
      </c>
      <c r="W20" s="485">
        <f>U20^4/R20</f>
        <v>1.7278499805273858E-6</v>
      </c>
    </row>
    <row r="21" spans="1:41" ht="13">
      <c r="A21" s="486" t="s">
        <v>294</v>
      </c>
      <c r="B21" s="85" t="s">
        <v>301</v>
      </c>
      <c r="C21" s="478" t="s">
        <v>291</v>
      </c>
      <c r="D21" s="536">
        <f>'Input Data Sertifikat Defib'!N81</f>
        <v>5.2434294258344394E-2</v>
      </c>
      <c r="E21" s="488">
        <v>2</v>
      </c>
      <c r="F21" s="85">
        <f>0.5*((100/10)^2)</f>
        <v>50</v>
      </c>
      <c r="G21" s="480">
        <f>D21/E21</f>
        <v>2.6217147129172197E-2</v>
      </c>
      <c r="H21" s="85">
        <v>1</v>
      </c>
      <c r="I21" s="480">
        <f>G21*H21</f>
        <v>2.6217147129172197E-2</v>
      </c>
      <c r="J21" s="481">
        <f>I21^2</f>
        <v>6.8733880359266193E-4</v>
      </c>
      <c r="K21" s="485">
        <f>I21^4/F21</f>
        <v>9.4486926184838376E-9</v>
      </c>
      <c r="L21" s="62"/>
      <c r="M21" s="486" t="s">
        <v>294</v>
      </c>
      <c r="N21" s="85" t="s">
        <v>301</v>
      </c>
      <c r="O21" s="478" t="s">
        <v>291</v>
      </c>
      <c r="P21" s="536">
        <f>'Input Data Sertifikat Defib'!N86</f>
        <v>0.71884194824416614</v>
      </c>
      <c r="Q21" s="488">
        <v>2</v>
      </c>
      <c r="R21" s="85">
        <f>0.5*((100/10)^2)</f>
        <v>50</v>
      </c>
      <c r="S21" s="480">
        <f>P21/Q21</f>
        <v>0.35942097412208307</v>
      </c>
      <c r="T21" s="85">
        <v>1</v>
      </c>
      <c r="U21" s="480">
        <f>S21*T21</f>
        <v>0.35942097412208307</v>
      </c>
      <c r="V21" s="481">
        <f>U21^2</f>
        <v>0.12918343663886711</v>
      </c>
      <c r="W21" s="485">
        <f>U21^4/R21</f>
        <v>3.337672060365639E-4</v>
      </c>
    </row>
    <row r="22" spans="1:41" ht="13">
      <c r="A22" s="486"/>
      <c r="B22" s="85"/>
      <c r="C22" s="85"/>
      <c r="D22" s="85"/>
      <c r="E22" s="483"/>
      <c r="F22" s="85"/>
      <c r="G22" s="484"/>
      <c r="H22" s="85"/>
      <c r="I22" s="484"/>
      <c r="J22" s="481"/>
      <c r="K22" s="485"/>
      <c r="L22" s="62"/>
      <c r="M22" s="486"/>
      <c r="N22" s="85"/>
      <c r="O22" s="85"/>
      <c r="P22" s="85"/>
      <c r="Q22" s="483"/>
      <c r="R22" s="85"/>
      <c r="S22" s="484"/>
      <c r="T22" s="85"/>
      <c r="U22" s="484"/>
      <c r="V22" s="481"/>
      <c r="W22" s="485"/>
    </row>
    <row r="23" spans="1:41" ht="14">
      <c r="A23" s="489" t="s">
        <v>143</v>
      </c>
      <c r="B23" s="252"/>
      <c r="C23" s="252"/>
      <c r="D23" s="252"/>
      <c r="E23" s="490"/>
      <c r="F23" s="252"/>
      <c r="G23" s="252"/>
      <c r="H23" s="252"/>
      <c r="I23" s="252"/>
      <c r="J23" s="491">
        <f>SUM(J18:J21)</f>
        <v>0.16738584312957805</v>
      </c>
      <c r="K23" s="492">
        <f>SUM(K18:K21)</f>
        <v>3.6111205800764628E-3</v>
      </c>
      <c r="L23" s="62"/>
      <c r="M23" s="489" t="s">
        <v>143</v>
      </c>
      <c r="N23" s="252"/>
      <c r="O23" s="252"/>
      <c r="P23" s="252"/>
      <c r="Q23" s="490"/>
      <c r="R23" s="252"/>
      <c r="S23" s="252"/>
      <c r="T23" s="252"/>
      <c r="U23" s="252"/>
      <c r="V23" s="491">
        <f>SUM(V18:V21)</f>
        <v>0.99958930428398007</v>
      </c>
      <c r="W23" s="492">
        <f>SUM(W18:W21)</f>
        <v>0.30294351974737516</v>
      </c>
    </row>
    <row r="24" spans="1:41" ht="17">
      <c r="A24" s="493" t="s">
        <v>145</v>
      </c>
      <c r="B24" s="494"/>
      <c r="C24" s="494"/>
      <c r="D24" s="494"/>
      <c r="E24" s="495"/>
      <c r="F24" s="494"/>
      <c r="G24" s="496" t="s">
        <v>295</v>
      </c>
      <c r="H24" s="494"/>
      <c r="I24" s="494"/>
      <c r="J24" s="497">
        <f>SQRT(J23)</f>
        <v>0.40912815000874486</v>
      </c>
      <c r="K24" s="498"/>
      <c r="L24" s="62"/>
      <c r="M24" s="493" t="s">
        <v>145</v>
      </c>
      <c r="N24" s="494"/>
      <c r="O24" s="494"/>
      <c r="P24" s="494"/>
      <c r="Q24" s="495"/>
      <c r="R24" s="494"/>
      <c r="S24" s="496" t="s">
        <v>295</v>
      </c>
      <c r="T24" s="494"/>
      <c r="U24" s="494"/>
      <c r="V24" s="497">
        <f>SQRT(V23)</f>
        <v>0.99979463105378796</v>
      </c>
      <c r="W24" s="498"/>
    </row>
    <row r="25" spans="1:41" ht="17.5">
      <c r="A25" s="489" t="s">
        <v>146</v>
      </c>
      <c r="B25" s="499"/>
      <c r="C25" s="499"/>
      <c r="D25" s="499"/>
      <c r="E25" s="500"/>
      <c r="F25" s="499"/>
      <c r="G25" s="501" t="s">
        <v>296</v>
      </c>
      <c r="H25" s="499"/>
      <c r="I25" s="499"/>
      <c r="J25" s="502">
        <f>J24^4/(K23)</f>
        <v>7.7588160956969343</v>
      </c>
      <c r="K25" s="503"/>
      <c r="L25" s="62"/>
      <c r="M25" s="489" t="s">
        <v>146</v>
      </c>
      <c r="N25" s="499"/>
      <c r="O25" s="499"/>
      <c r="P25" s="499"/>
      <c r="Q25" s="500"/>
      <c r="R25" s="499"/>
      <c r="S25" s="501" t="s">
        <v>296</v>
      </c>
      <c r="T25" s="499"/>
      <c r="U25" s="499"/>
      <c r="V25" s="502">
        <f>V24^4/(W23)</f>
        <v>3.298234529235506</v>
      </c>
      <c r="W25" s="503"/>
    </row>
    <row r="26" spans="1:41" ht="15.5">
      <c r="A26" s="493" t="s">
        <v>147</v>
      </c>
      <c r="B26" s="494"/>
      <c r="C26" s="494"/>
      <c r="D26" s="494"/>
      <c r="E26" s="495"/>
      <c r="F26" s="494"/>
      <c r="G26" s="504" t="s">
        <v>297</v>
      </c>
      <c r="H26" s="494"/>
      <c r="I26" s="494"/>
      <c r="J26" s="505">
        <f>1.95996+(2.37356/J25)+(2.818745/J25^2)+(2.546662/J25^3)+(1.761829/J25^4)+(0.245458/J25^5)+(1.000764/J25^6)</f>
        <v>2.3186532592991851</v>
      </c>
      <c r="K26" s="498"/>
      <c r="L26" s="62"/>
      <c r="M26" s="493" t="s">
        <v>147</v>
      </c>
      <c r="N26" s="494"/>
      <c r="O26" s="494"/>
      <c r="P26" s="494"/>
      <c r="Q26" s="495"/>
      <c r="R26" s="494"/>
      <c r="S26" s="504" t="s">
        <v>297</v>
      </c>
      <c r="T26" s="494"/>
      <c r="U26" s="494"/>
      <c r="V26" s="505">
        <f>1.95996+(2.37356/V25)+(2.818745/V25^2)+(2.546662/V25^3)+(1.761829/V25^4)+(0.245458/V25^5)+(1.000764/V25^6)</f>
        <v>3.0259935129842552</v>
      </c>
      <c r="W26" s="504"/>
      <c r="X26" s="1481"/>
      <c r="Y26" s="1482"/>
      <c r="Z26" s="1482"/>
      <c r="AA26" s="1482"/>
      <c r="AD26" s="1482"/>
      <c r="AE26" s="1482"/>
      <c r="AF26" s="1482"/>
      <c r="AG26" s="1482"/>
      <c r="AH26" s="1482"/>
      <c r="AI26" s="1482"/>
      <c r="AJ26" s="1482"/>
      <c r="AK26" s="1482"/>
      <c r="AL26" s="1482"/>
      <c r="AM26" s="1482"/>
      <c r="AN26" s="1482"/>
      <c r="AO26" s="1482"/>
    </row>
    <row r="27" spans="1:41" ht="14">
      <c r="A27" s="506" t="s">
        <v>148</v>
      </c>
      <c r="B27" s="507"/>
      <c r="C27" s="507"/>
      <c r="D27" s="507"/>
      <c r="E27" s="508"/>
      <c r="F27" s="507"/>
      <c r="G27" s="509" t="s">
        <v>298</v>
      </c>
      <c r="H27" s="507"/>
      <c r="I27" s="507"/>
      <c r="J27" s="510">
        <f>J24*J26</f>
        <v>0.94862631848882217</v>
      </c>
      <c r="K27" s="511" t="s">
        <v>301</v>
      </c>
      <c r="L27" s="62"/>
      <c r="M27" s="506" t="s">
        <v>148</v>
      </c>
      <c r="N27" s="507"/>
      <c r="O27" s="507"/>
      <c r="P27" s="507"/>
      <c r="Q27" s="508"/>
      <c r="R27" s="507"/>
      <c r="S27" s="509" t="s">
        <v>298</v>
      </c>
      <c r="T27" s="507"/>
      <c r="U27" s="507"/>
      <c r="V27" s="510">
        <f>V24*V26</f>
        <v>3.0253720678852494</v>
      </c>
      <c r="W27" s="526" t="s">
        <v>301</v>
      </c>
      <c r="X27" s="530"/>
      <c r="Y27" s="286"/>
      <c r="Z27" s="286"/>
      <c r="AA27" s="286"/>
      <c r="AD27" s="286"/>
      <c r="AE27" s="286"/>
      <c r="AF27" s="286"/>
      <c r="AG27" s="286"/>
      <c r="AH27" s="286"/>
      <c r="AI27" s="286"/>
      <c r="AJ27" s="286"/>
      <c r="AK27" s="286"/>
      <c r="AL27" s="286"/>
      <c r="AM27" s="286"/>
      <c r="AN27" s="286"/>
      <c r="AO27" s="286"/>
    </row>
    <row r="28" spans="1:41" ht="13">
      <c r="A28" s="86" t="s">
        <v>300</v>
      </c>
      <c r="B28" s="87"/>
      <c r="C28" s="89">
        <f>[3]Input!D38</f>
        <v>20</v>
      </c>
      <c r="D28" s="88" t="s">
        <v>301</v>
      </c>
      <c r="E28" s="62"/>
      <c r="F28" s="62"/>
      <c r="G28" s="62"/>
      <c r="H28" s="62"/>
      <c r="I28" s="62"/>
      <c r="J28" s="522">
        <f>(J27/C16)*100</f>
        <v>9.4862631848882213</v>
      </c>
      <c r="K28" s="523" t="s">
        <v>299</v>
      </c>
      <c r="L28" s="62"/>
      <c r="M28" s="86" t="s">
        <v>300</v>
      </c>
      <c r="N28" s="87"/>
      <c r="O28" s="89">
        <f>[3]Input!D43</f>
        <v>200</v>
      </c>
      <c r="P28" s="88" t="s">
        <v>301</v>
      </c>
      <c r="Q28" s="62"/>
      <c r="R28" s="62"/>
      <c r="S28" s="62"/>
      <c r="T28" s="62"/>
      <c r="U28" s="62"/>
      <c r="V28" s="522">
        <f>(V27/O16)*100</f>
        <v>2.0169147119234996</v>
      </c>
      <c r="W28" s="523" t="s">
        <v>299</v>
      </c>
      <c r="X28" s="531"/>
      <c r="Y28" s="286"/>
      <c r="Z28" s="287"/>
      <c r="AA28" s="287"/>
      <c r="AD28" s="287"/>
      <c r="AE28" s="286"/>
      <c r="AF28" s="287"/>
      <c r="AG28" s="287"/>
      <c r="AH28" s="287"/>
      <c r="AI28" s="286"/>
      <c r="AJ28" s="287"/>
      <c r="AK28" s="287"/>
      <c r="AL28" s="287"/>
      <c r="AM28" s="286"/>
      <c r="AN28" s="287"/>
      <c r="AO28" s="287"/>
    </row>
    <row r="29" spans="1:41" ht="14">
      <c r="A29" s="464" t="s">
        <v>286</v>
      </c>
      <c r="B29" s="465" t="s">
        <v>287</v>
      </c>
      <c r="C29" s="466" t="s">
        <v>288</v>
      </c>
      <c r="D29" s="465" t="s">
        <v>289</v>
      </c>
      <c r="E29" s="467" t="s">
        <v>290</v>
      </c>
      <c r="F29" s="465" t="s">
        <v>133</v>
      </c>
      <c r="G29" s="466" t="s">
        <v>134</v>
      </c>
      <c r="H29" s="465" t="s">
        <v>135</v>
      </c>
      <c r="I29" s="466" t="s">
        <v>136</v>
      </c>
      <c r="J29" s="465" t="s">
        <v>137</v>
      </c>
      <c r="K29" s="468" t="s">
        <v>138</v>
      </c>
      <c r="L29" s="62"/>
      <c r="M29" s="464" t="s">
        <v>286</v>
      </c>
      <c r="N29" s="465" t="s">
        <v>287</v>
      </c>
      <c r="O29" s="466" t="s">
        <v>288</v>
      </c>
      <c r="P29" s="465" t="s">
        <v>289</v>
      </c>
      <c r="Q29" s="467" t="s">
        <v>290</v>
      </c>
      <c r="R29" s="465" t="s">
        <v>133</v>
      </c>
      <c r="S29" s="466" t="s">
        <v>134</v>
      </c>
      <c r="T29" s="465" t="s">
        <v>135</v>
      </c>
      <c r="U29" s="466" t="s">
        <v>136</v>
      </c>
      <c r="V29" s="465" t="s">
        <v>137</v>
      </c>
      <c r="W29" s="466" t="s">
        <v>138</v>
      </c>
      <c r="X29" s="530"/>
      <c r="Y29" s="286"/>
      <c r="Z29" s="286"/>
      <c r="AA29" s="286"/>
      <c r="AD29" s="286"/>
      <c r="AE29" s="286"/>
      <c r="AF29" s="286"/>
      <c r="AG29" s="286"/>
      <c r="AH29" s="286"/>
      <c r="AI29" s="286"/>
      <c r="AJ29" s="286"/>
      <c r="AK29" s="286"/>
      <c r="AL29" s="286"/>
      <c r="AM29" s="286"/>
      <c r="AN29" s="286"/>
      <c r="AO29" s="286"/>
    </row>
    <row r="30" spans="1:41" ht="15">
      <c r="A30" s="469" t="s">
        <v>302</v>
      </c>
      <c r="B30" s="85" t="s">
        <v>301</v>
      </c>
      <c r="C30" s="470" t="s">
        <v>291</v>
      </c>
      <c r="D30" s="533">
        <f>'Input Data Sertifikat Defib'!F105</f>
        <v>1.0000000000000001E-5</v>
      </c>
      <c r="E30" s="472">
        <f>SQRT(3)</f>
        <v>1.7320508075688772</v>
      </c>
      <c r="F30" s="85">
        <v>2</v>
      </c>
      <c r="G30" s="473">
        <f>D30/E30</f>
        <v>5.7735026918962587E-6</v>
      </c>
      <c r="H30" s="474">
        <v>1</v>
      </c>
      <c r="I30" s="473">
        <f>G30*H30</f>
        <v>5.7735026918962587E-6</v>
      </c>
      <c r="J30" s="475">
        <f>I30^2</f>
        <v>3.3333333333333347E-11</v>
      </c>
      <c r="K30" s="476">
        <f>I30^4/F30</f>
        <v>5.5555555555555605E-22</v>
      </c>
      <c r="L30" s="62"/>
      <c r="M30" s="469" t="s">
        <v>302</v>
      </c>
      <c r="N30" s="85" t="s">
        <v>301</v>
      </c>
      <c r="O30" s="470" t="s">
        <v>291</v>
      </c>
      <c r="P30" s="533">
        <f>'Input Data Sertifikat Defib'!F110</f>
        <v>3.4641016151377544</v>
      </c>
      <c r="Q30" s="472">
        <f>SQRT(3)</f>
        <v>1.7320508075688772</v>
      </c>
      <c r="R30" s="85">
        <v>2</v>
      </c>
      <c r="S30" s="473">
        <f>P30/Q30</f>
        <v>2</v>
      </c>
      <c r="T30" s="474">
        <v>1</v>
      </c>
      <c r="U30" s="473">
        <f>S30*T30</f>
        <v>2</v>
      </c>
      <c r="V30" s="475">
        <f>U30^2</f>
        <v>4</v>
      </c>
      <c r="W30" s="527">
        <f>U30^4/R30</f>
        <v>8</v>
      </c>
      <c r="X30" s="1481"/>
      <c r="Y30" s="1482"/>
      <c r="Z30" s="1482"/>
      <c r="AA30" s="1482"/>
      <c r="AD30" s="1482"/>
      <c r="AE30" s="1482"/>
      <c r="AF30" s="1482"/>
      <c r="AG30" s="1482"/>
      <c r="AH30" s="1482"/>
      <c r="AI30" s="1482"/>
      <c r="AJ30" s="1482"/>
      <c r="AK30" s="1482"/>
      <c r="AL30" s="1482"/>
      <c r="AM30" s="1482"/>
      <c r="AN30" s="1482"/>
      <c r="AO30" s="1482"/>
    </row>
    <row r="31" spans="1:41" ht="13">
      <c r="A31" s="477" t="s">
        <v>303</v>
      </c>
      <c r="B31" s="85" t="s">
        <v>301</v>
      </c>
      <c r="C31" s="478" t="s">
        <v>292</v>
      </c>
      <c r="D31" s="534">
        <f>'Input Data Sertifikat Defib'!L105</f>
        <v>0.5</v>
      </c>
      <c r="E31" s="479">
        <f>SQRT(3)</f>
        <v>1.7320508075688772</v>
      </c>
      <c r="F31" s="85">
        <f>0.5*((100/10)^2)</f>
        <v>50</v>
      </c>
      <c r="G31" s="480">
        <f>D31/E31</f>
        <v>0.28867513459481292</v>
      </c>
      <c r="H31" s="85">
        <v>1</v>
      </c>
      <c r="I31" s="480">
        <f>G31*H31</f>
        <v>0.28867513459481292</v>
      </c>
      <c r="J31" s="481">
        <f>I31^2</f>
        <v>8.3333333333333356E-2</v>
      </c>
      <c r="K31" s="482">
        <f>I31^4/F31</f>
        <v>1.3888888888888897E-4</v>
      </c>
      <c r="L31" s="62"/>
      <c r="M31" s="477" t="s">
        <v>303</v>
      </c>
      <c r="N31" s="85" t="s">
        <v>301</v>
      </c>
      <c r="O31" s="478" t="s">
        <v>292</v>
      </c>
      <c r="P31" s="534">
        <f>'Input Data Sertifikat Defib'!L110</f>
        <v>0.5</v>
      </c>
      <c r="Q31" s="479">
        <f>SQRT(3)</f>
        <v>1.7320508075688772</v>
      </c>
      <c r="R31" s="85">
        <f>0.5*((100/10)^2)</f>
        <v>50</v>
      </c>
      <c r="S31" s="480">
        <f>P31/Q31</f>
        <v>0.28867513459481292</v>
      </c>
      <c r="T31" s="85">
        <v>1</v>
      </c>
      <c r="U31" s="480">
        <f>S31*T31</f>
        <v>0.28867513459481292</v>
      </c>
      <c r="V31" s="481">
        <f>U31^2</f>
        <v>8.3333333333333356E-2</v>
      </c>
      <c r="W31" s="528">
        <f>U31^4/R31</f>
        <v>1.3888888888888897E-4</v>
      </c>
      <c r="X31" s="530"/>
      <c r="Y31" s="286"/>
      <c r="Z31" s="286"/>
      <c r="AA31" s="286"/>
      <c r="AD31" s="286"/>
      <c r="AE31" s="286"/>
      <c r="AF31" s="286"/>
      <c r="AG31" s="286"/>
      <c r="AH31" s="286"/>
      <c r="AI31" s="286"/>
      <c r="AJ31" s="286"/>
      <c r="AK31" s="286"/>
      <c r="AL31" s="286"/>
      <c r="AM31" s="286"/>
      <c r="AN31" s="286"/>
      <c r="AO31" s="286"/>
    </row>
    <row r="32" spans="1:41" ht="13">
      <c r="A32" s="469" t="s">
        <v>293</v>
      </c>
      <c r="B32" s="85" t="s">
        <v>301</v>
      </c>
      <c r="C32" s="85" t="s">
        <v>292</v>
      </c>
      <c r="D32" s="535">
        <f>'Input Data Sertifikat Defib'!M82</f>
        <v>2.0504963300162819E-2</v>
      </c>
      <c r="E32" s="483">
        <f>SQRT(3)</f>
        <v>1.7320508075688772</v>
      </c>
      <c r="F32" s="85">
        <f>0.5*((100/10)^2)</f>
        <v>50</v>
      </c>
      <c r="G32" s="484">
        <f>D32/E32</f>
        <v>1.1838546081072401E-2</v>
      </c>
      <c r="H32" s="85">
        <v>1</v>
      </c>
      <c r="I32" s="484">
        <f>G32*H32</f>
        <v>1.1838546081072401E-2</v>
      </c>
      <c r="J32" s="481">
        <f>I32^2</f>
        <v>1.401511733136747E-4</v>
      </c>
      <c r="K32" s="485">
        <f>I32^4/F32</f>
        <v>3.9284702762399369E-10</v>
      </c>
      <c r="L32" s="62"/>
      <c r="M32" s="469" t="s">
        <v>293</v>
      </c>
      <c r="N32" s="85" t="s">
        <v>301</v>
      </c>
      <c r="O32" s="85" t="s">
        <v>292</v>
      </c>
      <c r="P32" s="535">
        <f>'Input Data Sertifikat Defib'!M87</f>
        <v>0.22610536634415992</v>
      </c>
      <c r="Q32" s="483">
        <f>SQRT(3)</f>
        <v>1.7320508075688772</v>
      </c>
      <c r="R32" s="85">
        <f>0.5*((100/10)^2)</f>
        <v>50</v>
      </c>
      <c r="S32" s="484">
        <f>P32/Q32</f>
        <v>0.13054199412401968</v>
      </c>
      <c r="T32" s="85">
        <v>1</v>
      </c>
      <c r="U32" s="484">
        <f>S32*T32</f>
        <v>0.13054199412401968</v>
      </c>
      <c r="V32" s="481">
        <f>U32^2</f>
        <v>1.7041212229875587E-2</v>
      </c>
      <c r="W32" s="529">
        <f>U32^4/R32</f>
        <v>5.8080582852732263E-6</v>
      </c>
      <c r="X32" s="531"/>
      <c r="Y32" s="286"/>
      <c r="Z32" s="287"/>
      <c r="AA32" s="287"/>
      <c r="AD32" s="287"/>
      <c r="AE32" s="286"/>
      <c r="AF32" s="287"/>
      <c r="AG32" s="287"/>
      <c r="AH32" s="287"/>
      <c r="AI32" s="286"/>
      <c r="AJ32" s="287"/>
      <c r="AK32" s="287"/>
      <c r="AL32" s="287"/>
      <c r="AM32" s="286"/>
      <c r="AN32" s="287"/>
      <c r="AO32" s="287"/>
    </row>
    <row r="33" spans="1:41" ht="13">
      <c r="A33" s="486" t="s">
        <v>294</v>
      </c>
      <c r="B33" s="85" t="s">
        <v>301</v>
      </c>
      <c r="C33" s="478" t="s">
        <v>291</v>
      </c>
      <c r="D33" s="536">
        <f>'Input Data Sertifikat Defib'!N82</f>
        <v>9.7925595189113063E-2</v>
      </c>
      <c r="E33" s="488">
        <v>2</v>
      </c>
      <c r="F33" s="85">
        <f>0.5*((100/10)^2)</f>
        <v>50</v>
      </c>
      <c r="G33" s="480">
        <f>D33/E33</f>
        <v>4.8962797594556531E-2</v>
      </c>
      <c r="H33" s="85">
        <v>1</v>
      </c>
      <c r="I33" s="480">
        <f>G33*H33</f>
        <v>4.8962797594556531E-2</v>
      </c>
      <c r="J33" s="481">
        <f>I33^2</f>
        <v>2.3973555482855111E-3</v>
      </c>
      <c r="K33" s="485">
        <f>I33^4/F33</f>
        <v>1.1494627249790646E-7</v>
      </c>
      <c r="L33" s="62"/>
      <c r="M33" s="486" t="s">
        <v>294</v>
      </c>
      <c r="N33" s="85" t="s">
        <v>301</v>
      </c>
      <c r="O33" s="478" t="s">
        <v>291</v>
      </c>
      <c r="P33" s="536">
        <f>'Input Data Sertifikat Defib'!N87</f>
        <v>0.96944314986278668</v>
      </c>
      <c r="Q33" s="488">
        <v>2</v>
      </c>
      <c r="R33" s="85">
        <f>0.5*((100/10)^2)</f>
        <v>50</v>
      </c>
      <c r="S33" s="480">
        <f>P33/Q33</f>
        <v>0.48472157493139334</v>
      </c>
      <c r="T33" s="85">
        <v>1</v>
      </c>
      <c r="U33" s="480">
        <f>S33*T33</f>
        <v>0.48472157493139334</v>
      </c>
      <c r="V33" s="481">
        <f>U33^2</f>
        <v>0.23495500520397036</v>
      </c>
      <c r="W33" s="529">
        <f>U33^4/R33</f>
        <v>1.1040770894079547E-3</v>
      </c>
      <c r="X33" s="530"/>
      <c r="Y33" s="286"/>
      <c r="Z33" s="286"/>
      <c r="AA33" s="286"/>
      <c r="AD33" s="286"/>
      <c r="AE33" s="286"/>
      <c r="AF33" s="286"/>
      <c r="AG33" s="286"/>
      <c r="AH33" s="286"/>
      <c r="AI33" s="286"/>
      <c r="AJ33" s="286"/>
      <c r="AK33" s="286"/>
      <c r="AL33" s="286"/>
      <c r="AM33" s="286"/>
      <c r="AN33" s="286"/>
      <c r="AO33" s="286"/>
    </row>
    <row r="34" spans="1:41" ht="15">
      <c r="A34" s="486"/>
      <c r="B34" s="85"/>
      <c r="C34" s="85"/>
      <c r="D34" s="85"/>
      <c r="E34" s="483"/>
      <c r="F34" s="85"/>
      <c r="G34" s="484"/>
      <c r="H34" s="85"/>
      <c r="I34" s="484"/>
      <c r="J34" s="481"/>
      <c r="K34" s="485"/>
      <c r="L34" s="62"/>
      <c r="M34" s="486"/>
      <c r="N34" s="85"/>
      <c r="O34" s="85"/>
      <c r="P34" s="85"/>
      <c r="Q34" s="483"/>
      <c r="R34" s="85"/>
      <c r="S34" s="484"/>
      <c r="T34" s="85"/>
      <c r="U34" s="484"/>
      <c r="V34" s="481"/>
      <c r="W34" s="529"/>
      <c r="X34" s="1481"/>
      <c r="Y34" s="1482"/>
      <c r="Z34" s="1482"/>
      <c r="AA34" s="1482"/>
      <c r="AD34" s="1482"/>
      <c r="AE34" s="1482"/>
      <c r="AF34" s="1482"/>
      <c r="AG34" s="1482"/>
      <c r="AH34" s="1482"/>
      <c r="AI34" s="1482"/>
      <c r="AJ34" s="1482"/>
      <c r="AK34" s="1482"/>
      <c r="AL34" s="1482"/>
      <c r="AM34" s="1482"/>
      <c r="AN34" s="1482"/>
      <c r="AO34" s="1482"/>
    </row>
    <row r="35" spans="1:41" ht="14">
      <c r="A35" s="489" t="s">
        <v>143</v>
      </c>
      <c r="B35" s="252"/>
      <c r="C35" s="252"/>
      <c r="D35" s="252"/>
      <c r="E35" s="490"/>
      <c r="F35" s="252"/>
      <c r="G35" s="252"/>
      <c r="H35" s="252"/>
      <c r="I35" s="252"/>
      <c r="J35" s="491">
        <f>SUM(J30:J33)</f>
        <v>8.5870840088265871E-2</v>
      </c>
      <c r="K35" s="492">
        <f>SUM(K30:K33)</f>
        <v>1.390042280084145E-4</v>
      </c>
      <c r="L35" s="62"/>
      <c r="M35" s="489" t="s">
        <v>143</v>
      </c>
      <c r="N35" s="252"/>
      <c r="O35" s="252"/>
      <c r="P35" s="252"/>
      <c r="Q35" s="490"/>
      <c r="R35" s="252"/>
      <c r="S35" s="252"/>
      <c r="T35" s="252"/>
      <c r="U35" s="252"/>
      <c r="V35" s="491">
        <f>SUM(V30:V33)</f>
        <v>4.3353295507671783</v>
      </c>
      <c r="W35" s="491">
        <f>SUM(W30:W33)</f>
        <v>8.0012487740365827</v>
      </c>
      <c r="X35" s="530"/>
      <c r="Y35" s="286"/>
      <c r="Z35" s="286"/>
      <c r="AA35" s="286"/>
      <c r="AD35" s="286"/>
      <c r="AE35" s="286"/>
      <c r="AF35" s="286"/>
      <c r="AG35" s="286"/>
      <c r="AH35" s="286"/>
      <c r="AI35" s="286"/>
      <c r="AJ35" s="286"/>
      <c r="AK35" s="286"/>
      <c r="AL35" s="286"/>
      <c r="AM35" s="286"/>
      <c r="AN35" s="286"/>
      <c r="AO35" s="286"/>
    </row>
    <row r="36" spans="1:41" ht="17">
      <c r="A36" s="493" t="s">
        <v>145</v>
      </c>
      <c r="B36" s="494"/>
      <c r="C36" s="494"/>
      <c r="D36" s="494"/>
      <c r="E36" s="495"/>
      <c r="F36" s="494"/>
      <c r="G36" s="496" t="s">
        <v>295</v>
      </c>
      <c r="H36" s="494"/>
      <c r="I36" s="494"/>
      <c r="J36" s="497">
        <f>SQRT(J35)</f>
        <v>0.29303726740513036</v>
      </c>
      <c r="K36" s="498"/>
      <c r="L36" s="62"/>
      <c r="M36" s="493" t="s">
        <v>145</v>
      </c>
      <c r="N36" s="494"/>
      <c r="O36" s="494"/>
      <c r="P36" s="494"/>
      <c r="Q36" s="495"/>
      <c r="R36" s="494"/>
      <c r="S36" s="496" t="s">
        <v>295</v>
      </c>
      <c r="T36" s="494"/>
      <c r="U36" s="494"/>
      <c r="V36" s="497">
        <f>SQRT(V35)</f>
        <v>2.0821454201777496</v>
      </c>
      <c r="W36" s="504"/>
      <c r="X36" s="531"/>
      <c r="Y36" s="286"/>
      <c r="Z36" s="287"/>
      <c r="AA36" s="287"/>
      <c r="AD36" s="287"/>
      <c r="AE36" s="286"/>
      <c r="AF36" s="287"/>
      <c r="AG36" s="287"/>
      <c r="AH36" s="287"/>
      <c r="AI36" s="286"/>
      <c r="AJ36" s="287"/>
      <c r="AK36" s="287"/>
      <c r="AL36" s="287"/>
      <c r="AM36" s="286"/>
      <c r="AN36" s="287"/>
      <c r="AO36" s="287"/>
    </row>
    <row r="37" spans="1:41" ht="17.5">
      <c r="A37" s="489" t="s">
        <v>146</v>
      </c>
      <c r="B37" s="499"/>
      <c r="C37" s="499"/>
      <c r="D37" s="499"/>
      <c r="E37" s="500"/>
      <c r="F37" s="499"/>
      <c r="G37" s="501" t="s">
        <v>296</v>
      </c>
      <c r="H37" s="499"/>
      <c r="I37" s="499"/>
      <c r="J37" s="502">
        <f>J36^4/(K35)</f>
        <v>53.047315776741442</v>
      </c>
      <c r="K37" s="503"/>
      <c r="L37" s="62"/>
      <c r="M37" s="489" t="s">
        <v>146</v>
      </c>
      <c r="N37" s="499"/>
      <c r="O37" s="499"/>
      <c r="P37" s="499"/>
      <c r="Q37" s="500"/>
      <c r="R37" s="499"/>
      <c r="S37" s="501" t="s">
        <v>296</v>
      </c>
      <c r="T37" s="499"/>
      <c r="U37" s="499"/>
      <c r="V37" s="502">
        <f>V36^4/(W35)</f>
        <v>2.3490186150371533</v>
      </c>
      <c r="W37" s="519"/>
      <c r="X37" s="530"/>
      <c r="Y37" s="286"/>
      <c r="Z37" s="286"/>
      <c r="AA37" s="286"/>
      <c r="AD37" s="286"/>
      <c r="AE37" s="286"/>
      <c r="AF37" s="286"/>
      <c r="AG37" s="286"/>
      <c r="AH37" s="286"/>
      <c r="AI37" s="286"/>
      <c r="AJ37" s="286"/>
      <c r="AK37" s="286"/>
      <c r="AL37" s="286"/>
      <c r="AM37" s="286"/>
      <c r="AN37" s="286"/>
      <c r="AO37" s="286"/>
    </row>
    <row r="38" spans="1:41" ht="15.5">
      <c r="A38" s="493" t="s">
        <v>147</v>
      </c>
      <c r="B38" s="494"/>
      <c r="C38" s="494"/>
      <c r="D38" s="494"/>
      <c r="E38" s="495"/>
      <c r="F38" s="494"/>
      <c r="G38" s="504" t="s">
        <v>297</v>
      </c>
      <c r="H38" s="494"/>
      <c r="I38" s="494"/>
      <c r="J38" s="505">
        <f>1.95996+(2.37356/J37)+(2.818745/J37^2)+(2.546662/J37^3)+(1.761829/J37^4)+(0.245458/J37^5)+(1.000764/J37^6)</f>
        <v>2.0057231686378607</v>
      </c>
      <c r="K38" s="498"/>
      <c r="L38" s="62"/>
      <c r="M38" s="493" t="s">
        <v>147</v>
      </c>
      <c r="N38" s="494"/>
      <c r="O38" s="494"/>
      <c r="P38" s="494"/>
      <c r="Q38" s="495"/>
      <c r="R38" s="494"/>
      <c r="S38" s="504" t="s">
        <v>297</v>
      </c>
      <c r="T38" s="494"/>
      <c r="U38" s="494"/>
      <c r="V38" s="505">
        <f>1.95996+(2.37356/V37)+(2.818745/V37^2)+(2.546662/V37^3)+(1.761829/V37^4)+(0.245458/V37^5)+(1.000764/V37^6)</f>
        <v>3.7449762631143213</v>
      </c>
      <c r="W38" s="504"/>
      <c r="X38" s="1481"/>
      <c r="Y38" s="1482"/>
      <c r="Z38" s="1482"/>
      <c r="AA38" s="1482"/>
      <c r="AD38" s="1482"/>
      <c r="AE38" s="1482"/>
      <c r="AF38" s="1482"/>
      <c r="AG38" s="1482"/>
      <c r="AH38" s="1482"/>
      <c r="AI38" s="1482"/>
      <c r="AJ38" s="1482"/>
      <c r="AK38" s="1482"/>
      <c r="AL38" s="1482"/>
      <c r="AM38" s="1482"/>
      <c r="AN38" s="1482"/>
      <c r="AO38" s="1482"/>
    </row>
    <row r="39" spans="1:41" ht="14.5" thickBot="1">
      <c r="A39" s="506" t="s">
        <v>148</v>
      </c>
      <c r="B39" s="507"/>
      <c r="C39" s="507"/>
      <c r="D39" s="507"/>
      <c r="E39" s="508"/>
      <c r="F39" s="507"/>
      <c r="G39" s="509" t="s">
        <v>298</v>
      </c>
      <c r="H39" s="507"/>
      <c r="I39" s="507"/>
      <c r="J39" s="510">
        <f>J36*J38</f>
        <v>0.58775163650879814</v>
      </c>
      <c r="K39" s="511" t="s">
        <v>301</v>
      </c>
      <c r="L39" s="62"/>
      <c r="M39" s="506" t="s">
        <v>148</v>
      </c>
      <c r="N39" s="507"/>
      <c r="O39" s="507"/>
      <c r="P39" s="507"/>
      <c r="Q39" s="508"/>
      <c r="R39" s="507"/>
      <c r="S39" s="509" t="s">
        <v>298</v>
      </c>
      <c r="T39" s="507"/>
      <c r="U39" s="507"/>
      <c r="V39" s="510">
        <f>V36*V38</f>
        <v>7.7975851749178675</v>
      </c>
      <c r="W39" s="526" t="s">
        <v>301</v>
      </c>
      <c r="X39" s="530"/>
      <c r="Y39" s="286"/>
      <c r="Z39" s="286"/>
      <c r="AA39" s="286"/>
      <c r="AD39" s="286"/>
      <c r="AE39" s="286"/>
      <c r="AF39" s="286"/>
      <c r="AG39" s="286"/>
      <c r="AH39" s="286"/>
      <c r="AI39" s="286"/>
      <c r="AJ39" s="286"/>
      <c r="AK39" s="286"/>
      <c r="AL39" s="286"/>
      <c r="AM39" s="286"/>
      <c r="AN39" s="286"/>
      <c r="AO39" s="286"/>
    </row>
    <row r="40" spans="1:41" ht="13">
      <c r="A40" s="86" t="s">
        <v>300</v>
      </c>
      <c r="B40" s="87"/>
      <c r="C40" s="89">
        <f>[3]Input!D39</f>
        <v>30</v>
      </c>
      <c r="D40" s="88" t="s">
        <v>301</v>
      </c>
      <c r="E40" s="62"/>
      <c r="F40" s="62"/>
      <c r="G40" s="62"/>
      <c r="H40" s="62"/>
      <c r="I40" s="62"/>
      <c r="J40" s="522">
        <f>(J39/C28)*100</f>
        <v>2.9387581825439906</v>
      </c>
      <c r="K40" s="523" t="s">
        <v>299</v>
      </c>
      <c r="L40" s="62"/>
      <c r="M40" s="86" t="s">
        <v>300</v>
      </c>
      <c r="N40" s="87"/>
      <c r="O40" s="89">
        <f>[3]Input!D44</f>
        <v>300</v>
      </c>
      <c r="P40" s="88" t="s">
        <v>301</v>
      </c>
      <c r="Q40" s="62"/>
      <c r="R40" s="62"/>
      <c r="S40" s="62"/>
      <c r="T40" s="62"/>
      <c r="U40" s="62"/>
      <c r="V40" s="522">
        <f>(V39/O28)*100</f>
        <v>3.8987925874589338</v>
      </c>
      <c r="W40" s="522" t="s">
        <v>299</v>
      </c>
      <c r="X40" s="531"/>
      <c r="Y40" s="286"/>
      <c r="Z40" s="287"/>
      <c r="AA40" s="287"/>
      <c r="AD40" s="287"/>
      <c r="AE40" s="286"/>
      <c r="AF40" s="287"/>
      <c r="AG40" s="287"/>
      <c r="AH40" s="287"/>
      <c r="AI40" s="286"/>
      <c r="AJ40" s="287"/>
      <c r="AK40" s="287"/>
      <c r="AL40" s="287"/>
      <c r="AM40" s="286"/>
      <c r="AN40" s="287"/>
      <c r="AO40" s="287"/>
    </row>
    <row r="41" spans="1:41" ht="14">
      <c r="A41" s="464" t="s">
        <v>286</v>
      </c>
      <c r="B41" s="465" t="s">
        <v>287</v>
      </c>
      <c r="C41" s="466" t="s">
        <v>288</v>
      </c>
      <c r="D41" s="465" t="s">
        <v>289</v>
      </c>
      <c r="E41" s="467" t="s">
        <v>290</v>
      </c>
      <c r="F41" s="465" t="s">
        <v>133</v>
      </c>
      <c r="G41" s="466" t="s">
        <v>134</v>
      </c>
      <c r="H41" s="465" t="s">
        <v>135</v>
      </c>
      <c r="I41" s="466" t="s">
        <v>136</v>
      </c>
      <c r="J41" s="465" t="s">
        <v>137</v>
      </c>
      <c r="K41" s="468" t="s">
        <v>138</v>
      </c>
      <c r="L41" s="62"/>
      <c r="M41" s="464" t="s">
        <v>286</v>
      </c>
      <c r="N41" s="465" t="s">
        <v>287</v>
      </c>
      <c r="O41" s="466" t="s">
        <v>288</v>
      </c>
      <c r="P41" s="465" t="s">
        <v>289</v>
      </c>
      <c r="Q41" s="467" t="s">
        <v>290</v>
      </c>
      <c r="R41" s="465" t="s">
        <v>133</v>
      </c>
      <c r="S41" s="466" t="s">
        <v>134</v>
      </c>
      <c r="T41" s="465" t="s">
        <v>135</v>
      </c>
      <c r="U41" s="466" t="s">
        <v>136</v>
      </c>
      <c r="V41" s="465" t="s">
        <v>137</v>
      </c>
      <c r="W41" s="466" t="s">
        <v>138</v>
      </c>
      <c r="X41" s="530"/>
      <c r="Y41" s="286"/>
      <c r="Z41" s="286"/>
      <c r="AA41" s="286"/>
      <c r="AD41" s="286"/>
      <c r="AE41" s="286"/>
      <c r="AF41" s="286"/>
      <c r="AG41" s="286"/>
      <c r="AH41" s="286"/>
      <c r="AI41" s="286"/>
      <c r="AJ41" s="286"/>
      <c r="AK41" s="286"/>
      <c r="AL41" s="286"/>
      <c r="AM41" s="286"/>
      <c r="AN41" s="286"/>
      <c r="AO41" s="286"/>
    </row>
    <row r="42" spans="1:41" ht="15">
      <c r="A42" s="469" t="s">
        <v>302</v>
      </c>
      <c r="B42" s="85" t="s">
        <v>301</v>
      </c>
      <c r="C42" s="470" t="s">
        <v>291</v>
      </c>
      <c r="D42" s="533">
        <f>'Input Data Sertifikat Defib'!F106</f>
        <v>1.0000000000000001E-5</v>
      </c>
      <c r="E42" s="472">
        <f>SQRT(3)</f>
        <v>1.7320508075688772</v>
      </c>
      <c r="F42" s="85">
        <v>2</v>
      </c>
      <c r="G42" s="473">
        <f>D42/E42</f>
        <v>5.7735026918962587E-6</v>
      </c>
      <c r="H42" s="474">
        <v>1</v>
      </c>
      <c r="I42" s="473">
        <f>G42*H42</f>
        <v>5.7735026918962587E-6</v>
      </c>
      <c r="J42" s="475">
        <f>I42^2</f>
        <v>3.3333333333333347E-11</v>
      </c>
      <c r="K42" s="476">
        <f>I42^4/F42</f>
        <v>5.5555555555555605E-22</v>
      </c>
      <c r="L42" s="62"/>
      <c r="M42" s="469" t="s">
        <v>302</v>
      </c>
      <c r="N42" s="85" t="s">
        <v>301</v>
      </c>
      <c r="O42" s="470" t="s">
        <v>291</v>
      </c>
      <c r="P42" s="533">
        <f>'Input Data Sertifikat Defib'!F111</f>
        <v>7.2111025509279782</v>
      </c>
      <c r="Q42" s="472">
        <f>SQRT(3)</f>
        <v>1.7320508075688772</v>
      </c>
      <c r="R42" s="85">
        <v>2</v>
      </c>
      <c r="S42" s="473">
        <f>P42/Q42</f>
        <v>4.1633319989322652</v>
      </c>
      <c r="T42" s="474">
        <v>1</v>
      </c>
      <c r="U42" s="473">
        <f>S42*T42</f>
        <v>4.1633319989322652</v>
      </c>
      <c r="V42" s="475">
        <f>U42^2</f>
        <v>17.333333333333332</v>
      </c>
      <c r="W42" s="527">
        <f>U42^4/R42</f>
        <v>150.2222222222222</v>
      </c>
      <c r="X42" s="1481"/>
      <c r="Y42" s="1482"/>
      <c r="Z42" s="1482"/>
      <c r="AA42" s="1482"/>
      <c r="AD42" s="1482"/>
      <c r="AE42" s="1482"/>
      <c r="AF42" s="1482"/>
      <c r="AG42" s="1482"/>
      <c r="AH42" s="1482"/>
      <c r="AI42" s="1482"/>
      <c r="AJ42" s="1482"/>
      <c r="AK42" s="1482"/>
      <c r="AL42" s="1482"/>
      <c r="AM42" s="1482"/>
      <c r="AN42" s="1482"/>
      <c r="AO42" s="1482"/>
    </row>
    <row r="43" spans="1:41" ht="13">
      <c r="A43" s="477" t="s">
        <v>303</v>
      </c>
      <c r="B43" s="85" t="s">
        <v>301</v>
      </c>
      <c r="C43" s="478" t="s">
        <v>292</v>
      </c>
      <c r="D43" s="534">
        <f>'Input Data Sertifikat Defib'!L106</f>
        <v>0.5</v>
      </c>
      <c r="E43" s="479">
        <f>SQRT(3)</f>
        <v>1.7320508075688772</v>
      </c>
      <c r="F43" s="85">
        <f>0.5*((100/10)^2)</f>
        <v>50</v>
      </c>
      <c r="G43" s="480">
        <f>D43/E43</f>
        <v>0.28867513459481292</v>
      </c>
      <c r="H43" s="85">
        <v>1</v>
      </c>
      <c r="I43" s="480">
        <f>G43*H43</f>
        <v>0.28867513459481292</v>
      </c>
      <c r="J43" s="481">
        <f>I43^2</f>
        <v>8.3333333333333356E-2</v>
      </c>
      <c r="K43" s="482">
        <f>I43^4/F43</f>
        <v>1.3888888888888897E-4</v>
      </c>
      <c r="L43" s="62"/>
      <c r="M43" s="477" t="s">
        <v>303</v>
      </c>
      <c r="N43" s="85" t="s">
        <v>301</v>
      </c>
      <c r="O43" s="478" t="s">
        <v>292</v>
      </c>
      <c r="P43" s="534">
        <f>'Input Data Sertifikat Defib'!L111</f>
        <v>0.5</v>
      </c>
      <c r="Q43" s="479">
        <f>SQRT(3)</f>
        <v>1.7320508075688772</v>
      </c>
      <c r="R43" s="85">
        <f>0.5*((100/10)^2)</f>
        <v>50</v>
      </c>
      <c r="S43" s="480">
        <f>P43/Q43</f>
        <v>0.28867513459481292</v>
      </c>
      <c r="T43" s="85">
        <v>1</v>
      </c>
      <c r="U43" s="480">
        <f>S43*T43</f>
        <v>0.28867513459481292</v>
      </c>
      <c r="V43" s="481">
        <f>U43^2</f>
        <v>8.3333333333333356E-2</v>
      </c>
      <c r="W43" s="528">
        <f>U43^4/R43</f>
        <v>1.3888888888888897E-4</v>
      </c>
      <c r="X43" s="530"/>
      <c r="Y43" s="286"/>
      <c r="Z43" s="286"/>
      <c r="AA43" s="286"/>
      <c r="AD43" s="286"/>
      <c r="AE43" s="286"/>
      <c r="AF43" s="286"/>
      <c r="AG43" s="286"/>
      <c r="AH43" s="286"/>
      <c r="AI43" s="286"/>
      <c r="AJ43" s="286"/>
      <c r="AK43" s="286"/>
      <c r="AL43" s="286"/>
      <c r="AM43" s="286"/>
      <c r="AN43" s="286"/>
      <c r="AO43" s="286"/>
    </row>
    <row r="44" spans="1:41" ht="13">
      <c r="A44" s="469" t="s">
        <v>293</v>
      </c>
      <c r="B44" s="85" t="s">
        <v>301</v>
      </c>
      <c r="C44" s="85" t="s">
        <v>292</v>
      </c>
      <c r="D44" s="535">
        <f>'Input Data Sertifikat Defib'!M83</f>
        <v>3.1801688742140684E-2</v>
      </c>
      <c r="E44" s="483">
        <f>SQRT(3)</f>
        <v>1.7320508075688772</v>
      </c>
      <c r="F44" s="85">
        <f>0.5*((100/10)^2)</f>
        <v>50</v>
      </c>
      <c r="G44" s="484">
        <f>D44/E44</f>
        <v>1.8360713555959616E-2</v>
      </c>
      <c r="H44" s="85">
        <v>1</v>
      </c>
      <c r="I44" s="484">
        <f>G44*H44</f>
        <v>1.8360713555959616E-2</v>
      </c>
      <c r="J44" s="481">
        <f>I44^2</f>
        <v>3.3711580228399919E-4</v>
      </c>
      <c r="K44" s="485">
        <f>I44^4/F44</f>
        <v>2.2729412829916887E-9</v>
      </c>
      <c r="L44" s="62"/>
      <c r="M44" s="469" t="s">
        <v>293</v>
      </c>
      <c r="N44" s="85" t="s">
        <v>301</v>
      </c>
      <c r="O44" s="85" t="s">
        <v>292</v>
      </c>
      <c r="P44" s="535">
        <f>'Input Data Sertifikat Defib'!M88</f>
        <v>0.32777589532196072</v>
      </c>
      <c r="Q44" s="483">
        <f>SQRT(3)</f>
        <v>1.7320508075688772</v>
      </c>
      <c r="R44" s="85">
        <f>0.5*((100/10)^2)</f>
        <v>50</v>
      </c>
      <c r="S44" s="484">
        <f>P44/Q44</f>
        <v>0.18924150139800464</v>
      </c>
      <c r="T44" s="85">
        <v>1</v>
      </c>
      <c r="U44" s="484">
        <f>S44*T44</f>
        <v>0.18924150139800464</v>
      </c>
      <c r="V44" s="481">
        <f>U44^2</f>
        <v>3.581234585137099E-2</v>
      </c>
      <c r="W44" s="529">
        <f>U44^4/R44</f>
        <v>2.5650482307564177E-5</v>
      </c>
      <c r="X44" s="531"/>
      <c r="Y44" s="286"/>
      <c r="Z44" s="287"/>
      <c r="AA44" s="287"/>
      <c r="AD44" s="287"/>
      <c r="AE44" s="286"/>
      <c r="AF44" s="287"/>
      <c r="AG44" s="287"/>
      <c r="AH44" s="287"/>
      <c r="AI44" s="286"/>
      <c r="AJ44" s="287"/>
      <c r="AK44" s="287"/>
      <c r="AL44" s="287"/>
      <c r="AM44" s="286"/>
      <c r="AN44" s="287"/>
      <c r="AO44" s="287"/>
    </row>
    <row r="45" spans="1:41" ht="13">
      <c r="A45" s="486" t="s">
        <v>294</v>
      </c>
      <c r="B45" s="85" t="s">
        <v>301</v>
      </c>
      <c r="C45" s="478" t="s">
        <v>291</v>
      </c>
      <c r="D45" s="536">
        <f>'Input Data Sertifikat Defib'!N83</f>
        <v>0.14581117511623798</v>
      </c>
      <c r="E45" s="488">
        <v>2</v>
      </c>
      <c r="F45" s="85">
        <f>0.5*((100/10)^2)</f>
        <v>50</v>
      </c>
      <c r="G45" s="480">
        <f>D45/E45</f>
        <v>7.2905587558118989E-2</v>
      </c>
      <c r="H45" s="85">
        <v>1</v>
      </c>
      <c r="I45" s="480">
        <f>G45*H45</f>
        <v>7.2905587558118989E-2</v>
      </c>
      <c r="J45" s="481">
        <f>I45^2</f>
        <v>5.3152246971945542E-3</v>
      </c>
      <c r="K45" s="485">
        <f>I45^4/F45</f>
        <v>5.6503227163333877E-7</v>
      </c>
      <c r="L45" s="62"/>
      <c r="M45" s="486" t="s">
        <v>294</v>
      </c>
      <c r="N45" s="85" t="s">
        <v>301</v>
      </c>
      <c r="O45" s="478" t="s">
        <v>291</v>
      </c>
      <c r="P45" s="536">
        <f>'Input Data Sertifikat Defib'!N88</f>
        <v>1.4004133692069112</v>
      </c>
      <c r="Q45" s="488">
        <v>2</v>
      </c>
      <c r="R45" s="85">
        <f>0.5*((100/10)^2)</f>
        <v>50</v>
      </c>
      <c r="S45" s="480">
        <f>P45/Q45</f>
        <v>0.70020668460345559</v>
      </c>
      <c r="T45" s="85">
        <v>1</v>
      </c>
      <c r="U45" s="480">
        <f>S45*T45</f>
        <v>0.70020668460345559</v>
      </c>
      <c r="V45" s="481">
        <f>U45^2</f>
        <v>0.49028940116336311</v>
      </c>
      <c r="W45" s="529">
        <f>U45^4/R45</f>
        <v>4.8076739378625846E-3</v>
      </c>
      <c r="X45" s="530"/>
      <c r="Y45" s="286"/>
      <c r="Z45" s="286"/>
      <c r="AA45" s="286"/>
      <c r="AD45" s="286"/>
      <c r="AE45" s="286"/>
      <c r="AF45" s="286"/>
      <c r="AG45" s="286"/>
      <c r="AH45" s="286"/>
      <c r="AI45" s="286"/>
      <c r="AJ45" s="286"/>
      <c r="AK45" s="286"/>
      <c r="AL45" s="286"/>
      <c r="AM45" s="286"/>
      <c r="AN45" s="286"/>
      <c r="AO45" s="286"/>
    </row>
    <row r="46" spans="1:41" ht="15">
      <c r="A46" s="486"/>
      <c r="B46" s="85"/>
      <c r="C46" s="85"/>
      <c r="D46" s="85"/>
      <c r="E46" s="483"/>
      <c r="F46" s="85"/>
      <c r="G46" s="484"/>
      <c r="H46" s="85"/>
      <c r="I46" s="484"/>
      <c r="J46" s="481"/>
      <c r="K46" s="485"/>
      <c r="L46" s="62"/>
      <c r="M46" s="486"/>
      <c r="N46" s="85"/>
      <c r="O46" s="85"/>
      <c r="P46" s="85"/>
      <c r="Q46" s="483"/>
      <c r="R46" s="85"/>
      <c r="S46" s="484"/>
      <c r="T46" s="85"/>
      <c r="U46" s="484"/>
      <c r="V46" s="481"/>
      <c r="W46" s="529"/>
      <c r="X46" s="1481"/>
      <c r="Y46" s="1482"/>
      <c r="Z46" s="1482"/>
      <c r="AA46" s="1482"/>
      <c r="AD46" s="1482"/>
      <c r="AE46" s="1482"/>
      <c r="AF46" s="1482"/>
      <c r="AG46" s="1482"/>
      <c r="AH46" s="1482"/>
      <c r="AI46" s="1482"/>
      <c r="AJ46" s="1482"/>
      <c r="AK46" s="1482"/>
      <c r="AL46" s="1482"/>
      <c r="AM46" s="1482"/>
      <c r="AN46" s="1482"/>
      <c r="AO46" s="1482"/>
    </row>
    <row r="47" spans="1:41" ht="14">
      <c r="A47" s="489" t="s">
        <v>143</v>
      </c>
      <c r="B47" s="252"/>
      <c r="C47" s="252"/>
      <c r="D47" s="252"/>
      <c r="E47" s="490"/>
      <c r="F47" s="252"/>
      <c r="G47" s="252"/>
      <c r="H47" s="252"/>
      <c r="I47" s="252"/>
      <c r="J47" s="491">
        <f>SUM(J42:J45)</f>
        <v>8.8985673866145254E-2</v>
      </c>
      <c r="K47" s="492">
        <f>SUM(K42:K45)</f>
        <v>1.3945619410180531E-4</v>
      </c>
      <c r="L47" s="62"/>
      <c r="M47" s="489" t="s">
        <v>143</v>
      </c>
      <c r="N47" s="252"/>
      <c r="O47" s="252"/>
      <c r="P47" s="252"/>
      <c r="Q47" s="490"/>
      <c r="R47" s="252"/>
      <c r="S47" s="252"/>
      <c r="T47" s="252"/>
      <c r="U47" s="252"/>
      <c r="V47" s="491">
        <f>SUM(V42:V45)</f>
        <v>17.942768413681399</v>
      </c>
      <c r="W47" s="491">
        <f>SUM(W42:W45)</f>
        <v>150.22719443553129</v>
      </c>
      <c r="X47" s="530"/>
      <c r="Y47" s="286"/>
      <c r="Z47" s="286"/>
      <c r="AA47" s="286"/>
      <c r="AD47" s="286"/>
      <c r="AE47" s="286"/>
      <c r="AF47" s="286"/>
      <c r="AG47" s="286"/>
      <c r="AH47" s="286"/>
      <c r="AI47" s="286"/>
      <c r="AJ47" s="286"/>
      <c r="AK47" s="286"/>
      <c r="AL47" s="286"/>
      <c r="AM47" s="286"/>
      <c r="AN47" s="286"/>
      <c r="AO47" s="286"/>
    </row>
    <row r="48" spans="1:41" ht="17">
      <c r="A48" s="493" t="s">
        <v>145</v>
      </c>
      <c r="B48" s="494"/>
      <c r="C48" s="494"/>
      <c r="D48" s="494"/>
      <c r="E48" s="495"/>
      <c r="F48" s="494"/>
      <c r="G48" s="496" t="s">
        <v>295</v>
      </c>
      <c r="H48" s="494"/>
      <c r="I48" s="494"/>
      <c r="J48" s="497">
        <f>SQRT(J47)</f>
        <v>0.29830466618231982</v>
      </c>
      <c r="K48" s="498"/>
      <c r="L48" s="62"/>
      <c r="M48" s="493" t="s">
        <v>145</v>
      </c>
      <c r="N48" s="494"/>
      <c r="O48" s="494"/>
      <c r="P48" s="494"/>
      <c r="Q48" s="495"/>
      <c r="R48" s="494"/>
      <c r="S48" s="496" t="s">
        <v>295</v>
      </c>
      <c r="T48" s="494"/>
      <c r="U48" s="494"/>
      <c r="V48" s="497">
        <f>SQRT(V47)</f>
        <v>4.235890510114892</v>
      </c>
      <c r="W48" s="504"/>
      <c r="X48" s="531"/>
      <c r="Y48" s="286"/>
      <c r="Z48" s="287"/>
      <c r="AA48" s="287"/>
      <c r="AD48" s="287"/>
      <c r="AE48" s="286"/>
      <c r="AF48" s="287"/>
      <c r="AG48" s="287"/>
      <c r="AH48" s="287"/>
      <c r="AI48" s="286"/>
      <c r="AJ48" s="287"/>
      <c r="AK48" s="287"/>
      <c r="AL48" s="287"/>
      <c r="AM48" s="286"/>
      <c r="AN48" s="287"/>
      <c r="AO48" s="287"/>
    </row>
    <row r="49" spans="1:41" ht="17.5">
      <c r="A49" s="489" t="s">
        <v>146</v>
      </c>
      <c r="B49" s="499"/>
      <c r="C49" s="499"/>
      <c r="D49" s="499"/>
      <c r="E49" s="500"/>
      <c r="F49" s="499"/>
      <c r="G49" s="501" t="s">
        <v>296</v>
      </c>
      <c r="H49" s="499"/>
      <c r="I49" s="499"/>
      <c r="J49" s="502">
        <f>J48^4/(K47)</f>
        <v>56.780913923632326</v>
      </c>
      <c r="K49" s="503"/>
      <c r="L49" s="62"/>
      <c r="M49" s="489" t="s">
        <v>146</v>
      </c>
      <c r="N49" s="499"/>
      <c r="O49" s="499"/>
      <c r="P49" s="499"/>
      <c r="Q49" s="500"/>
      <c r="R49" s="499"/>
      <c r="S49" s="501" t="s">
        <v>296</v>
      </c>
      <c r="T49" s="499"/>
      <c r="U49" s="499"/>
      <c r="V49" s="502">
        <f>V48^4/(W47)</f>
        <v>2.1430403433724639</v>
      </c>
      <c r="W49" s="519"/>
      <c r="X49" s="530"/>
      <c r="Y49" s="286"/>
      <c r="Z49" s="286"/>
      <c r="AA49" s="286"/>
      <c r="AD49" s="286"/>
      <c r="AE49" s="286"/>
      <c r="AF49" s="286"/>
      <c r="AG49" s="286"/>
      <c r="AH49" s="286"/>
      <c r="AI49" s="286"/>
      <c r="AJ49" s="286"/>
      <c r="AK49" s="286"/>
      <c r="AL49" s="286"/>
      <c r="AM49" s="286"/>
      <c r="AN49" s="286"/>
      <c r="AO49" s="286"/>
    </row>
    <row r="50" spans="1:41" ht="15.5">
      <c r="A50" s="493" t="s">
        <v>147</v>
      </c>
      <c r="B50" s="494"/>
      <c r="C50" s="494"/>
      <c r="D50" s="494"/>
      <c r="E50" s="495"/>
      <c r="F50" s="494"/>
      <c r="G50" s="504" t="s">
        <v>297</v>
      </c>
      <c r="H50" s="494"/>
      <c r="I50" s="494"/>
      <c r="J50" s="505">
        <f>1.95996+(2.37356/J49)+(2.818745/J49^2)+(2.546662/J49^3)+(1.761829/J49^4)+(0.245458/J49^5)+(1.000764/J49^6)</f>
        <v>2.0026504367146054</v>
      </c>
      <c r="K50" s="498"/>
      <c r="L50" s="62"/>
      <c r="M50" s="493" t="s">
        <v>147</v>
      </c>
      <c r="N50" s="494"/>
      <c r="O50" s="494"/>
      <c r="P50" s="494"/>
      <c r="Q50" s="495"/>
      <c r="R50" s="494"/>
      <c r="S50" s="504" t="s">
        <v>297</v>
      </c>
      <c r="T50" s="494"/>
      <c r="U50" s="494"/>
      <c r="V50" s="505">
        <f>1.95996+(2.37356/V49)+(2.818745/V49^2)+(2.546662/V49^3)+(1.761829/V49^4)+(0.245458/V49^5)+(1.000764/V49^6)</f>
        <v>4.0393231332514166</v>
      </c>
      <c r="W50" s="504"/>
      <c r="X50" s="1481"/>
      <c r="Y50" s="1482"/>
      <c r="Z50" s="1482"/>
      <c r="AA50" s="1482"/>
      <c r="AD50" s="1482"/>
      <c r="AE50" s="1482"/>
      <c r="AF50" s="1482"/>
      <c r="AG50" s="1482"/>
      <c r="AH50" s="1482"/>
      <c r="AI50" s="1482"/>
      <c r="AJ50" s="1482"/>
      <c r="AK50" s="1482"/>
      <c r="AL50" s="1482"/>
      <c r="AM50" s="1482"/>
      <c r="AN50" s="1482"/>
      <c r="AO50" s="1482"/>
    </row>
    <row r="51" spans="1:41" ht="14">
      <c r="A51" s="506" t="s">
        <v>148</v>
      </c>
      <c r="B51" s="507"/>
      <c r="C51" s="507"/>
      <c r="D51" s="507"/>
      <c r="E51" s="508"/>
      <c r="F51" s="507"/>
      <c r="G51" s="509" t="s">
        <v>298</v>
      </c>
      <c r="H51" s="507"/>
      <c r="I51" s="507"/>
      <c r="J51" s="510">
        <f>J48*J50</f>
        <v>0.59739997000402734</v>
      </c>
      <c r="K51" s="511" t="s">
        <v>301</v>
      </c>
      <c r="L51" s="62"/>
      <c r="M51" s="506" t="s">
        <v>148</v>
      </c>
      <c r="N51" s="507"/>
      <c r="O51" s="507"/>
      <c r="P51" s="507"/>
      <c r="Q51" s="508"/>
      <c r="R51" s="507"/>
      <c r="S51" s="509" t="s">
        <v>298</v>
      </c>
      <c r="T51" s="507"/>
      <c r="U51" s="507"/>
      <c r="V51" s="510">
        <f>V48*V50</f>
        <v>17.110130527427227</v>
      </c>
      <c r="W51" s="526" t="s">
        <v>301</v>
      </c>
      <c r="X51" s="530"/>
      <c r="Y51" s="286"/>
      <c r="Z51" s="286"/>
      <c r="AA51" s="286"/>
      <c r="AD51" s="286"/>
      <c r="AE51" s="286"/>
      <c r="AF51" s="286"/>
      <c r="AG51" s="286"/>
      <c r="AH51" s="286"/>
      <c r="AI51" s="286"/>
      <c r="AJ51" s="286"/>
      <c r="AK51" s="286"/>
      <c r="AL51" s="286"/>
      <c r="AM51" s="286"/>
      <c r="AN51" s="286"/>
      <c r="AO51" s="286"/>
    </row>
    <row r="52" spans="1:41" ht="13">
      <c r="A52" s="86" t="s">
        <v>300</v>
      </c>
      <c r="B52" s="87"/>
      <c r="C52" s="89">
        <f>[3]Input!D40</f>
        <v>50</v>
      </c>
      <c r="D52" s="88" t="s">
        <v>301</v>
      </c>
      <c r="E52" s="62"/>
      <c r="F52" s="62"/>
      <c r="G52" s="62"/>
      <c r="H52" s="62"/>
      <c r="I52" s="62"/>
      <c r="J52" s="522">
        <f>(J51/C40)*100</f>
        <v>1.9913332333467579</v>
      </c>
      <c r="K52" s="523" t="s">
        <v>299</v>
      </c>
      <c r="L52" s="62"/>
      <c r="M52" s="512" t="s">
        <v>304</v>
      </c>
      <c r="N52" s="87"/>
      <c r="O52" s="89">
        <v>200</v>
      </c>
      <c r="P52" s="88" t="s">
        <v>301</v>
      </c>
      <c r="Q52" s="62"/>
      <c r="R52" s="62"/>
      <c r="S52" s="62"/>
      <c r="T52" s="62"/>
      <c r="U52" s="62"/>
      <c r="V52" s="522">
        <f>(V51/O40)*100</f>
        <v>5.7033768424757421</v>
      </c>
      <c r="W52" s="523" t="s">
        <v>299</v>
      </c>
      <c r="X52" s="531"/>
      <c r="Y52" s="286"/>
      <c r="Z52" s="287"/>
      <c r="AA52" s="287"/>
      <c r="AD52" s="287"/>
      <c r="AE52" s="286"/>
      <c r="AF52" s="287"/>
      <c r="AG52" s="287"/>
      <c r="AH52" s="287"/>
      <c r="AI52" s="286"/>
      <c r="AJ52" s="287"/>
      <c r="AK52" s="287"/>
      <c r="AL52" s="287"/>
      <c r="AM52" s="286"/>
      <c r="AN52" s="287"/>
      <c r="AO52" s="287"/>
    </row>
    <row r="53" spans="1:41" ht="14">
      <c r="A53" s="464" t="s">
        <v>286</v>
      </c>
      <c r="B53" s="465" t="s">
        <v>287</v>
      </c>
      <c r="C53" s="466" t="s">
        <v>288</v>
      </c>
      <c r="D53" s="465" t="s">
        <v>289</v>
      </c>
      <c r="E53" s="467" t="s">
        <v>290</v>
      </c>
      <c r="F53" s="465" t="s">
        <v>133</v>
      </c>
      <c r="G53" s="466" t="s">
        <v>134</v>
      </c>
      <c r="H53" s="465" t="s">
        <v>135</v>
      </c>
      <c r="I53" s="466" t="s">
        <v>136</v>
      </c>
      <c r="J53" s="465" t="s">
        <v>137</v>
      </c>
      <c r="K53" s="468" t="s">
        <v>138</v>
      </c>
      <c r="L53" s="62"/>
      <c r="M53" s="464" t="s">
        <v>286</v>
      </c>
      <c r="N53" s="465" t="s">
        <v>287</v>
      </c>
      <c r="O53" s="466" t="s">
        <v>288</v>
      </c>
      <c r="P53" s="465" t="s">
        <v>289</v>
      </c>
      <c r="Q53" s="467" t="s">
        <v>290</v>
      </c>
      <c r="R53" s="465" t="s">
        <v>133</v>
      </c>
      <c r="S53" s="466" t="s">
        <v>134</v>
      </c>
      <c r="T53" s="465" t="s">
        <v>135</v>
      </c>
      <c r="U53" s="466" t="s">
        <v>136</v>
      </c>
      <c r="V53" s="465" t="s">
        <v>137</v>
      </c>
      <c r="W53" s="466" t="s">
        <v>138</v>
      </c>
      <c r="X53" s="530"/>
      <c r="Y53" s="286"/>
      <c r="Z53" s="286"/>
      <c r="AA53" s="286"/>
      <c r="AD53" s="286"/>
      <c r="AE53" s="286"/>
      <c r="AF53" s="286"/>
      <c r="AG53" s="286"/>
      <c r="AH53" s="286"/>
      <c r="AI53" s="286"/>
      <c r="AJ53" s="286"/>
      <c r="AK53" s="286"/>
      <c r="AL53" s="286"/>
      <c r="AM53" s="286"/>
      <c r="AN53" s="286"/>
      <c r="AO53" s="286"/>
    </row>
    <row r="54" spans="1:41" ht="15">
      <c r="A54" s="469" t="s">
        <v>302</v>
      </c>
      <c r="B54" s="85" t="s">
        <v>301</v>
      </c>
      <c r="C54" s="470" t="s">
        <v>291</v>
      </c>
      <c r="D54" s="533">
        <f>'Input Data Sertifikat Defib'!F107</f>
        <v>2.3094010767585029</v>
      </c>
      <c r="E54" s="472">
        <f>SQRT(3)</f>
        <v>1.7320508075688772</v>
      </c>
      <c r="F54" s="85">
        <v>2</v>
      </c>
      <c r="G54" s="473">
        <f>D54/E54</f>
        <v>1.3333333333333333</v>
      </c>
      <c r="H54" s="474">
        <v>1</v>
      </c>
      <c r="I54" s="473">
        <f>G54*H54</f>
        <v>1.3333333333333333</v>
      </c>
      <c r="J54" s="475">
        <f>I54^2</f>
        <v>1.7777777777777777</v>
      </c>
      <c r="K54" s="476">
        <f>I54^4/F54</f>
        <v>1.5802469135802468</v>
      </c>
      <c r="L54" s="62"/>
      <c r="M54" s="469" t="s">
        <v>302</v>
      </c>
      <c r="N54" s="85" t="s">
        <v>301</v>
      </c>
      <c r="O54" s="470" t="s">
        <v>291</v>
      </c>
      <c r="P54" s="533">
        <f>'Input Data Sertifikat Defib'!F114</f>
        <v>1.0000000000000001E-5</v>
      </c>
      <c r="Q54" s="472">
        <f>SQRT(3)</f>
        <v>1.7320508075688772</v>
      </c>
      <c r="R54" s="85">
        <v>2</v>
      </c>
      <c r="S54" s="473">
        <f>P54/Q54</f>
        <v>5.7735026918962587E-6</v>
      </c>
      <c r="T54" s="474">
        <v>1</v>
      </c>
      <c r="U54" s="473">
        <f>S54*T54</f>
        <v>5.7735026918962587E-6</v>
      </c>
      <c r="V54" s="475">
        <f>U54^2</f>
        <v>3.3333333333333347E-11</v>
      </c>
      <c r="W54" s="527">
        <f>U54^4/R54</f>
        <v>5.5555555555555605E-22</v>
      </c>
      <c r="X54" s="532"/>
      <c r="AD54" s="1482"/>
      <c r="AE54" s="1482"/>
      <c r="AF54" s="1482"/>
      <c r="AG54" s="1482"/>
      <c r="AH54" s="1482"/>
      <c r="AI54" s="1482"/>
      <c r="AJ54" s="1482"/>
      <c r="AK54" s="1482"/>
      <c r="AL54" s="1482"/>
      <c r="AM54" s="1482"/>
      <c r="AN54" s="1482"/>
      <c r="AO54" s="1482"/>
    </row>
    <row r="55" spans="1:41" ht="13">
      <c r="A55" s="477" t="s">
        <v>303</v>
      </c>
      <c r="B55" s="85" t="s">
        <v>301</v>
      </c>
      <c r="C55" s="478" t="s">
        <v>292</v>
      </c>
      <c r="D55" s="534">
        <f>'Input Data Sertifikat Defib'!L107</f>
        <v>0.5</v>
      </c>
      <c r="E55" s="479">
        <f>SQRT(3)</f>
        <v>1.7320508075688772</v>
      </c>
      <c r="F55" s="85">
        <f>0.5*((100/10)^2)</f>
        <v>50</v>
      </c>
      <c r="G55" s="480">
        <f>D55/E55</f>
        <v>0.28867513459481292</v>
      </c>
      <c r="H55" s="85">
        <v>1</v>
      </c>
      <c r="I55" s="480">
        <f>G55*H55</f>
        <v>0.28867513459481292</v>
      </c>
      <c r="J55" s="481">
        <f>I55^2</f>
        <v>8.3333333333333356E-2</v>
      </c>
      <c r="K55" s="482">
        <f>I55^4/F55</f>
        <v>1.3888888888888897E-4</v>
      </c>
      <c r="L55" s="62"/>
      <c r="M55" s="477" t="s">
        <v>303</v>
      </c>
      <c r="N55" s="85" t="s">
        <v>301</v>
      </c>
      <c r="O55" s="478" t="s">
        <v>292</v>
      </c>
      <c r="P55" s="534">
        <f>'Input Data Sertifikat Defib'!L114</f>
        <v>0.5</v>
      </c>
      <c r="Q55" s="479">
        <f>SQRT(3)</f>
        <v>1.7320508075688772</v>
      </c>
      <c r="R55" s="85">
        <f>0.5*((100/10)^2)</f>
        <v>50</v>
      </c>
      <c r="S55" s="480">
        <f>P55/Q55</f>
        <v>0.28867513459481292</v>
      </c>
      <c r="T55" s="85">
        <v>1</v>
      </c>
      <c r="U55" s="480">
        <f>S55*T55</f>
        <v>0.28867513459481292</v>
      </c>
      <c r="V55" s="481">
        <f>U55^2</f>
        <v>8.3333333333333356E-2</v>
      </c>
      <c r="W55" s="528">
        <f>U55^4/R55</f>
        <v>1.3888888888888897E-4</v>
      </c>
      <c r="X55" s="532"/>
      <c r="AD55" s="286"/>
      <c r="AE55" s="286"/>
      <c r="AF55" s="286"/>
      <c r="AG55" s="286"/>
      <c r="AH55" s="286"/>
      <c r="AI55" s="286"/>
      <c r="AJ55" s="286"/>
      <c r="AK55" s="286"/>
      <c r="AL55" s="286"/>
      <c r="AM55" s="286"/>
      <c r="AN55" s="286"/>
      <c r="AO55" s="286"/>
    </row>
    <row r="56" spans="1:41" ht="13">
      <c r="A56" s="469" t="s">
        <v>293</v>
      </c>
      <c r="B56" s="85" t="s">
        <v>301</v>
      </c>
      <c r="C56" s="85" t="s">
        <v>292</v>
      </c>
      <c r="D56" s="535">
        <f>'Input Data Sertifikat Defib'!M84</f>
        <v>5.5901369685026792E-2</v>
      </c>
      <c r="E56" s="483">
        <f>SQRT(3)</f>
        <v>1.7320508075688772</v>
      </c>
      <c r="F56" s="85">
        <f>0.5*((100/10)^2)</f>
        <v>50</v>
      </c>
      <c r="G56" s="484">
        <f>D56/E56</f>
        <v>3.2274670835719006E-2</v>
      </c>
      <c r="H56" s="85">
        <v>1</v>
      </c>
      <c r="I56" s="484">
        <f>G56*H56</f>
        <v>3.2274670835719006E-2</v>
      </c>
      <c r="J56" s="481">
        <f>I56^2</f>
        <v>1.041654377554011E-3</v>
      </c>
      <c r="K56" s="485">
        <f>I56^4/F56</f>
        <v>2.1700876845548681E-8</v>
      </c>
      <c r="L56" s="62"/>
      <c r="M56" s="469" t="s">
        <v>293</v>
      </c>
      <c r="N56" s="85" t="s">
        <v>301</v>
      </c>
      <c r="O56" s="85" t="s">
        <v>292</v>
      </c>
      <c r="P56" s="535">
        <f>'Input Data Sertifikat Defib'!M91</f>
        <v>0.22384602125576436</v>
      </c>
      <c r="Q56" s="483">
        <f>SQRT(3)</f>
        <v>1.7320508075688772</v>
      </c>
      <c r="R56" s="85">
        <f>0.5*((100/10)^2)</f>
        <v>50</v>
      </c>
      <c r="S56" s="484">
        <f>P56/Q56</f>
        <v>0.12923756062904226</v>
      </c>
      <c r="T56" s="85">
        <v>1</v>
      </c>
      <c r="U56" s="484">
        <f>S56*T56</f>
        <v>0.12923756062904226</v>
      </c>
      <c r="V56" s="481">
        <f>U56^2</f>
        <v>1.6702347077345376E-2</v>
      </c>
      <c r="W56" s="529">
        <f>U56^4/R56</f>
        <v>5.5793679578421524E-6</v>
      </c>
      <c r="X56" s="532"/>
      <c r="AD56" s="287"/>
      <c r="AE56" s="286"/>
      <c r="AF56" s="287"/>
      <c r="AG56" s="287"/>
      <c r="AH56" s="287"/>
      <c r="AI56" s="286"/>
      <c r="AJ56" s="287"/>
      <c r="AK56" s="287"/>
      <c r="AL56" s="287"/>
      <c r="AM56" s="286"/>
      <c r="AN56" s="287"/>
      <c r="AO56" s="287"/>
    </row>
    <row r="57" spans="1:41" ht="13">
      <c r="A57" s="486" t="s">
        <v>294</v>
      </c>
      <c r="B57" s="85" t="s">
        <v>301</v>
      </c>
      <c r="C57" s="478" t="s">
        <v>291</v>
      </c>
      <c r="D57" s="536">
        <f>'Input Data Sertifikat Defib'!N84</f>
        <v>0.24796707896077116</v>
      </c>
      <c r="E57" s="488">
        <v>2</v>
      </c>
      <c r="F57" s="85">
        <f>0.5*((100/10)^2)</f>
        <v>50</v>
      </c>
      <c r="G57" s="480">
        <f>D57/E57</f>
        <v>0.12398353948038558</v>
      </c>
      <c r="H57" s="85">
        <v>1</v>
      </c>
      <c r="I57" s="480">
        <f>G57*H57</f>
        <v>0.12398353948038558</v>
      </c>
      <c r="J57" s="481">
        <f>I57^2</f>
        <v>1.5371918062084331E-2</v>
      </c>
      <c r="K57" s="485">
        <f>I57^4/F57</f>
        <v>4.7259172981486896E-6</v>
      </c>
      <c r="L57" s="62"/>
      <c r="M57" s="486" t="s">
        <v>294</v>
      </c>
      <c r="N57" s="85" t="s">
        <v>301</v>
      </c>
      <c r="O57" s="478" t="s">
        <v>291</v>
      </c>
      <c r="P57" s="536">
        <f>'Input Data Sertifikat Defib'!N91</f>
        <v>0.95986603387736169</v>
      </c>
      <c r="Q57" s="488">
        <v>2</v>
      </c>
      <c r="R57" s="85">
        <f>0.5*((100/10)^2)</f>
        <v>50</v>
      </c>
      <c r="S57" s="480">
        <f>P57/Q57</f>
        <v>0.47993301693868085</v>
      </c>
      <c r="T57" s="85">
        <v>1</v>
      </c>
      <c r="U57" s="480">
        <f>S57*T57</f>
        <v>0.47993301693868085</v>
      </c>
      <c r="V57" s="481">
        <f>U57^2</f>
        <v>0.23033570074786411</v>
      </c>
      <c r="W57" s="529">
        <f>U57^4/R57</f>
        <v>1.0610907007801921E-3</v>
      </c>
      <c r="X57" s="532"/>
      <c r="AD57" s="286"/>
      <c r="AE57" s="286"/>
      <c r="AF57" s="286"/>
      <c r="AG57" s="286"/>
      <c r="AH57" s="286"/>
      <c r="AI57" s="286"/>
      <c r="AJ57" s="286"/>
      <c r="AK57" s="286"/>
      <c r="AL57" s="286"/>
      <c r="AM57" s="286"/>
      <c r="AN57" s="286"/>
      <c r="AO57" s="286"/>
    </row>
    <row r="58" spans="1:41" ht="15">
      <c r="A58" s="486"/>
      <c r="B58" s="85"/>
      <c r="C58" s="85"/>
      <c r="D58" s="85"/>
      <c r="E58" s="483"/>
      <c r="F58" s="85"/>
      <c r="G58" s="484"/>
      <c r="H58" s="85"/>
      <c r="I58" s="484"/>
      <c r="J58" s="481"/>
      <c r="K58" s="485"/>
      <c r="L58" s="62"/>
      <c r="M58" s="486"/>
      <c r="N58" s="85"/>
      <c r="O58" s="85"/>
      <c r="P58" s="85"/>
      <c r="Q58" s="483"/>
      <c r="R58" s="85"/>
      <c r="S58" s="484"/>
      <c r="T58" s="85"/>
      <c r="U58" s="484"/>
      <c r="V58" s="481"/>
      <c r="W58" s="529"/>
      <c r="X58" s="532"/>
      <c r="AD58" s="1482"/>
      <c r="AE58" s="1482"/>
      <c r="AF58" s="1482"/>
      <c r="AG58" s="1482"/>
      <c r="AH58" s="1482"/>
      <c r="AI58" s="1482"/>
      <c r="AJ58" s="1482"/>
      <c r="AK58" s="1482"/>
      <c r="AL58" s="1482"/>
      <c r="AM58" s="1482"/>
      <c r="AN58" s="1482"/>
      <c r="AO58" s="1482"/>
    </row>
    <row r="59" spans="1:41" ht="14">
      <c r="A59" s="489" t="s">
        <v>143</v>
      </c>
      <c r="B59" s="252"/>
      <c r="C59" s="252"/>
      <c r="D59" s="252"/>
      <c r="E59" s="490"/>
      <c r="F59" s="252"/>
      <c r="G59" s="252"/>
      <c r="H59" s="252"/>
      <c r="I59" s="252"/>
      <c r="J59" s="491">
        <f>SUM(J54:J57)</f>
        <v>1.8775246835507493</v>
      </c>
      <c r="K59" s="492">
        <f>SUM(K54:K57)</f>
        <v>1.5803905500873108</v>
      </c>
      <c r="L59" s="62"/>
      <c r="M59" s="489" t="s">
        <v>143</v>
      </c>
      <c r="N59" s="252"/>
      <c r="O59" s="252"/>
      <c r="P59" s="252"/>
      <c r="Q59" s="490"/>
      <c r="R59" s="252"/>
      <c r="S59" s="252"/>
      <c r="T59" s="252"/>
      <c r="U59" s="252"/>
      <c r="V59" s="491">
        <f>SUM(V54:V57)</f>
        <v>0.33037138119187615</v>
      </c>
      <c r="W59" s="491">
        <f>SUM(W54:W57)</f>
        <v>1.2055589576269233E-3</v>
      </c>
      <c r="X59" s="532"/>
      <c r="AD59" s="286"/>
      <c r="AE59" s="286"/>
      <c r="AF59" s="286"/>
      <c r="AG59" s="286"/>
      <c r="AH59" s="286"/>
      <c r="AI59" s="286"/>
      <c r="AJ59" s="286"/>
      <c r="AK59" s="286"/>
      <c r="AL59" s="286"/>
      <c r="AM59" s="286"/>
      <c r="AN59" s="286"/>
      <c r="AO59" s="286"/>
    </row>
    <row r="60" spans="1:41" ht="17">
      <c r="A60" s="493" t="s">
        <v>145</v>
      </c>
      <c r="B60" s="494"/>
      <c r="C60" s="494"/>
      <c r="D60" s="494"/>
      <c r="E60" s="495"/>
      <c r="F60" s="494"/>
      <c r="G60" s="496" t="s">
        <v>295</v>
      </c>
      <c r="H60" s="494"/>
      <c r="I60" s="494"/>
      <c r="J60" s="497">
        <f>SQRT(J59)</f>
        <v>1.370227967730461</v>
      </c>
      <c r="K60" s="498"/>
      <c r="L60" s="62"/>
      <c r="M60" s="493" t="s">
        <v>145</v>
      </c>
      <c r="N60" s="494"/>
      <c r="O60" s="494"/>
      <c r="P60" s="494"/>
      <c r="Q60" s="495"/>
      <c r="R60" s="494"/>
      <c r="S60" s="496" t="s">
        <v>295</v>
      </c>
      <c r="T60" s="494"/>
      <c r="U60" s="494"/>
      <c r="V60" s="497">
        <f>SQRT(V59)</f>
        <v>0.57477941959666246</v>
      </c>
      <c r="W60" s="504"/>
      <c r="X60" s="532"/>
      <c r="AD60" s="287"/>
      <c r="AE60" s="286"/>
      <c r="AF60" s="287"/>
      <c r="AG60" s="287"/>
      <c r="AH60" s="287"/>
      <c r="AI60" s="286"/>
      <c r="AJ60" s="287"/>
      <c r="AK60" s="287"/>
      <c r="AL60" s="287"/>
      <c r="AM60" s="286"/>
      <c r="AN60" s="287"/>
      <c r="AO60" s="287"/>
    </row>
    <row r="61" spans="1:41" ht="17.5">
      <c r="A61" s="489" t="s">
        <v>146</v>
      </c>
      <c r="B61" s="499"/>
      <c r="C61" s="499"/>
      <c r="D61" s="499"/>
      <c r="E61" s="500"/>
      <c r="F61" s="499"/>
      <c r="G61" s="501" t="s">
        <v>296</v>
      </c>
      <c r="H61" s="499"/>
      <c r="I61" s="499"/>
      <c r="J61" s="502">
        <f>J60^4/(K59)</f>
        <v>2.2305239278655469</v>
      </c>
      <c r="K61" s="503"/>
      <c r="L61" s="62"/>
      <c r="M61" s="489" t="s">
        <v>146</v>
      </c>
      <c r="N61" s="499"/>
      <c r="O61" s="499"/>
      <c r="P61" s="499"/>
      <c r="Q61" s="500"/>
      <c r="R61" s="499"/>
      <c r="S61" s="501" t="s">
        <v>296</v>
      </c>
      <c r="T61" s="499"/>
      <c r="U61" s="499"/>
      <c r="V61" s="502">
        <f>V60^4/(W59)</f>
        <v>90.534974519599075</v>
      </c>
      <c r="W61" s="519"/>
      <c r="X61" s="532"/>
      <c r="AD61" s="286"/>
      <c r="AE61" s="286"/>
      <c r="AF61" s="286"/>
      <c r="AG61" s="286"/>
      <c r="AH61" s="286"/>
      <c r="AI61" s="286"/>
      <c r="AJ61" s="286"/>
      <c r="AK61" s="286"/>
      <c r="AL61" s="286"/>
      <c r="AM61" s="286"/>
      <c r="AN61" s="286"/>
      <c r="AO61" s="286"/>
    </row>
    <row r="62" spans="1:41" ht="15.5">
      <c r="A62" s="493" t="s">
        <v>147</v>
      </c>
      <c r="B62" s="494"/>
      <c r="C62" s="494"/>
      <c r="D62" s="494"/>
      <c r="E62" s="495"/>
      <c r="F62" s="494"/>
      <c r="G62" s="504" t="s">
        <v>297</v>
      </c>
      <c r="H62" s="494"/>
      <c r="I62" s="494"/>
      <c r="J62" s="505">
        <f>1.95996+(2.37356/J61)+(2.818745/J61^2)+(2.546662/J61^3)+(1.761829/J61^4)+(0.245458/J61^5)+(1.000764/J61^6)</f>
        <v>3.9038730706020108</v>
      </c>
      <c r="K62" s="498"/>
      <c r="L62" s="62"/>
      <c r="M62" s="493" t="s">
        <v>147</v>
      </c>
      <c r="N62" s="494"/>
      <c r="O62" s="494"/>
      <c r="P62" s="494"/>
      <c r="Q62" s="495"/>
      <c r="R62" s="494"/>
      <c r="S62" s="504" t="s">
        <v>297</v>
      </c>
      <c r="T62" s="494"/>
      <c r="U62" s="494"/>
      <c r="V62" s="505">
        <f>1.95996+(2.37356/V61)+(2.818745/V61^2)+(2.546662/V61^3)+(1.761829/V61^4)+(0.245458/V61^5)+(1.000764/V61^6)</f>
        <v>1.9865244013298011</v>
      </c>
      <c r="W62" s="504"/>
      <c r="X62" s="532"/>
      <c r="AD62" s="1482"/>
      <c r="AE62" s="1482"/>
      <c r="AF62" s="1482"/>
      <c r="AG62" s="1482"/>
      <c r="AH62" s="1482"/>
      <c r="AI62" s="1482"/>
      <c r="AJ62" s="1482"/>
      <c r="AK62" s="1482"/>
      <c r="AL62" s="1482"/>
      <c r="AM62" s="1482"/>
      <c r="AN62" s="1482"/>
      <c r="AO62" s="1482"/>
    </row>
    <row r="63" spans="1:41" ht="14">
      <c r="A63" s="506" t="s">
        <v>148</v>
      </c>
      <c r="B63" s="507"/>
      <c r="C63" s="507"/>
      <c r="D63" s="507"/>
      <c r="E63" s="508"/>
      <c r="F63" s="507"/>
      <c r="G63" s="509" t="s">
        <v>298</v>
      </c>
      <c r="H63" s="507"/>
      <c r="I63" s="507"/>
      <c r="J63" s="510">
        <f>J60*J62</f>
        <v>5.3491960638086677</v>
      </c>
      <c r="K63" s="511" t="s">
        <v>301</v>
      </c>
      <c r="L63" s="62"/>
      <c r="M63" s="506" t="s">
        <v>148</v>
      </c>
      <c r="N63" s="507"/>
      <c r="O63" s="507"/>
      <c r="P63" s="507"/>
      <c r="Q63" s="508"/>
      <c r="R63" s="507"/>
      <c r="S63" s="509" t="s">
        <v>298</v>
      </c>
      <c r="T63" s="507"/>
      <c r="U63" s="507"/>
      <c r="V63" s="510">
        <f>V60*V62</f>
        <v>1.1418133424109504</v>
      </c>
      <c r="W63" s="526" t="s">
        <v>301</v>
      </c>
      <c r="X63" s="532"/>
      <c r="AD63" s="286"/>
      <c r="AE63" s="286"/>
      <c r="AF63" s="286"/>
      <c r="AG63" s="286"/>
      <c r="AH63" s="286"/>
      <c r="AI63" s="286"/>
      <c r="AJ63" s="286"/>
      <c r="AK63" s="286"/>
      <c r="AL63" s="286"/>
      <c r="AM63" s="286"/>
      <c r="AN63" s="286"/>
      <c r="AO63" s="286"/>
    </row>
    <row r="64" spans="1:41" ht="14.5" thickBot="1">
      <c r="A64" s="513"/>
      <c r="B64" s="514"/>
      <c r="C64" s="514"/>
      <c r="D64" s="514"/>
      <c r="E64" s="515"/>
      <c r="F64" s="514"/>
      <c r="G64" s="516"/>
      <c r="H64" s="514"/>
      <c r="I64" s="514"/>
      <c r="J64" s="517">
        <f>(J63/C52)*100</f>
        <v>10.698392127617335</v>
      </c>
      <c r="K64" s="525" t="s">
        <v>299</v>
      </c>
      <c r="L64" s="518"/>
      <c r="M64" s="518"/>
      <c r="N64" s="518"/>
      <c r="O64" s="518"/>
      <c r="P64" s="518"/>
      <c r="Q64" s="518"/>
      <c r="R64" s="518"/>
      <c r="S64" s="518"/>
      <c r="T64" s="518"/>
      <c r="U64" s="518"/>
      <c r="V64" s="517">
        <f>(V63/O52)*100</f>
        <v>0.57090667120547522</v>
      </c>
      <c r="W64" s="517" t="s">
        <v>299</v>
      </c>
      <c r="X64" s="532"/>
      <c r="AD64" s="287"/>
      <c r="AE64" s="286"/>
      <c r="AF64" s="287"/>
      <c r="AG64" s="287"/>
      <c r="AH64" s="287"/>
      <c r="AI64" s="286"/>
      <c r="AJ64" s="287"/>
      <c r="AK64" s="287"/>
      <c r="AL64" s="287"/>
      <c r="AM64" s="286"/>
      <c r="AN64" s="287"/>
      <c r="AO64" s="287"/>
    </row>
    <row r="65" spans="1:41" ht="14">
      <c r="A65" s="489"/>
      <c r="B65" s="499"/>
      <c r="C65" s="499"/>
      <c r="D65" s="499"/>
      <c r="E65" s="500"/>
      <c r="F65" s="499"/>
      <c r="G65" s="519"/>
      <c r="H65" s="499"/>
      <c r="I65" s="499"/>
      <c r="J65" s="520"/>
      <c r="K65" s="521"/>
      <c r="L65" s="62"/>
      <c r="M65" s="62"/>
      <c r="N65" s="62"/>
      <c r="O65" s="62"/>
      <c r="P65" s="62"/>
      <c r="Q65" s="62"/>
      <c r="R65" s="62"/>
      <c r="S65" s="62"/>
      <c r="T65" s="62"/>
      <c r="U65" s="62"/>
      <c r="V65" s="62"/>
      <c r="W65" s="62"/>
      <c r="AD65" s="286"/>
      <c r="AE65" s="286"/>
      <c r="AF65" s="286"/>
      <c r="AG65" s="286"/>
      <c r="AH65" s="286"/>
      <c r="AI65" s="286"/>
      <c r="AJ65" s="286"/>
      <c r="AK65" s="286"/>
      <c r="AL65" s="286"/>
      <c r="AM65" s="286"/>
      <c r="AN65" s="286"/>
      <c r="AO65" s="286"/>
    </row>
    <row r="66" spans="1:41" ht="15">
      <c r="A66" s="86" t="s">
        <v>305</v>
      </c>
      <c r="B66" s="87"/>
      <c r="C66" s="89">
        <f>[3]Input!H55</f>
        <v>14.002333333333333</v>
      </c>
      <c r="D66" s="88" t="s">
        <v>8</v>
      </c>
      <c r="E66" s="62"/>
      <c r="F66" s="62"/>
      <c r="G66" s="62"/>
      <c r="H66" s="62"/>
      <c r="I66" s="62"/>
      <c r="J66" s="62"/>
      <c r="K66" s="62"/>
      <c r="L66" s="62"/>
      <c r="M66" s="62"/>
      <c r="N66" s="62"/>
      <c r="O66" s="62"/>
      <c r="P66" s="62"/>
      <c r="Q66" s="62"/>
      <c r="R66" s="62"/>
      <c r="S66" s="62"/>
      <c r="T66" s="62"/>
      <c r="U66" s="62"/>
      <c r="V66" s="62"/>
      <c r="W66" s="62"/>
      <c r="AD66" s="1482"/>
      <c r="AE66" s="1482"/>
      <c r="AF66" s="1482"/>
      <c r="AG66" s="1482"/>
      <c r="AH66" s="1482"/>
      <c r="AI66" s="1482"/>
      <c r="AJ66" s="1482"/>
      <c r="AK66" s="1482"/>
      <c r="AL66" s="1482"/>
      <c r="AM66" s="1482"/>
      <c r="AN66" s="1482"/>
      <c r="AO66" s="1482"/>
    </row>
    <row r="67" spans="1:41" ht="14">
      <c r="A67" s="464" t="s">
        <v>286</v>
      </c>
      <c r="B67" s="465" t="s">
        <v>287</v>
      </c>
      <c r="C67" s="466" t="s">
        <v>288</v>
      </c>
      <c r="D67" s="465" t="s">
        <v>289</v>
      </c>
      <c r="E67" s="467" t="s">
        <v>290</v>
      </c>
      <c r="F67" s="465" t="s">
        <v>133</v>
      </c>
      <c r="G67" s="466" t="s">
        <v>134</v>
      </c>
      <c r="H67" s="465" t="s">
        <v>135</v>
      </c>
      <c r="I67" s="466" t="s">
        <v>136</v>
      </c>
      <c r="J67" s="465" t="s">
        <v>137</v>
      </c>
      <c r="K67" s="468" t="s">
        <v>138</v>
      </c>
      <c r="L67" s="62"/>
      <c r="M67" s="62"/>
      <c r="N67" s="62"/>
      <c r="O67" s="62"/>
      <c r="P67" s="62"/>
      <c r="Q67" s="62"/>
      <c r="R67" s="62"/>
      <c r="S67" s="62"/>
      <c r="T67" s="62"/>
      <c r="U67" s="62"/>
      <c r="V67" s="62"/>
      <c r="W67" s="62"/>
      <c r="AD67" s="286"/>
      <c r="AE67" s="286"/>
      <c r="AF67" s="286"/>
      <c r="AG67" s="286"/>
      <c r="AH67" s="286"/>
      <c r="AI67" s="286"/>
      <c r="AJ67" s="286"/>
      <c r="AK67" s="286"/>
      <c r="AL67" s="286"/>
      <c r="AM67" s="286"/>
      <c r="AN67" s="286"/>
      <c r="AO67" s="286"/>
    </row>
    <row r="68" spans="1:41" ht="13">
      <c r="A68" s="469" t="s">
        <v>139</v>
      </c>
      <c r="B68" s="85" t="s">
        <v>8</v>
      </c>
      <c r="C68" s="470" t="s">
        <v>291</v>
      </c>
      <c r="D68" s="471">
        <f>[3]Input!H55</f>
        <v>14.002333333333333</v>
      </c>
      <c r="E68" s="472">
        <f>SQRT(3)</f>
        <v>1.7320508075688772</v>
      </c>
      <c r="F68" s="85">
        <v>2</v>
      </c>
      <c r="G68" s="473">
        <f>D68/E68</f>
        <v>8.0842509192828693</v>
      </c>
      <c r="H68" s="474">
        <v>1</v>
      </c>
      <c r="I68" s="473">
        <f>G68*H68</f>
        <v>8.0842509192828693</v>
      </c>
      <c r="J68" s="475">
        <f>I68^2</f>
        <v>65.355112925925923</v>
      </c>
      <c r="K68" s="476">
        <f>I68^4/F68</f>
        <v>2135.645392780265</v>
      </c>
      <c r="L68" s="62"/>
      <c r="M68" s="62"/>
      <c r="N68" s="62"/>
      <c r="O68" s="62"/>
      <c r="P68" s="62"/>
      <c r="Q68" s="62"/>
      <c r="R68" s="62"/>
      <c r="S68" s="62"/>
      <c r="T68" s="62"/>
      <c r="U68" s="62"/>
      <c r="V68" s="62"/>
      <c r="W68" s="62"/>
      <c r="AD68" s="287"/>
      <c r="AE68" s="286"/>
      <c r="AF68" s="287"/>
      <c r="AG68" s="287"/>
      <c r="AH68" s="287"/>
      <c r="AI68" s="286"/>
      <c r="AJ68" s="287"/>
      <c r="AK68" s="287"/>
      <c r="AL68" s="287"/>
      <c r="AM68" s="286"/>
      <c r="AN68" s="287"/>
      <c r="AO68" s="287"/>
    </row>
    <row r="69" spans="1:41" ht="13">
      <c r="A69" s="469" t="s">
        <v>306</v>
      </c>
      <c r="B69" s="85" t="s">
        <v>8</v>
      </c>
      <c r="C69" s="85" t="s">
        <v>292</v>
      </c>
      <c r="D69" s="483">
        <f>'[3]DB Stopwatch'!L177</f>
        <v>0</v>
      </c>
      <c r="E69" s="483">
        <f>SQRT(3)</f>
        <v>1.7320508075688772</v>
      </c>
      <c r="F69" s="85">
        <v>50</v>
      </c>
      <c r="G69" s="484">
        <f>D69/E69</f>
        <v>0</v>
      </c>
      <c r="H69" s="85">
        <v>1</v>
      </c>
      <c r="I69" s="484">
        <f>G69*H69</f>
        <v>0</v>
      </c>
      <c r="J69" s="481">
        <f>I69^2</f>
        <v>0</v>
      </c>
      <c r="K69" s="485">
        <f>I69^4/F69</f>
        <v>0</v>
      </c>
      <c r="L69" s="62"/>
      <c r="M69" s="62"/>
      <c r="N69" s="62"/>
      <c r="O69" s="62"/>
      <c r="P69" s="62"/>
      <c r="Q69" s="62"/>
      <c r="R69" s="62"/>
      <c r="S69" s="62"/>
      <c r="T69" s="62"/>
      <c r="U69" s="62"/>
      <c r="V69" s="62"/>
      <c r="W69" s="62"/>
      <c r="AD69" s="286"/>
      <c r="AE69" s="286"/>
      <c r="AF69" s="286"/>
      <c r="AG69" s="286"/>
      <c r="AH69" s="286"/>
      <c r="AI69" s="286"/>
      <c r="AJ69" s="286"/>
      <c r="AK69" s="286"/>
      <c r="AL69" s="286"/>
      <c r="AM69" s="286"/>
      <c r="AN69" s="286"/>
      <c r="AO69" s="286"/>
    </row>
    <row r="70" spans="1:41" ht="15">
      <c r="A70" s="486" t="s">
        <v>307</v>
      </c>
      <c r="B70" s="85" t="s">
        <v>8</v>
      </c>
      <c r="C70" s="478" t="s">
        <v>291</v>
      </c>
      <c r="D70" s="487">
        <f>'[3]DB Stopwatch'!M177</f>
        <v>2.8004666666666667E-2</v>
      </c>
      <c r="E70" s="488">
        <v>2</v>
      </c>
      <c r="F70" s="85">
        <v>50</v>
      </c>
      <c r="G70" s="480">
        <f>D70/E70</f>
        <v>1.4002333333333334E-2</v>
      </c>
      <c r="H70" s="85">
        <v>1</v>
      </c>
      <c r="I70" s="480">
        <f>G70*H70</f>
        <v>1.4002333333333334E-2</v>
      </c>
      <c r="J70" s="481">
        <f>I70^2</f>
        <v>1.9606533877777779E-4</v>
      </c>
      <c r="K70" s="485">
        <f>I70^4/F70</f>
        <v>7.6883234140089551E-10</v>
      </c>
      <c r="L70" s="62"/>
      <c r="M70" s="62"/>
      <c r="N70" s="62"/>
      <c r="O70" s="62"/>
      <c r="P70" s="62"/>
      <c r="Q70" s="62"/>
      <c r="R70" s="62"/>
      <c r="S70" s="62"/>
      <c r="T70" s="62"/>
      <c r="U70" s="62"/>
      <c r="V70" s="62"/>
      <c r="W70" s="62"/>
      <c r="AD70" s="1482"/>
      <c r="AE70" s="1482"/>
      <c r="AF70" s="1482"/>
      <c r="AG70" s="1482"/>
      <c r="AH70" s="1482"/>
      <c r="AI70" s="1482"/>
      <c r="AJ70" s="1482"/>
      <c r="AK70" s="1482"/>
      <c r="AL70" s="1482"/>
      <c r="AM70" s="1482"/>
      <c r="AN70" s="1482"/>
      <c r="AO70" s="1482"/>
    </row>
    <row r="71" spans="1:41" ht="13">
      <c r="A71" s="486"/>
      <c r="B71" s="85"/>
      <c r="C71" s="85"/>
      <c r="D71" s="85"/>
      <c r="E71" s="483"/>
      <c r="F71" s="85"/>
      <c r="G71" s="484"/>
      <c r="H71" s="85"/>
      <c r="I71" s="484"/>
      <c r="J71" s="481"/>
      <c r="K71" s="485"/>
      <c r="L71" s="62"/>
      <c r="M71" s="62"/>
      <c r="N71" s="62"/>
      <c r="O71" s="62"/>
      <c r="P71" s="62"/>
      <c r="Q71" s="62"/>
      <c r="R71" s="62"/>
      <c r="S71" s="62"/>
      <c r="T71" s="62"/>
      <c r="U71" s="62"/>
      <c r="V71" s="62"/>
      <c r="W71" s="62"/>
      <c r="AD71" s="286"/>
      <c r="AE71" s="286"/>
      <c r="AF71" s="286"/>
      <c r="AG71" s="286"/>
      <c r="AH71" s="286"/>
      <c r="AI71" s="286"/>
      <c r="AJ71" s="286"/>
      <c r="AK71" s="286"/>
      <c r="AL71" s="286"/>
      <c r="AM71" s="286"/>
      <c r="AN71" s="286"/>
      <c r="AO71" s="286"/>
    </row>
    <row r="72" spans="1:41" ht="14">
      <c r="A72" s="489" t="s">
        <v>143</v>
      </c>
      <c r="B72" s="252"/>
      <c r="C72" s="252"/>
      <c r="D72" s="252"/>
      <c r="E72" s="490"/>
      <c r="F72" s="252"/>
      <c r="G72" s="252"/>
      <c r="H72" s="252"/>
      <c r="I72" s="252"/>
      <c r="J72" s="491">
        <f>SUM(J68:J70)</f>
        <v>65.355308991264707</v>
      </c>
      <c r="K72" s="492">
        <f>SUM(K68:K70)</f>
        <v>2135.6453927810339</v>
      </c>
      <c r="L72" s="62"/>
      <c r="M72" s="62"/>
      <c r="N72" s="62"/>
      <c r="O72" s="62"/>
      <c r="P72" s="62"/>
      <c r="Q72" s="62"/>
      <c r="R72" s="62"/>
      <c r="S72" s="62"/>
      <c r="T72" s="62"/>
      <c r="U72" s="62"/>
      <c r="V72" s="62"/>
      <c r="W72" s="62"/>
      <c r="AD72" s="287"/>
      <c r="AE72" s="286"/>
      <c r="AF72" s="287"/>
      <c r="AG72" s="287"/>
      <c r="AH72" s="287"/>
      <c r="AI72" s="286"/>
      <c r="AJ72" s="287"/>
      <c r="AK72" s="287"/>
      <c r="AL72" s="287"/>
      <c r="AM72" s="286"/>
      <c r="AN72" s="287"/>
      <c r="AO72" s="287"/>
    </row>
    <row r="73" spans="1:41" ht="17">
      <c r="A73" s="493" t="s">
        <v>145</v>
      </c>
      <c r="B73" s="494"/>
      <c r="C73" s="494"/>
      <c r="D73" s="494"/>
      <c r="E73" s="495"/>
      <c r="F73" s="494"/>
      <c r="G73" s="496" t="s">
        <v>295</v>
      </c>
      <c r="H73" s="494"/>
      <c r="I73" s="494"/>
      <c r="J73" s="497">
        <f>SQRT(J72)</f>
        <v>8.0842630456501539</v>
      </c>
      <c r="K73" s="498"/>
      <c r="L73" s="62"/>
      <c r="M73" s="62"/>
      <c r="N73" s="62"/>
      <c r="O73" s="62"/>
      <c r="P73" s="62"/>
      <c r="Q73" s="62"/>
      <c r="R73" s="62"/>
      <c r="S73" s="62"/>
      <c r="T73" s="62"/>
      <c r="U73" s="62"/>
      <c r="V73" s="62"/>
      <c r="W73" s="62"/>
      <c r="AD73" s="286"/>
      <c r="AE73" s="286"/>
      <c r="AF73" s="286"/>
      <c r="AG73" s="286"/>
      <c r="AH73" s="286"/>
      <c r="AI73" s="286"/>
      <c r="AJ73" s="286"/>
      <c r="AK73" s="286"/>
      <c r="AL73" s="286"/>
      <c r="AM73" s="286"/>
      <c r="AN73" s="286"/>
      <c r="AO73" s="286"/>
    </row>
    <row r="74" spans="1:41" ht="17.5">
      <c r="A74" s="489" t="s">
        <v>146</v>
      </c>
      <c r="B74" s="499"/>
      <c r="C74" s="499"/>
      <c r="D74" s="499"/>
      <c r="E74" s="500"/>
      <c r="F74" s="499"/>
      <c r="G74" s="501" t="s">
        <v>296</v>
      </c>
      <c r="H74" s="499"/>
      <c r="I74" s="499"/>
      <c r="J74" s="502">
        <f>J73^4/(K72)</f>
        <v>2.0000120000172803</v>
      </c>
      <c r="K74" s="503"/>
      <c r="L74" s="62"/>
      <c r="M74" s="62"/>
      <c r="N74" s="62"/>
      <c r="O74" s="62"/>
      <c r="P74" s="62"/>
      <c r="Q74" s="62"/>
      <c r="R74" s="62"/>
      <c r="S74" s="62"/>
      <c r="T74" s="62"/>
      <c r="U74" s="62"/>
      <c r="V74" s="62"/>
      <c r="W74" s="62"/>
      <c r="AD74" s="1482"/>
      <c r="AE74" s="1482"/>
      <c r="AF74" s="1482"/>
      <c r="AG74" s="1482"/>
      <c r="AH74" s="1482"/>
      <c r="AI74" s="1482"/>
      <c r="AJ74" s="1482"/>
      <c r="AK74" s="1482"/>
      <c r="AL74" s="1482"/>
      <c r="AM74" s="1482"/>
      <c r="AN74" s="1482"/>
      <c r="AO74" s="1482"/>
    </row>
    <row r="75" spans="1:41" ht="15.5">
      <c r="A75" s="493" t="s">
        <v>147</v>
      </c>
      <c r="B75" s="494"/>
      <c r="C75" s="494"/>
      <c r="D75" s="494"/>
      <c r="E75" s="495"/>
      <c r="F75" s="494"/>
      <c r="G75" s="504" t="s">
        <v>297</v>
      </c>
      <c r="H75" s="494"/>
      <c r="I75" s="494"/>
      <c r="J75" s="505">
        <f>1.95996+(2.37356/J74)+(2.818745/J74^2)+(2.546662/J74^3)+(1.761829/J74^4)+(0.245458/J74^5)+(1.000764/J74^6)</f>
        <v>4.303156070012939</v>
      </c>
      <c r="K75" s="498"/>
      <c r="L75" s="62"/>
      <c r="M75" s="62"/>
      <c r="N75" s="62"/>
      <c r="O75" s="62"/>
      <c r="P75" s="62"/>
      <c r="Q75" s="62"/>
      <c r="R75" s="62"/>
      <c r="S75" s="62"/>
      <c r="T75" s="62"/>
      <c r="U75" s="62"/>
      <c r="V75" s="62"/>
      <c r="W75" s="62"/>
      <c r="AD75" s="284"/>
      <c r="AE75" s="284"/>
      <c r="AF75" s="284"/>
      <c r="AG75" s="284"/>
      <c r="AH75" s="284"/>
      <c r="AI75" s="284"/>
      <c r="AJ75" s="284"/>
      <c r="AK75" s="284"/>
      <c r="AL75" s="284"/>
      <c r="AM75" s="284"/>
      <c r="AN75" s="284"/>
      <c r="AO75" s="284"/>
    </row>
    <row r="76" spans="1:41" ht="15">
      <c r="A76" s="506" t="s">
        <v>148</v>
      </c>
      <c r="B76" s="507"/>
      <c r="C76" s="507"/>
      <c r="D76" s="507"/>
      <c r="E76" s="508"/>
      <c r="F76" s="507"/>
      <c r="G76" s="509" t="s">
        <v>298</v>
      </c>
      <c r="H76" s="507"/>
      <c r="I76" s="507"/>
      <c r="J76" s="510">
        <f>J73*J75</f>
        <v>34.787845596470746</v>
      </c>
      <c r="K76" s="511" t="s">
        <v>8</v>
      </c>
      <c r="L76" s="62"/>
      <c r="M76" s="62"/>
      <c r="N76" s="62"/>
      <c r="O76" s="62"/>
      <c r="P76" s="62"/>
      <c r="Q76" s="62"/>
      <c r="R76" s="62"/>
      <c r="S76" s="62"/>
      <c r="T76" s="62"/>
      <c r="U76" s="62"/>
      <c r="V76" s="62"/>
      <c r="W76" s="62"/>
      <c r="AD76" s="1482"/>
      <c r="AE76" s="1482"/>
      <c r="AF76" s="1482"/>
      <c r="AG76" s="1482"/>
      <c r="AH76" s="1482"/>
      <c r="AI76" s="1482"/>
      <c r="AJ76" s="1482"/>
      <c r="AK76" s="1482"/>
      <c r="AL76" s="1482"/>
      <c r="AM76" s="1482"/>
      <c r="AN76" s="1482"/>
      <c r="AO76" s="1482"/>
    </row>
    <row r="77" spans="1:41">
      <c r="AD77" s="284"/>
      <c r="AE77" s="284"/>
      <c r="AF77" s="284"/>
      <c r="AG77" s="284"/>
      <c r="AH77" s="284"/>
      <c r="AI77" s="284"/>
      <c r="AJ77" s="284"/>
      <c r="AK77" s="284"/>
      <c r="AL77" s="284"/>
      <c r="AM77" s="284"/>
      <c r="AN77" s="284"/>
      <c r="AO77" s="284"/>
    </row>
  </sheetData>
  <mergeCells count="60">
    <mergeCell ref="AL58:AO58"/>
    <mergeCell ref="AL62:AO62"/>
    <mergeCell ref="AH38:AK38"/>
    <mergeCell ref="AH42:AK42"/>
    <mergeCell ref="AD62:AG62"/>
    <mergeCell ref="AL38:AO38"/>
    <mergeCell ref="AL42:AO42"/>
    <mergeCell ref="AL46:AO46"/>
    <mergeCell ref="AL50:AO50"/>
    <mergeCell ref="AL54:AO54"/>
    <mergeCell ref="AH46:AK46"/>
    <mergeCell ref="AH50:AK50"/>
    <mergeCell ref="AH54:AK54"/>
    <mergeCell ref="AD54:AG54"/>
    <mergeCell ref="AD58:AG58"/>
    <mergeCell ref="AH58:AK58"/>
    <mergeCell ref="AD76:AG76"/>
    <mergeCell ref="AH76:AK76"/>
    <mergeCell ref="AL76:AO76"/>
    <mergeCell ref="AH66:AK66"/>
    <mergeCell ref="AH70:AK70"/>
    <mergeCell ref="AL66:AO66"/>
    <mergeCell ref="AL70:AO70"/>
    <mergeCell ref="AD66:AG66"/>
    <mergeCell ref="AD70:AG70"/>
    <mergeCell ref="AD74:AG74"/>
    <mergeCell ref="AH74:AK74"/>
    <mergeCell ref="AL74:AO74"/>
    <mergeCell ref="AD30:AG30"/>
    <mergeCell ref="AH30:AK30"/>
    <mergeCell ref="AL30:AO30"/>
    <mergeCell ref="AD34:AG34"/>
    <mergeCell ref="AH34:AK34"/>
    <mergeCell ref="AL34:AO34"/>
    <mergeCell ref="AB4:AB6"/>
    <mergeCell ref="Y5:Z5"/>
    <mergeCell ref="X4:Z4"/>
    <mergeCell ref="X26:AA26"/>
    <mergeCell ref="AL26:AO26"/>
    <mergeCell ref="AD4:AF4"/>
    <mergeCell ref="AG4:AG6"/>
    <mergeCell ref="AH4:AH6"/>
    <mergeCell ref="AE5:AF5"/>
    <mergeCell ref="AD26:AG26"/>
    <mergeCell ref="AH26:AK26"/>
    <mergeCell ref="X34:AA34"/>
    <mergeCell ref="X38:AA38"/>
    <mergeCell ref="X42:AA42"/>
    <mergeCell ref="X46:AA46"/>
    <mergeCell ref="AH62:AK62"/>
    <mergeCell ref="X50:AA50"/>
    <mergeCell ref="AD38:AG38"/>
    <mergeCell ref="AD42:AG42"/>
    <mergeCell ref="AD46:AG46"/>
    <mergeCell ref="AD50:AG50"/>
    <mergeCell ref="AA4:AA6"/>
    <mergeCell ref="A2:W2"/>
    <mergeCell ref="A3:K3"/>
    <mergeCell ref="M3:W3"/>
    <mergeCell ref="X30:AA30"/>
  </mergeCells>
  <printOptions horizontalCentered="1" verticalCentered="1"/>
  <pageMargins left="0.25" right="0.19" top="0.19" bottom="0.27" header="0.15" footer="0.2"/>
  <pageSetup paperSize="9" scale="51" orientation="landscape" horizontalDpi="4294967294" verticalDpi="4294967294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3:AP54"/>
  <sheetViews>
    <sheetView topLeftCell="C1" zoomScale="87" zoomScaleNormal="87" workbookViewId="0">
      <selection activeCell="P25" sqref="P25"/>
    </sheetView>
  </sheetViews>
  <sheetFormatPr defaultColWidth="9.1796875" defaultRowHeight="10"/>
  <cols>
    <col min="1" max="1" width="9.1796875" style="288"/>
    <col min="2" max="2" width="9.26953125" style="288" bestFit="1" customWidth="1"/>
    <col min="3" max="4" width="9.1796875" style="288"/>
    <col min="5" max="6" width="9.26953125" style="288" bestFit="1" customWidth="1"/>
    <col min="7" max="8" width="9.1796875" style="288"/>
    <col min="9" max="9" width="9.26953125" style="288" bestFit="1" customWidth="1"/>
    <col min="10" max="10" width="11" style="288" bestFit="1" customWidth="1"/>
    <col min="11" max="16384" width="9.1796875" style="288"/>
  </cols>
  <sheetData>
    <row r="3" spans="2:30" ht="10.5">
      <c r="B3" s="289" t="s">
        <v>439</v>
      </c>
      <c r="C3" s="290" t="s">
        <v>308</v>
      </c>
    </row>
    <row r="4" spans="2:30" ht="10.5">
      <c r="B4" s="291" t="s">
        <v>440</v>
      </c>
      <c r="C4" s="292" t="s">
        <v>309</v>
      </c>
    </row>
    <row r="7" spans="2:30" ht="10.5">
      <c r="B7" s="293"/>
      <c r="C7" s="293"/>
      <c r="D7" s="293"/>
      <c r="E7" s="293"/>
    </row>
    <row r="8" spans="2:30" ht="10.5">
      <c r="B8" s="293"/>
      <c r="C8" s="293">
        <f>IF(ID!L26=C9,0.2,0.3)</f>
        <v>0.3</v>
      </c>
      <c r="D8" s="293"/>
      <c r="E8" s="293"/>
    </row>
    <row r="9" spans="2:30" ht="10.5">
      <c r="B9" s="293">
        <f>IF(ID!L26=C9,0.2,0.3)</f>
        <v>0.3</v>
      </c>
      <c r="C9" s="294" t="s">
        <v>196</v>
      </c>
      <c r="D9" s="295" t="s">
        <v>310</v>
      </c>
      <c r="E9" s="293"/>
      <c r="K9" s="296" t="s">
        <v>259</v>
      </c>
    </row>
    <row r="10" spans="2:30" ht="10.5">
      <c r="B10" s="293"/>
      <c r="C10" s="294" t="s">
        <v>198</v>
      </c>
      <c r="D10" s="295" t="s">
        <v>311</v>
      </c>
      <c r="E10" s="293"/>
      <c r="K10" s="293" t="s">
        <v>312</v>
      </c>
    </row>
    <row r="11" spans="2:30" ht="10.5">
      <c r="B11" s="297">
        <f>IF(ID!L27=C11,500,100)</f>
        <v>500</v>
      </c>
      <c r="C11" s="294" t="s">
        <v>201</v>
      </c>
      <c r="D11" s="295" t="s">
        <v>313</v>
      </c>
      <c r="E11" s="293"/>
    </row>
    <row r="12" spans="2:30" ht="10.5">
      <c r="B12" s="293"/>
      <c r="C12" s="294" t="s">
        <v>203</v>
      </c>
      <c r="D12" s="295" t="s">
        <v>314</v>
      </c>
      <c r="E12" s="293"/>
    </row>
    <row r="13" spans="2:30" ht="10.5">
      <c r="B13" s="293"/>
      <c r="C13" s="293"/>
      <c r="D13" s="293"/>
      <c r="E13" s="293"/>
    </row>
    <row r="15" spans="2:30" ht="10.5">
      <c r="B15" s="298"/>
      <c r="C15" s="299"/>
      <c r="D15" s="298"/>
      <c r="F15" s="293"/>
      <c r="G15" s="1489"/>
      <c r="H15" s="1487"/>
      <c r="I15" s="298"/>
      <c r="J15" s="293" t="s">
        <v>226</v>
      </c>
      <c r="S15" s="320"/>
      <c r="T15" s="320"/>
      <c r="U15" s="321"/>
      <c r="V15" s="1491"/>
      <c r="W15" s="323"/>
      <c r="X15" s="324"/>
      <c r="Y15" s="322"/>
      <c r="Z15" s="322"/>
      <c r="AA15" s="322"/>
      <c r="AB15" s="325"/>
      <c r="AC15" s="325"/>
      <c r="AD15" s="326"/>
    </row>
    <row r="16" spans="2:30" ht="10.5">
      <c r="B16" s="300"/>
      <c r="C16" s="301"/>
      <c r="D16" s="302"/>
      <c r="F16" s="293"/>
      <c r="G16" s="1490"/>
      <c r="H16" s="1488"/>
      <c r="I16" s="300"/>
      <c r="J16" s="293" t="s">
        <v>315</v>
      </c>
      <c r="S16" s="320"/>
      <c r="T16" s="320"/>
      <c r="U16" s="321"/>
      <c r="V16" s="1492"/>
      <c r="W16" s="323"/>
      <c r="X16" s="324"/>
      <c r="Y16" s="322"/>
      <c r="Z16" s="322"/>
      <c r="AA16" s="322"/>
      <c r="AB16" s="325"/>
      <c r="AC16" s="325"/>
      <c r="AD16" s="326"/>
    </row>
    <row r="17" spans="1:41" ht="10.5">
      <c r="B17" s="300"/>
      <c r="C17" s="301"/>
      <c r="D17" s="302"/>
      <c r="F17" s="293"/>
      <c r="G17" s="305"/>
      <c r="H17" s="306"/>
      <c r="I17" s="300"/>
      <c r="J17" s="293" t="s">
        <v>316</v>
      </c>
      <c r="S17" s="322"/>
      <c r="T17" s="322"/>
      <c r="U17" s="322"/>
      <c r="V17" s="1491"/>
      <c r="W17" s="323"/>
      <c r="X17" s="324"/>
      <c r="Y17" s="322"/>
      <c r="Z17" s="322"/>
      <c r="AA17" s="322"/>
      <c r="AB17" s="325"/>
      <c r="AC17" s="325"/>
      <c r="AD17" s="326"/>
    </row>
    <row r="18" spans="1:41" ht="10.5">
      <c r="B18" s="300"/>
      <c r="C18" s="301"/>
      <c r="D18" s="302"/>
      <c r="G18" s="305"/>
      <c r="H18" s="306"/>
      <c r="I18" s="300"/>
      <c r="J18" s="293" t="s">
        <v>317</v>
      </c>
      <c r="S18" s="322"/>
      <c r="T18" s="322"/>
      <c r="U18" s="322"/>
      <c r="V18" s="1492"/>
      <c r="W18" s="323"/>
      <c r="X18" s="324"/>
      <c r="Y18" s="322"/>
      <c r="Z18" s="322"/>
      <c r="AA18" s="322"/>
      <c r="AB18" s="325"/>
      <c r="AC18" s="325"/>
      <c r="AD18" s="326"/>
    </row>
    <row r="19" spans="1:41" ht="10.5">
      <c r="B19" s="300"/>
      <c r="C19" s="301"/>
      <c r="D19" s="302"/>
      <c r="G19" s="305"/>
      <c r="H19" s="306"/>
      <c r="I19" s="300"/>
      <c r="J19" s="293" t="s">
        <v>318</v>
      </c>
      <c r="S19" s="322"/>
      <c r="T19" s="322"/>
      <c r="U19" s="322"/>
      <c r="V19" s="1491"/>
      <c r="W19" s="323"/>
      <c r="X19" s="324"/>
      <c r="Y19" s="322"/>
      <c r="Z19" s="322"/>
      <c r="AA19" s="322"/>
      <c r="AB19" s="325"/>
      <c r="AC19" s="325"/>
      <c r="AD19" s="326"/>
    </row>
    <row r="20" spans="1:41" ht="10.5">
      <c r="B20" s="300"/>
      <c r="C20" s="301"/>
      <c r="D20" s="302"/>
      <c r="G20" s="305"/>
      <c r="H20" s="306"/>
      <c r="I20" s="300"/>
      <c r="J20" s="293" t="s">
        <v>268</v>
      </c>
      <c r="S20" s="322"/>
      <c r="T20" s="322"/>
      <c r="U20" s="322"/>
      <c r="V20" s="1492"/>
      <c r="W20" s="323"/>
      <c r="X20" s="327"/>
      <c r="Y20" s="322"/>
      <c r="Z20" s="322"/>
      <c r="AA20" s="322"/>
      <c r="AB20" s="325"/>
      <c r="AC20" s="325"/>
      <c r="AD20" s="326"/>
    </row>
    <row r="21" spans="1:41" ht="10.5">
      <c r="B21" s="300"/>
      <c r="C21" s="301"/>
      <c r="D21" s="302"/>
      <c r="G21" s="305"/>
      <c r="H21" s="306"/>
      <c r="I21" s="300"/>
      <c r="J21" s="303" t="s">
        <v>319</v>
      </c>
      <c r="S21" s="322"/>
      <c r="T21" s="322"/>
      <c r="U21" s="322"/>
    </row>
    <row r="22" spans="1:41" ht="10.5">
      <c r="B22" s="300"/>
      <c r="C22" s="301"/>
      <c r="D22" s="302"/>
      <c r="G22" s="305"/>
      <c r="H22" s="306"/>
      <c r="I22" s="300"/>
      <c r="J22" s="303" t="s">
        <v>320</v>
      </c>
      <c r="S22" s="322"/>
      <c r="T22" s="322"/>
      <c r="U22" s="322"/>
    </row>
    <row r="23" spans="1:41" ht="10.5">
      <c r="B23" s="300"/>
      <c r="C23" s="301"/>
      <c r="D23" s="302"/>
      <c r="G23" s="305"/>
      <c r="H23" s="306"/>
      <c r="I23" s="300"/>
      <c r="S23" s="322"/>
      <c r="T23" s="322"/>
      <c r="U23" s="322"/>
    </row>
    <row r="24" spans="1:41" ht="10.5">
      <c r="B24" s="300"/>
      <c r="C24" s="302"/>
      <c r="D24" s="304"/>
      <c r="G24" s="305"/>
      <c r="H24" s="306"/>
      <c r="I24" s="300"/>
      <c r="S24" s="322"/>
      <c r="T24" s="322"/>
      <c r="U24" s="322"/>
    </row>
    <row r="25" spans="1:41" ht="13">
      <c r="B25" s="300"/>
      <c r="C25" s="302"/>
      <c r="D25" s="304"/>
      <c r="I25" s="300"/>
      <c r="J25" s="328" t="s">
        <v>159</v>
      </c>
      <c r="S25" s="322"/>
      <c r="T25" s="322"/>
      <c r="U25" s="322"/>
    </row>
    <row r="26" spans="1:41" ht="13">
      <c r="B26" s="300"/>
      <c r="C26" s="302"/>
      <c r="D26" s="304"/>
      <c r="I26" s="300"/>
      <c r="J26" s="329" t="s">
        <v>161</v>
      </c>
      <c r="S26" s="322"/>
      <c r="T26" s="322"/>
      <c r="U26" s="322"/>
    </row>
    <row r="27" spans="1:41" ht="13">
      <c r="B27" s="300"/>
      <c r="C27" s="302"/>
      <c r="D27" s="304"/>
      <c r="I27" s="300"/>
      <c r="J27" s="330" t="str">
        <f>""</f>
        <v/>
      </c>
      <c r="S27" s="322"/>
      <c r="T27" s="322"/>
      <c r="U27" s="322"/>
      <c r="W27" s="351"/>
      <c r="X27" s="1493"/>
      <c r="Y27" s="352"/>
      <c r="Z27" s="353"/>
      <c r="AA27" s="353"/>
      <c r="AB27" s="353"/>
      <c r="AC27" s="353"/>
      <c r="AD27" s="353"/>
      <c r="AE27" s="353"/>
      <c r="AF27" s="354"/>
      <c r="AG27" s="355"/>
      <c r="AH27" s="356"/>
    </row>
    <row r="28" spans="1:41" ht="11.5">
      <c r="B28" s="300"/>
      <c r="C28" s="304"/>
      <c r="D28" s="304"/>
      <c r="I28" s="300"/>
      <c r="S28" s="322"/>
      <c r="T28" s="322"/>
      <c r="U28" s="322"/>
      <c r="W28" s="357"/>
      <c r="X28" s="1494"/>
      <c r="Y28" s="352"/>
      <c r="Z28" s="353"/>
      <c r="AA28" s="353"/>
      <c r="AB28" s="353"/>
      <c r="AC28" s="353"/>
      <c r="AD28" s="353"/>
      <c r="AE28" s="353"/>
      <c r="AF28" s="354"/>
      <c r="AG28" s="355"/>
      <c r="AH28" s="356"/>
    </row>
    <row r="29" spans="1:41" ht="10.5">
      <c r="B29" s="300"/>
      <c r="C29" s="304"/>
      <c r="D29" s="304"/>
      <c r="I29" s="300"/>
      <c r="S29" s="322"/>
      <c r="T29" s="322"/>
      <c r="U29" s="322"/>
    </row>
    <row r="30" spans="1:41" ht="10.5">
      <c r="S30" s="322"/>
      <c r="T30" s="322"/>
      <c r="U30" s="322"/>
      <c r="W30" s="358"/>
      <c r="X30" s="359"/>
      <c r="Y30" s="332"/>
      <c r="Z30" s="333"/>
      <c r="AA30" s="360"/>
      <c r="AB30" s="361"/>
      <c r="AC30" s="335"/>
      <c r="AD30" s="336"/>
      <c r="AE30" s="337"/>
      <c r="AF30" s="345"/>
      <c r="AG30" s="1495"/>
      <c r="AH30" s="1495"/>
      <c r="AI30" s="362"/>
    </row>
    <row r="31" spans="1:41" s="293" customFormat="1" ht="14.25" customHeight="1">
      <c r="A31" s="1496" t="s">
        <v>321</v>
      </c>
      <c r="B31" s="1486"/>
      <c r="C31" s="331"/>
      <c r="D31" s="332"/>
      <c r="E31" s="333"/>
      <c r="F31" s="285"/>
      <c r="G31" s="334"/>
      <c r="H31" s="335"/>
      <c r="I31" s="336"/>
      <c r="J31" s="337"/>
      <c r="K31" s="338"/>
      <c r="L31" s="1485"/>
      <c r="M31" s="1485"/>
      <c r="N31" s="339"/>
      <c r="Q31" s="340"/>
      <c r="R31" s="341"/>
      <c r="S31" s="342"/>
      <c r="T31" s="340"/>
      <c r="W31" s="363"/>
      <c r="X31" s="364"/>
      <c r="Y31" s="332"/>
      <c r="Z31" s="333"/>
      <c r="AA31" s="360"/>
      <c r="AB31" s="361"/>
      <c r="AC31" s="335"/>
      <c r="AD31" s="336"/>
      <c r="AE31" s="337"/>
      <c r="AF31" s="337"/>
      <c r="AG31" s="1495"/>
      <c r="AH31" s="1495"/>
      <c r="AI31" s="365"/>
      <c r="AL31" s="343"/>
      <c r="AM31" s="344"/>
      <c r="AN31" s="344"/>
      <c r="AO31" s="343"/>
    </row>
    <row r="32" spans="1:41" s="293" customFormat="1" ht="14.25" customHeight="1">
      <c r="A32" s="1496"/>
      <c r="B32" s="1486"/>
      <c r="C32" s="331"/>
      <c r="D32" s="332"/>
      <c r="E32" s="333"/>
      <c r="F32" s="285"/>
      <c r="G32" s="334"/>
      <c r="H32" s="335"/>
      <c r="I32" s="336"/>
      <c r="J32" s="337"/>
      <c r="K32" s="338"/>
      <c r="L32" s="1485"/>
      <c r="M32" s="1485"/>
      <c r="N32" s="339"/>
      <c r="Q32" s="340"/>
      <c r="R32" s="341"/>
      <c r="S32" s="342"/>
      <c r="T32" s="340"/>
      <c r="AL32" s="343"/>
      <c r="AM32" s="344"/>
      <c r="AN32" s="344"/>
      <c r="AO32" s="343"/>
    </row>
    <row r="33" spans="1:42" s="293" customFormat="1" ht="14.25" customHeight="1">
      <c r="A33" s="1496"/>
      <c r="B33" s="1486"/>
      <c r="C33" s="331"/>
      <c r="D33" s="332"/>
      <c r="E33" s="333"/>
      <c r="F33" s="285"/>
      <c r="G33" s="334"/>
      <c r="H33" s="335"/>
      <c r="I33" s="336"/>
      <c r="J33" s="337"/>
      <c r="K33" s="345"/>
      <c r="L33" s="1485"/>
      <c r="M33" s="1485"/>
      <c r="Q33" s="340"/>
      <c r="R33" s="341"/>
      <c r="S33" s="342"/>
      <c r="T33" s="340"/>
      <c r="AI33" s="346"/>
      <c r="AO33" s="344"/>
      <c r="AP33" s="344"/>
    </row>
    <row r="34" spans="1:42" s="293" customFormat="1" ht="14.25" customHeight="1">
      <c r="A34" s="1496"/>
      <c r="B34" s="1486"/>
      <c r="C34" s="331"/>
      <c r="D34" s="332"/>
      <c r="E34" s="333"/>
      <c r="F34" s="285"/>
      <c r="G34" s="347"/>
      <c r="H34" s="335"/>
      <c r="I34" s="336"/>
      <c r="J34" s="337"/>
      <c r="K34" s="345"/>
      <c r="L34" s="1485"/>
      <c r="M34" s="1485"/>
      <c r="Q34" s="340"/>
      <c r="R34" s="341"/>
      <c r="S34" s="342"/>
      <c r="T34" s="340"/>
      <c r="AG34" s="345"/>
      <c r="AI34" s="339"/>
      <c r="AL34" s="348"/>
      <c r="AM34" s="349"/>
      <c r="AP34" s="344"/>
    </row>
    <row r="35" spans="1:42" ht="10.5">
      <c r="B35" s="1486"/>
      <c r="C35" s="331"/>
      <c r="D35" s="332"/>
      <c r="E35" s="333"/>
      <c r="F35" s="285"/>
      <c r="G35" s="334"/>
      <c r="H35" s="335"/>
      <c r="I35" s="336"/>
      <c r="J35" s="337"/>
      <c r="K35" s="338"/>
      <c r="L35" s="1485"/>
      <c r="M35" s="1485"/>
    </row>
    <row r="36" spans="1:42" ht="10.5">
      <c r="B36" s="1486"/>
      <c r="C36" s="331"/>
      <c r="D36" s="332"/>
      <c r="E36" s="333"/>
      <c r="F36" s="285"/>
      <c r="G36" s="347"/>
      <c r="H36" s="335"/>
      <c r="I36" s="336"/>
      <c r="J36" s="337"/>
      <c r="K36" s="338"/>
      <c r="L36" s="1485"/>
      <c r="M36" s="1485"/>
    </row>
    <row r="37" spans="1:42">
      <c r="B37" s="288" t="s">
        <v>322</v>
      </c>
    </row>
    <row r="38" spans="1:42">
      <c r="B38" s="288" t="s">
        <v>323</v>
      </c>
    </row>
    <row r="39" spans="1:42">
      <c r="B39" s="288" t="s">
        <v>324</v>
      </c>
    </row>
    <row r="40" spans="1:42">
      <c r="B40" s="288" t="s">
        <v>325</v>
      </c>
    </row>
    <row r="41" spans="1:42">
      <c r="B41" s="288" t="s">
        <v>326</v>
      </c>
    </row>
    <row r="42" spans="1:42">
      <c r="B42" s="288" t="s">
        <v>327</v>
      </c>
    </row>
    <row r="43" spans="1:42">
      <c r="B43" s="288" t="s">
        <v>328</v>
      </c>
    </row>
    <row r="44" spans="1:42">
      <c r="B44" s="288" t="s">
        <v>329</v>
      </c>
    </row>
    <row r="45" spans="1:42" ht="10.5">
      <c r="B45" s="288" t="s">
        <v>330</v>
      </c>
      <c r="H45" s="1156">
        <v>0.2</v>
      </c>
      <c r="I45" s="1157" t="s">
        <v>310</v>
      </c>
      <c r="J45" s="1156"/>
      <c r="K45" s="1156"/>
    </row>
    <row r="46" spans="1:42" ht="10.5">
      <c r="B46" s="288" t="s">
        <v>331</v>
      </c>
      <c r="H46" s="1156">
        <v>0.3</v>
      </c>
      <c r="I46" s="1157" t="s">
        <v>311</v>
      </c>
      <c r="J46" s="1156"/>
      <c r="K46" s="1156"/>
    </row>
    <row r="47" spans="1:42" ht="10.5">
      <c r="B47" s="288" t="s">
        <v>279</v>
      </c>
      <c r="H47" s="1156">
        <v>500</v>
      </c>
      <c r="I47" s="1157" t="s">
        <v>313</v>
      </c>
      <c r="J47" s="1156"/>
      <c r="K47" s="1156"/>
    </row>
    <row r="48" spans="1:42" ht="10.5">
      <c r="B48" s="288" t="s">
        <v>332</v>
      </c>
      <c r="H48" s="1156">
        <v>100</v>
      </c>
      <c r="I48" s="1157" t="s">
        <v>314</v>
      </c>
      <c r="J48" s="1156"/>
      <c r="K48" s="1156"/>
    </row>
    <row r="49" spans="2:11">
      <c r="B49" s="288" t="s">
        <v>333</v>
      </c>
      <c r="H49" s="1156"/>
      <c r="I49" s="1156" t="s">
        <v>423</v>
      </c>
      <c r="J49" s="1156">
        <f>IF(ID!C26=I45,H45,H46)</f>
        <v>0.3</v>
      </c>
      <c r="K49" s="1156">
        <f>IF(ID!C27=I47,H47,H48)</f>
        <v>500</v>
      </c>
    </row>
    <row r="50" spans="2:11">
      <c r="B50" s="288" t="s">
        <v>334</v>
      </c>
    </row>
    <row r="51" spans="2:11">
      <c r="B51" s="288" t="s">
        <v>335</v>
      </c>
    </row>
    <row r="52" spans="2:11">
      <c r="B52" s="288" t="s">
        <v>336</v>
      </c>
    </row>
    <row r="53" spans="2:11">
      <c r="B53" s="288" t="s">
        <v>337</v>
      </c>
    </row>
    <row r="54" spans="2:11">
      <c r="B54" s="288" t="s">
        <v>338</v>
      </c>
    </row>
  </sheetData>
  <mergeCells count="18">
    <mergeCell ref="AG30:AH30"/>
    <mergeCell ref="AG31:AH31"/>
    <mergeCell ref="A31:A34"/>
    <mergeCell ref="B33:B34"/>
    <mergeCell ref="L31:M31"/>
    <mergeCell ref="L32:M32"/>
    <mergeCell ref="L33:M33"/>
    <mergeCell ref="L34:M34"/>
    <mergeCell ref="V17:V18"/>
    <mergeCell ref="V19:V20"/>
    <mergeCell ref="B31:B32"/>
    <mergeCell ref="V15:V16"/>
    <mergeCell ref="X27:X28"/>
    <mergeCell ref="L36:M36"/>
    <mergeCell ref="L35:M35"/>
    <mergeCell ref="B35:B36"/>
    <mergeCell ref="H15:H16"/>
    <mergeCell ref="G15:G16"/>
  </mergeCell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7">
    <tabColor rgb="FF00B0F0"/>
  </sheetPr>
  <dimension ref="A1:P261"/>
  <sheetViews>
    <sheetView view="pageBreakPreview" topLeftCell="A223" zoomScaleNormal="100" zoomScaleSheetLayoutView="100" workbookViewId="0">
      <selection activeCell="L233" sqref="L233"/>
    </sheetView>
  </sheetViews>
  <sheetFormatPr defaultColWidth="9" defaultRowHeight="12.5"/>
  <cols>
    <col min="1" max="16384" width="9" style="94"/>
  </cols>
  <sheetData>
    <row r="1" spans="1:16" ht="18" thickBot="1">
      <c r="A1" s="1566" t="s">
        <v>70</v>
      </c>
      <c r="B1" s="1567"/>
      <c r="C1" s="1567"/>
      <c r="D1" s="1567"/>
      <c r="E1" s="1567"/>
      <c r="F1" s="1567"/>
      <c r="G1" s="1568"/>
      <c r="H1" s="1567"/>
      <c r="I1" s="1567"/>
      <c r="J1" s="1567"/>
      <c r="K1" s="1567"/>
      <c r="L1" s="1567"/>
      <c r="M1" s="1568"/>
      <c r="N1" s="1567"/>
      <c r="O1" s="1569"/>
      <c r="P1" s="167"/>
    </row>
    <row r="2" spans="1:16" ht="13">
      <c r="A2" s="1560">
        <v>1</v>
      </c>
      <c r="B2" s="1563" t="s">
        <v>71</v>
      </c>
      <c r="C2" s="1563"/>
      <c r="D2" s="1563"/>
      <c r="E2" s="1563"/>
      <c r="F2" s="1563"/>
      <c r="G2" s="223"/>
      <c r="H2" s="1563" t="str">
        <f>B2</f>
        <v>KOREKSI KIMO THERMOHYGROMETER 15062873</v>
      </c>
      <c r="I2" s="1563"/>
      <c r="J2" s="1563"/>
      <c r="K2" s="1563"/>
      <c r="L2" s="1563"/>
      <c r="M2" s="223"/>
      <c r="N2" s="1564" t="s">
        <v>77</v>
      </c>
      <c r="O2" s="1564"/>
      <c r="P2" s="167"/>
    </row>
    <row r="3" spans="1:16" ht="13">
      <c r="A3" s="1561"/>
      <c r="B3" s="1565" t="s">
        <v>72</v>
      </c>
      <c r="C3" s="1565"/>
      <c r="D3" s="1565" t="s">
        <v>7</v>
      </c>
      <c r="E3" s="1565"/>
      <c r="F3" s="1565" t="s">
        <v>2</v>
      </c>
      <c r="G3" s="95"/>
      <c r="H3" s="1565" t="s">
        <v>73</v>
      </c>
      <c r="I3" s="1565"/>
      <c r="J3" s="1565" t="s">
        <v>7</v>
      </c>
      <c r="K3" s="1565"/>
      <c r="L3" s="1565" t="s">
        <v>2</v>
      </c>
      <c r="M3" s="95"/>
      <c r="N3" s="243" t="s">
        <v>72</v>
      </c>
      <c r="O3" s="246">
        <v>0.5</v>
      </c>
      <c r="P3" s="167"/>
    </row>
    <row r="4" spans="1:16" ht="14.5">
      <c r="A4" s="1561"/>
      <c r="B4" s="1558" t="s">
        <v>74</v>
      </c>
      <c r="C4" s="1558"/>
      <c r="D4" s="245">
        <v>2017</v>
      </c>
      <c r="E4" s="245">
        <v>2015</v>
      </c>
      <c r="F4" s="1565"/>
      <c r="G4" s="95"/>
      <c r="H4" s="1559" t="s">
        <v>75</v>
      </c>
      <c r="I4" s="1558"/>
      <c r="J4" s="244">
        <f>D4</f>
        <v>2017</v>
      </c>
      <c r="K4" s="244">
        <f>E4</f>
        <v>2015</v>
      </c>
      <c r="L4" s="1565"/>
      <c r="M4" s="95"/>
      <c r="N4" s="243" t="s">
        <v>75</v>
      </c>
      <c r="O4" s="246">
        <v>3.3</v>
      </c>
      <c r="P4" s="167"/>
    </row>
    <row r="5" spans="1:16" ht="13">
      <c r="A5" s="1561"/>
      <c r="B5" s="241"/>
      <c r="C5" s="210">
        <v>15</v>
      </c>
      <c r="D5" s="210">
        <v>0.3</v>
      </c>
      <c r="E5" s="210">
        <v>0</v>
      </c>
      <c r="F5" s="239">
        <f t="shared" ref="F5:F11" si="0">0.5*(MAX(D5:E5)-MIN(D5:E5))</f>
        <v>0.15</v>
      </c>
      <c r="G5" s="95"/>
      <c r="H5" s="241"/>
      <c r="I5" s="210">
        <v>35</v>
      </c>
      <c r="J5" s="210">
        <v>-9.4</v>
      </c>
      <c r="K5" s="210">
        <v>0</v>
      </c>
      <c r="L5" s="239">
        <f t="shared" ref="L5:L11" si="1">0.5*(MAX(J5:K5)-MIN(J5:K5))</f>
        <v>4.7</v>
      </c>
      <c r="M5" s="95"/>
      <c r="N5" s="95"/>
      <c r="O5" s="203"/>
      <c r="P5" s="167"/>
    </row>
    <row r="6" spans="1:16" ht="13">
      <c r="A6" s="1561"/>
      <c r="B6" s="241"/>
      <c r="C6" s="210">
        <v>20</v>
      </c>
      <c r="D6" s="210">
        <v>0.2</v>
      </c>
      <c r="E6" s="210">
        <v>0</v>
      </c>
      <c r="F6" s="239">
        <f t="shared" si="0"/>
        <v>0.1</v>
      </c>
      <c r="G6" s="95"/>
      <c r="H6" s="241"/>
      <c r="I6" s="210">
        <v>40</v>
      </c>
      <c r="J6" s="210">
        <v>-8.6</v>
      </c>
      <c r="K6" s="210">
        <v>0</v>
      </c>
      <c r="L6" s="239">
        <f t="shared" si="1"/>
        <v>4.3</v>
      </c>
      <c r="M6" s="95"/>
      <c r="N6" s="95"/>
      <c r="O6" s="203"/>
      <c r="P6" s="167"/>
    </row>
    <row r="7" spans="1:16" ht="13">
      <c r="A7" s="1561"/>
      <c r="B7" s="241"/>
      <c r="C7" s="210">
        <v>25</v>
      </c>
      <c r="D7" s="210">
        <v>0.1</v>
      </c>
      <c r="E7" s="210">
        <v>0</v>
      </c>
      <c r="F7" s="239">
        <f t="shared" si="0"/>
        <v>0.05</v>
      </c>
      <c r="G7" s="95"/>
      <c r="H7" s="241"/>
      <c r="I7" s="210">
        <v>50</v>
      </c>
      <c r="J7" s="210">
        <v>-7.2</v>
      </c>
      <c r="K7" s="210">
        <v>0</v>
      </c>
      <c r="L7" s="239">
        <f t="shared" si="1"/>
        <v>3.6</v>
      </c>
      <c r="M7" s="95"/>
      <c r="N7" s="95"/>
      <c r="O7" s="203"/>
      <c r="P7" s="167"/>
    </row>
    <row r="8" spans="1:16" ht="13">
      <c r="A8" s="1561"/>
      <c r="B8" s="241"/>
      <c r="C8" s="206">
        <v>30</v>
      </c>
      <c r="D8" s="205">
        <v>-0.2</v>
      </c>
      <c r="E8" s="240">
        <v>0</v>
      </c>
      <c r="F8" s="239">
        <f t="shared" si="0"/>
        <v>0.1</v>
      </c>
      <c r="G8" s="95"/>
      <c r="H8" s="241"/>
      <c r="I8" s="206">
        <v>60</v>
      </c>
      <c r="J8" s="205">
        <v>-5.2</v>
      </c>
      <c r="K8" s="240">
        <v>0</v>
      </c>
      <c r="L8" s="239">
        <f t="shared" si="1"/>
        <v>2.6</v>
      </c>
      <c r="M8" s="95"/>
      <c r="N8" s="95"/>
      <c r="O8" s="203"/>
      <c r="P8" s="167"/>
    </row>
    <row r="9" spans="1:16" ht="13">
      <c r="A9" s="1561"/>
      <c r="B9" s="241"/>
      <c r="C9" s="206">
        <v>35</v>
      </c>
      <c r="D9" s="205">
        <v>-0.5</v>
      </c>
      <c r="E9" s="240">
        <v>0</v>
      </c>
      <c r="F9" s="239">
        <f t="shared" si="0"/>
        <v>0.25</v>
      </c>
      <c r="G9" s="95"/>
      <c r="H9" s="241"/>
      <c r="I9" s="206">
        <v>70</v>
      </c>
      <c r="J9" s="205">
        <v>-2.6</v>
      </c>
      <c r="K9" s="240">
        <v>0</v>
      </c>
      <c r="L9" s="239">
        <f t="shared" si="1"/>
        <v>1.3</v>
      </c>
      <c r="M9" s="95"/>
      <c r="N9" s="95"/>
      <c r="O9" s="203"/>
      <c r="P9" s="167"/>
    </row>
    <row r="10" spans="1:16" ht="13">
      <c r="A10" s="1561"/>
      <c r="B10" s="241"/>
      <c r="C10" s="206">
        <v>37</v>
      </c>
      <c r="D10" s="205">
        <v>-0.6</v>
      </c>
      <c r="E10" s="240">
        <v>0</v>
      </c>
      <c r="F10" s="239">
        <f t="shared" si="0"/>
        <v>0.3</v>
      </c>
      <c r="G10" s="95"/>
      <c r="H10" s="241"/>
      <c r="I10" s="206">
        <v>80</v>
      </c>
      <c r="J10" s="205">
        <v>0.7</v>
      </c>
      <c r="K10" s="240">
        <v>0</v>
      </c>
      <c r="L10" s="239">
        <f t="shared" si="1"/>
        <v>0.35</v>
      </c>
      <c r="M10" s="95"/>
      <c r="N10" s="95"/>
      <c r="O10" s="203"/>
      <c r="P10" s="167"/>
    </row>
    <row r="11" spans="1:16" ht="13.5" thickBot="1">
      <c r="A11" s="1562"/>
      <c r="B11" s="241"/>
      <c r="C11" s="206">
        <v>40</v>
      </c>
      <c r="D11" s="205">
        <v>-0.8</v>
      </c>
      <c r="E11" s="240">
        <v>0</v>
      </c>
      <c r="F11" s="239">
        <f t="shared" si="0"/>
        <v>0.4</v>
      </c>
      <c r="G11" s="197"/>
      <c r="H11" s="241"/>
      <c r="I11" s="206">
        <v>90</v>
      </c>
      <c r="J11" s="205">
        <v>4.5</v>
      </c>
      <c r="K11" s="240">
        <v>0</v>
      </c>
      <c r="L11" s="239">
        <f t="shared" si="1"/>
        <v>2.25</v>
      </c>
      <c r="M11" s="197"/>
      <c r="N11" s="197"/>
      <c r="O11" s="196"/>
      <c r="P11" s="167"/>
    </row>
    <row r="12" spans="1:16" ht="13.5" thickBot="1">
      <c r="A12" s="208"/>
      <c r="B12" s="208"/>
      <c r="C12" s="95"/>
      <c r="D12" s="95"/>
      <c r="E12" s="95"/>
      <c r="F12" s="95"/>
      <c r="G12" s="95"/>
      <c r="H12" s="95"/>
      <c r="I12" s="95"/>
      <c r="J12" s="95"/>
      <c r="K12" s="95"/>
      <c r="L12" s="95"/>
      <c r="M12" s="95"/>
      <c r="N12" s="95"/>
      <c r="O12" s="203"/>
      <c r="P12" s="167"/>
    </row>
    <row r="13" spans="1:16" ht="13">
      <c r="A13" s="1560">
        <v>2</v>
      </c>
      <c r="B13" s="1563" t="s">
        <v>76</v>
      </c>
      <c r="C13" s="1563"/>
      <c r="D13" s="1563"/>
      <c r="E13" s="1563"/>
      <c r="F13" s="1563"/>
      <c r="G13" s="223"/>
      <c r="H13" s="1563" t="str">
        <f>B13</f>
        <v>KOREKSI KIMO THERMOHYGROMETER 15062874</v>
      </c>
      <c r="I13" s="1563"/>
      <c r="J13" s="1563"/>
      <c r="K13" s="1563"/>
      <c r="L13" s="1563"/>
      <c r="M13" s="223"/>
      <c r="N13" s="1564" t="s">
        <v>77</v>
      </c>
      <c r="O13" s="1564"/>
      <c r="P13" s="167"/>
    </row>
    <row r="14" spans="1:16" ht="13">
      <c r="A14" s="1561"/>
      <c r="B14" s="1565" t="s">
        <v>72</v>
      </c>
      <c r="C14" s="1565"/>
      <c r="D14" s="1565" t="s">
        <v>7</v>
      </c>
      <c r="E14" s="1565"/>
      <c r="F14" s="1565" t="s">
        <v>2</v>
      </c>
      <c r="G14" s="95"/>
      <c r="H14" s="1565" t="s">
        <v>73</v>
      </c>
      <c r="I14" s="1565"/>
      <c r="J14" s="1565" t="s">
        <v>7</v>
      </c>
      <c r="K14" s="1565"/>
      <c r="L14" s="1565" t="s">
        <v>2</v>
      </c>
      <c r="M14" s="95"/>
      <c r="N14" s="243" t="s">
        <v>72</v>
      </c>
      <c r="O14" s="242">
        <v>0.3</v>
      </c>
      <c r="P14" s="167"/>
    </row>
    <row r="15" spans="1:16" ht="14.5">
      <c r="A15" s="1561"/>
      <c r="B15" s="1558" t="s">
        <v>74</v>
      </c>
      <c r="C15" s="1558"/>
      <c r="D15" s="245">
        <v>2018</v>
      </c>
      <c r="E15" s="245">
        <v>2017</v>
      </c>
      <c r="F15" s="1565"/>
      <c r="G15" s="95"/>
      <c r="H15" s="1559" t="s">
        <v>75</v>
      </c>
      <c r="I15" s="1558"/>
      <c r="J15" s="244">
        <f>D15</f>
        <v>2018</v>
      </c>
      <c r="K15" s="244">
        <f>E15</f>
        <v>2017</v>
      </c>
      <c r="L15" s="1565"/>
      <c r="M15" s="95"/>
      <c r="N15" s="243" t="s">
        <v>75</v>
      </c>
      <c r="O15" s="242">
        <v>3.3</v>
      </c>
      <c r="P15" s="167"/>
    </row>
    <row r="16" spans="1:16" ht="13">
      <c r="A16" s="1561"/>
      <c r="B16" s="241"/>
      <c r="C16" s="210">
        <v>15</v>
      </c>
      <c r="D16" s="210">
        <v>0</v>
      </c>
      <c r="E16" s="210">
        <v>0.5</v>
      </c>
      <c r="F16" s="239">
        <f t="shared" ref="F16:F22" si="2">0.5*(MAX(D16:E16)-MIN(D16:E16))</f>
        <v>0.25</v>
      </c>
      <c r="G16" s="95"/>
      <c r="H16" s="241"/>
      <c r="I16" s="210">
        <v>35</v>
      </c>
      <c r="J16" s="210">
        <v>-1.6</v>
      </c>
      <c r="K16" s="210">
        <v>-0.9</v>
      </c>
      <c r="L16" s="239">
        <f t="shared" ref="L16:L22" si="3">0.5*(MAX(J16:K16)-MIN(J16:K16))</f>
        <v>0.35000000000000003</v>
      </c>
      <c r="M16" s="95"/>
      <c r="N16" s="95"/>
      <c r="O16" s="203"/>
      <c r="P16" s="167"/>
    </row>
    <row r="17" spans="1:16" ht="13">
      <c r="A17" s="1561"/>
      <c r="B17" s="241"/>
      <c r="C17" s="210">
        <v>20</v>
      </c>
      <c r="D17" s="210">
        <v>-0.1</v>
      </c>
      <c r="E17" s="210">
        <v>0</v>
      </c>
      <c r="F17" s="239">
        <f t="shared" si="2"/>
        <v>0.05</v>
      </c>
      <c r="G17" s="95"/>
      <c r="H17" s="241"/>
      <c r="I17" s="210">
        <v>40</v>
      </c>
      <c r="J17" s="210">
        <v>-1.6</v>
      </c>
      <c r="K17" s="210">
        <v>-1.1000000000000001</v>
      </c>
      <c r="L17" s="239">
        <f t="shared" si="3"/>
        <v>0.25</v>
      </c>
      <c r="M17" s="95"/>
      <c r="N17" s="95"/>
      <c r="O17" s="203"/>
      <c r="P17" s="167"/>
    </row>
    <row r="18" spans="1:16" ht="13">
      <c r="A18" s="1561"/>
      <c r="B18" s="241"/>
      <c r="C18" s="210">
        <v>25</v>
      </c>
      <c r="D18" s="210">
        <v>-0.2</v>
      </c>
      <c r="E18" s="210">
        <v>-0.5</v>
      </c>
      <c r="F18" s="239">
        <f t="shared" si="2"/>
        <v>0.15</v>
      </c>
      <c r="G18" s="95"/>
      <c r="H18" s="241"/>
      <c r="I18" s="210">
        <v>50</v>
      </c>
      <c r="J18" s="210">
        <v>-1.5</v>
      </c>
      <c r="K18" s="210">
        <v>-1.4</v>
      </c>
      <c r="L18" s="239">
        <f t="shared" si="3"/>
        <v>5.0000000000000044E-2</v>
      </c>
      <c r="M18" s="95"/>
      <c r="N18" s="95"/>
      <c r="O18" s="203"/>
      <c r="P18" s="167"/>
    </row>
    <row r="19" spans="1:16" ht="13">
      <c r="A19" s="1561"/>
      <c r="B19" s="241"/>
      <c r="C19" s="206">
        <v>30</v>
      </c>
      <c r="D19" s="240">
        <v>-0.3</v>
      </c>
      <c r="E19" s="206">
        <v>-1</v>
      </c>
      <c r="F19" s="239">
        <f t="shared" si="2"/>
        <v>0.35</v>
      </c>
      <c r="G19" s="95"/>
      <c r="H19" s="241"/>
      <c r="I19" s="206">
        <v>60</v>
      </c>
      <c r="J19" s="240">
        <v>-1.3</v>
      </c>
      <c r="K19" s="206">
        <v>-1.3</v>
      </c>
      <c r="L19" s="239">
        <f t="shared" si="3"/>
        <v>0</v>
      </c>
      <c r="M19" s="95"/>
      <c r="N19" s="95"/>
      <c r="O19" s="203"/>
      <c r="P19" s="167"/>
    </row>
    <row r="20" spans="1:16" ht="13">
      <c r="A20" s="1561"/>
      <c r="B20" s="241"/>
      <c r="C20" s="206">
        <v>35</v>
      </c>
      <c r="D20" s="240">
        <v>-0.3</v>
      </c>
      <c r="E20" s="206">
        <v>-1.6</v>
      </c>
      <c r="F20" s="239">
        <f t="shared" si="2"/>
        <v>0.65</v>
      </c>
      <c r="G20" s="95"/>
      <c r="H20" s="241"/>
      <c r="I20" s="206">
        <v>70</v>
      </c>
      <c r="J20" s="240">
        <v>-1.1000000000000001</v>
      </c>
      <c r="K20" s="206">
        <v>-1</v>
      </c>
      <c r="L20" s="239">
        <f t="shared" si="3"/>
        <v>5.0000000000000044E-2</v>
      </c>
      <c r="M20" s="95"/>
      <c r="N20" s="95"/>
      <c r="O20" s="203"/>
      <c r="P20" s="167"/>
    </row>
    <row r="21" spans="1:16" ht="13">
      <c r="A21" s="1561"/>
      <c r="B21" s="241"/>
      <c r="C21" s="206">
        <v>37</v>
      </c>
      <c r="D21" s="240">
        <v>-0.3</v>
      </c>
      <c r="E21" s="206">
        <v>-1.8</v>
      </c>
      <c r="F21" s="239">
        <f t="shared" si="2"/>
        <v>0.75</v>
      </c>
      <c r="G21" s="95"/>
      <c r="H21" s="241"/>
      <c r="I21" s="206">
        <v>80</v>
      </c>
      <c r="J21" s="240">
        <v>-0.7</v>
      </c>
      <c r="K21" s="206">
        <v>-0.4</v>
      </c>
      <c r="L21" s="239">
        <f t="shared" si="3"/>
        <v>0.14999999999999997</v>
      </c>
      <c r="M21" s="95"/>
      <c r="N21" s="95"/>
      <c r="O21" s="203"/>
      <c r="P21" s="167"/>
    </row>
    <row r="22" spans="1:16" ht="13.5" thickBot="1">
      <c r="A22" s="1562"/>
      <c r="B22" s="241"/>
      <c r="C22" s="206">
        <v>40</v>
      </c>
      <c r="D22" s="240">
        <v>-0.3</v>
      </c>
      <c r="E22" s="206">
        <v>-2.1</v>
      </c>
      <c r="F22" s="239">
        <f t="shared" si="2"/>
        <v>0.9</v>
      </c>
      <c r="G22" s="197"/>
      <c r="H22" s="241"/>
      <c r="I22" s="206">
        <v>90</v>
      </c>
      <c r="J22" s="240">
        <v>-0.3</v>
      </c>
      <c r="K22" s="206">
        <v>0.6</v>
      </c>
      <c r="L22" s="239">
        <f t="shared" si="3"/>
        <v>0.44999999999999996</v>
      </c>
      <c r="M22" s="197"/>
      <c r="N22" s="197"/>
      <c r="O22" s="196"/>
      <c r="P22" s="167"/>
    </row>
    <row r="23" spans="1:16" ht="13.5" thickBot="1">
      <c r="A23" s="208"/>
      <c r="B23" s="208"/>
      <c r="C23" s="95"/>
      <c r="D23" s="95"/>
      <c r="E23" s="95"/>
      <c r="F23" s="95"/>
      <c r="G23" s="95"/>
      <c r="H23" s="95"/>
      <c r="I23" s="95"/>
      <c r="J23" s="95"/>
      <c r="K23" s="95"/>
      <c r="L23" s="95"/>
      <c r="M23" s="95"/>
      <c r="N23" s="95"/>
      <c r="O23" s="203"/>
      <c r="P23" s="167"/>
    </row>
    <row r="24" spans="1:16" ht="13">
      <c r="A24" s="1560">
        <v>3</v>
      </c>
      <c r="B24" s="1563" t="s">
        <v>78</v>
      </c>
      <c r="C24" s="1563"/>
      <c r="D24" s="1563"/>
      <c r="E24" s="1563"/>
      <c r="F24" s="1563"/>
      <c r="G24" s="223"/>
      <c r="H24" s="1563" t="str">
        <f>B24</f>
        <v>KOREKSI KIMO THERMOHYGROMETER 14082463</v>
      </c>
      <c r="I24" s="1563"/>
      <c r="J24" s="1563"/>
      <c r="K24" s="1563"/>
      <c r="L24" s="1563"/>
      <c r="M24" s="223"/>
      <c r="N24" s="1564" t="s">
        <v>77</v>
      </c>
      <c r="O24" s="1564"/>
      <c r="P24" s="167"/>
    </row>
    <row r="25" spans="1:16" ht="13">
      <c r="A25" s="1561"/>
      <c r="B25" s="1565" t="s">
        <v>72</v>
      </c>
      <c r="C25" s="1565"/>
      <c r="D25" s="1565" t="s">
        <v>7</v>
      </c>
      <c r="E25" s="1565"/>
      <c r="F25" s="1565" t="s">
        <v>2</v>
      </c>
      <c r="G25" s="95"/>
      <c r="H25" s="1565" t="s">
        <v>73</v>
      </c>
      <c r="I25" s="1565"/>
      <c r="J25" s="1565" t="s">
        <v>7</v>
      </c>
      <c r="K25" s="1565"/>
      <c r="L25" s="1565" t="s">
        <v>2</v>
      </c>
      <c r="M25" s="95"/>
      <c r="N25" s="243" t="s">
        <v>72</v>
      </c>
      <c r="O25" s="242">
        <v>0.3</v>
      </c>
      <c r="P25" s="167"/>
    </row>
    <row r="26" spans="1:16" ht="14.5">
      <c r="A26" s="1561"/>
      <c r="B26" s="1558" t="s">
        <v>74</v>
      </c>
      <c r="C26" s="1558"/>
      <c r="D26" s="245">
        <v>2018</v>
      </c>
      <c r="E26" s="245">
        <v>2017</v>
      </c>
      <c r="F26" s="1565"/>
      <c r="G26" s="95"/>
      <c r="H26" s="1559" t="s">
        <v>75</v>
      </c>
      <c r="I26" s="1558"/>
      <c r="J26" s="244">
        <f>D26</f>
        <v>2018</v>
      </c>
      <c r="K26" s="244">
        <f>E26</f>
        <v>2017</v>
      </c>
      <c r="L26" s="1565"/>
      <c r="M26" s="95"/>
      <c r="N26" s="243" t="s">
        <v>75</v>
      </c>
      <c r="O26" s="242">
        <v>3.1</v>
      </c>
      <c r="P26" s="167"/>
    </row>
    <row r="27" spans="1:16" ht="13">
      <c r="A27" s="1561"/>
      <c r="B27" s="241"/>
      <c r="C27" s="210">
        <v>15</v>
      </c>
      <c r="D27" s="210">
        <v>0</v>
      </c>
      <c r="E27" s="210">
        <v>0.2</v>
      </c>
      <c r="F27" s="239">
        <f t="shared" ref="F27:F33" si="4">0.5*(MAX(D27:E27)-MIN(D27:E27))</f>
        <v>0.1</v>
      </c>
      <c r="G27" s="95"/>
      <c r="H27" s="241"/>
      <c r="I27" s="210">
        <v>30</v>
      </c>
      <c r="J27" s="210">
        <v>-5.7</v>
      </c>
      <c r="K27" s="210">
        <v>-1.1000000000000001</v>
      </c>
      <c r="L27" s="239">
        <f t="shared" ref="L27:L33" si="5">0.5*(MAX(J27:K27)-MIN(J27:K27))</f>
        <v>2.2999999999999998</v>
      </c>
      <c r="M27" s="95"/>
      <c r="N27" s="95"/>
      <c r="O27" s="203"/>
      <c r="P27" s="167"/>
    </row>
    <row r="28" spans="1:16" ht="13">
      <c r="A28" s="1561"/>
      <c r="B28" s="241"/>
      <c r="C28" s="210">
        <v>20</v>
      </c>
      <c r="D28" s="210">
        <v>0</v>
      </c>
      <c r="E28" s="210">
        <v>0</v>
      </c>
      <c r="F28" s="239">
        <f t="shared" si="4"/>
        <v>0</v>
      </c>
      <c r="G28" s="95"/>
      <c r="H28" s="241"/>
      <c r="I28" s="210">
        <v>40</v>
      </c>
      <c r="J28" s="210">
        <v>-5.3</v>
      </c>
      <c r="K28" s="210">
        <v>-1.9</v>
      </c>
      <c r="L28" s="239">
        <f t="shared" si="5"/>
        <v>1.7</v>
      </c>
      <c r="M28" s="95"/>
      <c r="N28" s="95"/>
      <c r="O28" s="203"/>
      <c r="P28" s="167"/>
    </row>
    <row r="29" spans="1:16" ht="13">
      <c r="A29" s="1561"/>
      <c r="B29" s="241"/>
      <c r="C29" s="210">
        <v>25</v>
      </c>
      <c r="D29" s="210">
        <v>-0.1</v>
      </c>
      <c r="E29" s="210">
        <v>-0.2</v>
      </c>
      <c r="F29" s="239">
        <f t="shared" si="4"/>
        <v>0.05</v>
      </c>
      <c r="G29" s="95"/>
      <c r="H29" s="241"/>
      <c r="I29" s="210">
        <v>50</v>
      </c>
      <c r="J29" s="210">
        <v>-4.9000000000000004</v>
      </c>
      <c r="K29" s="210">
        <v>-2.2999999999999998</v>
      </c>
      <c r="L29" s="239">
        <f t="shared" si="5"/>
        <v>1.3000000000000003</v>
      </c>
      <c r="M29" s="95"/>
      <c r="N29" s="95"/>
      <c r="O29" s="203"/>
      <c r="P29" s="167"/>
    </row>
    <row r="30" spans="1:16" ht="13">
      <c r="A30" s="1561"/>
      <c r="B30" s="241"/>
      <c r="C30" s="206">
        <v>30</v>
      </c>
      <c r="D30" s="240">
        <v>-0.3</v>
      </c>
      <c r="E30" s="206">
        <v>-0.3</v>
      </c>
      <c r="F30" s="239">
        <f t="shared" si="4"/>
        <v>0</v>
      </c>
      <c r="G30" s="95"/>
      <c r="H30" s="241"/>
      <c r="I30" s="206">
        <v>60</v>
      </c>
      <c r="J30" s="240">
        <v>-4.3</v>
      </c>
      <c r="K30" s="206">
        <v>-2.2000000000000002</v>
      </c>
      <c r="L30" s="239">
        <f t="shared" si="5"/>
        <v>1.0499999999999998</v>
      </c>
      <c r="M30" s="95"/>
      <c r="N30" s="95"/>
      <c r="O30" s="203"/>
      <c r="P30" s="167"/>
    </row>
    <row r="31" spans="1:16" ht="13">
      <c r="A31" s="1561"/>
      <c r="B31" s="241"/>
      <c r="C31" s="206">
        <v>35</v>
      </c>
      <c r="D31" s="240">
        <v>-0.5</v>
      </c>
      <c r="E31" s="206">
        <v>-0.4</v>
      </c>
      <c r="F31" s="239">
        <f t="shared" si="4"/>
        <v>4.9999999999999989E-2</v>
      </c>
      <c r="G31" s="95"/>
      <c r="H31" s="241"/>
      <c r="I31" s="206">
        <v>70</v>
      </c>
      <c r="J31" s="240">
        <v>-3.6</v>
      </c>
      <c r="K31" s="206">
        <v>-1.6</v>
      </c>
      <c r="L31" s="239">
        <f t="shared" si="5"/>
        <v>1</v>
      </c>
      <c r="M31" s="95"/>
      <c r="N31" s="95"/>
      <c r="O31" s="203"/>
      <c r="P31" s="167"/>
    </row>
    <row r="32" spans="1:16" ht="13">
      <c r="A32" s="1561"/>
      <c r="B32" s="241"/>
      <c r="C32" s="206">
        <v>37</v>
      </c>
      <c r="D32" s="240">
        <v>-0.6</v>
      </c>
      <c r="E32" s="206">
        <v>-0.5</v>
      </c>
      <c r="F32" s="239">
        <f t="shared" si="4"/>
        <v>4.9999999999999989E-2</v>
      </c>
      <c r="G32" s="95"/>
      <c r="H32" s="241"/>
      <c r="I32" s="206">
        <v>80</v>
      </c>
      <c r="J32" s="240">
        <v>-2.9</v>
      </c>
      <c r="K32" s="206">
        <v>-0.6</v>
      </c>
      <c r="L32" s="239">
        <f t="shared" si="5"/>
        <v>1.1499999999999999</v>
      </c>
      <c r="M32" s="95"/>
      <c r="N32" s="95"/>
      <c r="O32" s="203"/>
      <c r="P32" s="167"/>
    </row>
    <row r="33" spans="1:16" ht="13.5" thickBot="1">
      <c r="A33" s="1562"/>
      <c r="B33" s="241"/>
      <c r="C33" s="206">
        <v>40</v>
      </c>
      <c r="D33" s="240">
        <v>-0.7</v>
      </c>
      <c r="E33" s="206">
        <v>-0.5</v>
      </c>
      <c r="F33" s="239">
        <f t="shared" si="4"/>
        <v>9.9999999999999978E-2</v>
      </c>
      <c r="G33" s="197"/>
      <c r="H33" s="241"/>
      <c r="I33" s="206">
        <v>90</v>
      </c>
      <c r="J33" s="240">
        <v>-2</v>
      </c>
      <c r="K33" s="206">
        <v>0.9</v>
      </c>
      <c r="L33" s="239">
        <f t="shared" si="5"/>
        <v>1.45</v>
      </c>
      <c r="M33" s="197"/>
      <c r="N33" s="197"/>
      <c r="O33" s="196"/>
      <c r="P33" s="167"/>
    </row>
    <row r="34" spans="1:16" ht="13.5" thickBot="1">
      <c r="A34" s="208"/>
      <c r="B34" s="208"/>
      <c r="C34" s="95"/>
      <c r="D34" s="95"/>
      <c r="E34" s="95"/>
      <c r="F34" s="95"/>
      <c r="G34" s="95"/>
      <c r="H34" s="238"/>
      <c r="I34" s="95"/>
      <c r="J34" s="95"/>
      <c r="K34" s="95"/>
      <c r="L34" s="95"/>
      <c r="M34" s="95"/>
      <c r="N34" s="95"/>
      <c r="O34" s="203"/>
      <c r="P34" s="167"/>
    </row>
    <row r="35" spans="1:16" ht="13.5" thickBot="1">
      <c r="A35" s="1543">
        <v>4</v>
      </c>
      <c r="B35" s="1546" t="s">
        <v>79</v>
      </c>
      <c r="C35" s="1547"/>
      <c r="D35" s="1547"/>
      <c r="E35" s="1547"/>
      <c r="F35" s="1548"/>
      <c r="G35" s="223"/>
      <c r="H35" s="1546" t="str">
        <f>B35</f>
        <v>KOREKSI KIMO THERMOHYGROMETER 15062872</v>
      </c>
      <c r="I35" s="1547"/>
      <c r="J35" s="1547"/>
      <c r="K35" s="1547"/>
      <c r="L35" s="1548"/>
      <c r="M35" s="223"/>
      <c r="N35" s="1553" t="s">
        <v>77</v>
      </c>
      <c r="O35" s="1554"/>
      <c r="P35" s="167"/>
    </row>
    <row r="36" spans="1:16" ht="13.5" thickBot="1">
      <c r="A36" s="1544"/>
      <c r="B36" s="1549" t="s">
        <v>72</v>
      </c>
      <c r="C36" s="1550"/>
      <c r="D36" s="1551" t="s">
        <v>7</v>
      </c>
      <c r="E36" s="1552"/>
      <c r="F36" s="1530" t="s">
        <v>2</v>
      </c>
      <c r="G36" s="95"/>
      <c r="H36" s="1549" t="s">
        <v>73</v>
      </c>
      <c r="I36" s="1550"/>
      <c r="J36" s="1551" t="s">
        <v>7</v>
      </c>
      <c r="K36" s="1552"/>
      <c r="L36" s="1530" t="s">
        <v>2</v>
      </c>
      <c r="M36" s="95"/>
      <c r="N36" s="222" t="s">
        <v>72</v>
      </c>
      <c r="O36" s="237">
        <v>0.6</v>
      </c>
      <c r="P36" s="167"/>
    </row>
    <row r="37" spans="1:16" ht="15" thickBot="1">
      <c r="A37" s="1544"/>
      <c r="B37" s="1532" t="s">
        <v>74</v>
      </c>
      <c r="C37" s="1533"/>
      <c r="D37" s="220">
        <v>2017</v>
      </c>
      <c r="E37" s="220">
        <v>2015</v>
      </c>
      <c r="F37" s="1531"/>
      <c r="G37" s="95"/>
      <c r="H37" s="1534" t="s">
        <v>75</v>
      </c>
      <c r="I37" s="1535"/>
      <c r="J37" s="218">
        <f>D37</f>
        <v>2017</v>
      </c>
      <c r="K37" s="218">
        <f>E37</f>
        <v>2015</v>
      </c>
      <c r="L37" s="1531"/>
      <c r="M37" s="95"/>
      <c r="N37" s="217" t="s">
        <v>75</v>
      </c>
      <c r="O37" s="236">
        <v>2.6</v>
      </c>
      <c r="P37" s="167"/>
    </row>
    <row r="38" spans="1:16" ht="13">
      <c r="A38" s="1544"/>
      <c r="B38" s="95"/>
      <c r="C38" s="215">
        <v>15</v>
      </c>
      <c r="D38" s="214">
        <v>-0.1</v>
      </c>
      <c r="E38" s="214">
        <v>0.4</v>
      </c>
      <c r="F38" s="212">
        <f t="shared" ref="F38:F44" si="6">0.5*(MAX(D38:E38)-MIN(D38:E38))</f>
        <v>0.25</v>
      </c>
      <c r="G38" s="95"/>
      <c r="H38" s="208"/>
      <c r="I38" s="215">
        <v>35</v>
      </c>
      <c r="J38" s="214">
        <v>-1.7</v>
      </c>
      <c r="K38" s="214">
        <v>-0.8</v>
      </c>
      <c r="L38" s="212">
        <f t="shared" ref="L38:L44" si="7">0.5*(MAX(J38:K38)-MIN(J38:K38))</f>
        <v>0.44999999999999996</v>
      </c>
      <c r="M38" s="95"/>
      <c r="N38" s="95"/>
      <c r="O38" s="203"/>
      <c r="P38" s="167"/>
    </row>
    <row r="39" spans="1:16" ht="13">
      <c r="A39" s="1544"/>
      <c r="B39" s="95"/>
      <c r="C39" s="211">
        <v>20</v>
      </c>
      <c r="D39" s="210">
        <v>-0.3</v>
      </c>
      <c r="E39" s="210">
        <v>0</v>
      </c>
      <c r="F39" s="204">
        <f t="shared" si="6"/>
        <v>0.15</v>
      </c>
      <c r="G39" s="95"/>
      <c r="H39" s="208"/>
      <c r="I39" s="211">
        <v>40</v>
      </c>
      <c r="J39" s="210">
        <v>-1.5</v>
      </c>
      <c r="K39" s="210">
        <v>-0.9</v>
      </c>
      <c r="L39" s="204">
        <f t="shared" si="7"/>
        <v>0.3</v>
      </c>
      <c r="M39" s="95"/>
      <c r="N39" s="95"/>
      <c r="O39" s="203"/>
      <c r="P39" s="167"/>
    </row>
    <row r="40" spans="1:16" ht="13">
      <c r="A40" s="1544"/>
      <c r="B40" s="95"/>
      <c r="C40" s="211">
        <v>25</v>
      </c>
      <c r="D40" s="210">
        <v>-0.5</v>
      </c>
      <c r="E40" s="210">
        <v>-0.5</v>
      </c>
      <c r="F40" s="204">
        <f t="shared" si="6"/>
        <v>0</v>
      </c>
      <c r="G40" s="95"/>
      <c r="H40" s="208"/>
      <c r="I40" s="211">
        <v>50</v>
      </c>
      <c r="J40" s="210">
        <v>-1</v>
      </c>
      <c r="K40" s="210">
        <v>-1</v>
      </c>
      <c r="L40" s="204">
        <f t="shared" si="7"/>
        <v>0</v>
      </c>
      <c r="M40" s="95"/>
      <c r="N40" s="95"/>
      <c r="O40" s="203"/>
      <c r="P40" s="167"/>
    </row>
    <row r="41" spans="1:16" ht="13">
      <c r="A41" s="1544"/>
      <c r="B41" s="95"/>
      <c r="C41" s="207">
        <v>30</v>
      </c>
      <c r="D41" s="205">
        <v>-0.6</v>
      </c>
      <c r="E41" s="206">
        <v>-1</v>
      </c>
      <c r="F41" s="204">
        <f t="shared" si="6"/>
        <v>0.2</v>
      </c>
      <c r="G41" s="95"/>
      <c r="H41" s="208"/>
      <c r="I41" s="207">
        <v>60</v>
      </c>
      <c r="J41" s="205">
        <v>-0.3</v>
      </c>
      <c r="K41" s="206">
        <v>-0.9</v>
      </c>
      <c r="L41" s="204">
        <f t="shared" si="7"/>
        <v>0.30000000000000004</v>
      </c>
      <c r="M41" s="95"/>
      <c r="N41" s="95"/>
      <c r="O41" s="203"/>
      <c r="P41" s="167"/>
    </row>
    <row r="42" spans="1:16" ht="13">
      <c r="A42" s="1544"/>
      <c r="B42" s="95"/>
      <c r="C42" s="207">
        <v>35</v>
      </c>
      <c r="D42" s="205">
        <v>-0.6</v>
      </c>
      <c r="E42" s="206">
        <v>-1.5</v>
      </c>
      <c r="F42" s="204">
        <f t="shared" si="6"/>
        <v>0.45</v>
      </c>
      <c r="G42" s="95"/>
      <c r="H42" s="208"/>
      <c r="I42" s="207">
        <v>70</v>
      </c>
      <c r="J42" s="205">
        <v>0.7</v>
      </c>
      <c r="K42" s="206">
        <v>-0.7</v>
      </c>
      <c r="L42" s="204">
        <f t="shared" si="7"/>
        <v>0.7</v>
      </c>
      <c r="M42" s="95"/>
      <c r="N42" s="95"/>
      <c r="O42" s="203"/>
      <c r="P42" s="167"/>
    </row>
    <row r="43" spans="1:16" ht="13">
      <c r="A43" s="1544"/>
      <c r="B43" s="95"/>
      <c r="C43" s="207">
        <v>37</v>
      </c>
      <c r="D43" s="205">
        <v>-0.6</v>
      </c>
      <c r="E43" s="206">
        <v>-1.8</v>
      </c>
      <c r="F43" s="204">
        <f t="shared" si="6"/>
        <v>0.60000000000000009</v>
      </c>
      <c r="G43" s="95"/>
      <c r="H43" s="208"/>
      <c r="I43" s="207">
        <v>80</v>
      </c>
      <c r="J43" s="205">
        <v>1.9</v>
      </c>
      <c r="K43" s="206">
        <v>-0.4</v>
      </c>
      <c r="L43" s="204">
        <f t="shared" si="7"/>
        <v>1.1499999999999999</v>
      </c>
      <c r="M43" s="95"/>
      <c r="N43" s="95"/>
      <c r="O43" s="203"/>
      <c r="P43" s="167"/>
    </row>
    <row r="44" spans="1:16" ht="13.5" thickBot="1">
      <c r="A44" s="1545"/>
      <c r="B44" s="197"/>
      <c r="C44" s="201">
        <v>40</v>
      </c>
      <c r="D44" s="205">
        <v>-0.6</v>
      </c>
      <c r="E44" s="200">
        <v>-2.1</v>
      </c>
      <c r="F44" s="198">
        <f t="shared" si="6"/>
        <v>0.75</v>
      </c>
      <c r="G44" s="197"/>
      <c r="H44" s="202"/>
      <c r="I44" s="201">
        <v>90</v>
      </c>
      <c r="J44" s="199">
        <v>3.3</v>
      </c>
      <c r="K44" s="200">
        <v>0.2</v>
      </c>
      <c r="L44" s="198">
        <f t="shared" si="7"/>
        <v>1.5499999999999998</v>
      </c>
      <c r="M44" s="197"/>
      <c r="N44" s="197"/>
      <c r="O44" s="196"/>
      <c r="P44" s="167"/>
    </row>
    <row r="45" spans="1:16" ht="13.5" thickBot="1">
      <c r="A45" s="208"/>
      <c r="B45" s="208"/>
      <c r="C45" s="95"/>
      <c r="D45" s="95"/>
      <c r="E45" s="95"/>
      <c r="F45" s="95"/>
      <c r="G45" s="95"/>
      <c r="H45" s="95"/>
      <c r="I45" s="95"/>
      <c r="J45" s="95"/>
      <c r="K45" s="95"/>
      <c r="L45" s="95"/>
      <c r="M45" s="95"/>
      <c r="N45" s="95"/>
      <c r="O45" s="203"/>
      <c r="P45" s="167"/>
    </row>
    <row r="46" spans="1:16" ht="13.5" thickBot="1">
      <c r="A46" s="1543">
        <v>5</v>
      </c>
      <c r="B46" s="1546" t="s">
        <v>80</v>
      </c>
      <c r="C46" s="1547"/>
      <c r="D46" s="1547"/>
      <c r="E46" s="1547"/>
      <c r="F46" s="1548"/>
      <c r="G46" s="223"/>
      <c r="H46" s="1546" t="str">
        <f>B46</f>
        <v>KOREKSI KIMO THERMOHYGROMETER 15062875</v>
      </c>
      <c r="I46" s="1547"/>
      <c r="J46" s="1547"/>
      <c r="K46" s="1547"/>
      <c r="L46" s="1548"/>
      <c r="M46" s="223"/>
      <c r="N46" s="1553" t="s">
        <v>77</v>
      </c>
      <c r="O46" s="1554"/>
      <c r="P46" s="167"/>
    </row>
    <row r="47" spans="1:16" ht="13.5" thickBot="1">
      <c r="A47" s="1544"/>
      <c r="B47" s="1549" t="s">
        <v>72</v>
      </c>
      <c r="C47" s="1550"/>
      <c r="D47" s="1551" t="s">
        <v>7</v>
      </c>
      <c r="E47" s="1552"/>
      <c r="F47" s="1530" t="s">
        <v>2</v>
      </c>
      <c r="G47" s="95"/>
      <c r="H47" s="1549" t="s">
        <v>73</v>
      </c>
      <c r="I47" s="1550"/>
      <c r="J47" s="1551" t="s">
        <v>7</v>
      </c>
      <c r="K47" s="1552"/>
      <c r="L47" s="1530" t="s">
        <v>2</v>
      </c>
      <c r="M47" s="95"/>
      <c r="N47" s="222" t="s">
        <v>72</v>
      </c>
      <c r="O47" s="237">
        <v>0.3</v>
      </c>
      <c r="P47" s="167"/>
    </row>
    <row r="48" spans="1:16" ht="15" thickBot="1">
      <c r="A48" s="1544"/>
      <c r="B48" s="1532" t="s">
        <v>74</v>
      </c>
      <c r="C48" s="1533"/>
      <c r="D48" s="220">
        <v>2017</v>
      </c>
      <c r="E48" s="220">
        <v>2015</v>
      </c>
      <c r="F48" s="1531"/>
      <c r="G48" s="95"/>
      <c r="H48" s="1534" t="s">
        <v>75</v>
      </c>
      <c r="I48" s="1535"/>
      <c r="J48" s="218">
        <f>D48</f>
        <v>2017</v>
      </c>
      <c r="K48" s="218">
        <f>E48</f>
        <v>2015</v>
      </c>
      <c r="L48" s="1531"/>
      <c r="M48" s="95"/>
      <c r="N48" s="217" t="s">
        <v>75</v>
      </c>
      <c r="O48" s="236">
        <v>3.2</v>
      </c>
      <c r="P48" s="167"/>
    </row>
    <row r="49" spans="1:16" ht="13">
      <c r="A49" s="1544"/>
      <c r="B49" s="95"/>
      <c r="C49" s="215">
        <v>15</v>
      </c>
      <c r="D49" s="214">
        <v>0.3</v>
      </c>
      <c r="E49" s="214">
        <v>0.4</v>
      </c>
      <c r="F49" s="212">
        <f t="shared" ref="F49:F55" si="8">0.5*(MAX(D49:E49)-MIN(D49:E49))</f>
        <v>5.0000000000000017E-2</v>
      </c>
      <c r="G49" s="95"/>
      <c r="H49" s="208"/>
      <c r="I49" s="215">
        <v>35</v>
      </c>
      <c r="J49" s="214">
        <v>-9.6</v>
      </c>
      <c r="K49" s="214">
        <v>-1.6</v>
      </c>
      <c r="L49" s="212">
        <f t="shared" ref="L49:L55" si="9">0.5*(MAX(J49:K49)-MIN(J49:K49))</f>
        <v>4</v>
      </c>
      <c r="M49" s="95"/>
      <c r="N49" s="95"/>
      <c r="O49" s="203"/>
      <c r="P49" s="167"/>
    </row>
    <row r="50" spans="1:16" ht="13">
      <c r="A50" s="1544"/>
      <c r="B50" s="95"/>
      <c r="C50" s="211">
        <v>20</v>
      </c>
      <c r="D50" s="210">
        <v>0.3</v>
      </c>
      <c r="E50" s="210">
        <v>0</v>
      </c>
      <c r="F50" s="204">
        <f t="shared" si="8"/>
        <v>0.15</v>
      </c>
      <c r="G50" s="95"/>
      <c r="H50" s="208"/>
      <c r="I50" s="211">
        <v>40</v>
      </c>
      <c r="J50" s="210">
        <v>-8</v>
      </c>
      <c r="K50" s="210">
        <v>-1.8</v>
      </c>
      <c r="L50" s="204">
        <f t="shared" si="9"/>
        <v>3.1</v>
      </c>
      <c r="M50" s="95"/>
      <c r="N50" s="95"/>
      <c r="O50" s="203"/>
      <c r="P50" s="167"/>
    </row>
    <row r="51" spans="1:16" ht="13">
      <c r="A51" s="1544"/>
      <c r="B51" s="95"/>
      <c r="C51" s="211">
        <v>25</v>
      </c>
      <c r="D51" s="210">
        <v>0.2</v>
      </c>
      <c r="E51" s="210">
        <v>-0.3</v>
      </c>
      <c r="F51" s="204">
        <f t="shared" si="8"/>
        <v>0.25</v>
      </c>
      <c r="G51" s="95"/>
      <c r="H51" s="208"/>
      <c r="I51" s="211">
        <v>50</v>
      </c>
      <c r="J51" s="210">
        <v>-6.2</v>
      </c>
      <c r="K51" s="210">
        <v>-2.1</v>
      </c>
      <c r="L51" s="204">
        <f t="shared" si="9"/>
        <v>2.0499999999999998</v>
      </c>
      <c r="M51" s="95"/>
      <c r="N51" s="95"/>
      <c r="O51" s="203"/>
      <c r="P51" s="167"/>
    </row>
    <row r="52" spans="1:16" ht="13">
      <c r="A52" s="1544"/>
      <c r="B52" s="95"/>
      <c r="C52" s="207">
        <v>30</v>
      </c>
      <c r="D52" s="205">
        <v>0.1</v>
      </c>
      <c r="E52" s="206">
        <v>-0.7</v>
      </c>
      <c r="F52" s="204">
        <f t="shared" si="8"/>
        <v>0.39999999999999997</v>
      </c>
      <c r="G52" s="95"/>
      <c r="H52" s="208"/>
      <c r="I52" s="207">
        <v>60</v>
      </c>
      <c r="J52" s="205">
        <v>-4.2</v>
      </c>
      <c r="K52" s="206">
        <v>-2</v>
      </c>
      <c r="L52" s="204">
        <f t="shared" si="9"/>
        <v>1.1000000000000001</v>
      </c>
      <c r="M52" s="95"/>
      <c r="N52" s="95"/>
      <c r="O52" s="203"/>
      <c r="P52" s="167"/>
    </row>
    <row r="53" spans="1:16" ht="13">
      <c r="A53" s="1544"/>
      <c r="B53" s="95"/>
      <c r="C53" s="207">
        <v>35</v>
      </c>
      <c r="D53" s="205">
        <v>0</v>
      </c>
      <c r="E53" s="206">
        <v>-1.1000000000000001</v>
      </c>
      <c r="F53" s="204">
        <f t="shared" si="8"/>
        <v>0.55000000000000004</v>
      </c>
      <c r="G53" s="95"/>
      <c r="H53" s="208"/>
      <c r="I53" s="207">
        <v>70</v>
      </c>
      <c r="J53" s="205">
        <v>-2.1</v>
      </c>
      <c r="K53" s="206">
        <v>-1.6</v>
      </c>
      <c r="L53" s="204">
        <f t="shared" si="9"/>
        <v>0.25</v>
      </c>
      <c r="M53" s="95"/>
      <c r="N53" s="95"/>
      <c r="O53" s="203"/>
      <c r="P53" s="167"/>
    </row>
    <row r="54" spans="1:16" ht="13">
      <c r="A54" s="1544"/>
      <c r="B54" s="95"/>
      <c r="C54" s="207">
        <v>37</v>
      </c>
      <c r="D54" s="205">
        <v>0</v>
      </c>
      <c r="E54" s="206">
        <v>-1.2</v>
      </c>
      <c r="F54" s="204">
        <f t="shared" si="8"/>
        <v>0.6</v>
      </c>
      <c r="G54" s="95"/>
      <c r="H54" s="208"/>
      <c r="I54" s="207">
        <v>80</v>
      </c>
      <c r="J54" s="205">
        <v>0.2</v>
      </c>
      <c r="K54" s="206">
        <v>-0.9</v>
      </c>
      <c r="L54" s="204">
        <f t="shared" si="9"/>
        <v>0.55000000000000004</v>
      </c>
      <c r="M54" s="95"/>
      <c r="N54" s="95"/>
      <c r="O54" s="203"/>
      <c r="P54" s="167"/>
    </row>
    <row r="55" spans="1:16" ht="13.5" thickBot="1">
      <c r="A55" s="1545"/>
      <c r="B55" s="197"/>
      <c r="C55" s="201">
        <v>40</v>
      </c>
      <c r="D55" s="199">
        <v>-0.1</v>
      </c>
      <c r="E55" s="200">
        <v>-1.5</v>
      </c>
      <c r="F55" s="198">
        <f t="shared" si="8"/>
        <v>0.7</v>
      </c>
      <c r="G55" s="197"/>
      <c r="H55" s="202"/>
      <c r="I55" s="201">
        <v>90</v>
      </c>
      <c r="J55" s="199">
        <v>2.7</v>
      </c>
      <c r="K55" s="200">
        <v>0.2</v>
      </c>
      <c r="L55" s="198">
        <f t="shared" si="9"/>
        <v>1.25</v>
      </c>
      <c r="M55" s="197"/>
      <c r="N55" s="197"/>
      <c r="O55" s="196"/>
      <c r="P55" s="167"/>
    </row>
    <row r="56" spans="1:16" ht="13.5" thickBot="1">
      <c r="A56" s="228"/>
      <c r="B56" s="226"/>
      <c r="C56" s="226"/>
      <c r="D56" s="226"/>
      <c r="E56" s="225"/>
      <c r="F56" s="235"/>
      <c r="G56" s="227"/>
      <c r="H56" s="226"/>
      <c r="I56" s="226"/>
      <c r="J56" s="226"/>
      <c r="K56" s="225"/>
      <c r="L56" s="235"/>
      <c r="M56" s="95"/>
      <c r="N56" s="95"/>
      <c r="O56" s="203"/>
      <c r="P56" s="167"/>
    </row>
    <row r="57" spans="1:16" ht="13.5" thickBot="1">
      <c r="A57" s="1543">
        <v>6</v>
      </c>
      <c r="B57" s="1546" t="s">
        <v>81</v>
      </c>
      <c r="C57" s="1547"/>
      <c r="D57" s="1547"/>
      <c r="E57" s="1547"/>
      <c r="F57" s="1548"/>
      <c r="G57" s="223"/>
      <c r="H57" s="1546" t="str">
        <f>B57</f>
        <v>KOREKSI GREISINGER 34903046</v>
      </c>
      <c r="I57" s="1547"/>
      <c r="J57" s="1547"/>
      <c r="K57" s="1547"/>
      <c r="L57" s="1548"/>
      <c r="M57" s="223"/>
      <c r="N57" s="1553" t="s">
        <v>77</v>
      </c>
      <c r="O57" s="1554"/>
      <c r="P57" s="167"/>
    </row>
    <row r="58" spans="1:16" ht="13.5" thickBot="1">
      <c r="A58" s="1544"/>
      <c r="B58" s="1549" t="s">
        <v>72</v>
      </c>
      <c r="C58" s="1550"/>
      <c r="D58" s="1551" t="s">
        <v>7</v>
      </c>
      <c r="E58" s="1552"/>
      <c r="F58" s="1530" t="s">
        <v>2</v>
      </c>
      <c r="G58" s="95"/>
      <c r="H58" s="1549" t="s">
        <v>73</v>
      </c>
      <c r="I58" s="1550"/>
      <c r="J58" s="1551" t="s">
        <v>7</v>
      </c>
      <c r="K58" s="1552"/>
      <c r="L58" s="1530" t="s">
        <v>2</v>
      </c>
      <c r="M58" s="95"/>
      <c r="N58" s="222" t="s">
        <v>72</v>
      </c>
      <c r="O58" s="237">
        <v>0.5</v>
      </c>
      <c r="P58" s="167"/>
    </row>
    <row r="59" spans="1:16" ht="15" thickBot="1">
      <c r="A59" s="1544"/>
      <c r="B59" s="1532" t="s">
        <v>74</v>
      </c>
      <c r="C59" s="1533"/>
      <c r="D59" s="220">
        <v>2018</v>
      </c>
      <c r="E59" s="220">
        <v>2017</v>
      </c>
      <c r="F59" s="1531"/>
      <c r="G59" s="95"/>
      <c r="H59" s="1534" t="s">
        <v>75</v>
      </c>
      <c r="I59" s="1535"/>
      <c r="J59" s="218">
        <f>D59</f>
        <v>2018</v>
      </c>
      <c r="K59" s="218">
        <f>E59</f>
        <v>2017</v>
      </c>
      <c r="L59" s="1531"/>
      <c r="M59" s="95"/>
      <c r="N59" s="217" t="s">
        <v>75</v>
      </c>
      <c r="O59" s="216">
        <v>2</v>
      </c>
      <c r="P59" s="167"/>
    </row>
    <row r="60" spans="1:16" ht="13">
      <c r="A60" s="1544"/>
      <c r="B60" s="95"/>
      <c r="C60" s="215">
        <v>15</v>
      </c>
      <c r="D60" s="214">
        <v>0.4</v>
      </c>
      <c r="E60" s="214">
        <v>-0.2</v>
      </c>
      <c r="F60" s="212">
        <f t="shared" ref="F60:F66" si="10">0.5*(MAX(D60:E60)-MIN(D60:E60))</f>
        <v>0.30000000000000004</v>
      </c>
      <c r="G60" s="95"/>
      <c r="H60" s="208"/>
      <c r="I60" s="215">
        <v>30</v>
      </c>
      <c r="J60" s="214">
        <v>1.7</v>
      </c>
      <c r="K60" s="214">
        <v>-4.9000000000000004</v>
      </c>
      <c r="L60" s="212">
        <f t="shared" ref="L60:L66" si="11">0.5*(MAX(J60:K60)-MIN(J60:K60))</f>
        <v>3.3000000000000003</v>
      </c>
      <c r="M60" s="95"/>
      <c r="N60" s="95"/>
      <c r="O60" s="203"/>
      <c r="P60" s="167"/>
    </row>
    <row r="61" spans="1:16" ht="13">
      <c r="A61" s="1544"/>
      <c r="B61" s="95"/>
      <c r="C61" s="211">
        <v>20</v>
      </c>
      <c r="D61" s="210">
        <v>0.2</v>
      </c>
      <c r="E61" s="210">
        <v>0</v>
      </c>
      <c r="F61" s="204">
        <f t="shared" si="10"/>
        <v>0.1</v>
      </c>
      <c r="G61" s="95"/>
      <c r="H61" s="208"/>
      <c r="I61" s="211">
        <v>40</v>
      </c>
      <c r="J61" s="210">
        <v>1.5</v>
      </c>
      <c r="K61" s="210">
        <v>-3.4</v>
      </c>
      <c r="L61" s="204">
        <f t="shared" si="11"/>
        <v>2.4500000000000002</v>
      </c>
      <c r="M61" s="95"/>
      <c r="N61" s="95"/>
      <c r="O61" s="203"/>
      <c r="P61" s="167"/>
    </row>
    <row r="62" spans="1:16" ht="13">
      <c r="A62" s="1544"/>
      <c r="B62" s="95"/>
      <c r="C62" s="211">
        <v>25</v>
      </c>
      <c r="D62" s="210">
        <v>-0.1</v>
      </c>
      <c r="E62" s="210">
        <v>0.1</v>
      </c>
      <c r="F62" s="204">
        <f t="shared" si="10"/>
        <v>0.1</v>
      </c>
      <c r="G62" s="95"/>
      <c r="H62" s="208"/>
      <c r="I62" s="211">
        <v>50</v>
      </c>
      <c r="J62" s="210">
        <v>1.2</v>
      </c>
      <c r="K62" s="210">
        <v>-2.5</v>
      </c>
      <c r="L62" s="204">
        <f t="shared" si="11"/>
        <v>1.85</v>
      </c>
      <c r="M62" s="95"/>
      <c r="N62" s="95"/>
      <c r="O62" s="203"/>
      <c r="P62" s="167"/>
    </row>
    <row r="63" spans="1:16" ht="13">
      <c r="A63" s="1544"/>
      <c r="B63" s="95"/>
      <c r="C63" s="207">
        <v>30</v>
      </c>
      <c r="D63" s="206">
        <v>-0.5</v>
      </c>
      <c r="E63" s="206">
        <v>0.13</v>
      </c>
      <c r="F63" s="204">
        <f t="shared" si="10"/>
        <v>0.315</v>
      </c>
      <c r="G63" s="95"/>
      <c r="H63" s="208"/>
      <c r="I63" s="207">
        <v>60</v>
      </c>
      <c r="J63" s="206">
        <v>1.1000000000000001</v>
      </c>
      <c r="K63" s="206">
        <v>-2</v>
      </c>
      <c r="L63" s="204">
        <f t="shared" si="11"/>
        <v>1.55</v>
      </c>
      <c r="M63" s="95"/>
      <c r="N63" s="95"/>
      <c r="O63" s="203"/>
      <c r="P63" s="167"/>
    </row>
    <row r="64" spans="1:16" ht="13">
      <c r="A64" s="1544"/>
      <c r="B64" s="95"/>
      <c r="C64" s="207">
        <v>35</v>
      </c>
      <c r="D64" s="206">
        <v>-0.9</v>
      </c>
      <c r="E64" s="206">
        <v>0.1</v>
      </c>
      <c r="F64" s="204">
        <f t="shared" si="10"/>
        <v>0.5</v>
      </c>
      <c r="G64" s="95"/>
      <c r="H64" s="208"/>
      <c r="I64" s="207">
        <v>70</v>
      </c>
      <c r="J64" s="206">
        <v>0.9</v>
      </c>
      <c r="K64" s="206">
        <v>-2.1</v>
      </c>
      <c r="L64" s="204">
        <f t="shared" si="11"/>
        <v>1.5</v>
      </c>
      <c r="M64" s="95"/>
      <c r="N64" s="95"/>
      <c r="O64" s="203"/>
      <c r="P64" s="167"/>
    </row>
    <row r="65" spans="1:16" ht="13">
      <c r="A65" s="1544"/>
      <c r="B65" s="95"/>
      <c r="C65" s="207">
        <v>37</v>
      </c>
      <c r="D65" s="206">
        <v>-1.1000000000000001</v>
      </c>
      <c r="E65" s="206">
        <v>0</v>
      </c>
      <c r="F65" s="204">
        <f t="shared" si="10"/>
        <v>0.55000000000000004</v>
      </c>
      <c r="G65" s="95"/>
      <c r="H65" s="208"/>
      <c r="I65" s="207">
        <v>80</v>
      </c>
      <c r="J65" s="206">
        <v>0.8</v>
      </c>
      <c r="K65" s="206">
        <v>-2.6</v>
      </c>
      <c r="L65" s="204">
        <f t="shared" si="11"/>
        <v>1.7000000000000002</v>
      </c>
      <c r="M65" s="95"/>
      <c r="N65" s="95"/>
      <c r="O65" s="203"/>
      <c r="P65" s="167"/>
    </row>
    <row r="66" spans="1:16" ht="13.5" thickBot="1">
      <c r="A66" s="1545"/>
      <c r="B66" s="197"/>
      <c r="C66" s="201">
        <v>40</v>
      </c>
      <c r="D66" s="200">
        <v>-1.4</v>
      </c>
      <c r="E66" s="200">
        <v>-0.1</v>
      </c>
      <c r="F66" s="198">
        <f t="shared" si="10"/>
        <v>0.64999999999999991</v>
      </c>
      <c r="G66" s="197"/>
      <c r="H66" s="202"/>
      <c r="I66" s="201">
        <v>90</v>
      </c>
      <c r="J66" s="200">
        <v>0.7</v>
      </c>
      <c r="K66" s="200">
        <v>-2.6</v>
      </c>
      <c r="L66" s="198">
        <f t="shared" si="11"/>
        <v>1.65</v>
      </c>
      <c r="M66" s="197"/>
      <c r="N66" s="197"/>
      <c r="O66" s="196"/>
      <c r="P66" s="167"/>
    </row>
    <row r="67" spans="1:16" ht="13.5" thickBot="1">
      <c r="A67" s="228"/>
      <c r="B67" s="226"/>
      <c r="C67" s="226"/>
      <c r="D67" s="226"/>
      <c r="E67" s="225"/>
      <c r="F67" s="235"/>
      <c r="G67" s="227"/>
      <c r="H67" s="226"/>
      <c r="I67" s="226"/>
      <c r="J67" s="226"/>
      <c r="K67" s="225"/>
      <c r="L67" s="235"/>
      <c r="M67" s="95"/>
      <c r="N67" s="95"/>
      <c r="O67" s="203"/>
      <c r="P67" s="167"/>
    </row>
    <row r="68" spans="1:16" ht="13.5" thickBot="1">
      <c r="A68" s="1543">
        <v>7</v>
      </c>
      <c r="B68" s="1546" t="s">
        <v>82</v>
      </c>
      <c r="C68" s="1547"/>
      <c r="D68" s="1547"/>
      <c r="E68" s="1547"/>
      <c r="F68" s="1548"/>
      <c r="G68" s="223"/>
      <c r="H68" s="1546" t="str">
        <f>B68</f>
        <v>KOREKSI GREISINGER 34903053</v>
      </c>
      <c r="I68" s="1547"/>
      <c r="J68" s="1547"/>
      <c r="K68" s="1547"/>
      <c r="L68" s="1548"/>
      <c r="M68" s="223"/>
      <c r="N68" s="1553" t="s">
        <v>77</v>
      </c>
      <c r="O68" s="1554"/>
      <c r="P68" s="167"/>
    </row>
    <row r="69" spans="1:16" ht="13.5" thickBot="1">
      <c r="A69" s="1544"/>
      <c r="B69" s="1549" t="s">
        <v>72</v>
      </c>
      <c r="C69" s="1550"/>
      <c r="D69" s="1551" t="s">
        <v>7</v>
      </c>
      <c r="E69" s="1552"/>
      <c r="F69" s="1530" t="s">
        <v>2</v>
      </c>
      <c r="G69" s="95"/>
      <c r="H69" s="1549" t="s">
        <v>73</v>
      </c>
      <c r="I69" s="1550"/>
      <c r="J69" s="1551" t="s">
        <v>7</v>
      </c>
      <c r="K69" s="1552"/>
      <c r="L69" s="1530" t="s">
        <v>2</v>
      </c>
      <c r="M69" s="95"/>
      <c r="N69" s="222" t="s">
        <v>72</v>
      </c>
      <c r="O69" s="237">
        <v>0.3</v>
      </c>
      <c r="P69" s="167"/>
    </row>
    <row r="70" spans="1:16" ht="15" thickBot="1">
      <c r="A70" s="1544"/>
      <c r="B70" s="1532" t="s">
        <v>74</v>
      </c>
      <c r="C70" s="1533"/>
      <c r="D70" s="220">
        <v>2018</v>
      </c>
      <c r="E70" s="220">
        <v>2017</v>
      </c>
      <c r="F70" s="1531"/>
      <c r="G70" s="95"/>
      <c r="H70" s="1534" t="s">
        <v>75</v>
      </c>
      <c r="I70" s="1535"/>
      <c r="J70" s="218">
        <f>D70</f>
        <v>2018</v>
      </c>
      <c r="K70" s="218">
        <f>E70</f>
        <v>2017</v>
      </c>
      <c r="L70" s="1531"/>
      <c r="M70" s="95"/>
      <c r="N70" s="217" t="s">
        <v>75</v>
      </c>
      <c r="O70" s="236">
        <v>2.2999999999999998</v>
      </c>
      <c r="P70" s="167"/>
    </row>
    <row r="71" spans="1:16" ht="13">
      <c r="A71" s="1544"/>
      <c r="B71" s="95"/>
      <c r="C71" s="215">
        <v>15</v>
      </c>
      <c r="D71" s="214">
        <v>0.3</v>
      </c>
      <c r="E71" s="214">
        <v>0.2</v>
      </c>
      <c r="F71" s="212">
        <f t="shared" ref="F71:F77" si="12">0.5*(MAX(D71:E71)-MIN(D71:E71))</f>
        <v>4.9999999999999989E-2</v>
      </c>
      <c r="G71" s="95"/>
      <c r="H71" s="208"/>
      <c r="I71" s="215">
        <v>30</v>
      </c>
      <c r="J71" s="214">
        <v>1.8</v>
      </c>
      <c r="K71" s="214">
        <v>-0.1</v>
      </c>
      <c r="L71" s="212">
        <f t="shared" ref="L71:L77" si="13">0.5*(MAX(J71:K71)-MIN(J71:K71))</f>
        <v>0.95000000000000007</v>
      </c>
      <c r="M71" s="95"/>
      <c r="N71" s="95"/>
      <c r="O71" s="203"/>
      <c r="P71" s="167"/>
    </row>
    <row r="72" spans="1:16" ht="13">
      <c r="A72" s="1544"/>
      <c r="B72" s="95"/>
      <c r="C72" s="211">
        <v>20</v>
      </c>
      <c r="D72" s="210">
        <v>0.1</v>
      </c>
      <c r="E72" s="210">
        <v>0.1</v>
      </c>
      <c r="F72" s="204">
        <f t="shared" si="12"/>
        <v>0</v>
      </c>
      <c r="G72" s="95"/>
      <c r="H72" s="208"/>
      <c r="I72" s="211">
        <v>40</v>
      </c>
      <c r="J72" s="210">
        <v>1.2</v>
      </c>
      <c r="K72" s="210">
        <v>0</v>
      </c>
      <c r="L72" s="204">
        <f t="shared" si="13"/>
        <v>0.6</v>
      </c>
      <c r="M72" s="95"/>
      <c r="N72" s="95"/>
      <c r="O72" s="203"/>
      <c r="P72" s="167"/>
    </row>
    <row r="73" spans="1:16" ht="13">
      <c r="A73" s="1544"/>
      <c r="B73" s="95"/>
      <c r="C73" s="211">
        <v>25</v>
      </c>
      <c r="D73" s="210">
        <v>-0.2</v>
      </c>
      <c r="E73" s="210">
        <v>0</v>
      </c>
      <c r="F73" s="204">
        <f t="shared" si="12"/>
        <v>0.1</v>
      </c>
      <c r="G73" s="95"/>
      <c r="H73" s="208"/>
      <c r="I73" s="211">
        <v>50</v>
      </c>
      <c r="J73" s="210">
        <v>0.8</v>
      </c>
      <c r="K73" s="210">
        <v>0.6</v>
      </c>
      <c r="L73" s="204">
        <f t="shared" si="13"/>
        <v>0.10000000000000003</v>
      </c>
      <c r="M73" s="95"/>
      <c r="N73" s="95"/>
      <c r="O73" s="203"/>
      <c r="P73" s="167"/>
    </row>
    <row r="74" spans="1:16" ht="13">
      <c r="A74" s="1544"/>
      <c r="B74" s="95"/>
      <c r="C74" s="207">
        <v>30</v>
      </c>
      <c r="D74" s="206">
        <v>-0.6</v>
      </c>
      <c r="E74" s="206">
        <v>-0.1</v>
      </c>
      <c r="F74" s="204">
        <f t="shared" si="12"/>
        <v>0.25</v>
      </c>
      <c r="G74" s="95"/>
      <c r="H74" s="208"/>
      <c r="I74" s="207">
        <v>60</v>
      </c>
      <c r="J74" s="206">
        <v>0.7</v>
      </c>
      <c r="K74" s="206">
        <v>1.5</v>
      </c>
      <c r="L74" s="204">
        <f t="shared" si="13"/>
        <v>0.4</v>
      </c>
      <c r="M74" s="95"/>
      <c r="N74" s="95"/>
      <c r="O74" s="203"/>
      <c r="P74" s="167"/>
    </row>
    <row r="75" spans="1:16" ht="13">
      <c r="A75" s="1544"/>
      <c r="B75" s="95"/>
      <c r="C75" s="207">
        <v>35</v>
      </c>
      <c r="D75" s="206">
        <v>-1.1000000000000001</v>
      </c>
      <c r="E75" s="206">
        <v>-0.1</v>
      </c>
      <c r="F75" s="204">
        <f t="shared" si="12"/>
        <v>0.5</v>
      </c>
      <c r="G75" s="95"/>
      <c r="H75" s="208"/>
      <c r="I75" s="207">
        <v>70</v>
      </c>
      <c r="J75" s="206">
        <v>0.9</v>
      </c>
      <c r="K75" s="206">
        <v>2.8</v>
      </c>
      <c r="L75" s="204">
        <f t="shared" si="13"/>
        <v>0.95</v>
      </c>
      <c r="M75" s="95"/>
      <c r="N75" s="95"/>
      <c r="O75" s="203"/>
      <c r="P75" s="167"/>
    </row>
    <row r="76" spans="1:16" ht="13">
      <c r="A76" s="1544"/>
      <c r="B76" s="95"/>
      <c r="C76" s="207">
        <v>37</v>
      </c>
      <c r="D76" s="206">
        <v>-1.4</v>
      </c>
      <c r="E76" s="206">
        <v>-0.1</v>
      </c>
      <c r="F76" s="204">
        <f t="shared" si="12"/>
        <v>0.64999999999999991</v>
      </c>
      <c r="G76" s="95"/>
      <c r="H76" s="208"/>
      <c r="I76" s="207">
        <v>80</v>
      </c>
      <c r="J76" s="206">
        <v>1.2</v>
      </c>
      <c r="K76" s="206">
        <v>4.4000000000000004</v>
      </c>
      <c r="L76" s="204">
        <f t="shared" si="13"/>
        <v>1.6</v>
      </c>
      <c r="M76" s="95"/>
      <c r="N76" s="95"/>
      <c r="O76" s="203"/>
      <c r="P76" s="167"/>
    </row>
    <row r="77" spans="1:16" ht="13.5" thickBot="1">
      <c r="A77" s="1545"/>
      <c r="B77" s="197"/>
      <c r="C77" s="201">
        <v>40</v>
      </c>
      <c r="D77" s="200">
        <v>-1.7</v>
      </c>
      <c r="E77" s="200">
        <v>-0.1</v>
      </c>
      <c r="F77" s="198">
        <f t="shared" si="12"/>
        <v>0.79999999999999993</v>
      </c>
      <c r="G77" s="197"/>
      <c r="H77" s="202"/>
      <c r="I77" s="201">
        <v>90</v>
      </c>
      <c r="J77" s="200">
        <v>1.8</v>
      </c>
      <c r="K77" s="200">
        <v>4.4000000000000004</v>
      </c>
      <c r="L77" s="198">
        <f t="shared" si="13"/>
        <v>1.3000000000000003</v>
      </c>
      <c r="M77" s="197"/>
      <c r="N77" s="197"/>
      <c r="O77" s="196"/>
      <c r="P77" s="167"/>
    </row>
    <row r="78" spans="1:16" ht="13.5" thickBot="1">
      <c r="A78" s="228"/>
      <c r="B78" s="226"/>
      <c r="C78" s="226"/>
      <c r="D78" s="226"/>
      <c r="E78" s="225"/>
      <c r="F78" s="235"/>
      <c r="G78" s="227"/>
      <c r="H78" s="226"/>
      <c r="I78" s="226"/>
      <c r="J78" s="226"/>
      <c r="K78" s="225"/>
      <c r="L78" s="235"/>
      <c r="M78" s="95"/>
      <c r="N78" s="95"/>
      <c r="O78" s="203"/>
      <c r="P78" s="167"/>
    </row>
    <row r="79" spans="1:16" ht="13.5" thickBot="1">
      <c r="A79" s="1543">
        <v>8</v>
      </c>
      <c r="B79" s="1546" t="s">
        <v>83</v>
      </c>
      <c r="C79" s="1547"/>
      <c r="D79" s="1547"/>
      <c r="E79" s="1547"/>
      <c r="F79" s="1548"/>
      <c r="G79" s="223"/>
      <c r="H79" s="1546" t="str">
        <f>B79</f>
        <v>KOREKSI GREISINGER 34903051</v>
      </c>
      <c r="I79" s="1547"/>
      <c r="J79" s="1547"/>
      <c r="K79" s="1547"/>
      <c r="L79" s="1548"/>
      <c r="M79" s="223"/>
      <c r="N79" s="1553" t="s">
        <v>77</v>
      </c>
      <c r="O79" s="1554"/>
      <c r="P79" s="167"/>
    </row>
    <row r="80" spans="1:16" ht="13.5" thickBot="1">
      <c r="A80" s="1544"/>
      <c r="B80" s="1549" t="s">
        <v>72</v>
      </c>
      <c r="C80" s="1550"/>
      <c r="D80" s="1551" t="s">
        <v>7</v>
      </c>
      <c r="E80" s="1552"/>
      <c r="F80" s="1530" t="s">
        <v>2</v>
      </c>
      <c r="G80" s="95"/>
      <c r="H80" s="1549" t="s">
        <v>73</v>
      </c>
      <c r="I80" s="1550"/>
      <c r="J80" s="1551" t="s">
        <v>7</v>
      </c>
      <c r="K80" s="1552"/>
      <c r="L80" s="1530" t="s">
        <v>2</v>
      </c>
      <c r="M80" s="95"/>
      <c r="N80" s="222" t="s">
        <v>72</v>
      </c>
      <c r="O80" s="221">
        <v>0.3</v>
      </c>
      <c r="P80" s="167"/>
    </row>
    <row r="81" spans="1:16" ht="15" thickBot="1">
      <c r="A81" s="1544"/>
      <c r="B81" s="1532" t="s">
        <v>74</v>
      </c>
      <c r="C81" s="1533"/>
      <c r="D81" s="220">
        <v>2019</v>
      </c>
      <c r="E81" s="220">
        <v>2017</v>
      </c>
      <c r="F81" s="1531"/>
      <c r="G81" s="95"/>
      <c r="H81" s="1534" t="s">
        <v>75</v>
      </c>
      <c r="I81" s="1535"/>
      <c r="J81" s="218">
        <f>D81</f>
        <v>2019</v>
      </c>
      <c r="K81" s="218">
        <f>E81</f>
        <v>2017</v>
      </c>
      <c r="L81" s="1531"/>
      <c r="M81" s="95"/>
      <c r="N81" s="217" t="s">
        <v>75</v>
      </c>
      <c r="O81" s="216">
        <v>2.6</v>
      </c>
      <c r="P81" s="167"/>
    </row>
    <row r="82" spans="1:16" ht="13">
      <c r="A82" s="1544"/>
      <c r="B82" s="95"/>
      <c r="C82" s="233">
        <v>15</v>
      </c>
      <c r="D82" s="214">
        <v>0</v>
      </c>
      <c r="E82" s="214">
        <v>-0.2</v>
      </c>
      <c r="F82" s="212">
        <f t="shared" ref="F82:F88" si="14">0.5*(MAX(D82:E82)-MIN(D82:E82))</f>
        <v>0.1</v>
      </c>
      <c r="G82" s="95"/>
      <c r="H82" s="208"/>
      <c r="I82" s="233">
        <v>30</v>
      </c>
      <c r="J82" s="214">
        <v>-1.4</v>
      </c>
      <c r="K82" s="214">
        <v>1</v>
      </c>
      <c r="L82" s="212">
        <f t="shared" ref="L82:L88" si="15">0.5*(MAX(J82:K82)-MIN(J82:K82))</f>
        <v>1.2</v>
      </c>
      <c r="M82" s="95"/>
      <c r="N82" s="95"/>
      <c r="O82" s="203"/>
      <c r="P82" s="167"/>
    </row>
    <row r="83" spans="1:16" ht="13">
      <c r="A83" s="1544"/>
      <c r="B83" s="95"/>
      <c r="C83" s="232">
        <v>20</v>
      </c>
      <c r="D83" s="214">
        <v>-0.2</v>
      </c>
      <c r="E83" s="214">
        <v>-0.2</v>
      </c>
      <c r="F83" s="204">
        <f t="shared" si="14"/>
        <v>0</v>
      </c>
      <c r="G83" s="95"/>
      <c r="H83" s="208"/>
      <c r="I83" s="232">
        <v>40</v>
      </c>
      <c r="J83" s="210">
        <v>-1.2</v>
      </c>
      <c r="K83" s="210">
        <v>1.1000000000000001</v>
      </c>
      <c r="L83" s="204">
        <f t="shared" si="15"/>
        <v>1.1499999999999999</v>
      </c>
      <c r="M83" s="95"/>
      <c r="N83" s="95"/>
      <c r="O83" s="203"/>
      <c r="P83" s="167"/>
    </row>
    <row r="84" spans="1:16" ht="13">
      <c r="A84" s="1544"/>
      <c r="B84" s="95"/>
      <c r="C84" s="232">
        <v>25</v>
      </c>
      <c r="D84" s="214">
        <v>-0.4</v>
      </c>
      <c r="E84" s="214">
        <v>-0.2</v>
      </c>
      <c r="F84" s="204">
        <f t="shared" si="14"/>
        <v>0.1</v>
      </c>
      <c r="G84" s="95"/>
      <c r="H84" s="208"/>
      <c r="I84" s="232">
        <v>50</v>
      </c>
      <c r="J84" s="210">
        <v>-1.2</v>
      </c>
      <c r="K84" s="210">
        <v>1.3</v>
      </c>
      <c r="L84" s="204">
        <f t="shared" si="15"/>
        <v>1.25</v>
      </c>
      <c r="M84" s="95"/>
      <c r="N84" s="95"/>
      <c r="O84" s="203"/>
      <c r="P84" s="167"/>
    </row>
    <row r="85" spans="1:16" ht="13">
      <c r="A85" s="1544"/>
      <c r="B85" s="95"/>
      <c r="C85" s="231">
        <v>30</v>
      </c>
      <c r="D85" s="214">
        <v>-0.4</v>
      </c>
      <c r="E85" s="214">
        <v>-0.2</v>
      </c>
      <c r="F85" s="204">
        <f t="shared" si="14"/>
        <v>0.1</v>
      </c>
      <c r="G85" s="95"/>
      <c r="H85" s="208"/>
      <c r="I85" s="231">
        <v>60</v>
      </c>
      <c r="J85" s="206">
        <v>-1.1000000000000001</v>
      </c>
      <c r="K85" s="206">
        <v>1.7</v>
      </c>
      <c r="L85" s="204">
        <f t="shared" si="15"/>
        <v>1.4</v>
      </c>
      <c r="M85" s="95"/>
      <c r="N85" s="95"/>
      <c r="O85" s="203"/>
      <c r="P85" s="167"/>
    </row>
    <row r="86" spans="1:16" ht="13">
      <c r="A86" s="1544"/>
      <c r="B86" s="95"/>
      <c r="C86" s="231">
        <v>35</v>
      </c>
      <c r="D86" s="206">
        <v>-0.5</v>
      </c>
      <c r="E86" s="206">
        <v>-0.3</v>
      </c>
      <c r="F86" s="204">
        <f t="shared" si="14"/>
        <v>0.1</v>
      </c>
      <c r="G86" s="95"/>
      <c r="H86" s="208"/>
      <c r="I86" s="231">
        <v>70</v>
      </c>
      <c r="J86" s="206">
        <v>-1.2</v>
      </c>
      <c r="K86" s="206">
        <v>2.1</v>
      </c>
      <c r="L86" s="204">
        <f t="shared" si="15"/>
        <v>1.65</v>
      </c>
      <c r="M86" s="95"/>
      <c r="N86" s="95"/>
      <c r="O86" s="203"/>
      <c r="P86" s="167"/>
    </row>
    <row r="87" spans="1:16" ht="13">
      <c r="A87" s="1544"/>
      <c r="B87" s="95"/>
      <c r="C87" s="231">
        <v>37</v>
      </c>
      <c r="D87" s="206">
        <v>-0.5</v>
      </c>
      <c r="E87" s="206">
        <v>-0.3</v>
      </c>
      <c r="F87" s="204">
        <f t="shared" si="14"/>
        <v>0.1</v>
      </c>
      <c r="G87" s="95"/>
      <c r="H87" s="208"/>
      <c r="I87" s="231">
        <v>80</v>
      </c>
      <c r="J87" s="206">
        <v>-1.2</v>
      </c>
      <c r="K87" s="206">
        <v>2.6</v>
      </c>
      <c r="L87" s="204">
        <f t="shared" si="15"/>
        <v>1.9</v>
      </c>
      <c r="M87" s="95"/>
      <c r="N87" s="95"/>
      <c r="O87" s="203"/>
      <c r="P87" s="167"/>
    </row>
    <row r="88" spans="1:16" ht="13.5" thickBot="1">
      <c r="A88" s="1545"/>
      <c r="B88" s="197"/>
      <c r="C88" s="229">
        <v>40</v>
      </c>
      <c r="D88" s="200">
        <v>-0.4</v>
      </c>
      <c r="E88" s="200">
        <v>-0.4</v>
      </c>
      <c r="F88" s="198">
        <f t="shared" si="14"/>
        <v>0</v>
      </c>
      <c r="G88" s="197"/>
      <c r="H88" s="202"/>
      <c r="I88" s="229">
        <v>90</v>
      </c>
      <c r="J88" s="200">
        <v>-1.3</v>
      </c>
      <c r="K88" s="200">
        <v>2.6</v>
      </c>
      <c r="L88" s="198">
        <f t="shared" si="15"/>
        <v>1.9500000000000002</v>
      </c>
      <c r="M88" s="197"/>
      <c r="N88" s="197"/>
      <c r="O88" s="196"/>
      <c r="P88" s="167"/>
    </row>
    <row r="89" spans="1:16" ht="13.5" thickBot="1">
      <c r="A89" s="228"/>
      <c r="B89" s="226"/>
      <c r="C89" s="226"/>
      <c r="D89" s="226"/>
      <c r="E89" s="225"/>
      <c r="F89" s="224"/>
      <c r="G89" s="227"/>
      <c r="H89" s="226"/>
      <c r="I89" s="226"/>
      <c r="J89" s="226"/>
      <c r="K89" s="225"/>
      <c r="L89" s="224"/>
      <c r="M89" s="95"/>
      <c r="N89" s="95"/>
      <c r="O89" s="203"/>
      <c r="P89" s="167"/>
    </row>
    <row r="90" spans="1:16" ht="13.5" thickBot="1">
      <c r="A90" s="1543">
        <v>9</v>
      </c>
      <c r="B90" s="1546" t="s">
        <v>84</v>
      </c>
      <c r="C90" s="1547"/>
      <c r="D90" s="1547"/>
      <c r="E90" s="1547"/>
      <c r="F90" s="1548"/>
      <c r="G90" s="223"/>
      <c r="H90" s="1546" t="str">
        <f>B90</f>
        <v>KOREKSI GREISINGER 34904091</v>
      </c>
      <c r="I90" s="1547"/>
      <c r="J90" s="1547"/>
      <c r="K90" s="1547"/>
      <c r="L90" s="1548"/>
      <c r="M90" s="223"/>
      <c r="N90" s="1553" t="s">
        <v>77</v>
      </c>
      <c r="O90" s="1554"/>
      <c r="P90" s="167"/>
    </row>
    <row r="91" spans="1:16" ht="13.5" thickBot="1">
      <c r="A91" s="1544"/>
      <c r="B91" s="1549" t="s">
        <v>72</v>
      </c>
      <c r="C91" s="1550"/>
      <c r="D91" s="1551" t="s">
        <v>7</v>
      </c>
      <c r="E91" s="1552"/>
      <c r="F91" s="1530" t="s">
        <v>2</v>
      </c>
      <c r="G91" s="95"/>
      <c r="H91" s="1549" t="s">
        <v>73</v>
      </c>
      <c r="I91" s="1550"/>
      <c r="J91" s="1551" t="s">
        <v>7</v>
      </c>
      <c r="K91" s="1552"/>
      <c r="L91" s="1530" t="s">
        <v>2</v>
      </c>
      <c r="M91" s="95"/>
      <c r="N91" s="222" t="s">
        <v>72</v>
      </c>
      <c r="O91" s="221">
        <v>0.3</v>
      </c>
      <c r="P91" s="167"/>
    </row>
    <row r="92" spans="1:16" ht="15" thickBot="1">
      <c r="A92" s="1544"/>
      <c r="B92" s="1532" t="s">
        <v>74</v>
      </c>
      <c r="C92" s="1533"/>
      <c r="D92" s="220">
        <v>2019</v>
      </c>
      <c r="E92" s="219" t="s">
        <v>10</v>
      </c>
      <c r="F92" s="1531"/>
      <c r="G92" s="95"/>
      <c r="H92" s="1534" t="s">
        <v>75</v>
      </c>
      <c r="I92" s="1535"/>
      <c r="J92" s="218">
        <f>D92</f>
        <v>2019</v>
      </c>
      <c r="K92" s="218" t="str">
        <f>E92</f>
        <v>-</v>
      </c>
      <c r="L92" s="1531"/>
      <c r="M92" s="95"/>
      <c r="N92" s="217" t="s">
        <v>75</v>
      </c>
      <c r="O92" s="216">
        <v>2.4</v>
      </c>
      <c r="P92" s="167"/>
    </row>
    <row r="93" spans="1:16" ht="13">
      <c r="A93" s="1544"/>
      <c r="B93" s="208"/>
      <c r="C93" s="233">
        <v>15</v>
      </c>
      <c r="D93" s="214">
        <v>0</v>
      </c>
      <c r="E93" s="213" t="s">
        <v>10</v>
      </c>
      <c r="F93" s="212">
        <f t="shared" ref="F93:F99" si="16">0.5*(MAX(D93:E93)-MIN(D93:E93))</f>
        <v>0</v>
      </c>
      <c r="G93" s="95"/>
      <c r="H93" s="208"/>
      <c r="I93" s="233">
        <v>30</v>
      </c>
      <c r="J93" s="214">
        <v>-1.2</v>
      </c>
      <c r="K93" s="213" t="s">
        <v>10</v>
      </c>
      <c r="L93" s="212">
        <f t="shared" ref="L93:L99" si="17">0.5*(MAX(J93:K93)-MIN(J93:K93))</f>
        <v>0</v>
      </c>
      <c r="M93" s="95"/>
      <c r="N93" s="95"/>
      <c r="O93" s="203"/>
      <c r="P93" s="167"/>
    </row>
    <row r="94" spans="1:16" ht="13">
      <c r="A94" s="1544"/>
      <c r="B94" s="208"/>
      <c r="C94" s="232">
        <v>20</v>
      </c>
      <c r="D94" s="214">
        <v>-0.2</v>
      </c>
      <c r="E94" s="209" t="s">
        <v>10</v>
      </c>
      <c r="F94" s="204">
        <f t="shared" si="16"/>
        <v>0</v>
      </c>
      <c r="G94" s="95"/>
      <c r="H94" s="208"/>
      <c r="I94" s="232">
        <v>40</v>
      </c>
      <c r="J94" s="214">
        <v>-1</v>
      </c>
      <c r="K94" s="209" t="s">
        <v>10</v>
      </c>
      <c r="L94" s="204">
        <f t="shared" si="17"/>
        <v>0</v>
      </c>
      <c r="M94" s="95"/>
      <c r="N94" s="95"/>
      <c r="O94" s="203"/>
      <c r="P94" s="167"/>
    </row>
    <row r="95" spans="1:16" ht="13">
      <c r="A95" s="1544"/>
      <c r="B95" s="208"/>
      <c r="C95" s="232">
        <v>25</v>
      </c>
      <c r="D95" s="214">
        <v>-0.4</v>
      </c>
      <c r="E95" s="209" t="s">
        <v>10</v>
      </c>
      <c r="F95" s="204">
        <f t="shared" si="16"/>
        <v>0</v>
      </c>
      <c r="G95" s="95"/>
      <c r="H95" s="208"/>
      <c r="I95" s="232">
        <v>50</v>
      </c>
      <c r="J95" s="214">
        <v>-0.9</v>
      </c>
      <c r="K95" s="209" t="s">
        <v>10</v>
      </c>
      <c r="L95" s="204">
        <f t="shared" si="17"/>
        <v>0</v>
      </c>
      <c r="M95" s="95"/>
      <c r="N95" s="95"/>
      <c r="O95" s="203"/>
      <c r="P95" s="167"/>
    </row>
    <row r="96" spans="1:16" ht="13">
      <c r="A96" s="1544"/>
      <c r="B96" s="208"/>
      <c r="C96" s="231">
        <v>30</v>
      </c>
      <c r="D96" s="214">
        <v>-0.5</v>
      </c>
      <c r="E96" s="205" t="s">
        <v>10</v>
      </c>
      <c r="F96" s="204">
        <f t="shared" si="16"/>
        <v>0</v>
      </c>
      <c r="G96" s="95"/>
      <c r="H96" s="208"/>
      <c r="I96" s="231">
        <v>60</v>
      </c>
      <c r="J96" s="214">
        <v>-0.8</v>
      </c>
      <c r="K96" s="205" t="s">
        <v>10</v>
      </c>
      <c r="L96" s="204">
        <f t="shared" si="17"/>
        <v>0</v>
      </c>
      <c r="M96" s="95"/>
      <c r="N96" s="95"/>
      <c r="O96" s="203"/>
      <c r="P96" s="167"/>
    </row>
    <row r="97" spans="1:16" ht="13">
      <c r="A97" s="1544"/>
      <c r="B97" s="208"/>
      <c r="C97" s="231">
        <v>35</v>
      </c>
      <c r="D97" s="214">
        <v>-0.5</v>
      </c>
      <c r="E97" s="205" t="s">
        <v>10</v>
      </c>
      <c r="F97" s="204">
        <f t="shared" si="16"/>
        <v>0</v>
      </c>
      <c r="G97" s="95"/>
      <c r="H97" s="208"/>
      <c r="I97" s="231">
        <v>70</v>
      </c>
      <c r="J97" s="214">
        <v>-0.6</v>
      </c>
      <c r="K97" s="205" t="s">
        <v>10</v>
      </c>
      <c r="L97" s="204">
        <f t="shared" si="17"/>
        <v>0</v>
      </c>
      <c r="M97" s="95"/>
      <c r="N97" s="95"/>
      <c r="O97" s="203"/>
      <c r="P97" s="167"/>
    </row>
    <row r="98" spans="1:16" ht="13">
      <c r="A98" s="1544"/>
      <c r="B98" s="208"/>
      <c r="C98" s="231">
        <v>37</v>
      </c>
      <c r="D98" s="214">
        <v>-0.5</v>
      </c>
      <c r="E98" s="205" t="s">
        <v>10</v>
      </c>
      <c r="F98" s="204">
        <f t="shared" si="16"/>
        <v>0</v>
      </c>
      <c r="G98" s="95"/>
      <c r="H98" s="208"/>
      <c r="I98" s="231">
        <v>80</v>
      </c>
      <c r="J98" s="214">
        <v>-0.5</v>
      </c>
      <c r="K98" s="205" t="s">
        <v>10</v>
      </c>
      <c r="L98" s="204">
        <f t="shared" si="17"/>
        <v>0</v>
      </c>
      <c r="M98" s="95"/>
      <c r="N98" s="95"/>
      <c r="O98" s="203"/>
      <c r="P98" s="167"/>
    </row>
    <row r="99" spans="1:16" ht="13.5" thickBot="1">
      <c r="A99" s="1545"/>
      <c r="B99" s="202"/>
      <c r="C99" s="229">
        <v>40</v>
      </c>
      <c r="D99" s="234">
        <v>-0.4</v>
      </c>
      <c r="E99" s="199" t="s">
        <v>10</v>
      </c>
      <c r="F99" s="198">
        <f t="shared" si="16"/>
        <v>0</v>
      </c>
      <c r="G99" s="197"/>
      <c r="H99" s="202"/>
      <c r="I99" s="229">
        <v>90</v>
      </c>
      <c r="J99" s="234">
        <v>-0.2</v>
      </c>
      <c r="K99" s="199" t="s">
        <v>10</v>
      </c>
      <c r="L99" s="198">
        <f t="shared" si="17"/>
        <v>0</v>
      </c>
      <c r="M99" s="197"/>
      <c r="N99" s="197"/>
      <c r="O99" s="196"/>
      <c r="P99" s="167"/>
    </row>
    <row r="100" spans="1:16" ht="13.5" thickBot="1">
      <c r="A100" s="228"/>
      <c r="B100" s="226"/>
      <c r="C100" s="226"/>
      <c r="D100" s="226"/>
      <c r="E100" s="225"/>
      <c r="F100" s="224"/>
      <c r="G100" s="227"/>
      <c r="H100" s="226"/>
      <c r="I100" s="226"/>
      <c r="J100" s="226"/>
      <c r="K100" s="225"/>
      <c r="L100" s="224"/>
      <c r="M100" s="227"/>
      <c r="N100" s="95"/>
      <c r="O100" s="203"/>
      <c r="P100" s="167"/>
    </row>
    <row r="101" spans="1:16" ht="13.5" thickBot="1">
      <c r="A101" s="1543">
        <v>10</v>
      </c>
      <c r="B101" s="1546" t="s">
        <v>85</v>
      </c>
      <c r="C101" s="1547"/>
      <c r="D101" s="1547"/>
      <c r="E101" s="1547"/>
      <c r="F101" s="1548"/>
      <c r="G101" s="223"/>
      <c r="H101" s="1555" t="str">
        <f>B101</f>
        <v>KOREKSI Sekonic HE-21.000669</v>
      </c>
      <c r="I101" s="1556"/>
      <c r="J101" s="1556"/>
      <c r="K101" s="1556"/>
      <c r="L101" s="1557"/>
      <c r="M101" s="223"/>
      <c r="N101" s="1553" t="s">
        <v>77</v>
      </c>
      <c r="O101" s="1554"/>
      <c r="P101" s="167"/>
    </row>
    <row r="102" spans="1:16" ht="13.5" thickBot="1">
      <c r="A102" s="1544"/>
      <c r="B102" s="1549" t="s">
        <v>72</v>
      </c>
      <c r="C102" s="1550"/>
      <c r="D102" s="1551" t="s">
        <v>7</v>
      </c>
      <c r="E102" s="1552"/>
      <c r="F102" s="1530" t="s">
        <v>2</v>
      </c>
      <c r="G102" s="95"/>
      <c r="H102" s="1549" t="s">
        <v>73</v>
      </c>
      <c r="I102" s="1550"/>
      <c r="J102" s="1551" t="s">
        <v>7</v>
      </c>
      <c r="K102" s="1552"/>
      <c r="L102" s="1530" t="s">
        <v>2</v>
      </c>
      <c r="M102" s="95"/>
      <c r="N102" s="222" t="s">
        <v>72</v>
      </c>
      <c r="O102" s="221">
        <v>0.3</v>
      </c>
      <c r="P102" s="167"/>
    </row>
    <row r="103" spans="1:16" ht="15" thickBot="1">
      <c r="A103" s="1544"/>
      <c r="B103" s="1532" t="s">
        <v>74</v>
      </c>
      <c r="C103" s="1533"/>
      <c r="D103" s="220">
        <v>2019</v>
      </c>
      <c r="E103" s="220">
        <v>2016</v>
      </c>
      <c r="F103" s="1531"/>
      <c r="G103" s="95"/>
      <c r="H103" s="1534" t="s">
        <v>75</v>
      </c>
      <c r="I103" s="1535"/>
      <c r="J103" s="218">
        <f>D103</f>
        <v>2019</v>
      </c>
      <c r="K103" s="218">
        <f>E103</f>
        <v>2016</v>
      </c>
      <c r="L103" s="1531"/>
      <c r="M103" s="95"/>
      <c r="N103" s="217" t="s">
        <v>75</v>
      </c>
      <c r="O103" s="216">
        <v>1.5</v>
      </c>
      <c r="P103" s="167"/>
    </row>
    <row r="104" spans="1:16" ht="13">
      <c r="A104" s="1544"/>
      <c r="B104" s="95"/>
      <c r="C104" s="233">
        <v>15</v>
      </c>
      <c r="D104" s="214">
        <v>0.2</v>
      </c>
      <c r="E104" s="214">
        <v>0.2</v>
      </c>
      <c r="F104" s="212">
        <f t="shared" ref="F104:F110" si="18">0.5*(MAX(D104:E104)-MIN(D104:E104))</f>
        <v>0</v>
      </c>
      <c r="G104" s="95"/>
      <c r="H104" s="208"/>
      <c r="I104" s="233">
        <v>30</v>
      </c>
      <c r="J104" s="214">
        <v>-2.9</v>
      </c>
      <c r="K104" s="214">
        <v>-5.8</v>
      </c>
      <c r="L104" s="212">
        <f t="shared" ref="L104:L110" si="19">0.5*(MAX(J104:K104)-MIN(J104:K104))</f>
        <v>1.45</v>
      </c>
      <c r="M104" s="95"/>
      <c r="N104" s="95"/>
      <c r="O104" s="203"/>
      <c r="P104" s="167"/>
    </row>
    <row r="105" spans="1:16" ht="13">
      <c r="A105" s="1544"/>
      <c r="B105" s="95"/>
      <c r="C105" s="232">
        <v>20</v>
      </c>
      <c r="D105" s="210">
        <v>0.2</v>
      </c>
      <c r="E105" s="210">
        <v>-0.7</v>
      </c>
      <c r="F105" s="204">
        <f t="shared" si="18"/>
        <v>0.44999999999999996</v>
      </c>
      <c r="G105" s="95"/>
      <c r="H105" s="208"/>
      <c r="I105" s="232">
        <v>40</v>
      </c>
      <c r="J105" s="210">
        <v>-3.3</v>
      </c>
      <c r="K105" s="210">
        <v>-6.4</v>
      </c>
      <c r="L105" s="204">
        <f t="shared" si="19"/>
        <v>1.5500000000000003</v>
      </c>
      <c r="M105" s="95"/>
      <c r="N105" s="95"/>
      <c r="O105" s="203"/>
      <c r="P105" s="167"/>
    </row>
    <row r="106" spans="1:16" ht="13">
      <c r="A106" s="1544"/>
      <c r="B106" s="95"/>
      <c r="C106" s="232">
        <v>25</v>
      </c>
      <c r="D106" s="210">
        <v>0.1</v>
      </c>
      <c r="E106" s="210">
        <v>-0.5</v>
      </c>
      <c r="F106" s="204">
        <f t="shared" si="18"/>
        <v>0.3</v>
      </c>
      <c r="G106" s="95"/>
      <c r="H106" s="208"/>
      <c r="I106" s="232">
        <v>50</v>
      </c>
      <c r="J106" s="210">
        <v>-3.1</v>
      </c>
      <c r="K106" s="210">
        <v>-6.1</v>
      </c>
      <c r="L106" s="204">
        <f t="shared" si="19"/>
        <v>1.4999999999999998</v>
      </c>
      <c r="M106" s="95"/>
      <c r="N106" s="95"/>
      <c r="O106" s="203"/>
      <c r="P106" s="167"/>
    </row>
    <row r="107" spans="1:16" ht="13">
      <c r="A107" s="1544"/>
      <c r="B107" s="95"/>
      <c r="C107" s="231">
        <v>30</v>
      </c>
      <c r="D107" s="206">
        <v>0.1</v>
      </c>
      <c r="E107" s="206">
        <v>0.2</v>
      </c>
      <c r="F107" s="204">
        <f t="shared" si="18"/>
        <v>0.05</v>
      </c>
      <c r="G107" s="95"/>
      <c r="H107" s="208"/>
      <c r="I107" s="231">
        <v>60</v>
      </c>
      <c r="J107" s="206">
        <v>-2.1</v>
      </c>
      <c r="K107" s="206">
        <v>-5.6</v>
      </c>
      <c r="L107" s="204">
        <f t="shared" si="19"/>
        <v>1.7499999999999998</v>
      </c>
      <c r="M107" s="95"/>
      <c r="N107" s="95"/>
      <c r="O107" s="203"/>
      <c r="P107" s="167"/>
    </row>
    <row r="108" spans="1:16" ht="13">
      <c r="A108" s="1544"/>
      <c r="B108" s="95"/>
      <c r="C108" s="231">
        <v>35</v>
      </c>
      <c r="D108" s="206">
        <v>0.2</v>
      </c>
      <c r="E108" s="206">
        <v>0.8</v>
      </c>
      <c r="F108" s="204">
        <f t="shared" si="18"/>
        <v>0.30000000000000004</v>
      </c>
      <c r="G108" s="95"/>
      <c r="H108" s="208"/>
      <c r="I108" s="231">
        <v>70</v>
      </c>
      <c r="J108" s="206">
        <v>-0.3</v>
      </c>
      <c r="K108" s="206">
        <v>-5.0999999999999996</v>
      </c>
      <c r="L108" s="204">
        <f t="shared" si="19"/>
        <v>2.4</v>
      </c>
      <c r="M108" s="95"/>
      <c r="N108" s="95"/>
      <c r="O108" s="203"/>
      <c r="P108" s="167"/>
    </row>
    <row r="109" spans="1:16" ht="13">
      <c r="A109" s="1544"/>
      <c r="B109" s="95"/>
      <c r="C109" s="231">
        <v>37</v>
      </c>
      <c r="D109" s="206">
        <v>0.2</v>
      </c>
      <c r="E109" s="206">
        <v>0.4</v>
      </c>
      <c r="F109" s="204">
        <f t="shared" si="18"/>
        <v>0.1</v>
      </c>
      <c r="G109" s="95"/>
      <c r="H109" s="208"/>
      <c r="I109" s="231">
        <v>80</v>
      </c>
      <c r="J109" s="206">
        <v>2.2000000000000002</v>
      </c>
      <c r="K109" s="206">
        <v>-4.7</v>
      </c>
      <c r="L109" s="204">
        <f t="shared" si="19"/>
        <v>3.45</v>
      </c>
      <c r="M109" s="95"/>
      <c r="N109" s="95"/>
      <c r="O109" s="203"/>
      <c r="P109" s="167"/>
    </row>
    <row r="110" spans="1:16" ht="13.5" thickBot="1">
      <c r="A110" s="1545"/>
      <c r="B110" s="197"/>
      <c r="C110" s="229">
        <v>40</v>
      </c>
      <c r="D110" s="230">
        <v>0.2</v>
      </c>
      <c r="E110" s="230">
        <v>0</v>
      </c>
      <c r="F110" s="198">
        <f t="shared" si="18"/>
        <v>0.1</v>
      </c>
      <c r="G110" s="197"/>
      <c r="H110" s="202"/>
      <c r="I110" s="229">
        <v>90</v>
      </c>
      <c r="J110" s="201">
        <v>5.4</v>
      </c>
      <c r="K110" s="201">
        <v>0</v>
      </c>
      <c r="L110" s="198">
        <f t="shared" si="19"/>
        <v>2.7</v>
      </c>
      <c r="M110" s="197"/>
      <c r="N110" s="197"/>
      <c r="O110" s="196"/>
      <c r="P110" s="167"/>
    </row>
    <row r="111" spans="1:16" ht="13.5" thickBot="1">
      <c r="A111" s="228"/>
      <c r="B111" s="226"/>
      <c r="C111" s="226"/>
      <c r="D111" s="226"/>
      <c r="E111" s="225"/>
      <c r="F111" s="224"/>
      <c r="G111" s="227"/>
      <c r="H111" s="226"/>
      <c r="I111" s="226"/>
      <c r="J111" s="226"/>
      <c r="K111" s="225"/>
      <c r="L111" s="224"/>
      <c r="M111" s="227"/>
      <c r="N111" s="95"/>
      <c r="O111" s="203"/>
      <c r="P111" s="167"/>
    </row>
    <row r="112" spans="1:16" ht="13.5" thickBot="1">
      <c r="A112" s="1543">
        <v>11</v>
      </c>
      <c r="B112" s="1546" t="s">
        <v>86</v>
      </c>
      <c r="C112" s="1547"/>
      <c r="D112" s="1547"/>
      <c r="E112" s="1547"/>
      <c r="F112" s="1548"/>
      <c r="G112" s="223"/>
      <c r="H112" s="1555" t="str">
        <f>B112</f>
        <v>KOREKSI Sekonic HE-21.000670</v>
      </c>
      <c r="I112" s="1556"/>
      <c r="J112" s="1556"/>
      <c r="K112" s="1556"/>
      <c r="L112" s="1557"/>
      <c r="M112" s="223"/>
      <c r="N112" s="1553" t="s">
        <v>77</v>
      </c>
      <c r="O112" s="1554"/>
      <c r="P112" s="167"/>
    </row>
    <row r="113" spans="1:16" ht="13.5" thickBot="1">
      <c r="A113" s="1544"/>
      <c r="B113" s="1549" t="s">
        <v>72</v>
      </c>
      <c r="C113" s="1550"/>
      <c r="D113" s="1551" t="s">
        <v>7</v>
      </c>
      <c r="E113" s="1552"/>
      <c r="F113" s="1530" t="s">
        <v>2</v>
      </c>
      <c r="G113" s="95"/>
      <c r="H113" s="1549" t="s">
        <v>73</v>
      </c>
      <c r="I113" s="1550"/>
      <c r="J113" s="1551" t="s">
        <v>7</v>
      </c>
      <c r="K113" s="1552"/>
      <c r="L113" s="1530" t="s">
        <v>2</v>
      </c>
      <c r="M113" s="95"/>
      <c r="N113" s="222" t="s">
        <v>72</v>
      </c>
      <c r="O113" s="221">
        <v>0.3</v>
      </c>
      <c r="P113" s="167"/>
    </row>
    <row r="114" spans="1:16" ht="15" thickBot="1">
      <c r="A114" s="1544"/>
      <c r="B114" s="1532" t="s">
        <v>74</v>
      </c>
      <c r="C114" s="1533"/>
      <c r="D114" s="220">
        <v>2016</v>
      </c>
      <c r="E114" s="219" t="s">
        <v>10</v>
      </c>
      <c r="F114" s="1531"/>
      <c r="G114" s="95"/>
      <c r="H114" s="1534" t="s">
        <v>75</v>
      </c>
      <c r="I114" s="1535"/>
      <c r="J114" s="218">
        <f>D114</f>
        <v>2016</v>
      </c>
      <c r="K114" s="218" t="str">
        <f>E114</f>
        <v>-</v>
      </c>
      <c r="L114" s="1531"/>
      <c r="M114" s="95"/>
      <c r="N114" s="217" t="s">
        <v>75</v>
      </c>
      <c r="O114" s="216">
        <v>2.5</v>
      </c>
      <c r="P114" s="167"/>
    </row>
    <row r="115" spans="1:16" ht="13">
      <c r="A115" s="1544"/>
      <c r="B115" s="95"/>
      <c r="C115" s="215">
        <v>14.8</v>
      </c>
      <c r="D115" s="214">
        <v>0.3</v>
      </c>
      <c r="E115" s="213" t="s">
        <v>10</v>
      </c>
      <c r="F115" s="212">
        <f t="shared" ref="F115:F121" si="20">0.5*(MAX(D115:E115)-MIN(D115:E115))</f>
        <v>0</v>
      </c>
      <c r="G115" s="95"/>
      <c r="H115" s="208"/>
      <c r="I115" s="215">
        <v>45.7</v>
      </c>
      <c r="J115" s="214">
        <v>-6.4</v>
      </c>
      <c r="K115" s="213" t="s">
        <v>10</v>
      </c>
      <c r="L115" s="212">
        <f t="shared" ref="L115:L121" si="21">0.5*(MAX(J115:K115)-MIN(J115:K115))</f>
        <v>0</v>
      </c>
      <c r="M115" s="95"/>
      <c r="N115" s="95"/>
      <c r="O115" s="203"/>
      <c r="P115" s="167"/>
    </row>
    <row r="116" spans="1:16" ht="13">
      <c r="A116" s="1544"/>
      <c r="B116" s="95"/>
      <c r="C116" s="211">
        <v>19.7</v>
      </c>
      <c r="D116" s="210">
        <v>0.5</v>
      </c>
      <c r="E116" s="209" t="s">
        <v>10</v>
      </c>
      <c r="F116" s="204">
        <f t="shared" si="20"/>
        <v>0</v>
      </c>
      <c r="G116" s="95"/>
      <c r="H116" s="208"/>
      <c r="I116" s="211">
        <v>54.3</v>
      </c>
      <c r="J116" s="210">
        <v>-5.9</v>
      </c>
      <c r="K116" s="209" t="s">
        <v>10</v>
      </c>
      <c r="L116" s="204">
        <f t="shared" si="21"/>
        <v>0</v>
      </c>
      <c r="M116" s="95"/>
      <c r="N116" s="95"/>
      <c r="O116" s="203"/>
      <c r="P116" s="167"/>
    </row>
    <row r="117" spans="1:16" ht="13">
      <c r="A117" s="1544"/>
      <c r="B117" s="95"/>
      <c r="C117" s="211">
        <v>24.6</v>
      </c>
      <c r="D117" s="210">
        <v>0.5</v>
      </c>
      <c r="E117" s="209" t="s">
        <v>10</v>
      </c>
      <c r="F117" s="204">
        <f t="shared" si="20"/>
        <v>0</v>
      </c>
      <c r="G117" s="95"/>
      <c r="H117" s="208"/>
      <c r="I117" s="211">
        <v>62.5</v>
      </c>
      <c r="J117" s="210">
        <v>-5.6</v>
      </c>
      <c r="K117" s="209" t="s">
        <v>10</v>
      </c>
      <c r="L117" s="204">
        <f t="shared" si="21"/>
        <v>0</v>
      </c>
      <c r="M117" s="95"/>
      <c r="N117" s="95"/>
      <c r="O117" s="203"/>
      <c r="P117" s="167"/>
    </row>
    <row r="118" spans="1:16" ht="13">
      <c r="A118" s="1544"/>
      <c r="B118" s="95"/>
      <c r="C118" s="207">
        <v>29.5</v>
      </c>
      <c r="D118" s="206">
        <v>0.4</v>
      </c>
      <c r="E118" s="205" t="s">
        <v>10</v>
      </c>
      <c r="F118" s="204">
        <f t="shared" si="20"/>
        <v>0</v>
      </c>
      <c r="G118" s="95"/>
      <c r="H118" s="208"/>
      <c r="I118" s="207">
        <v>71.5</v>
      </c>
      <c r="J118" s="206">
        <v>-4.5</v>
      </c>
      <c r="K118" s="205" t="s">
        <v>10</v>
      </c>
      <c r="L118" s="204">
        <f t="shared" si="21"/>
        <v>0</v>
      </c>
      <c r="M118" s="95"/>
      <c r="N118" s="95"/>
      <c r="O118" s="203"/>
      <c r="P118" s="167"/>
    </row>
    <row r="119" spans="1:16" ht="13">
      <c r="A119" s="1544"/>
      <c r="B119" s="95"/>
      <c r="C119" s="207">
        <v>34.5</v>
      </c>
      <c r="D119" s="206">
        <v>0.4</v>
      </c>
      <c r="E119" s="205" t="s">
        <v>10</v>
      </c>
      <c r="F119" s="204">
        <f t="shared" si="20"/>
        <v>0</v>
      </c>
      <c r="G119" s="95"/>
      <c r="H119" s="208"/>
      <c r="I119" s="207">
        <v>80.8</v>
      </c>
      <c r="J119" s="206">
        <v>-1.7</v>
      </c>
      <c r="K119" s="205" t="s">
        <v>10</v>
      </c>
      <c r="L119" s="204">
        <f t="shared" si="21"/>
        <v>0</v>
      </c>
      <c r="M119" s="95"/>
      <c r="N119" s="95"/>
      <c r="O119" s="203"/>
      <c r="P119" s="167"/>
    </row>
    <row r="120" spans="1:16" ht="13">
      <c r="A120" s="1544"/>
      <c r="B120" s="95"/>
      <c r="C120" s="207">
        <v>39.5</v>
      </c>
      <c r="D120" s="206">
        <v>0.5</v>
      </c>
      <c r="E120" s="205" t="s">
        <v>10</v>
      </c>
      <c r="F120" s="204">
        <f t="shared" si="20"/>
        <v>0</v>
      </c>
      <c r="G120" s="95"/>
      <c r="H120" s="208"/>
      <c r="I120" s="207">
        <v>88.7</v>
      </c>
      <c r="J120" s="206">
        <v>2.6</v>
      </c>
      <c r="K120" s="205" t="s">
        <v>10</v>
      </c>
      <c r="L120" s="204">
        <f t="shared" si="21"/>
        <v>0</v>
      </c>
      <c r="M120" s="95"/>
      <c r="N120" s="95"/>
      <c r="O120" s="203"/>
      <c r="P120" s="167"/>
    </row>
    <row r="121" spans="1:16" ht="13.5" thickBot="1">
      <c r="A121" s="1545"/>
      <c r="B121" s="197"/>
      <c r="C121" s="201">
        <v>40</v>
      </c>
      <c r="D121" s="200">
        <v>0</v>
      </c>
      <c r="E121" s="199" t="s">
        <v>10</v>
      </c>
      <c r="F121" s="198">
        <f t="shared" si="20"/>
        <v>0</v>
      </c>
      <c r="G121" s="197"/>
      <c r="H121" s="202"/>
      <c r="I121" s="201">
        <v>90</v>
      </c>
      <c r="J121" s="200">
        <v>0</v>
      </c>
      <c r="K121" s="199" t="s">
        <v>10</v>
      </c>
      <c r="L121" s="198">
        <f t="shared" si="21"/>
        <v>0</v>
      </c>
      <c r="M121" s="197"/>
      <c r="N121" s="197"/>
      <c r="O121" s="196"/>
      <c r="P121" s="167"/>
    </row>
    <row r="122" spans="1:16" ht="13.5" thickBot="1">
      <c r="A122" s="228"/>
      <c r="B122" s="226"/>
      <c r="C122" s="226"/>
      <c r="D122" s="226"/>
      <c r="E122" s="225"/>
      <c r="F122" s="224"/>
      <c r="G122" s="227"/>
      <c r="H122" s="226"/>
      <c r="I122" s="226"/>
      <c r="J122" s="226"/>
      <c r="K122" s="225"/>
      <c r="L122" s="224"/>
      <c r="M122" s="95"/>
      <c r="N122" s="95"/>
      <c r="O122" s="203"/>
      <c r="P122" s="167"/>
    </row>
    <row r="123" spans="1:16" ht="13.5" thickBot="1">
      <c r="A123" s="1543">
        <v>12</v>
      </c>
      <c r="B123" s="1546">
        <v>12</v>
      </c>
      <c r="C123" s="1547"/>
      <c r="D123" s="1547"/>
      <c r="E123" s="1547"/>
      <c r="F123" s="1548"/>
      <c r="G123" s="223"/>
      <c r="H123" s="1546">
        <f>B123</f>
        <v>12</v>
      </c>
      <c r="I123" s="1547"/>
      <c r="J123" s="1547"/>
      <c r="K123" s="1547"/>
      <c r="L123" s="1548"/>
      <c r="M123" s="223"/>
      <c r="N123" s="1553" t="s">
        <v>77</v>
      </c>
      <c r="O123" s="1554"/>
      <c r="P123" s="167"/>
    </row>
    <row r="124" spans="1:16" ht="13.5" thickBot="1">
      <c r="A124" s="1544"/>
      <c r="B124" s="1549" t="s">
        <v>72</v>
      </c>
      <c r="C124" s="1550"/>
      <c r="D124" s="1551" t="s">
        <v>7</v>
      </c>
      <c r="E124" s="1552"/>
      <c r="F124" s="1530" t="s">
        <v>2</v>
      </c>
      <c r="G124" s="95"/>
      <c r="H124" s="1549" t="s">
        <v>73</v>
      </c>
      <c r="I124" s="1550"/>
      <c r="J124" s="1551" t="s">
        <v>7</v>
      </c>
      <c r="K124" s="1552"/>
      <c r="L124" s="1530" t="s">
        <v>2</v>
      </c>
      <c r="M124" s="95"/>
      <c r="N124" s="222" t="s">
        <v>72</v>
      </c>
      <c r="O124" s="221">
        <v>0</v>
      </c>
      <c r="P124" s="167"/>
    </row>
    <row r="125" spans="1:16" ht="15" thickBot="1">
      <c r="A125" s="1544"/>
      <c r="B125" s="1532" t="s">
        <v>74</v>
      </c>
      <c r="C125" s="1533"/>
      <c r="D125" s="220">
        <v>2017</v>
      </c>
      <c r="E125" s="219" t="s">
        <v>10</v>
      </c>
      <c r="F125" s="1531"/>
      <c r="G125" s="95"/>
      <c r="H125" s="1534" t="s">
        <v>75</v>
      </c>
      <c r="I125" s="1535"/>
      <c r="J125" s="218">
        <f>D125</f>
        <v>2017</v>
      </c>
      <c r="K125" s="218" t="str">
        <f>E125</f>
        <v>-</v>
      </c>
      <c r="L125" s="1531"/>
      <c r="M125" s="95"/>
      <c r="N125" s="217" t="s">
        <v>75</v>
      </c>
      <c r="O125" s="216">
        <v>0</v>
      </c>
      <c r="P125" s="167"/>
    </row>
    <row r="126" spans="1:16" ht="13">
      <c r="A126" s="1544"/>
      <c r="B126" s="95"/>
      <c r="C126" s="215">
        <v>14.8</v>
      </c>
      <c r="D126" s="214">
        <v>0</v>
      </c>
      <c r="E126" s="213" t="s">
        <v>10</v>
      </c>
      <c r="F126" s="212">
        <f t="shared" ref="F126:F132" si="22">0.5*(MAX(D126:E126)-MIN(D126:E126))</f>
        <v>0</v>
      </c>
      <c r="G126" s="95"/>
      <c r="H126" s="208"/>
      <c r="I126" s="215">
        <v>45.7</v>
      </c>
      <c r="J126" s="214">
        <v>0</v>
      </c>
      <c r="K126" s="213" t="s">
        <v>10</v>
      </c>
      <c r="L126" s="212">
        <f t="shared" ref="L126:L132" si="23">0.5*(MAX(J126:K126)-MIN(J126:K126))</f>
        <v>0</v>
      </c>
      <c r="M126" s="95"/>
      <c r="N126" s="95"/>
      <c r="O126" s="203"/>
      <c r="P126" s="167"/>
    </row>
    <row r="127" spans="1:16" ht="13">
      <c r="A127" s="1544"/>
      <c r="B127" s="95"/>
      <c r="C127" s="211">
        <v>19.7</v>
      </c>
      <c r="D127" s="210">
        <v>0</v>
      </c>
      <c r="E127" s="209" t="s">
        <v>10</v>
      </c>
      <c r="F127" s="204">
        <f t="shared" si="22"/>
        <v>0</v>
      </c>
      <c r="G127" s="95"/>
      <c r="H127" s="208"/>
      <c r="I127" s="211">
        <v>54.3</v>
      </c>
      <c r="J127" s="210">
        <v>0</v>
      </c>
      <c r="K127" s="209" t="s">
        <v>10</v>
      </c>
      <c r="L127" s="204">
        <f t="shared" si="23"/>
        <v>0</v>
      </c>
      <c r="M127" s="95"/>
      <c r="N127" s="95"/>
      <c r="O127" s="203"/>
      <c r="P127" s="167"/>
    </row>
    <row r="128" spans="1:16" ht="13">
      <c r="A128" s="1544"/>
      <c r="B128" s="95"/>
      <c r="C128" s="211">
        <v>24.6</v>
      </c>
      <c r="D128" s="210">
        <v>0</v>
      </c>
      <c r="E128" s="209" t="s">
        <v>10</v>
      </c>
      <c r="F128" s="204">
        <f t="shared" si="22"/>
        <v>0</v>
      </c>
      <c r="G128" s="95"/>
      <c r="H128" s="208"/>
      <c r="I128" s="211">
        <v>62.5</v>
      </c>
      <c r="J128" s="210">
        <v>0</v>
      </c>
      <c r="K128" s="209" t="s">
        <v>10</v>
      </c>
      <c r="L128" s="204">
        <f t="shared" si="23"/>
        <v>0</v>
      </c>
      <c r="M128" s="95"/>
      <c r="N128" s="95"/>
      <c r="O128" s="203"/>
      <c r="P128" s="167"/>
    </row>
    <row r="129" spans="1:16" ht="13">
      <c r="A129" s="1544"/>
      <c r="B129" s="95"/>
      <c r="C129" s="207">
        <v>29.5</v>
      </c>
      <c r="D129" s="206">
        <v>0</v>
      </c>
      <c r="E129" s="205" t="s">
        <v>10</v>
      </c>
      <c r="F129" s="204">
        <f t="shared" si="22"/>
        <v>0</v>
      </c>
      <c r="G129" s="95"/>
      <c r="H129" s="208"/>
      <c r="I129" s="207">
        <v>71.5</v>
      </c>
      <c r="J129" s="206">
        <v>0</v>
      </c>
      <c r="K129" s="205" t="s">
        <v>10</v>
      </c>
      <c r="L129" s="204">
        <f t="shared" si="23"/>
        <v>0</v>
      </c>
      <c r="M129" s="95"/>
      <c r="N129" s="95"/>
      <c r="O129" s="203"/>
      <c r="P129" s="167"/>
    </row>
    <row r="130" spans="1:16" ht="13">
      <c r="A130" s="1544"/>
      <c r="B130" s="95"/>
      <c r="C130" s="207">
        <v>34.5</v>
      </c>
      <c r="D130" s="206">
        <v>0</v>
      </c>
      <c r="E130" s="205" t="s">
        <v>10</v>
      </c>
      <c r="F130" s="204">
        <f t="shared" si="22"/>
        <v>0</v>
      </c>
      <c r="G130" s="95"/>
      <c r="H130" s="208"/>
      <c r="I130" s="207">
        <v>80.8</v>
      </c>
      <c r="J130" s="206">
        <v>0</v>
      </c>
      <c r="K130" s="205" t="s">
        <v>10</v>
      </c>
      <c r="L130" s="204">
        <f t="shared" si="23"/>
        <v>0</v>
      </c>
      <c r="M130" s="95"/>
      <c r="N130" s="95"/>
      <c r="O130" s="203"/>
      <c r="P130" s="167"/>
    </row>
    <row r="131" spans="1:16" ht="13">
      <c r="A131" s="1544"/>
      <c r="B131" s="95"/>
      <c r="C131" s="207">
        <v>39.5</v>
      </c>
      <c r="D131" s="206">
        <v>0</v>
      </c>
      <c r="E131" s="205" t="s">
        <v>10</v>
      </c>
      <c r="F131" s="204">
        <f t="shared" si="22"/>
        <v>0</v>
      </c>
      <c r="G131" s="95"/>
      <c r="H131" s="208"/>
      <c r="I131" s="207">
        <v>88.7</v>
      </c>
      <c r="J131" s="206">
        <v>0</v>
      </c>
      <c r="K131" s="205" t="s">
        <v>10</v>
      </c>
      <c r="L131" s="204">
        <f t="shared" si="23"/>
        <v>0</v>
      </c>
      <c r="M131" s="95"/>
      <c r="N131" s="95"/>
      <c r="O131" s="203"/>
      <c r="P131" s="167"/>
    </row>
    <row r="132" spans="1:16" ht="13.5" thickBot="1">
      <c r="A132" s="1545"/>
      <c r="B132" s="197"/>
      <c r="C132" s="201">
        <v>40</v>
      </c>
      <c r="D132" s="200">
        <v>0</v>
      </c>
      <c r="E132" s="199" t="s">
        <v>10</v>
      </c>
      <c r="F132" s="198">
        <f t="shared" si="22"/>
        <v>0</v>
      </c>
      <c r="G132" s="197"/>
      <c r="H132" s="202"/>
      <c r="I132" s="201">
        <v>90</v>
      </c>
      <c r="J132" s="200">
        <v>0</v>
      </c>
      <c r="K132" s="199" t="s">
        <v>10</v>
      </c>
      <c r="L132" s="198">
        <f t="shared" si="23"/>
        <v>0</v>
      </c>
      <c r="M132" s="197"/>
      <c r="N132" s="197"/>
      <c r="O132" s="196"/>
      <c r="P132" s="167"/>
    </row>
    <row r="133" spans="1:16" ht="13.5" thickBot="1">
      <c r="A133" s="195"/>
      <c r="B133" s="194"/>
      <c r="C133" s="194"/>
      <c r="D133" s="194"/>
      <c r="E133" s="194"/>
      <c r="F133" s="194"/>
      <c r="G133" s="194"/>
      <c r="H133" s="194"/>
      <c r="I133" s="194"/>
      <c r="J133" s="194"/>
      <c r="K133" s="194"/>
      <c r="L133" s="194"/>
      <c r="M133" s="194"/>
      <c r="N133" s="194"/>
      <c r="O133" s="193"/>
      <c r="P133" s="167"/>
    </row>
    <row r="134" spans="1:16" ht="13.5" thickBot="1">
      <c r="A134" s="167"/>
      <c r="B134" s="167"/>
      <c r="C134" s="167"/>
      <c r="D134" s="167"/>
      <c r="E134" s="167"/>
      <c r="F134" s="167"/>
      <c r="G134" s="167"/>
      <c r="H134" s="167"/>
      <c r="I134" s="167"/>
      <c r="J134" s="167"/>
      <c r="K134" s="167"/>
      <c r="L134" s="167"/>
      <c r="M134" s="167"/>
      <c r="N134" s="167"/>
      <c r="O134" s="167"/>
      <c r="P134" s="167"/>
    </row>
    <row r="135" spans="1:16">
      <c r="A135" s="1504" t="s">
        <v>87</v>
      </c>
      <c r="B135" s="1506" t="s">
        <v>88</v>
      </c>
      <c r="C135" s="1508" t="s">
        <v>89</v>
      </c>
      <c r="D135" s="1508"/>
      <c r="E135" s="1508"/>
      <c r="F135" s="1508"/>
      <c r="G135" s="192"/>
      <c r="H135" s="1509" t="s">
        <v>87</v>
      </c>
      <c r="I135" s="1506" t="s">
        <v>88</v>
      </c>
      <c r="J135" s="1508" t="s">
        <v>89</v>
      </c>
      <c r="K135" s="1508"/>
      <c r="L135" s="1508"/>
      <c r="M135" s="1508"/>
      <c r="N135" s="191"/>
      <c r="O135" s="1540" t="s">
        <v>77</v>
      </c>
      <c r="P135" s="1541"/>
    </row>
    <row r="136" spans="1:16" ht="13.5">
      <c r="A136" s="1505"/>
      <c r="B136" s="1507"/>
      <c r="C136" s="189" t="s">
        <v>72</v>
      </c>
      <c r="D136" s="1542" t="s">
        <v>7</v>
      </c>
      <c r="E136" s="1542"/>
      <c r="F136" s="1542" t="s">
        <v>2</v>
      </c>
      <c r="G136" s="167"/>
      <c r="H136" s="1510"/>
      <c r="I136" s="1507"/>
      <c r="J136" s="189" t="s">
        <v>73</v>
      </c>
      <c r="K136" s="1542" t="s">
        <v>7</v>
      </c>
      <c r="L136" s="1542"/>
      <c r="M136" s="1542" t="s">
        <v>2</v>
      </c>
      <c r="N136" s="167"/>
      <c r="O136" s="1538" t="s">
        <v>72</v>
      </c>
      <c r="P136" s="1539"/>
    </row>
    <row r="137" spans="1:16" ht="14">
      <c r="A137" s="1505"/>
      <c r="B137" s="1507"/>
      <c r="C137" s="190" t="s">
        <v>90</v>
      </c>
      <c r="D137" s="189"/>
      <c r="E137" s="189"/>
      <c r="F137" s="1542"/>
      <c r="G137" s="167"/>
      <c r="H137" s="1510"/>
      <c r="I137" s="1507"/>
      <c r="J137" s="190" t="s">
        <v>75</v>
      </c>
      <c r="K137" s="189"/>
      <c r="L137" s="189"/>
      <c r="M137" s="1542"/>
      <c r="N137" s="167"/>
      <c r="O137" s="179">
        <v>1</v>
      </c>
      <c r="P137" s="180">
        <f>O3</f>
        <v>0.5</v>
      </c>
    </row>
    <row r="138" spans="1:16" ht="13">
      <c r="A138" s="1520" t="s">
        <v>339</v>
      </c>
      <c r="B138" s="170">
        <v>1</v>
      </c>
      <c r="C138" s="169">
        <f>C5</f>
        <v>15</v>
      </c>
      <c r="D138" s="169">
        <f>D5</f>
        <v>0.3</v>
      </c>
      <c r="E138" s="169">
        <f>E5</f>
        <v>0</v>
      </c>
      <c r="F138" s="169">
        <f>F5</f>
        <v>0.15</v>
      </c>
      <c r="G138" s="167"/>
      <c r="H138" s="1521" t="s">
        <v>339</v>
      </c>
      <c r="I138" s="170">
        <v>1</v>
      </c>
      <c r="J138" s="169">
        <f>I5</f>
        <v>35</v>
      </c>
      <c r="K138" s="169">
        <f>J5</f>
        <v>-9.4</v>
      </c>
      <c r="L138" s="169">
        <f>K5</f>
        <v>0</v>
      </c>
      <c r="M138" s="169">
        <f>L5</f>
        <v>4.7</v>
      </c>
      <c r="N138" s="167"/>
      <c r="O138" s="182">
        <v>2</v>
      </c>
      <c r="P138" s="183">
        <f>O14</f>
        <v>0.3</v>
      </c>
    </row>
    <row r="139" spans="1:16" ht="13">
      <c r="A139" s="1520"/>
      <c r="B139" s="170">
        <v>2</v>
      </c>
      <c r="C139" s="169">
        <f>C16</f>
        <v>15</v>
      </c>
      <c r="D139" s="169">
        <f>D16</f>
        <v>0</v>
      </c>
      <c r="E139" s="169">
        <f>E16</f>
        <v>0.5</v>
      </c>
      <c r="F139" s="169">
        <f>F16</f>
        <v>0.25</v>
      </c>
      <c r="G139" s="167"/>
      <c r="H139" s="1521"/>
      <c r="I139" s="170">
        <v>2</v>
      </c>
      <c r="J139" s="169">
        <f>I16</f>
        <v>35</v>
      </c>
      <c r="K139" s="169">
        <f>J16</f>
        <v>-1.6</v>
      </c>
      <c r="L139" s="169">
        <f>K16</f>
        <v>-0.9</v>
      </c>
      <c r="M139" s="169">
        <f>L16</f>
        <v>0.35000000000000003</v>
      </c>
      <c r="N139" s="167"/>
      <c r="O139" s="182">
        <v>3</v>
      </c>
      <c r="P139" s="181">
        <f>O25</f>
        <v>0.3</v>
      </c>
    </row>
    <row r="140" spans="1:16" ht="13">
      <c r="A140" s="1520"/>
      <c r="B140" s="170">
        <v>3</v>
      </c>
      <c r="C140" s="169">
        <f>C27</f>
        <v>15</v>
      </c>
      <c r="D140" s="169">
        <f>D27</f>
        <v>0</v>
      </c>
      <c r="E140" s="169">
        <f>E27</f>
        <v>0.2</v>
      </c>
      <c r="F140" s="169">
        <f>F27</f>
        <v>0.1</v>
      </c>
      <c r="G140" s="167"/>
      <c r="H140" s="1521"/>
      <c r="I140" s="170">
        <v>3</v>
      </c>
      <c r="J140" s="169">
        <f>I27</f>
        <v>30</v>
      </c>
      <c r="K140" s="169">
        <f>J27</f>
        <v>-5.7</v>
      </c>
      <c r="L140" s="169">
        <f>K27</f>
        <v>-1.1000000000000001</v>
      </c>
      <c r="M140" s="169">
        <f>L27</f>
        <v>2.2999999999999998</v>
      </c>
      <c r="N140" s="167"/>
      <c r="O140" s="182">
        <v>4</v>
      </c>
      <c r="P140" s="181">
        <f>O36</f>
        <v>0.6</v>
      </c>
    </row>
    <row r="141" spans="1:16" ht="13">
      <c r="A141" s="1520"/>
      <c r="B141" s="170">
        <v>4</v>
      </c>
      <c r="C141" s="184">
        <f>C38</f>
        <v>15</v>
      </c>
      <c r="D141" s="184">
        <f>D38</f>
        <v>-0.1</v>
      </c>
      <c r="E141" s="184">
        <f>E38</f>
        <v>0.4</v>
      </c>
      <c r="F141" s="184">
        <f>F38</f>
        <v>0.25</v>
      </c>
      <c r="G141" s="167"/>
      <c r="H141" s="1521"/>
      <c r="I141" s="170">
        <v>4</v>
      </c>
      <c r="J141" s="184">
        <f>I38</f>
        <v>35</v>
      </c>
      <c r="K141" s="184">
        <f>J38</f>
        <v>-1.7</v>
      </c>
      <c r="L141" s="184">
        <f>K38</f>
        <v>-0.8</v>
      </c>
      <c r="M141" s="184">
        <f>L38</f>
        <v>0.44999999999999996</v>
      </c>
      <c r="N141" s="167"/>
      <c r="O141" s="182">
        <v>5</v>
      </c>
      <c r="P141" s="181">
        <f>O47</f>
        <v>0.3</v>
      </c>
    </row>
    <row r="142" spans="1:16" ht="13">
      <c r="A142" s="1520"/>
      <c r="B142" s="170">
        <v>5</v>
      </c>
      <c r="C142" s="184">
        <f>C49</f>
        <v>15</v>
      </c>
      <c r="D142" s="184">
        <f>D49</f>
        <v>0.3</v>
      </c>
      <c r="E142" s="184">
        <f>E49</f>
        <v>0.4</v>
      </c>
      <c r="F142" s="184">
        <f>F49</f>
        <v>5.0000000000000017E-2</v>
      </c>
      <c r="G142" s="167"/>
      <c r="H142" s="1521"/>
      <c r="I142" s="170">
        <v>5</v>
      </c>
      <c r="J142" s="184">
        <f>I49</f>
        <v>35</v>
      </c>
      <c r="K142" s="184">
        <f>J49</f>
        <v>-9.6</v>
      </c>
      <c r="L142" s="184">
        <f>K49</f>
        <v>-1.6</v>
      </c>
      <c r="M142" s="184">
        <f>L49</f>
        <v>4</v>
      </c>
      <c r="N142" s="167"/>
      <c r="O142" s="179">
        <v>6</v>
      </c>
      <c r="P142" s="180">
        <f>O58</f>
        <v>0.5</v>
      </c>
    </row>
    <row r="143" spans="1:16" ht="13">
      <c r="A143" s="1520"/>
      <c r="B143" s="170">
        <v>6</v>
      </c>
      <c r="C143" s="184">
        <f>C60</f>
        <v>15</v>
      </c>
      <c r="D143" s="184">
        <f>D60</f>
        <v>0.4</v>
      </c>
      <c r="E143" s="184">
        <f>E60</f>
        <v>-0.2</v>
      </c>
      <c r="F143" s="184">
        <f>F60</f>
        <v>0.30000000000000004</v>
      </c>
      <c r="G143" s="167"/>
      <c r="H143" s="1521"/>
      <c r="I143" s="170">
        <v>6</v>
      </c>
      <c r="J143" s="184">
        <f>I60</f>
        <v>30</v>
      </c>
      <c r="K143" s="184">
        <f>J60</f>
        <v>1.7</v>
      </c>
      <c r="L143" s="184">
        <f>K60</f>
        <v>-4.9000000000000004</v>
      </c>
      <c r="M143" s="184">
        <f>L60</f>
        <v>3.3000000000000003</v>
      </c>
      <c r="N143" s="167"/>
      <c r="O143" s="179">
        <v>7</v>
      </c>
      <c r="P143" s="180">
        <f>O69</f>
        <v>0.3</v>
      </c>
    </row>
    <row r="144" spans="1:16" ht="13">
      <c r="A144" s="1520"/>
      <c r="B144" s="170">
        <v>7</v>
      </c>
      <c r="C144" s="184">
        <f>C71</f>
        <v>15</v>
      </c>
      <c r="D144" s="184">
        <f>D71</f>
        <v>0.3</v>
      </c>
      <c r="E144" s="184">
        <f>E71</f>
        <v>0.2</v>
      </c>
      <c r="F144" s="184">
        <f>F71</f>
        <v>4.9999999999999989E-2</v>
      </c>
      <c r="G144" s="167"/>
      <c r="H144" s="1521"/>
      <c r="I144" s="170">
        <v>7</v>
      </c>
      <c r="J144" s="184">
        <f>I71</f>
        <v>30</v>
      </c>
      <c r="K144" s="184">
        <f>J71</f>
        <v>1.8</v>
      </c>
      <c r="L144" s="184">
        <f>K71</f>
        <v>-0.1</v>
      </c>
      <c r="M144" s="184">
        <f>L71</f>
        <v>0.95000000000000007</v>
      </c>
      <c r="N144" s="167"/>
      <c r="O144" s="179">
        <v>8</v>
      </c>
      <c r="P144" s="180">
        <f>O80</f>
        <v>0.3</v>
      </c>
    </row>
    <row r="145" spans="1:16" ht="13">
      <c r="A145" s="1520"/>
      <c r="B145" s="170">
        <v>8</v>
      </c>
      <c r="C145" s="184">
        <f>C82</f>
        <v>15</v>
      </c>
      <c r="D145" s="184">
        <f>D82</f>
        <v>0</v>
      </c>
      <c r="E145" s="184">
        <f>E82</f>
        <v>-0.2</v>
      </c>
      <c r="F145" s="184">
        <f>F82</f>
        <v>0.1</v>
      </c>
      <c r="G145" s="167"/>
      <c r="H145" s="1521"/>
      <c r="I145" s="170">
        <v>8</v>
      </c>
      <c r="J145" s="184">
        <f>I82</f>
        <v>30</v>
      </c>
      <c r="K145" s="184">
        <f>J82</f>
        <v>-1.4</v>
      </c>
      <c r="L145" s="184">
        <f>K82</f>
        <v>1</v>
      </c>
      <c r="M145" s="184">
        <f>L82</f>
        <v>1.2</v>
      </c>
      <c r="N145" s="167"/>
      <c r="O145" s="179">
        <v>9</v>
      </c>
      <c r="P145" s="180">
        <f>O91</f>
        <v>0.3</v>
      </c>
    </row>
    <row r="146" spans="1:16" ht="13">
      <c r="A146" s="1520"/>
      <c r="B146" s="170">
        <v>9</v>
      </c>
      <c r="C146" s="184">
        <f>C93</f>
        <v>15</v>
      </c>
      <c r="D146" s="184">
        <f>D93</f>
        <v>0</v>
      </c>
      <c r="E146" s="184" t="str">
        <f>E93</f>
        <v>-</v>
      </c>
      <c r="F146" s="184">
        <f>F93</f>
        <v>0</v>
      </c>
      <c r="G146" s="167"/>
      <c r="H146" s="1521"/>
      <c r="I146" s="170">
        <v>9</v>
      </c>
      <c r="J146" s="184">
        <f>I93</f>
        <v>30</v>
      </c>
      <c r="K146" s="184">
        <f>J93</f>
        <v>-1.2</v>
      </c>
      <c r="L146" s="184" t="str">
        <f>K93</f>
        <v>-</v>
      </c>
      <c r="M146" s="184">
        <f>L93</f>
        <v>0</v>
      </c>
      <c r="N146" s="167"/>
      <c r="O146" s="179">
        <v>10</v>
      </c>
      <c r="P146" s="180">
        <f>O102</f>
        <v>0.3</v>
      </c>
    </row>
    <row r="147" spans="1:16" ht="13">
      <c r="A147" s="1520"/>
      <c r="B147" s="170">
        <v>10</v>
      </c>
      <c r="C147" s="184">
        <f>C104</f>
        <v>15</v>
      </c>
      <c r="D147" s="184">
        <f>D104</f>
        <v>0.2</v>
      </c>
      <c r="E147" s="184">
        <f>E104</f>
        <v>0.2</v>
      </c>
      <c r="F147" s="184">
        <f>F104</f>
        <v>0</v>
      </c>
      <c r="G147" s="167"/>
      <c r="H147" s="1521"/>
      <c r="I147" s="170">
        <v>10</v>
      </c>
      <c r="J147" s="184">
        <f>I104</f>
        <v>30</v>
      </c>
      <c r="K147" s="184">
        <f>J104</f>
        <v>-2.9</v>
      </c>
      <c r="L147" s="184">
        <f>K104</f>
        <v>-5.8</v>
      </c>
      <c r="M147" s="184">
        <f>L104</f>
        <v>1.45</v>
      </c>
      <c r="N147" s="167"/>
      <c r="O147" s="179">
        <v>11</v>
      </c>
      <c r="P147" s="180">
        <f>O113</f>
        <v>0.3</v>
      </c>
    </row>
    <row r="148" spans="1:16" ht="13">
      <c r="A148" s="1520"/>
      <c r="B148" s="170">
        <v>11</v>
      </c>
      <c r="C148" s="184">
        <f>C115</f>
        <v>14.8</v>
      </c>
      <c r="D148" s="184">
        <f>D115</f>
        <v>0.3</v>
      </c>
      <c r="E148" s="184" t="str">
        <f>E115</f>
        <v>-</v>
      </c>
      <c r="F148" s="184">
        <f>F115</f>
        <v>0</v>
      </c>
      <c r="G148" s="167"/>
      <c r="H148" s="1521"/>
      <c r="I148" s="170">
        <v>11</v>
      </c>
      <c r="J148" s="184">
        <f>I115</f>
        <v>45.7</v>
      </c>
      <c r="K148" s="184">
        <f>J115</f>
        <v>-6.4</v>
      </c>
      <c r="L148" s="184" t="str">
        <f>K115</f>
        <v>-</v>
      </c>
      <c r="M148" s="184">
        <f>L115</f>
        <v>0</v>
      </c>
      <c r="N148" s="167"/>
      <c r="O148" s="179">
        <v>12</v>
      </c>
      <c r="P148" s="180">
        <f>O124</f>
        <v>0</v>
      </c>
    </row>
    <row r="149" spans="1:16" ht="13">
      <c r="A149" s="1520"/>
      <c r="B149" s="170">
        <v>12</v>
      </c>
      <c r="C149" s="184">
        <f>C126</f>
        <v>14.8</v>
      </c>
      <c r="D149" s="184">
        <f>D126</f>
        <v>0</v>
      </c>
      <c r="E149" s="184" t="str">
        <f>E126</f>
        <v>-</v>
      </c>
      <c r="F149" s="184">
        <f>F126</f>
        <v>0</v>
      </c>
      <c r="G149" s="167"/>
      <c r="H149" s="1521"/>
      <c r="I149" s="170">
        <v>12</v>
      </c>
      <c r="J149" s="184">
        <f>I126</f>
        <v>45.7</v>
      </c>
      <c r="K149" s="184">
        <f>J126</f>
        <v>0</v>
      </c>
      <c r="L149" s="184" t="str">
        <f>K126</f>
        <v>-</v>
      </c>
      <c r="M149" s="184">
        <f>L126</f>
        <v>0</v>
      </c>
      <c r="N149" s="167"/>
      <c r="O149" s="167"/>
      <c r="P149" s="158"/>
    </row>
    <row r="150" spans="1:16" ht="13">
      <c r="A150" s="175"/>
      <c r="B150" s="173"/>
      <c r="C150" s="188"/>
      <c r="D150" s="188"/>
      <c r="E150" s="188"/>
      <c r="F150" s="187"/>
      <c r="G150" s="119"/>
      <c r="H150" s="186"/>
      <c r="I150" s="186"/>
      <c r="J150" s="185"/>
      <c r="K150" s="185"/>
      <c r="L150" s="185"/>
      <c r="M150" s="185"/>
      <c r="N150" s="119"/>
      <c r="O150" s="119"/>
      <c r="P150" s="118"/>
    </row>
    <row r="151" spans="1:16" ht="13">
      <c r="A151" s="1520" t="s">
        <v>340</v>
      </c>
      <c r="B151" s="170">
        <v>1</v>
      </c>
      <c r="C151" s="184">
        <f>C6</f>
        <v>20</v>
      </c>
      <c r="D151" s="184">
        <f>D6</f>
        <v>0.2</v>
      </c>
      <c r="E151" s="184">
        <f>E6</f>
        <v>0</v>
      </c>
      <c r="F151" s="184">
        <f>F6</f>
        <v>0.1</v>
      </c>
      <c r="G151" s="167"/>
      <c r="H151" s="1521" t="s">
        <v>340</v>
      </c>
      <c r="I151" s="170">
        <v>1</v>
      </c>
      <c r="J151" s="184">
        <f>I6</f>
        <v>40</v>
      </c>
      <c r="K151" s="184">
        <f>J50</f>
        <v>-8</v>
      </c>
      <c r="L151" s="184">
        <f>K50</f>
        <v>-1.8</v>
      </c>
      <c r="M151" s="184">
        <f>L50</f>
        <v>3.1</v>
      </c>
      <c r="N151" s="167"/>
      <c r="O151" s="1536" t="s">
        <v>77</v>
      </c>
      <c r="P151" s="1537"/>
    </row>
    <row r="152" spans="1:16" ht="13">
      <c r="A152" s="1520"/>
      <c r="B152" s="170">
        <v>2</v>
      </c>
      <c r="C152" s="184">
        <f>C17</f>
        <v>20</v>
      </c>
      <c r="D152" s="184">
        <f>D17</f>
        <v>-0.1</v>
      </c>
      <c r="E152" s="184">
        <f>E17</f>
        <v>0</v>
      </c>
      <c r="F152" s="184">
        <f>F17</f>
        <v>0.05</v>
      </c>
      <c r="G152" s="167"/>
      <c r="H152" s="1521"/>
      <c r="I152" s="170">
        <v>2</v>
      </c>
      <c r="J152" s="184">
        <f>I17</f>
        <v>40</v>
      </c>
      <c r="K152" s="184">
        <f>J17</f>
        <v>-1.6</v>
      </c>
      <c r="L152" s="184">
        <f>K17</f>
        <v>-1.1000000000000001</v>
      </c>
      <c r="M152" s="184">
        <f>L17</f>
        <v>0.25</v>
      </c>
      <c r="N152" s="167"/>
      <c r="O152" s="1538" t="s">
        <v>73</v>
      </c>
      <c r="P152" s="1539"/>
    </row>
    <row r="153" spans="1:16" ht="13">
      <c r="A153" s="1520"/>
      <c r="B153" s="170">
        <v>3</v>
      </c>
      <c r="C153" s="169">
        <f>C28</f>
        <v>20</v>
      </c>
      <c r="D153" s="169">
        <f>D28</f>
        <v>0</v>
      </c>
      <c r="E153" s="169">
        <f>E28</f>
        <v>0</v>
      </c>
      <c r="F153" s="169">
        <f>F28</f>
        <v>0</v>
      </c>
      <c r="G153" s="167"/>
      <c r="H153" s="1521"/>
      <c r="I153" s="170">
        <v>3</v>
      </c>
      <c r="J153" s="169">
        <f>I28</f>
        <v>40</v>
      </c>
      <c r="K153" s="169">
        <f>J28</f>
        <v>-5.3</v>
      </c>
      <c r="L153" s="169">
        <f>K28</f>
        <v>-1.9</v>
      </c>
      <c r="M153" s="169">
        <f>L28</f>
        <v>1.7</v>
      </c>
      <c r="N153" s="167"/>
      <c r="O153" s="179">
        <v>1</v>
      </c>
      <c r="P153" s="180">
        <f>O4</f>
        <v>3.3</v>
      </c>
    </row>
    <row r="154" spans="1:16" ht="13">
      <c r="A154" s="1520"/>
      <c r="B154" s="170">
        <v>4</v>
      </c>
      <c r="C154" s="169">
        <f>C39</f>
        <v>20</v>
      </c>
      <c r="D154" s="169">
        <f>D39</f>
        <v>-0.3</v>
      </c>
      <c r="E154" s="169">
        <f>E39</f>
        <v>0</v>
      </c>
      <c r="F154" s="169">
        <f>F39</f>
        <v>0.15</v>
      </c>
      <c r="G154" s="167"/>
      <c r="H154" s="1521"/>
      <c r="I154" s="170">
        <v>4</v>
      </c>
      <c r="J154" s="169">
        <f>I39</f>
        <v>40</v>
      </c>
      <c r="K154" s="169">
        <f>J39</f>
        <v>-1.5</v>
      </c>
      <c r="L154" s="169">
        <f>K39</f>
        <v>-0.9</v>
      </c>
      <c r="M154" s="169">
        <f>L39</f>
        <v>0.3</v>
      </c>
      <c r="N154" s="167"/>
      <c r="O154" s="182">
        <v>2</v>
      </c>
      <c r="P154" s="183">
        <f>O15</f>
        <v>3.3</v>
      </c>
    </row>
    <row r="155" spans="1:16" ht="13">
      <c r="A155" s="1520"/>
      <c r="B155" s="170">
        <v>5</v>
      </c>
      <c r="C155" s="169">
        <f>C50</f>
        <v>20</v>
      </c>
      <c r="D155" s="169">
        <f>D50</f>
        <v>0.3</v>
      </c>
      <c r="E155" s="169">
        <f>E50</f>
        <v>0</v>
      </c>
      <c r="F155" s="169">
        <f>F50</f>
        <v>0.15</v>
      </c>
      <c r="G155" s="167"/>
      <c r="H155" s="1521"/>
      <c r="I155" s="170">
        <v>5</v>
      </c>
      <c r="J155" s="169">
        <f>I50</f>
        <v>40</v>
      </c>
      <c r="K155" s="169">
        <f>J50</f>
        <v>-8</v>
      </c>
      <c r="L155" s="169">
        <f>K50</f>
        <v>-1.8</v>
      </c>
      <c r="M155" s="169">
        <f>L50</f>
        <v>3.1</v>
      </c>
      <c r="N155" s="167"/>
      <c r="O155" s="182">
        <v>3</v>
      </c>
      <c r="P155" s="181">
        <f>O26</f>
        <v>3.1</v>
      </c>
    </row>
    <row r="156" spans="1:16" ht="13">
      <c r="A156" s="1520"/>
      <c r="B156" s="170">
        <v>6</v>
      </c>
      <c r="C156" s="169">
        <f>C61</f>
        <v>20</v>
      </c>
      <c r="D156" s="169">
        <f>D61</f>
        <v>0.2</v>
      </c>
      <c r="E156" s="169">
        <f>E61</f>
        <v>0</v>
      </c>
      <c r="F156" s="169">
        <f>F61</f>
        <v>0.1</v>
      </c>
      <c r="G156" s="167"/>
      <c r="H156" s="1521"/>
      <c r="I156" s="170">
        <v>6</v>
      </c>
      <c r="J156" s="169">
        <f>I61</f>
        <v>40</v>
      </c>
      <c r="K156" s="169">
        <f>J61</f>
        <v>1.5</v>
      </c>
      <c r="L156" s="169">
        <f>K61</f>
        <v>-3.4</v>
      </c>
      <c r="M156" s="169">
        <f>L61</f>
        <v>2.4500000000000002</v>
      </c>
      <c r="N156" s="167"/>
      <c r="O156" s="182">
        <v>4</v>
      </c>
      <c r="P156" s="181">
        <f>O37</f>
        <v>2.6</v>
      </c>
    </row>
    <row r="157" spans="1:16" ht="13">
      <c r="A157" s="1520"/>
      <c r="B157" s="170">
        <v>7</v>
      </c>
      <c r="C157" s="169">
        <f>C72</f>
        <v>20</v>
      </c>
      <c r="D157" s="169">
        <f>D72</f>
        <v>0.1</v>
      </c>
      <c r="E157" s="169">
        <f>E72</f>
        <v>0.1</v>
      </c>
      <c r="F157" s="169">
        <f>F72</f>
        <v>0</v>
      </c>
      <c r="G157" s="167"/>
      <c r="H157" s="1521"/>
      <c r="I157" s="170">
        <v>7</v>
      </c>
      <c r="J157" s="169">
        <f>I72</f>
        <v>40</v>
      </c>
      <c r="K157" s="169">
        <f>J72</f>
        <v>1.2</v>
      </c>
      <c r="L157" s="169">
        <f>K72</f>
        <v>0</v>
      </c>
      <c r="M157" s="169">
        <f>L72</f>
        <v>0.6</v>
      </c>
      <c r="N157" s="167"/>
      <c r="O157" s="182">
        <v>5</v>
      </c>
      <c r="P157" s="181">
        <f>O48</f>
        <v>3.2</v>
      </c>
    </row>
    <row r="158" spans="1:16" ht="13">
      <c r="A158" s="1520"/>
      <c r="B158" s="170">
        <v>8</v>
      </c>
      <c r="C158" s="169">
        <f>C83</f>
        <v>20</v>
      </c>
      <c r="D158" s="169">
        <f>D83</f>
        <v>-0.2</v>
      </c>
      <c r="E158" s="169">
        <f>E83</f>
        <v>-0.2</v>
      </c>
      <c r="F158" s="169">
        <f>F83</f>
        <v>0</v>
      </c>
      <c r="G158" s="167"/>
      <c r="H158" s="1521"/>
      <c r="I158" s="170">
        <v>8</v>
      </c>
      <c r="J158" s="169">
        <f>I83</f>
        <v>40</v>
      </c>
      <c r="K158" s="169">
        <f>J83</f>
        <v>-1.2</v>
      </c>
      <c r="L158" s="169">
        <f>K83</f>
        <v>1.1000000000000001</v>
      </c>
      <c r="M158" s="169">
        <f>L83</f>
        <v>1.1499999999999999</v>
      </c>
      <c r="N158" s="167"/>
      <c r="O158" s="179">
        <v>6</v>
      </c>
      <c r="P158" s="180">
        <f>O59</f>
        <v>2</v>
      </c>
    </row>
    <row r="159" spans="1:16" ht="13">
      <c r="A159" s="1520"/>
      <c r="B159" s="170">
        <v>9</v>
      </c>
      <c r="C159" s="169">
        <f>C94</f>
        <v>20</v>
      </c>
      <c r="D159" s="169">
        <f>D94</f>
        <v>-0.2</v>
      </c>
      <c r="E159" s="169" t="str">
        <f>E94</f>
        <v>-</v>
      </c>
      <c r="F159" s="169">
        <f>F94</f>
        <v>0</v>
      </c>
      <c r="G159" s="167"/>
      <c r="H159" s="1521"/>
      <c r="I159" s="170">
        <v>9</v>
      </c>
      <c r="J159" s="169">
        <f>I94</f>
        <v>40</v>
      </c>
      <c r="K159" s="169">
        <f>J94</f>
        <v>-1</v>
      </c>
      <c r="L159" s="169" t="str">
        <f>K94</f>
        <v>-</v>
      </c>
      <c r="M159" s="169">
        <f>L94</f>
        <v>0</v>
      </c>
      <c r="N159" s="167"/>
      <c r="O159" s="179">
        <v>7</v>
      </c>
      <c r="P159" s="180">
        <f>O70</f>
        <v>2.2999999999999998</v>
      </c>
    </row>
    <row r="160" spans="1:16" ht="13">
      <c r="A160" s="1520"/>
      <c r="B160" s="170">
        <v>10</v>
      </c>
      <c r="C160" s="169">
        <f>C105</f>
        <v>20</v>
      </c>
      <c r="D160" s="169">
        <f>D105</f>
        <v>0.2</v>
      </c>
      <c r="E160" s="169">
        <f>E105</f>
        <v>-0.7</v>
      </c>
      <c r="F160" s="169">
        <f>F105</f>
        <v>0.44999999999999996</v>
      </c>
      <c r="G160" s="167"/>
      <c r="H160" s="1521"/>
      <c r="I160" s="170">
        <v>10</v>
      </c>
      <c r="J160" s="169">
        <f>I105</f>
        <v>40</v>
      </c>
      <c r="K160" s="169">
        <f>J105</f>
        <v>-3.3</v>
      </c>
      <c r="L160" s="169">
        <f>K105</f>
        <v>-6.4</v>
      </c>
      <c r="M160" s="169">
        <f>L105</f>
        <v>1.5500000000000003</v>
      </c>
      <c r="N160" s="167"/>
      <c r="O160" s="179">
        <v>8</v>
      </c>
      <c r="P160" s="180">
        <f>O81</f>
        <v>2.6</v>
      </c>
    </row>
    <row r="161" spans="1:16" ht="13">
      <c r="A161" s="1520"/>
      <c r="B161" s="170">
        <v>11</v>
      </c>
      <c r="C161" s="169">
        <f>C116</f>
        <v>19.7</v>
      </c>
      <c r="D161" s="169">
        <f>D116</f>
        <v>0.5</v>
      </c>
      <c r="E161" s="169" t="str">
        <f>E116</f>
        <v>-</v>
      </c>
      <c r="F161" s="169">
        <f>F116</f>
        <v>0</v>
      </c>
      <c r="G161" s="167"/>
      <c r="H161" s="1521"/>
      <c r="I161" s="170">
        <v>11</v>
      </c>
      <c r="J161" s="169">
        <f>I116</f>
        <v>54.3</v>
      </c>
      <c r="K161" s="169">
        <f>J116</f>
        <v>-5.9</v>
      </c>
      <c r="L161" s="169" t="str">
        <f>K116</f>
        <v>-</v>
      </c>
      <c r="M161" s="169">
        <f>L116</f>
        <v>0</v>
      </c>
      <c r="N161" s="167"/>
      <c r="O161" s="179">
        <v>9</v>
      </c>
      <c r="P161" s="180">
        <f>O92</f>
        <v>2.4</v>
      </c>
    </row>
    <row r="162" spans="1:16" ht="13">
      <c r="A162" s="1520"/>
      <c r="B162" s="170">
        <v>12</v>
      </c>
      <c r="C162" s="169">
        <f>C127</f>
        <v>19.7</v>
      </c>
      <c r="D162" s="169">
        <f>D127</f>
        <v>0</v>
      </c>
      <c r="E162" s="169" t="str">
        <f>E127</f>
        <v>-</v>
      </c>
      <c r="F162" s="169">
        <f>F127</f>
        <v>0</v>
      </c>
      <c r="G162" s="167"/>
      <c r="H162" s="1521"/>
      <c r="I162" s="170">
        <v>12</v>
      </c>
      <c r="J162" s="169">
        <f>I127</f>
        <v>54.3</v>
      </c>
      <c r="K162" s="169">
        <f>J127</f>
        <v>0</v>
      </c>
      <c r="L162" s="169" t="str">
        <f>K127</f>
        <v>-</v>
      </c>
      <c r="M162" s="169">
        <f>L127</f>
        <v>0</v>
      </c>
      <c r="N162" s="167"/>
      <c r="O162" s="179">
        <v>10</v>
      </c>
      <c r="P162" s="180">
        <f>O103</f>
        <v>1.5</v>
      </c>
    </row>
    <row r="163" spans="1:16" ht="13">
      <c r="A163" s="175"/>
      <c r="B163" s="173"/>
      <c r="C163" s="172"/>
      <c r="D163" s="172"/>
      <c r="E163" s="172"/>
      <c r="F163" s="171"/>
      <c r="G163" s="119"/>
      <c r="H163" s="175"/>
      <c r="I163" s="173"/>
      <c r="J163" s="172"/>
      <c r="K163" s="172"/>
      <c r="L163" s="172"/>
      <c r="M163" s="171"/>
      <c r="N163" s="167"/>
      <c r="O163" s="179">
        <v>11</v>
      </c>
      <c r="P163" s="180">
        <f>O114</f>
        <v>2.5</v>
      </c>
    </row>
    <row r="164" spans="1:16" ht="13">
      <c r="A164" s="1520" t="s">
        <v>341</v>
      </c>
      <c r="B164" s="170">
        <v>1</v>
      </c>
      <c r="C164" s="169">
        <f>C7</f>
        <v>25</v>
      </c>
      <c r="D164" s="169">
        <f>D7</f>
        <v>0.1</v>
      </c>
      <c r="E164" s="169">
        <f>E7</f>
        <v>0</v>
      </c>
      <c r="F164" s="169">
        <f>F7</f>
        <v>0.05</v>
      </c>
      <c r="G164" s="167"/>
      <c r="H164" s="1521" t="s">
        <v>341</v>
      </c>
      <c r="I164" s="170">
        <v>1</v>
      </c>
      <c r="J164" s="169">
        <f>I7</f>
        <v>50</v>
      </c>
      <c r="K164" s="169">
        <f>J7</f>
        <v>-7.2</v>
      </c>
      <c r="L164" s="169">
        <f>K7</f>
        <v>0</v>
      </c>
      <c r="M164" s="169">
        <f>L7</f>
        <v>3.6</v>
      </c>
      <c r="N164" s="167"/>
      <c r="O164" s="179">
        <v>12</v>
      </c>
      <c r="P164" s="178">
        <f>O125</f>
        <v>0</v>
      </c>
    </row>
    <row r="165" spans="1:16" ht="13">
      <c r="A165" s="1520"/>
      <c r="B165" s="170">
        <v>2</v>
      </c>
      <c r="C165" s="169">
        <f>C18</f>
        <v>25</v>
      </c>
      <c r="D165" s="169">
        <f>D18</f>
        <v>-0.2</v>
      </c>
      <c r="E165" s="169">
        <f>E18</f>
        <v>-0.5</v>
      </c>
      <c r="F165" s="169">
        <f>F18</f>
        <v>0.15</v>
      </c>
      <c r="G165" s="167"/>
      <c r="H165" s="1521"/>
      <c r="I165" s="170">
        <v>2</v>
      </c>
      <c r="J165" s="169">
        <f>I18</f>
        <v>50</v>
      </c>
      <c r="K165" s="169">
        <f>J18</f>
        <v>-1.5</v>
      </c>
      <c r="L165" s="169">
        <f>K18</f>
        <v>-1.4</v>
      </c>
      <c r="M165" s="169">
        <f>L18</f>
        <v>5.0000000000000044E-2</v>
      </c>
      <c r="N165" s="167"/>
      <c r="P165" s="177"/>
    </row>
    <row r="166" spans="1:16" ht="13">
      <c r="A166" s="1520"/>
      <c r="B166" s="170">
        <v>3</v>
      </c>
      <c r="C166" s="169">
        <f>C29</f>
        <v>25</v>
      </c>
      <c r="D166" s="169">
        <f>D29</f>
        <v>-0.1</v>
      </c>
      <c r="E166" s="169">
        <f>E29</f>
        <v>-0.2</v>
      </c>
      <c r="F166" s="169">
        <f>F29</f>
        <v>0.05</v>
      </c>
      <c r="G166" s="167"/>
      <c r="H166" s="1521"/>
      <c r="I166" s="170">
        <v>3</v>
      </c>
      <c r="J166" s="169">
        <f>I29</f>
        <v>50</v>
      </c>
      <c r="K166" s="169">
        <f>J29</f>
        <v>-4.9000000000000004</v>
      </c>
      <c r="L166" s="169">
        <f>K29</f>
        <v>-2.2999999999999998</v>
      </c>
      <c r="M166" s="169">
        <f>L29</f>
        <v>1.3000000000000003</v>
      </c>
      <c r="N166" s="167"/>
      <c r="O166" s="167"/>
      <c r="P166" s="158"/>
    </row>
    <row r="167" spans="1:16" ht="13">
      <c r="A167" s="1520"/>
      <c r="B167" s="170">
        <v>4</v>
      </c>
      <c r="C167" s="169">
        <f>C40</f>
        <v>25</v>
      </c>
      <c r="D167" s="169">
        <f>D40</f>
        <v>-0.5</v>
      </c>
      <c r="E167" s="169">
        <f>E40</f>
        <v>-0.5</v>
      </c>
      <c r="F167" s="169">
        <f>F40</f>
        <v>0</v>
      </c>
      <c r="G167" s="167"/>
      <c r="H167" s="1521"/>
      <c r="I167" s="170">
        <v>4</v>
      </c>
      <c r="J167" s="169">
        <f>I40</f>
        <v>50</v>
      </c>
      <c r="K167" s="169">
        <f>J40</f>
        <v>-1</v>
      </c>
      <c r="L167" s="169">
        <f>K40</f>
        <v>-1</v>
      </c>
      <c r="M167" s="169">
        <f>L40</f>
        <v>0</v>
      </c>
      <c r="N167" s="167"/>
      <c r="O167" s="167"/>
      <c r="P167" s="158"/>
    </row>
    <row r="168" spans="1:16" ht="13">
      <c r="A168" s="1520"/>
      <c r="B168" s="170">
        <v>5</v>
      </c>
      <c r="C168" s="169">
        <f>C51</f>
        <v>25</v>
      </c>
      <c r="D168" s="169">
        <f>D51</f>
        <v>0.2</v>
      </c>
      <c r="E168" s="169">
        <f>E51</f>
        <v>-0.3</v>
      </c>
      <c r="F168" s="169">
        <f>F51</f>
        <v>0.25</v>
      </c>
      <c r="G168" s="167"/>
      <c r="H168" s="1521"/>
      <c r="I168" s="170">
        <v>5</v>
      </c>
      <c r="J168" s="169">
        <f>I51</f>
        <v>50</v>
      </c>
      <c r="K168" s="169">
        <f>J51</f>
        <v>-6.2</v>
      </c>
      <c r="L168" s="169">
        <f>K51</f>
        <v>-2.1</v>
      </c>
      <c r="M168" s="169">
        <f>L51</f>
        <v>2.0499999999999998</v>
      </c>
      <c r="N168" s="167"/>
      <c r="O168" s="167"/>
      <c r="P168" s="158"/>
    </row>
    <row r="169" spans="1:16" ht="13">
      <c r="A169" s="1520"/>
      <c r="B169" s="170">
        <v>6</v>
      </c>
      <c r="C169" s="169">
        <f>C62</f>
        <v>25</v>
      </c>
      <c r="D169" s="169">
        <f>D62</f>
        <v>-0.1</v>
      </c>
      <c r="E169" s="169">
        <f>E62</f>
        <v>0.1</v>
      </c>
      <c r="F169" s="169">
        <f>F62</f>
        <v>0.1</v>
      </c>
      <c r="G169" s="167"/>
      <c r="H169" s="1521"/>
      <c r="I169" s="170">
        <v>6</v>
      </c>
      <c r="J169" s="169">
        <f>I62</f>
        <v>50</v>
      </c>
      <c r="K169" s="169">
        <f>J62</f>
        <v>1.2</v>
      </c>
      <c r="L169" s="169">
        <f>K62</f>
        <v>-2.5</v>
      </c>
      <c r="M169" s="169">
        <f>L62</f>
        <v>1.85</v>
      </c>
      <c r="N169" s="167"/>
      <c r="O169" s="167"/>
      <c r="P169" s="158"/>
    </row>
    <row r="170" spans="1:16" ht="13">
      <c r="A170" s="1520"/>
      <c r="B170" s="170">
        <v>7</v>
      </c>
      <c r="C170" s="169">
        <f>C73</f>
        <v>25</v>
      </c>
      <c r="D170" s="169">
        <f>D73</f>
        <v>-0.2</v>
      </c>
      <c r="E170" s="169">
        <f>E73</f>
        <v>0</v>
      </c>
      <c r="F170" s="169">
        <f>F73</f>
        <v>0.1</v>
      </c>
      <c r="G170" s="167"/>
      <c r="H170" s="1521"/>
      <c r="I170" s="170">
        <v>7</v>
      </c>
      <c r="J170" s="169">
        <f>I73</f>
        <v>50</v>
      </c>
      <c r="K170" s="169">
        <f>J73</f>
        <v>0.8</v>
      </c>
      <c r="L170" s="169">
        <f>K73</f>
        <v>0.6</v>
      </c>
      <c r="M170" s="169">
        <f>L73</f>
        <v>0.10000000000000003</v>
      </c>
      <c r="N170" s="167"/>
      <c r="O170" s="167"/>
      <c r="P170" s="158"/>
    </row>
    <row r="171" spans="1:16" ht="13">
      <c r="A171" s="1520"/>
      <c r="B171" s="170">
        <v>8</v>
      </c>
      <c r="C171" s="169">
        <f>C84</f>
        <v>25</v>
      </c>
      <c r="D171" s="169">
        <f>D84</f>
        <v>-0.4</v>
      </c>
      <c r="E171" s="169">
        <f>E84</f>
        <v>-0.2</v>
      </c>
      <c r="F171" s="169">
        <f>F84</f>
        <v>0.1</v>
      </c>
      <c r="G171" s="167"/>
      <c r="H171" s="1521"/>
      <c r="I171" s="170">
        <v>8</v>
      </c>
      <c r="J171" s="169">
        <f>I84</f>
        <v>50</v>
      </c>
      <c r="K171" s="169">
        <f>J84</f>
        <v>-1.2</v>
      </c>
      <c r="L171" s="169">
        <f>K84</f>
        <v>1.3</v>
      </c>
      <c r="M171" s="169">
        <f>L84</f>
        <v>1.25</v>
      </c>
      <c r="N171" s="167"/>
      <c r="O171" s="167"/>
      <c r="P171" s="158"/>
    </row>
    <row r="172" spans="1:16" ht="13">
      <c r="A172" s="1520"/>
      <c r="B172" s="170">
        <v>9</v>
      </c>
      <c r="C172" s="169">
        <f>C95</f>
        <v>25</v>
      </c>
      <c r="D172" s="169">
        <f>D95</f>
        <v>-0.4</v>
      </c>
      <c r="E172" s="169" t="str">
        <f>E95</f>
        <v>-</v>
      </c>
      <c r="F172" s="169">
        <f>F95</f>
        <v>0</v>
      </c>
      <c r="G172" s="167"/>
      <c r="H172" s="1521"/>
      <c r="I172" s="170">
        <v>9</v>
      </c>
      <c r="J172" s="169">
        <f>I95</f>
        <v>50</v>
      </c>
      <c r="K172" s="169">
        <f>J95</f>
        <v>-0.9</v>
      </c>
      <c r="L172" s="169" t="str">
        <f>K95</f>
        <v>-</v>
      </c>
      <c r="M172" s="169">
        <f>L95</f>
        <v>0</v>
      </c>
      <c r="N172" s="167"/>
      <c r="O172" s="167"/>
      <c r="P172" s="158"/>
    </row>
    <row r="173" spans="1:16" ht="13">
      <c r="A173" s="1520"/>
      <c r="B173" s="170">
        <v>10</v>
      </c>
      <c r="C173" s="169">
        <f>C106</f>
        <v>25</v>
      </c>
      <c r="D173" s="169">
        <f>D106</f>
        <v>0.1</v>
      </c>
      <c r="E173" s="169">
        <f>E106</f>
        <v>-0.5</v>
      </c>
      <c r="F173" s="169">
        <f>F106</f>
        <v>0.3</v>
      </c>
      <c r="G173" s="167"/>
      <c r="H173" s="1521"/>
      <c r="I173" s="170">
        <v>10</v>
      </c>
      <c r="J173" s="169">
        <f>I106</f>
        <v>50</v>
      </c>
      <c r="K173" s="169">
        <f>J106</f>
        <v>-3.1</v>
      </c>
      <c r="L173" s="169">
        <f>K106</f>
        <v>-6.1</v>
      </c>
      <c r="M173" s="169">
        <f>L106</f>
        <v>1.4999999999999998</v>
      </c>
      <c r="N173" s="167"/>
      <c r="O173" s="167"/>
      <c r="P173" s="158"/>
    </row>
    <row r="174" spans="1:16" ht="13">
      <c r="A174" s="1520"/>
      <c r="B174" s="170">
        <v>11</v>
      </c>
      <c r="C174" s="169">
        <f>C117</f>
        <v>24.6</v>
      </c>
      <c r="D174" s="169">
        <f>D117</f>
        <v>0.5</v>
      </c>
      <c r="E174" s="169" t="str">
        <f>E117</f>
        <v>-</v>
      </c>
      <c r="F174" s="169">
        <f>F117</f>
        <v>0</v>
      </c>
      <c r="G174" s="167"/>
      <c r="H174" s="1521"/>
      <c r="I174" s="170">
        <v>11</v>
      </c>
      <c r="J174" s="169">
        <f>I117</f>
        <v>62.5</v>
      </c>
      <c r="K174" s="169">
        <f>J117</f>
        <v>-5.6</v>
      </c>
      <c r="L174" s="169" t="str">
        <f>K117</f>
        <v>-</v>
      </c>
      <c r="M174" s="169">
        <f>L117</f>
        <v>0</v>
      </c>
      <c r="N174" s="167"/>
      <c r="O174" s="167"/>
      <c r="P174" s="158"/>
    </row>
    <row r="175" spans="1:16" ht="13">
      <c r="A175" s="1520"/>
      <c r="B175" s="170">
        <v>12</v>
      </c>
      <c r="C175" s="169">
        <f>C128</f>
        <v>24.6</v>
      </c>
      <c r="D175" s="169">
        <f>D128</f>
        <v>0</v>
      </c>
      <c r="E175" s="169" t="str">
        <f>E128</f>
        <v>-</v>
      </c>
      <c r="F175" s="169">
        <f>F128</f>
        <v>0</v>
      </c>
      <c r="G175" s="167"/>
      <c r="H175" s="1521"/>
      <c r="I175" s="170">
        <v>12</v>
      </c>
      <c r="J175" s="169">
        <f>I128</f>
        <v>62.5</v>
      </c>
      <c r="K175" s="169">
        <f>J128</f>
        <v>0</v>
      </c>
      <c r="L175" s="169" t="str">
        <f>K128</f>
        <v>-</v>
      </c>
      <c r="M175" s="169">
        <f>L128</f>
        <v>0</v>
      </c>
      <c r="N175" s="167"/>
      <c r="O175" s="167"/>
      <c r="P175" s="158"/>
    </row>
    <row r="176" spans="1:16" ht="13">
      <c r="A176" s="175"/>
      <c r="B176" s="173"/>
      <c r="C176" s="172"/>
      <c r="D176" s="172"/>
      <c r="E176" s="172"/>
      <c r="F176" s="171"/>
      <c r="G176" s="119"/>
      <c r="H176" s="175"/>
      <c r="I176" s="176"/>
      <c r="J176" s="172"/>
      <c r="K176" s="172"/>
      <c r="L176" s="172"/>
      <c r="M176" s="171"/>
      <c r="N176" s="167"/>
      <c r="O176" s="167"/>
      <c r="P176" s="158"/>
    </row>
    <row r="177" spans="1:16" ht="13">
      <c r="A177" s="1520" t="s">
        <v>342</v>
      </c>
      <c r="B177" s="170">
        <v>1</v>
      </c>
      <c r="C177" s="169">
        <f>C8</f>
        <v>30</v>
      </c>
      <c r="D177" s="169">
        <f>D8</f>
        <v>-0.2</v>
      </c>
      <c r="E177" s="169">
        <f>E8</f>
        <v>0</v>
      </c>
      <c r="F177" s="169">
        <f>F8</f>
        <v>0.1</v>
      </c>
      <c r="G177" s="167"/>
      <c r="H177" s="1521" t="s">
        <v>342</v>
      </c>
      <c r="I177" s="170">
        <v>1</v>
      </c>
      <c r="J177" s="169">
        <f>I8</f>
        <v>60</v>
      </c>
      <c r="K177" s="169">
        <f>J8</f>
        <v>-5.2</v>
      </c>
      <c r="L177" s="169">
        <f>K8</f>
        <v>0</v>
      </c>
      <c r="M177" s="169">
        <f>L8</f>
        <v>2.6</v>
      </c>
      <c r="N177" s="167"/>
      <c r="O177" s="167"/>
      <c r="P177" s="158"/>
    </row>
    <row r="178" spans="1:16" ht="13">
      <c r="A178" s="1520"/>
      <c r="B178" s="170">
        <v>2</v>
      </c>
      <c r="C178" s="169">
        <f>C19</f>
        <v>30</v>
      </c>
      <c r="D178" s="169">
        <f>D19</f>
        <v>-0.3</v>
      </c>
      <c r="E178" s="169">
        <f>E19</f>
        <v>-1</v>
      </c>
      <c r="F178" s="169">
        <f>F19</f>
        <v>0.35</v>
      </c>
      <c r="G178" s="167"/>
      <c r="H178" s="1521"/>
      <c r="I178" s="170">
        <v>2</v>
      </c>
      <c r="J178" s="169">
        <f>I19</f>
        <v>60</v>
      </c>
      <c r="K178" s="169">
        <f>J19</f>
        <v>-1.3</v>
      </c>
      <c r="L178" s="169">
        <f>K19</f>
        <v>-1.3</v>
      </c>
      <c r="M178" s="169">
        <f>L19</f>
        <v>0</v>
      </c>
      <c r="N178" s="167"/>
      <c r="O178" s="167"/>
      <c r="P178" s="158"/>
    </row>
    <row r="179" spans="1:16" ht="13">
      <c r="A179" s="1520"/>
      <c r="B179" s="170">
        <v>3</v>
      </c>
      <c r="C179" s="169">
        <f>C30</f>
        <v>30</v>
      </c>
      <c r="D179" s="169">
        <f>D30</f>
        <v>-0.3</v>
      </c>
      <c r="E179" s="169">
        <f>E30</f>
        <v>-0.3</v>
      </c>
      <c r="F179" s="169">
        <f>F30</f>
        <v>0</v>
      </c>
      <c r="G179" s="167"/>
      <c r="H179" s="1521"/>
      <c r="I179" s="170">
        <v>3</v>
      </c>
      <c r="J179" s="169">
        <f>I30</f>
        <v>60</v>
      </c>
      <c r="K179" s="169">
        <f>J30</f>
        <v>-4.3</v>
      </c>
      <c r="L179" s="169">
        <f>K30</f>
        <v>-2.2000000000000002</v>
      </c>
      <c r="M179" s="169">
        <f>L30</f>
        <v>1.0499999999999998</v>
      </c>
      <c r="N179" s="167"/>
      <c r="O179" s="167"/>
      <c r="P179" s="158"/>
    </row>
    <row r="180" spans="1:16" ht="13">
      <c r="A180" s="1520"/>
      <c r="B180" s="170">
        <v>4</v>
      </c>
      <c r="C180" s="169">
        <f>C41</f>
        <v>30</v>
      </c>
      <c r="D180" s="169">
        <f>D41</f>
        <v>-0.6</v>
      </c>
      <c r="E180" s="169">
        <f>E41</f>
        <v>-1</v>
      </c>
      <c r="F180" s="169">
        <f>F41</f>
        <v>0.2</v>
      </c>
      <c r="G180" s="167"/>
      <c r="H180" s="1521"/>
      <c r="I180" s="170">
        <v>4</v>
      </c>
      <c r="J180" s="169">
        <f>I41</f>
        <v>60</v>
      </c>
      <c r="K180" s="169">
        <f>J41</f>
        <v>-0.3</v>
      </c>
      <c r="L180" s="169">
        <f>K41</f>
        <v>-0.9</v>
      </c>
      <c r="M180" s="169">
        <f>L41</f>
        <v>0.30000000000000004</v>
      </c>
      <c r="N180" s="167"/>
      <c r="O180" s="167"/>
      <c r="P180" s="158"/>
    </row>
    <row r="181" spans="1:16" ht="13">
      <c r="A181" s="1520"/>
      <c r="B181" s="170">
        <v>5</v>
      </c>
      <c r="C181" s="169">
        <f>C52</f>
        <v>30</v>
      </c>
      <c r="D181" s="169">
        <f>D52</f>
        <v>0.1</v>
      </c>
      <c r="E181" s="169">
        <f>E52</f>
        <v>-0.7</v>
      </c>
      <c r="F181" s="169">
        <f>F52</f>
        <v>0.39999999999999997</v>
      </c>
      <c r="G181" s="167"/>
      <c r="H181" s="1521"/>
      <c r="I181" s="170">
        <v>5</v>
      </c>
      <c r="J181" s="169">
        <f>I52</f>
        <v>60</v>
      </c>
      <c r="K181" s="169">
        <f>J52</f>
        <v>-4.2</v>
      </c>
      <c r="L181" s="169">
        <f>K52</f>
        <v>-2</v>
      </c>
      <c r="M181" s="169">
        <f>L52</f>
        <v>1.1000000000000001</v>
      </c>
      <c r="N181" s="167"/>
      <c r="O181" s="167"/>
      <c r="P181" s="158"/>
    </row>
    <row r="182" spans="1:16" ht="13">
      <c r="A182" s="1520"/>
      <c r="B182" s="170">
        <v>6</v>
      </c>
      <c r="C182" s="169">
        <f>C63</f>
        <v>30</v>
      </c>
      <c r="D182" s="169">
        <f>D63</f>
        <v>-0.5</v>
      </c>
      <c r="E182" s="169">
        <f>E63</f>
        <v>0.13</v>
      </c>
      <c r="F182" s="169">
        <f>F63</f>
        <v>0.315</v>
      </c>
      <c r="G182" s="167"/>
      <c r="H182" s="1521"/>
      <c r="I182" s="170">
        <v>6</v>
      </c>
      <c r="J182" s="169">
        <f>I63</f>
        <v>60</v>
      </c>
      <c r="K182" s="169">
        <f>J63</f>
        <v>1.1000000000000001</v>
      </c>
      <c r="L182" s="169">
        <f>K63</f>
        <v>-2</v>
      </c>
      <c r="M182" s="169">
        <f>L63</f>
        <v>1.55</v>
      </c>
      <c r="N182" s="167"/>
      <c r="O182" s="167"/>
      <c r="P182" s="158"/>
    </row>
    <row r="183" spans="1:16" ht="13">
      <c r="A183" s="1520"/>
      <c r="B183" s="170">
        <v>7</v>
      </c>
      <c r="C183" s="169">
        <f>C74</f>
        <v>30</v>
      </c>
      <c r="D183" s="169">
        <f>D74</f>
        <v>-0.6</v>
      </c>
      <c r="E183" s="169">
        <f>E74</f>
        <v>-0.1</v>
      </c>
      <c r="F183" s="169">
        <f>F74</f>
        <v>0.25</v>
      </c>
      <c r="G183" s="167"/>
      <c r="H183" s="1521"/>
      <c r="I183" s="170">
        <v>7</v>
      </c>
      <c r="J183" s="169">
        <f>I74</f>
        <v>60</v>
      </c>
      <c r="K183" s="169">
        <f>J74</f>
        <v>0.7</v>
      </c>
      <c r="L183" s="169">
        <f>K74</f>
        <v>1.5</v>
      </c>
      <c r="M183" s="169">
        <f>L74</f>
        <v>0.4</v>
      </c>
      <c r="N183" s="167"/>
      <c r="O183" s="167"/>
      <c r="P183" s="158"/>
    </row>
    <row r="184" spans="1:16" ht="13">
      <c r="A184" s="1520"/>
      <c r="B184" s="170">
        <v>8</v>
      </c>
      <c r="C184" s="169">
        <f>C85</f>
        <v>30</v>
      </c>
      <c r="D184" s="169">
        <f>D85</f>
        <v>-0.4</v>
      </c>
      <c r="E184" s="169">
        <f>E85</f>
        <v>-0.2</v>
      </c>
      <c r="F184" s="169">
        <f>F85</f>
        <v>0.1</v>
      </c>
      <c r="G184" s="167"/>
      <c r="H184" s="1521"/>
      <c r="I184" s="170">
        <v>8</v>
      </c>
      <c r="J184" s="169">
        <f>I85</f>
        <v>60</v>
      </c>
      <c r="K184" s="169">
        <f>J85</f>
        <v>-1.1000000000000001</v>
      </c>
      <c r="L184" s="169">
        <f>K85</f>
        <v>1.7</v>
      </c>
      <c r="M184" s="169">
        <f>L85</f>
        <v>1.4</v>
      </c>
      <c r="N184" s="167"/>
      <c r="O184" s="167"/>
      <c r="P184" s="158"/>
    </row>
    <row r="185" spans="1:16" ht="13">
      <c r="A185" s="1520"/>
      <c r="B185" s="170">
        <v>9</v>
      </c>
      <c r="C185" s="169">
        <f>C96</f>
        <v>30</v>
      </c>
      <c r="D185" s="169">
        <f>D96</f>
        <v>-0.5</v>
      </c>
      <c r="E185" s="169" t="str">
        <f>E96</f>
        <v>-</v>
      </c>
      <c r="F185" s="169">
        <f>F96</f>
        <v>0</v>
      </c>
      <c r="G185" s="167"/>
      <c r="H185" s="1521"/>
      <c r="I185" s="170">
        <v>9</v>
      </c>
      <c r="J185" s="169">
        <f>I96</f>
        <v>60</v>
      </c>
      <c r="K185" s="169">
        <f>J96</f>
        <v>-0.8</v>
      </c>
      <c r="L185" s="169" t="str">
        <f>K96</f>
        <v>-</v>
      </c>
      <c r="M185" s="169">
        <f>L96</f>
        <v>0</v>
      </c>
      <c r="N185" s="167"/>
      <c r="O185" s="167"/>
      <c r="P185" s="158"/>
    </row>
    <row r="186" spans="1:16" ht="13">
      <c r="A186" s="1520"/>
      <c r="B186" s="170">
        <v>10</v>
      </c>
      <c r="C186" s="169">
        <f>C107</f>
        <v>30</v>
      </c>
      <c r="D186" s="169">
        <f>D107</f>
        <v>0.1</v>
      </c>
      <c r="E186" s="169">
        <f>E107</f>
        <v>0.2</v>
      </c>
      <c r="F186" s="169">
        <f>F107</f>
        <v>0.05</v>
      </c>
      <c r="G186" s="167"/>
      <c r="H186" s="1521"/>
      <c r="I186" s="170">
        <v>10</v>
      </c>
      <c r="J186" s="169">
        <f>I107</f>
        <v>60</v>
      </c>
      <c r="K186" s="169">
        <f>J107</f>
        <v>-2.1</v>
      </c>
      <c r="L186" s="169">
        <f>K107</f>
        <v>-5.6</v>
      </c>
      <c r="M186" s="169">
        <f>L107</f>
        <v>1.7499999999999998</v>
      </c>
      <c r="N186" s="167"/>
      <c r="O186" s="167"/>
      <c r="P186" s="158"/>
    </row>
    <row r="187" spans="1:16" ht="13">
      <c r="A187" s="1520"/>
      <c r="B187" s="170">
        <v>11</v>
      </c>
      <c r="C187" s="169">
        <f>C118</f>
        <v>29.5</v>
      </c>
      <c r="D187" s="169">
        <f>D118</f>
        <v>0.4</v>
      </c>
      <c r="E187" s="169" t="str">
        <f>E118</f>
        <v>-</v>
      </c>
      <c r="F187" s="169">
        <f>F118</f>
        <v>0</v>
      </c>
      <c r="G187" s="167"/>
      <c r="H187" s="1521"/>
      <c r="I187" s="170">
        <v>11</v>
      </c>
      <c r="J187" s="169">
        <f>I118</f>
        <v>71.5</v>
      </c>
      <c r="K187" s="169">
        <f>J118</f>
        <v>-4.5</v>
      </c>
      <c r="L187" s="169" t="str">
        <f>K118</f>
        <v>-</v>
      </c>
      <c r="M187" s="169">
        <f>L118</f>
        <v>0</v>
      </c>
      <c r="N187" s="167"/>
      <c r="O187" s="167"/>
      <c r="P187" s="158"/>
    </row>
    <row r="188" spans="1:16" ht="13">
      <c r="A188" s="1520"/>
      <c r="B188" s="170">
        <v>12</v>
      </c>
      <c r="C188" s="169">
        <f>C129</f>
        <v>29.5</v>
      </c>
      <c r="D188" s="169">
        <f>D129</f>
        <v>0</v>
      </c>
      <c r="E188" s="169" t="str">
        <f>E129</f>
        <v>-</v>
      </c>
      <c r="F188" s="169">
        <f>F129</f>
        <v>0</v>
      </c>
      <c r="G188" s="167"/>
      <c r="H188" s="1521"/>
      <c r="I188" s="170">
        <v>12</v>
      </c>
      <c r="J188" s="169">
        <f>I129</f>
        <v>71.5</v>
      </c>
      <c r="K188" s="169">
        <f>J129</f>
        <v>0</v>
      </c>
      <c r="L188" s="169" t="str">
        <f>K129</f>
        <v>-</v>
      </c>
      <c r="M188" s="169">
        <f>L129</f>
        <v>0</v>
      </c>
      <c r="N188" s="167"/>
      <c r="O188" s="167"/>
      <c r="P188" s="158"/>
    </row>
    <row r="189" spans="1:16" ht="13">
      <c r="A189" s="175"/>
      <c r="B189" s="173"/>
      <c r="C189" s="172"/>
      <c r="D189" s="172"/>
      <c r="E189" s="172"/>
      <c r="F189" s="171"/>
      <c r="G189" s="119"/>
      <c r="H189" s="175"/>
      <c r="I189" s="176"/>
      <c r="J189" s="172"/>
      <c r="K189" s="172"/>
      <c r="L189" s="172"/>
      <c r="M189" s="171"/>
      <c r="N189" s="167"/>
      <c r="O189" s="167"/>
      <c r="P189" s="158"/>
    </row>
    <row r="190" spans="1:16" ht="13">
      <c r="A190" s="1520" t="s">
        <v>343</v>
      </c>
      <c r="B190" s="170">
        <v>1</v>
      </c>
      <c r="C190" s="169">
        <f>C9</f>
        <v>35</v>
      </c>
      <c r="D190" s="169">
        <f>D9</f>
        <v>-0.5</v>
      </c>
      <c r="E190" s="169">
        <f>E9</f>
        <v>0</v>
      </c>
      <c r="F190" s="169">
        <f>F9</f>
        <v>0.25</v>
      </c>
      <c r="G190" s="167"/>
      <c r="H190" s="1521" t="s">
        <v>343</v>
      </c>
      <c r="I190" s="170">
        <v>1</v>
      </c>
      <c r="J190" s="169">
        <f>I20</f>
        <v>70</v>
      </c>
      <c r="K190" s="169">
        <f>J20</f>
        <v>-1.1000000000000001</v>
      </c>
      <c r="L190" s="169">
        <f>K20</f>
        <v>-1</v>
      </c>
      <c r="M190" s="169">
        <f>L20</f>
        <v>5.0000000000000044E-2</v>
      </c>
      <c r="N190" s="167"/>
      <c r="O190" s="167"/>
      <c r="P190" s="158"/>
    </row>
    <row r="191" spans="1:16" ht="13">
      <c r="A191" s="1520"/>
      <c r="B191" s="170">
        <v>2</v>
      </c>
      <c r="C191" s="169">
        <f>C20</f>
        <v>35</v>
      </c>
      <c r="D191" s="169">
        <f>D20</f>
        <v>-0.3</v>
      </c>
      <c r="E191" s="169">
        <f>E20</f>
        <v>-1.6</v>
      </c>
      <c r="F191" s="169">
        <f>F20</f>
        <v>0.65</v>
      </c>
      <c r="G191" s="167"/>
      <c r="H191" s="1521"/>
      <c r="I191" s="170">
        <v>2</v>
      </c>
      <c r="J191" s="169">
        <f>I20</f>
        <v>70</v>
      </c>
      <c r="K191" s="169">
        <f>J20</f>
        <v>-1.1000000000000001</v>
      </c>
      <c r="L191" s="169">
        <f>K20</f>
        <v>-1</v>
      </c>
      <c r="M191" s="169">
        <f>L20</f>
        <v>5.0000000000000044E-2</v>
      </c>
      <c r="N191" s="167"/>
      <c r="O191" s="167"/>
      <c r="P191" s="158"/>
    </row>
    <row r="192" spans="1:16" ht="13">
      <c r="A192" s="1520"/>
      <c r="B192" s="170">
        <v>3</v>
      </c>
      <c r="C192" s="169">
        <f>C31</f>
        <v>35</v>
      </c>
      <c r="D192" s="169">
        <f>D31</f>
        <v>-0.5</v>
      </c>
      <c r="E192" s="169">
        <f>E31</f>
        <v>-0.4</v>
      </c>
      <c r="F192" s="169">
        <f>F31</f>
        <v>4.9999999999999989E-2</v>
      </c>
      <c r="G192" s="167"/>
      <c r="H192" s="1521"/>
      <c r="I192" s="170">
        <v>3</v>
      </c>
      <c r="J192" s="169">
        <f>I31</f>
        <v>70</v>
      </c>
      <c r="K192" s="169">
        <f>J31</f>
        <v>-3.6</v>
      </c>
      <c r="L192" s="169">
        <f>K31</f>
        <v>-1.6</v>
      </c>
      <c r="M192" s="169">
        <f>L31</f>
        <v>1</v>
      </c>
      <c r="N192" s="167"/>
      <c r="O192" s="167"/>
      <c r="P192" s="158"/>
    </row>
    <row r="193" spans="1:16" ht="13">
      <c r="A193" s="1520"/>
      <c r="B193" s="170">
        <v>4</v>
      </c>
      <c r="C193" s="169">
        <f>C42</f>
        <v>35</v>
      </c>
      <c r="D193" s="169">
        <f>D42</f>
        <v>-0.6</v>
      </c>
      <c r="E193" s="169">
        <f>E42</f>
        <v>-1.5</v>
      </c>
      <c r="F193" s="169">
        <f>F42</f>
        <v>0.45</v>
      </c>
      <c r="G193" s="167"/>
      <c r="H193" s="1521"/>
      <c r="I193" s="170">
        <v>4</v>
      </c>
      <c r="J193" s="169">
        <f>I42</f>
        <v>70</v>
      </c>
      <c r="K193" s="169">
        <f>J42</f>
        <v>0.7</v>
      </c>
      <c r="L193" s="169">
        <f>K42</f>
        <v>-0.7</v>
      </c>
      <c r="M193" s="169">
        <f>L42</f>
        <v>0.7</v>
      </c>
      <c r="N193" s="167"/>
      <c r="O193" s="167"/>
      <c r="P193" s="158"/>
    </row>
    <row r="194" spans="1:16" ht="13">
      <c r="A194" s="1520"/>
      <c r="B194" s="170">
        <v>5</v>
      </c>
      <c r="C194" s="169">
        <f>C53</f>
        <v>35</v>
      </c>
      <c r="D194" s="169">
        <f>D53</f>
        <v>0</v>
      </c>
      <c r="E194" s="169">
        <f>E53</f>
        <v>-1.1000000000000001</v>
      </c>
      <c r="F194" s="169">
        <f>F53</f>
        <v>0.55000000000000004</v>
      </c>
      <c r="G194" s="167"/>
      <c r="H194" s="1521"/>
      <c r="I194" s="170">
        <v>5</v>
      </c>
      <c r="J194" s="169">
        <f>I53</f>
        <v>70</v>
      </c>
      <c r="K194" s="169">
        <f>J53</f>
        <v>-2.1</v>
      </c>
      <c r="L194" s="169">
        <f>K53</f>
        <v>-1.6</v>
      </c>
      <c r="M194" s="169">
        <f>L53</f>
        <v>0.25</v>
      </c>
      <c r="N194" s="167"/>
      <c r="O194" s="167"/>
      <c r="P194" s="158"/>
    </row>
    <row r="195" spans="1:16" ht="13">
      <c r="A195" s="1520"/>
      <c r="B195" s="170">
        <v>6</v>
      </c>
      <c r="C195" s="169">
        <f>C64</f>
        <v>35</v>
      </c>
      <c r="D195" s="169">
        <f>D64</f>
        <v>-0.9</v>
      </c>
      <c r="E195" s="169">
        <f>E64</f>
        <v>0.1</v>
      </c>
      <c r="F195" s="169">
        <f>F64</f>
        <v>0.5</v>
      </c>
      <c r="G195" s="167"/>
      <c r="H195" s="1521"/>
      <c r="I195" s="170">
        <v>6</v>
      </c>
      <c r="J195" s="169">
        <f>I64</f>
        <v>70</v>
      </c>
      <c r="K195" s="169">
        <f>J64</f>
        <v>0.9</v>
      </c>
      <c r="L195" s="169">
        <f>K64</f>
        <v>-2.1</v>
      </c>
      <c r="M195" s="169">
        <f>L64</f>
        <v>1.5</v>
      </c>
      <c r="N195" s="167"/>
      <c r="O195" s="167"/>
      <c r="P195" s="158"/>
    </row>
    <row r="196" spans="1:16" ht="13">
      <c r="A196" s="1520"/>
      <c r="B196" s="170">
        <v>7</v>
      </c>
      <c r="C196" s="169">
        <f>C75</f>
        <v>35</v>
      </c>
      <c r="D196" s="169">
        <f>D75</f>
        <v>-1.1000000000000001</v>
      </c>
      <c r="E196" s="169">
        <f>E75</f>
        <v>-0.1</v>
      </c>
      <c r="F196" s="169">
        <f>F75</f>
        <v>0.5</v>
      </c>
      <c r="G196" s="167"/>
      <c r="H196" s="1521"/>
      <c r="I196" s="170">
        <v>7</v>
      </c>
      <c r="J196" s="169">
        <f>I75</f>
        <v>70</v>
      </c>
      <c r="K196" s="169">
        <f>J75</f>
        <v>0.9</v>
      </c>
      <c r="L196" s="169">
        <f>K75</f>
        <v>2.8</v>
      </c>
      <c r="M196" s="169">
        <f>L75</f>
        <v>0.95</v>
      </c>
      <c r="N196" s="167"/>
      <c r="O196" s="167"/>
      <c r="P196" s="158"/>
    </row>
    <row r="197" spans="1:16" ht="13">
      <c r="A197" s="1520"/>
      <c r="B197" s="170">
        <v>8</v>
      </c>
      <c r="C197" s="169">
        <f>C86</f>
        <v>35</v>
      </c>
      <c r="D197" s="169">
        <f>D86</f>
        <v>-0.5</v>
      </c>
      <c r="E197" s="169">
        <f>E86</f>
        <v>-0.3</v>
      </c>
      <c r="F197" s="169">
        <f>F86</f>
        <v>0.1</v>
      </c>
      <c r="G197" s="167"/>
      <c r="H197" s="1521"/>
      <c r="I197" s="170">
        <v>8</v>
      </c>
      <c r="J197" s="169">
        <f>I86</f>
        <v>70</v>
      </c>
      <c r="K197" s="169">
        <f>J86</f>
        <v>-1.2</v>
      </c>
      <c r="L197" s="169">
        <f>K86</f>
        <v>2.1</v>
      </c>
      <c r="M197" s="169">
        <f>L86</f>
        <v>1.65</v>
      </c>
      <c r="N197" s="167"/>
      <c r="O197" s="167"/>
      <c r="P197" s="158"/>
    </row>
    <row r="198" spans="1:16" ht="13">
      <c r="A198" s="1520"/>
      <c r="B198" s="170">
        <v>9</v>
      </c>
      <c r="C198" s="169">
        <f>C97</f>
        <v>35</v>
      </c>
      <c r="D198" s="169">
        <f>D97</f>
        <v>-0.5</v>
      </c>
      <c r="E198" s="169" t="str">
        <f>E97</f>
        <v>-</v>
      </c>
      <c r="F198" s="169">
        <f>F97</f>
        <v>0</v>
      </c>
      <c r="G198" s="167"/>
      <c r="H198" s="1521"/>
      <c r="I198" s="170">
        <v>9</v>
      </c>
      <c r="J198" s="169">
        <f>I97</f>
        <v>70</v>
      </c>
      <c r="K198" s="169">
        <f>J97</f>
        <v>-0.6</v>
      </c>
      <c r="L198" s="169" t="str">
        <f>K97</f>
        <v>-</v>
      </c>
      <c r="M198" s="169">
        <f>L97</f>
        <v>0</v>
      </c>
      <c r="N198" s="167"/>
      <c r="O198" s="167"/>
      <c r="P198" s="158"/>
    </row>
    <row r="199" spans="1:16" ht="13">
      <c r="A199" s="1520"/>
      <c r="B199" s="170">
        <v>10</v>
      </c>
      <c r="C199" s="169">
        <f>C108</f>
        <v>35</v>
      </c>
      <c r="D199" s="169">
        <f>D108</f>
        <v>0.2</v>
      </c>
      <c r="E199" s="169">
        <f>E108</f>
        <v>0.8</v>
      </c>
      <c r="F199" s="169">
        <f>F108</f>
        <v>0.30000000000000004</v>
      </c>
      <c r="G199" s="167"/>
      <c r="H199" s="1521"/>
      <c r="I199" s="170">
        <v>10</v>
      </c>
      <c r="J199" s="169">
        <f>I108</f>
        <v>70</v>
      </c>
      <c r="K199" s="169">
        <f>J108</f>
        <v>-0.3</v>
      </c>
      <c r="L199" s="169">
        <f>K108</f>
        <v>-5.0999999999999996</v>
      </c>
      <c r="M199" s="169">
        <f>L108</f>
        <v>2.4</v>
      </c>
      <c r="N199" s="167"/>
      <c r="O199" s="167"/>
      <c r="P199" s="158"/>
    </row>
    <row r="200" spans="1:16" ht="13">
      <c r="A200" s="1520"/>
      <c r="B200" s="170">
        <v>11</v>
      </c>
      <c r="C200" s="169">
        <f>C119</f>
        <v>34.5</v>
      </c>
      <c r="D200" s="169">
        <f>D119</f>
        <v>0.4</v>
      </c>
      <c r="E200" s="169" t="str">
        <f>E119</f>
        <v>-</v>
      </c>
      <c r="F200" s="169">
        <f>F119</f>
        <v>0</v>
      </c>
      <c r="G200" s="167"/>
      <c r="H200" s="1521"/>
      <c r="I200" s="170">
        <v>11</v>
      </c>
      <c r="J200" s="169">
        <f>I119</f>
        <v>80.8</v>
      </c>
      <c r="K200" s="169">
        <f>J119</f>
        <v>-1.7</v>
      </c>
      <c r="L200" s="169" t="str">
        <f>K119</f>
        <v>-</v>
      </c>
      <c r="M200" s="169">
        <f>L119</f>
        <v>0</v>
      </c>
      <c r="N200" s="167"/>
      <c r="O200" s="167"/>
      <c r="P200" s="158"/>
    </row>
    <row r="201" spans="1:16" ht="13">
      <c r="A201" s="1520"/>
      <c r="B201" s="170">
        <v>12</v>
      </c>
      <c r="C201" s="169">
        <f>C130</f>
        <v>34.5</v>
      </c>
      <c r="D201" s="169">
        <f>D130</f>
        <v>0</v>
      </c>
      <c r="E201" s="169" t="str">
        <f>E130</f>
        <v>-</v>
      </c>
      <c r="F201" s="169">
        <f>F130</f>
        <v>0</v>
      </c>
      <c r="G201" s="167"/>
      <c r="H201" s="1521"/>
      <c r="I201" s="170">
        <v>12</v>
      </c>
      <c r="J201" s="169">
        <f>I130</f>
        <v>80.8</v>
      </c>
      <c r="K201" s="169">
        <f>J130</f>
        <v>0</v>
      </c>
      <c r="L201" s="169" t="str">
        <f>K130</f>
        <v>-</v>
      </c>
      <c r="M201" s="169">
        <f>L130</f>
        <v>0</v>
      </c>
      <c r="N201" s="167"/>
      <c r="O201" s="167"/>
      <c r="P201" s="158"/>
    </row>
    <row r="202" spans="1:16" ht="13">
      <c r="A202" s="175"/>
      <c r="B202" s="173"/>
      <c r="C202" s="172"/>
      <c r="D202" s="172"/>
      <c r="E202" s="172"/>
      <c r="F202" s="171"/>
      <c r="G202" s="119"/>
      <c r="H202" s="175"/>
      <c r="I202" s="173"/>
      <c r="J202" s="172"/>
      <c r="K202" s="172"/>
      <c r="L202" s="172"/>
      <c r="M202" s="171"/>
      <c r="N202" s="167"/>
      <c r="O202" s="167"/>
      <c r="P202" s="158"/>
    </row>
    <row r="203" spans="1:16" ht="13">
      <c r="A203" s="1520" t="s">
        <v>344</v>
      </c>
      <c r="B203" s="170">
        <v>1</v>
      </c>
      <c r="C203" s="169">
        <f>C10</f>
        <v>37</v>
      </c>
      <c r="D203" s="169">
        <f>D10</f>
        <v>-0.6</v>
      </c>
      <c r="E203" s="169">
        <f>E10</f>
        <v>0</v>
      </c>
      <c r="F203" s="169">
        <f>F10</f>
        <v>0.3</v>
      </c>
      <c r="G203" s="167"/>
      <c r="H203" s="1521" t="s">
        <v>344</v>
      </c>
      <c r="I203" s="170">
        <v>1</v>
      </c>
      <c r="J203" s="169">
        <f>I10</f>
        <v>80</v>
      </c>
      <c r="K203" s="169">
        <f>J10</f>
        <v>0.7</v>
      </c>
      <c r="L203" s="169">
        <f>K10</f>
        <v>0</v>
      </c>
      <c r="M203" s="169">
        <f>L10</f>
        <v>0.35</v>
      </c>
      <c r="N203" s="167"/>
      <c r="O203" s="167"/>
      <c r="P203" s="158"/>
    </row>
    <row r="204" spans="1:16" ht="13">
      <c r="A204" s="1520"/>
      <c r="B204" s="170">
        <v>2</v>
      </c>
      <c r="C204" s="169">
        <f>C21</f>
        <v>37</v>
      </c>
      <c r="D204" s="169">
        <f>D21</f>
        <v>-0.3</v>
      </c>
      <c r="E204" s="169">
        <f>E21</f>
        <v>-1.8</v>
      </c>
      <c r="F204" s="169">
        <f>F21</f>
        <v>0.75</v>
      </c>
      <c r="G204" s="167"/>
      <c r="H204" s="1521"/>
      <c r="I204" s="170">
        <v>2</v>
      </c>
      <c r="J204" s="169">
        <f>I21</f>
        <v>80</v>
      </c>
      <c r="K204" s="169">
        <f>J21</f>
        <v>-0.7</v>
      </c>
      <c r="L204" s="169">
        <f>K21</f>
        <v>-0.4</v>
      </c>
      <c r="M204" s="169">
        <f>L21</f>
        <v>0.14999999999999997</v>
      </c>
      <c r="N204" s="167"/>
      <c r="O204" s="167"/>
      <c r="P204" s="158"/>
    </row>
    <row r="205" spans="1:16" ht="13">
      <c r="A205" s="1520"/>
      <c r="B205" s="170">
        <v>3</v>
      </c>
      <c r="C205" s="169">
        <f>C32</f>
        <v>37</v>
      </c>
      <c r="D205" s="169">
        <f>D32</f>
        <v>-0.6</v>
      </c>
      <c r="E205" s="169">
        <f>E32</f>
        <v>-0.5</v>
      </c>
      <c r="F205" s="169">
        <f>F32</f>
        <v>4.9999999999999989E-2</v>
      </c>
      <c r="G205" s="167"/>
      <c r="H205" s="1521"/>
      <c r="I205" s="170">
        <v>3</v>
      </c>
      <c r="J205" s="169">
        <f>I32</f>
        <v>80</v>
      </c>
      <c r="K205" s="169">
        <f>J32</f>
        <v>-2.9</v>
      </c>
      <c r="L205" s="169">
        <f>K32</f>
        <v>-0.6</v>
      </c>
      <c r="M205" s="169">
        <f>L32</f>
        <v>1.1499999999999999</v>
      </c>
      <c r="N205" s="167"/>
      <c r="O205" s="167"/>
      <c r="P205" s="158"/>
    </row>
    <row r="206" spans="1:16" ht="13">
      <c r="A206" s="1520"/>
      <c r="B206" s="170">
        <v>4</v>
      </c>
      <c r="C206" s="169">
        <f>C43</f>
        <v>37</v>
      </c>
      <c r="D206" s="169">
        <f>D43</f>
        <v>-0.6</v>
      </c>
      <c r="E206" s="169">
        <f>E43</f>
        <v>-1.8</v>
      </c>
      <c r="F206" s="169">
        <f>F43</f>
        <v>0.60000000000000009</v>
      </c>
      <c r="G206" s="167"/>
      <c r="H206" s="1521"/>
      <c r="I206" s="170">
        <v>4</v>
      </c>
      <c r="J206" s="169">
        <f>I43</f>
        <v>80</v>
      </c>
      <c r="K206" s="169">
        <f>J43</f>
        <v>1.9</v>
      </c>
      <c r="L206" s="169">
        <f>K43</f>
        <v>-0.4</v>
      </c>
      <c r="M206" s="169">
        <f>L43</f>
        <v>1.1499999999999999</v>
      </c>
      <c r="N206" s="167"/>
      <c r="O206" s="167"/>
      <c r="P206" s="158"/>
    </row>
    <row r="207" spans="1:16" ht="13">
      <c r="A207" s="1520"/>
      <c r="B207" s="170">
        <v>5</v>
      </c>
      <c r="C207" s="169">
        <f>C54</f>
        <v>37</v>
      </c>
      <c r="D207" s="169">
        <f>D54</f>
        <v>0</v>
      </c>
      <c r="E207" s="169">
        <f>E54</f>
        <v>-1.2</v>
      </c>
      <c r="F207" s="169">
        <f>F54</f>
        <v>0.6</v>
      </c>
      <c r="G207" s="167"/>
      <c r="H207" s="1521"/>
      <c r="I207" s="170">
        <v>5</v>
      </c>
      <c r="J207" s="169">
        <f>I54</f>
        <v>80</v>
      </c>
      <c r="K207" s="169">
        <f>J54</f>
        <v>0.2</v>
      </c>
      <c r="L207" s="169">
        <f>K54</f>
        <v>-0.9</v>
      </c>
      <c r="M207" s="169">
        <f>L54</f>
        <v>0.55000000000000004</v>
      </c>
      <c r="N207" s="167"/>
      <c r="O207" s="167"/>
      <c r="P207" s="158"/>
    </row>
    <row r="208" spans="1:16" ht="13">
      <c r="A208" s="1520"/>
      <c r="B208" s="170">
        <v>6</v>
      </c>
      <c r="C208" s="169">
        <f>C65</f>
        <v>37</v>
      </c>
      <c r="D208" s="169">
        <f>D65</f>
        <v>-1.1000000000000001</v>
      </c>
      <c r="E208" s="169">
        <f>E65</f>
        <v>0</v>
      </c>
      <c r="F208" s="169">
        <f>F65</f>
        <v>0.55000000000000004</v>
      </c>
      <c r="G208" s="167"/>
      <c r="H208" s="1521"/>
      <c r="I208" s="170">
        <v>6</v>
      </c>
      <c r="J208" s="169">
        <f>I65</f>
        <v>80</v>
      </c>
      <c r="K208" s="169">
        <f>J65</f>
        <v>0.8</v>
      </c>
      <c r="L208" s="169">
        <f>K65</f>
        <v>-2.6</v>
      </c>
      <c r="M208" s="169">
        <f>L65</f>
        <v>1.7000000000000002</v>
      </c>
      <c r="N208" s="167"/>
      <c r="O208" s="167"/>
      <c r="P208" s="158"/>
    </row>
    <row r="209" spans="1:16" ht="13">
      <c r="A209" s="1520"/>
      <c r="B209" s="170">
        <v>7</v>
      </c>
      <c r="C209" s="169">
        <f>C76</f>
        <v>37</v>
      </c>
      <c r="D209" s="169">
        <f>D76</f>
        <v>-1.4</v>
      </c>
      <c r="E209" s="169">
        <f>E76</f>
        <v>-0.1</v>
      </c>
      <c r="F209" s="169">
        <f>F76</f>
        <v>0.64999999999999991</v>
      </c>
      <c r="G209" s="167"/>
      <c r="H209" s="1521"/>
      <c r="I209" s="170">
        <v>7</v>
      </c>
      <c r="J209" s="169">
        <f>I76</f>
        <v>80</v>
      </c>
      <c r="K209" s="169">
        <f>J76</f>
        <v>1.2</v>
      </c>
      <c r="L209" s="169">
        <f>K76</f>
        <v>4.4000000000000004</v>
      </c>
      <c r="M209" s="169">
        <f>L76</f>
        <v>1.6</v>
      </c>
      <c r="N209" s="167"/>
      <c r="O209" s="167"/>
      <c r="P209" s="158"/>
    </row>
    <row r="210" spans="1:16" ht="13">
      <c r="A210" s="1520"/>
      <c r="B210" s="170">
        <v>8</v>
      </c>
      <c r="C210" s="169">
        <f>C87</f>
        <v>37</v>
      </c>
      <c r="D210" s="169">
        <f>D87</f>
        <v>-0.5</v>
      </c>
      <c r="E210" s="169">
        <f>E87</f>
        <v>-0.3</v>
      </c>
      <c r="F210" s="169">
        <f>F87</f>
        <v>0.1</v>
      </c>
      <c r="G210" s="167"/>
      <c r="H210" s="1521"/>
      <c r="I210" s="170">
        <v>8</v>
      </c>
      <c r="J210" s="169">
        <f>I87</f>
        <v>80</v>
      </c>
      <c r="K210" s="169">
        <f>J87</f>
        <v>-1.2</v>
      </c>
      <c r="L210" s="169">
        <f>K87</f>
        <v>2.6</v>
      </c>
      <c r="M210" s="169">
        <f>L87</f>
        <v>1.9</v>
      </c>
      <c r="N210" s="167"/>
      <c r="O210" s="167"/>
      <c r="P210" s="158"/>
    </row>
    <row r="211" spans="1:16" ht="13">
      <c r="A211" s="1520"/>
      <c r="B211" s="170">
        <v>9</v>
      </c>
      <c r="C211" s="169">
        <f>C98</f>
        <v>37</v>
      </c>
      <c r="D211" s="169">
        <f>D98</f>
        <v>-0.5</v>
      </c>
      <c r="E211" s="169" t="str">
        <f>E98</f>
        <v>-</v>
      </c>
      <c r="F211" s="169">
        <f>F98</f>
        <v>0</v>
      </c>
      <c r="G211" s="167"/>
      <c r="H211" s="1521"/>
      <c r="I211" s="170">
        <v>9</v>
      </c>
      <c r="J211" s="169">
        <f>I98</f>
        <v>80</v>
      </c>
      <c r="K211" s="169">
        <f>J98</f>
        <v>-0.5</v>
      </c>
      <c r="L211" s="169" t="str">
        <f>K98</f>
        <v>-</v>
      </c>
      <c r="M211" s="169">
        <f>L98</f>
        <v>0</v>
      </c>
      <c r="N211" s="167"/>
      <c r="O211" s="167"/>
      <c r="P211" s="158"/>
    </row>
    <row r="212" spans="1:16" ht="13">
      <c r="A212" s="1520"/>
      <c r="B212" s="170">
        <v>10</v>
      </c>
      <c r="C212" s="169">
        <f>C109</f>
        <v>37</v>
      </c>
      <c r="D212" s="169">
        <f>D109</f>
        <v>0.2</v>
      </c>
      <c r="E212" s="169">
        <f>E109</f>
        <v>0.4</v>
      </c>
      <c r="F212" s="169">
        <f>F109</f>
        <v>0.1</v>
      </c>
      <c r="G212" s="167"/>
      <c r="H212" s="1521"/>
      <c r="I212" s="170">
        <v>10</v>
      </c>
      <c r="J212" s="169">
        <f>I109</f>
        <v>80</v>
      </c>
      <c r="K212" s="169">
        <f>J109</f>
        <v>2.2000000000000002</v>
      </c>
      <c r="L212" s="169">
        <f>K109</f>
        <v>-4.7</v>
      </c>
      <c r="M212" s="169">
        <f>L109</f>
        <v>3.45</v>
      </c>
      <c r="N212" s="167"/>
      <c r="O212" s="167"/>
      <c r="P212" s="158"/>
    </row>
    <row r="213" spans="1:16" ht="13">
      <c r="A213" s="1520"/>
      <c r="B213" s="170">
        <v>11</v>
      </c>
      <c r="C213" s="169">
        <f>C120</f>
        <v>39.5</v>
      </c>
      <c r="D213" s="169">
        <f>D120</f>
        <v>0.5</v>
      </c>
      <c r="E213" s="169" t="str">
        <f>E120</f>
        <v>-</v>
      </c>
      <c r="F213" s="169">
        <f>F120</f>
        <v>0</v>
      </c>
      <c r="G213" s="167"/>
      <c r="H213" s="1521"/>
      <c r="I213" s="170">
        <v>11</v>
      </c>
      <c r="J213" s="169">
        <f>I120</f>
        <v>88.7</v>
      </c>
      <c r="K213" s="169">
        <f>J120</f>
        <v>2.6</v>
      </c>
      <c r="L213" s="169" t="str">
        <f>K120</f>
        <v>-</v>
      </c>
      <c r="M213" s="169">
        <f>L120</f>
        <v>0</v>
      </c>
      <c r="N213" s="167"/>
      <c r="O213" s="167"/>
      <c r="P213" s="158"/>
    </row>
    <row r="214" spans="1:16" ht="13">
      <c r="A214" s="1520"/>
      <c r="B214" s="170">
        <v>12</v>
      </c>
      <c r="C214" s="169">
        <f>C131</f>
        <v>39.5</v>
      </c>
      <c r="D214" s="169">
        <f>D131</f>
        <v>0</v>
      </c>
      <c r="E214" s="169" t="str">
        <f>E131</f>
        <v>-</v>
      </c>
      <c r="F214" s="169">
        <f>F131</f>
        <v>0</v>
      </c>
      <c r="G214" s="167"/>
      <c r="H214" s="1521"/>
      <c r="I214" s="170">
        <v>12</v>
      </c>
      <c r="J214" s="169">
        <f>I131</f>
        <v>88.7</v>
      </c>
      <c r="K214" s="169">
        <f>J131</f>
        <v>0</v>
      </c>
      <c r="L214" s="169" t="str">
        <f>K131</f>
        <v>-</v>
      </c>
      <c r="M214" s="169">
        <f>L131</f>
        <v>0</v>
      </c>
      <c r="N214" s="167"/>
      <c r="O214" s="167"/>
      <c r="P214" s="158"/>
    </row>
    <row r="215" spans="1:16" ht="13">
      <c r="A215" s="175"/>
      <c r="B215" s="173"/>
      <c r="C215" s="172"/>
      <c r="D215" s="172"/>
      <c r="E215" s="172"/>
      <c r="F215" s="171"/>
      <c r="G215" s="119"/>
      <c r="H215" s="174"/>
      <c r="I215" s="173"/>
      <c r="J215" s="172"/>
      <c r="K215" s="172"/>
      <c r="L215" s="172"/>
      <c r="M215" s="171"/>
      <c r="N215" s="167"/>
      <c r="O215" s="167"/>
      <c r="P215" s="158"/>
    </row>
    <row r="216" spans="1:16" ht="13">
      <c r="A216" s="1520" t="s">
        <v>142</v>
      </c>
      <c r="B216" s="170">
        <v>1</v>
      </c>
      <c r="C216" s="169">
        <f>C11</f>
        <v>40</v>
      </c>
      <c r="D216" s="169">
        <f>D11</f>
        <v>-0.8</v>
      </c>
      <c r="E216" s="169">
        <f>E11</f>
        <v>0</v>
      </c>
      <c r="F216" s="169">
        <f>F11</f>
        <v>0.4</v>
      </c>
      <c r="G216" s="167"/>
      <c r="H216" s="1521" t="s">
        <v>142</v>
      </c>
      <c r="I216" s="170">
        <v>1</v>
      </c>
      <c r="J216" s="169">
        <f>I11</f>
        <v>90</v>
      </c>
      <c r="K216" s="169">
        <f>J11</f>
        <v>4.5</v>
      </c>
      <c r="L216" s="169">
        <f>K11</f>
        <v>0</v>
      </c>
      <c r="M216" s="169">
        <f>L11</f>
        <v>2.25</v>
      </c>
      <c r="N216" s="167"/>
      <c r="O216" s="167"/>
      <c r="P216" s="158"/>
    </row>
    <row r="217" spans="1:16" ht="13">
      <c r="A217" s="1520"/>
      <c r="B217" s="170">
        <v>2</v>
      </c>
      <c r="C217" s="169">
        <f>C22</f>
        <v>40</v>
      </c>
      <c r="D217" s="169">
        <f>D22</f>
        <v>-0.3</v>
      </c>
      <c r="E217" s="169">
        <f>E22</f>
        <v>-2.1</v>
      </c>
      <c r="F217" s="169">
        <f>F22</f>
        <v>0.9</v>
      </c>
      <c r="G217" s="167"/>
      <c r="H217" s="1521"/>
      <c r="I217" s="170">
        <v>2</v>
      </c>
      <c r="J217" s="169">
        <f>I22</f>
        <v>90</v>
      </c>
      <c r="K217" s="169">
        <f>J22</f>
        <v>-0.3</v>
      </c>
      <c r="L217" s="169">
        <f>K22</f>
        <v>0.6</v>
      </c>
      <c r="M217" s="169">
        <f>L22</f>
        <v>0.44999999999999996</v>
      </c>
      <c r="N217" s="167"/>
      <c r="O217" s="167"/>
      <c r="P217" s="158"/>
    </row>
    <row r="218" spans="1:16" ht="13">
      <c r="A218" s="1520"/>
      <c r="B218" s="170">
        <v>3</v>
      </c>
      <c r="C218" s="169">
        <f>C33</f>
        <v>40</v>
      </c>
      <c r="D218" s="169">
        <f>D33</f>
        <v>-0.7</v>
      </c>
      <c r="E218" s="169">
        <f>E33</f>
        <v>-0.5</v>
      </c>
      <c r="F218" s="169">
        <f>F33</f>
        <v>9.9999999999999978E-2</v>
      </c>
      <c r="G218" s="167"/>
      <c r="H218" s="1521"/>
      <c r="I218" s="170">
        <v>3</v>
      </c>
      <c r="J218" s="169">
        <f>I33</f>
        <v>90</v>
      </c>
      <c r="K218" s="169">
        <f>J33</f>
        <v>-2</v>
      </c>
      <c r="L218" s="169">
        <f>K33</f>
        <v>0.9</v>
      </c>
      <c r="M218" s="169">
        <f>L33</f>
        <v>1.45</v>
      </c>
      <c r="N218" s="167"/>
      <c r="O218" s="167"/>
      <c r="P218" s="158"/>
    </row>
    <row r="219" spans="1:16" ht="13">
      <c r="A219" s="1520"/>
      <c r="B219" s="170">
        <v>4</v>
      </c>
      <c r="C219" s="169">
        <f>C44</f>
        <v>40</v>
      </c>
      <c r="D219" s="169">
        <f>D44</f>
        <v>-0.6</v>
      </c>
      <c r="E219" s="169">
        <f>E44</f>
        <v>-2.1</v>
      </c>
      <c r="F219" s="169">
        <f>F44</f>
        <v>0.75</v>
      </c>
      <c r="G219" s="167"/>
      <c r="H219" s="1521"/>
      <c r="I219" s="170">
        <v>4</v>
      </c>
      <c r="J219" s="169">
        <f>I44</f>
        <v>90</v>
      </c>
      <c r="K219" s="169">
        <f>J44</f>
        <v>3.3</v>
      </c>
      <c r="L219" s="169">
        <f>K44</f>
        <v>0.2</v>
      </c>
      <c r="M219" s="169">
        <f>L44</f>
        <v>1.5499999999999998</v>
      </c>
      <c r="N219" s="167"/>
      <c r="O219" s="167"/>
      <c r="P219" s="158"/>
    </row>
    <row r="220" spans="1:16" ht="13">
      <c r="A220" s="1520"/>
      <c r="B220" s="170">
        <v>5</v>
      </c>
      <c r="C220" s="169">
        <f>C55</f>
        <v>40</v>
      </c>
      <c r="D220" s="169">
        <f>D55</f>
        <v>-0.1</v>
      </c>
      <c r="E220" s="169">
        <f>E55</f>
        <v>-1.5</v>
      </c>
      <c r="F220" s="169">
        <f>F55</f>
        <v>0.7</v>
      </c>
      <c r="G220" s="167"/>
      <c r="H220" s="1521"/>
      <c r="I220" s="170">
        <v>5</v>
      </c>
      <c r="J220" s="169">
        <f>I55</f>
        <v>90</v>
      </c>
      <c r="K220" s="169">
        <f>J55</f>
        <v>2.7</v>
      </c>
      <c r="L220" s="169">
        <f>K55</f>
        <v>0.2</v>
      </c>
      <c r="M220" s="169">
        <f>L55</f>
        <v>1.25</v>
      </c>
      <c r="N220" s="167"/>
      <c r="O220" s="167"/>
      <c r="P220" s="158"/>
    </row>
    <row r="221" spans="1:16" ht="13">
      <c r="A221" s="1520"/>
      <c r="B221" s="170">
        <v>6</v>
      </c>
      <c r="C221" s="169">
        <f>C66</f>
        <v>40</v>
      </c>
      <c r="D221" s="169">
        <f>D66</f>
        <v>-1.4</v>
      </c>
      <c r="E221" s="169">
        <f>E66</f>
        <v>-0.1</v>
      </c>
      <c r="F221" s="169">
        <f>F66</f>
        <v>0.64999999999999991</v>
      </c>
      <c r="G221" s="167"/>
      <c r="H221" s="1521"/>
      <c r="I221" s="170">
        <v>6</v>
      </c>
      <c r="J221" s="169">
        <f>I66</f>
        <v>90</v>
      </c>
      <c r="K221" s="169">
        <f>J66</f>
        <v>0.7</v>
      </c>
      <c r="L221" s="169">
        <f>K66</f>
        <v>-2.6</v>
      </c>
      <c r="M221" s="169">
        <f>L66</f>
        <v>1.65</v>
      </c>
      <c r="N221" s="167"/>
      <c r="O221" s="167"/>
      <c r="P221" s="158"/>
    </row>
    <row r="222" spans="1:16" ht="13">
      <c r="A222" s="1520"/>
      <c r="B222" s="170">
        <v>7</v>
      </c>
      <c r="C222" s="169">
        <f>C77</f>
        <v>40</v>
      </c>
      <c r="D222" s="169">
        <f>D77</f>
        <v>-1.7</v>
      </c>
      <c r="E222" s="169">
        <f>E77</f>
        <v>-0.1</v>
      </c>
      <c r="F222" s="169">
        <f>F77</f>
        <v>0.79999999999999993</v>
      </c>
      <c r="G222" s="167"/>
      <c r="H222" s="1521"/>
      <c r="I222" s="170">
        <v>7</v>
      </c>
      <c r="J222" s="169">
        <f>I77</f>
        <v>90</v>
      </c>
      <c r="K222" s="169">
        <f>J77</f>
        <v>1.8</v>
      </c>
      <c r="L222" s="169">
        <f>K77</f>
        <v>4.4000000000000004</v>
      </c>
      <c r="M222" s="169">
        <f>L77</f>
        <v>1.3000000000000003</v>
      </c>
      <c r="N222" s="167"/>
      <c r="O222" s="167"/>
      <c r="P222" s="158"/>
    </row>
    <row r="223" spans="1:16" ht="13">
      <c r="A223" s="1520"/>
      <c r="B223" s="170">
        <v>8</v>
      </c>
      <c r="C223" s="169">
        <f>C88</f>
        <v>40</v>
      </c>
      <c r="D223" s="169">
        <f>D88</f>
        <v>-0.4</v>
      </c>
      <c r="E223" s="169">
        <f>E88</f>
        <v>-0.4</v>
      </c>
      <c r="F223" s="169">
        <f>F88</f>
        <v>0</v>
      </c>
      <c r="G223" s="167"/>
      <c r="H223" s="1521"/>
      <c r="I223" s="170">
        <v>8</v>
      </c>
      <c r="J223" s="169">
        <f>I88</f>
        <v>90</v>
      </c>
      <c r="K223" s="169">
        <f>J88</f>
        <v>-1.3</v>
      </c>
      <c r="L223" s="169">
        <f>K88</f>
        <v>2.6</v>
      </c>
      <c r="M223" s="169">
        <f>L88</f>
        <v>1.9500000000000002</v>
      </c>
      <c r="N223" s="167"/>
      <c r="O223" s="167"/>
      <c r="P223" s="158"/>
    </row>
    <row r="224" spans="1:16" ht="13">
      <c r="A224" s="1520"/>
      <c r="B224" s="170">
        <v>9</v>
      </c>
      <c r="C224" s="169">
        <f>C99</f>
        <v>40</v>
      </c>
      <c r="D224" s="169">
        <f>D99</f>
        <v>-0.4</v>
      </c>
      <c r="E224" s="169" t="str">
        <f>E99</f>
        <v>-</v>
      </c>
      <c r="F224" s="169">
        <f>F99</f>
        <v>0</v>
      </c>
      <c r="G224" s="167"/>
      <c r="H224" s="1521"/>
      <c r="I224" s="170">
        <v>9</v>
      </c>
      <c r="J224" s="169">
        <f>I99</f>
        <v>90</v>
      </c>
      <c r="K224" s="169">
        <f>J99</f>
        <v>-0.2</v>
      </c>
      <c r="L224" s="169" t="str">
        <f>K99</f>
        <v>-</v>
      </c>
      <c r="M224" s="169">
        <f>L99</f>
        <v>0</v>
      </c>
      <c r="N224" s="167"/>
      <c r="O224" s="167"/>
      <c r="P224" s="158"/>
    </row>
    <row r="225" spans="1:16" ht="13">
      <c r="A225" s="1520"/>
      <c r="B225" s="170">
        <v>10</v>
      </c>
      <c r="C225" s="169">
        <f>C110</f>
        <v>40</v>
      </c>
      <c r="D225" s="169">
        <f>D110</f>
        <v>0.2</v>
      </c>
      <c r="E225" s="169">
        <f>E110</f>
        <v>0</v>
      </c>
      <c r="F225" s="169">
        <f>F110</f>
        <v>0.1</v>
      </c>
      <c r="G225" s="167"/>
      <c r="H225" s="1521"/>
      <c r="I225" s="170">
        <v>10</v>
      </c>
      <c r="J225" s="169">
        <f>I110</f>
        <v>90</v>
      </c>
      <c r="K225" s="169">
        <f>J110</f>
        <v>5.4</v>
      </c>
      <c r="L225" s="169">
        <f>K110</f>
        <v>0</v>
      </c>
      <c r="M225" s="169">
        <f>L110</f>
        <v>2.7</v>
      </c>
      <c r="N225" s="167"/>
      <c r="O225" s="167"/>
      <c r="P225" s="158"/>
    </row>
    <row r="226" spans="1:16" ht="13">
      <c r="A226" s="1520"/>
      <c r="B226" s="170">
        <v>11</v>
      </c>
      <c r="C226" s="169">
        <f>C121</f>
        <v>40</v>
      </c>
      <c r="D226" s="169">
        <f>D121</f>
        <v>0</v>
      </c>
      <c r="E226" s="169" t="str">
        <f>E121</f>
        <v>-</v>
      </c>
      <c r="F226" s="169">
        <f>F121</f>
        <v>0</v>
      </c>
      <c r="G226" s="167"/>
      <c r="H226" s="1521"/>
      <c r="I226" s="170">
        <v>11</v>
      </c>
      <c r="J226" s="169">
        <f>I121</f>
        <v>90</v>
      </c>
      <c r="K226" s="169">
        <f>J121</f>
        <v>0</v>
      </c>
      <c r="L226" s="169" t="str">
        <f>K121</f>
        <v>-</v>
      </c>
      <c r="M226" s="169">
        <f>L121</f>
        <v>0</v>
      </c>
      <c r="N226" s="167"/>
      <c r="O226" s="167"/>
      <c r="P226" s="158"/>
    </row>
    <row r="227" spans="1:16" ht="13">
      <c r="A227" s="1520"/>
      <c r="B227" s="170">
        <v>12</v>
      </c>
      <c r="C227" s="169">
        <f>C132</f>
        <v>40</v>
      </c>
      <c r="D227" s="169">
        <f>D132</f>
        <v>0</v>
      </c>
      <c r="E227" s="169" t="str">
        <f>E132</f>
        <v>-</v>
      </c>
      <c r="F227" s="169">
        <f>F132</f>
        <v>0</v>
      </c>
      <c r="G227" s="167"/>
      <c r="H227" s="1521"/>
      <c r="I227" s="170">
        <v>12</v>
      </c>
      <c r="J227" s="169">
        <f>I132</f>
        <v>90</v>
      </c>
      <c r="K227" s="169">
        <f>J132</f>
        <v>0</v>
      </c>
      <c r="L227" s="169" t="str">
        <f>K132</f>
        <v>-</v>
      </c>
      <c r="M227" s="169">
        <f>L132</f>
        <v>0</v>
      </c>
      <c r="N227" s="167"/>
      <c r="O227" s="167"/>
      <c r="P227" s="158"/>
    </row>
    <row r="228" spans="1:16" ht="13.5" thickBot="1">
      <c r="A228" s="168"/>
      <c r="B228" s="165"/>
      <c r="C228" s="119"/>
      <c r="D228" s="119"/>
      <c r="E228" s="119"/>
      <c r="F228" s="119"/>
      <c r="G228" s="119"/>
      <c r="H228" s="167"/>
      <c r="I228" s="166"/>
      <c r="J228" s="165"/>
      <c r="K228" s="119"/>
      <c r="L228" s="119"/>
      <c r="M228" s="119"/>
      <c r="N228" s="119"/>
      <c r="O228" s="119"/>
      <c r="P228" s="158"/>
    </row>
    <row r="229" spans="1:16" ht="29.25" customHeight="1">
      <c r="A229" s="163">
        <f>A261</f>
        <v>11</v>
      </c>
      <c r="B229" s="1522" t="str">
        <f>A248</f>
        <v>Thermohygrolight, Merek : Sekonic, Model : ST-50A, SN : HE-21.000670</v>
      </c>
      <c r="C229" s="1522"/>
      <c r="D229" s="1523"/>
      <c r="E229" s="164"/>
      <c r="F229" s="163">
        <f>A229</f>
        <v>11</v>
      </c>
      <c r="G229" s="1522" t="str">
        <f>B229</f>
        <v>Thermohygrolight, Merek : Sekonic, Model : ST-50A, SN : HE-21.000670</v>
      </c>
      <c r="H229" s="1522"/>
      <c r="I229" s="1523"/>
      <c r="J229" s="164"/>
      <c r="K229" s="163">
        <f>A229</f>
        <v>11</v>
      </c>
      <c r="L229" s="1515" t="str">
        <f>G229</f>
        <v>Thermohygrolight, Merek : Sekonic, Model : ST-50A, SN : HE-21.000670</v>
      </c>
      <c r="M229" s="1516"/>
      <c r="N229" s="1516"/>
      <c r="O229" s="1517"/>
      <c r="P229" s="158"/>
    </row>
    <row r="230" spans="1:16" ht="13.5">
      <c r="A230" s="162" t="s">
        <v>72</v>
      </c>
      <c r="B230" s="1518" t="s">
        <v>7</v>
      </c>
      <c r="C230" s="1518"/>
      <c r="D230" s="1519" t="s">
        <v>2</v>
      </c>
      <c r="E230" s="119"/>
      <c r="F230" s="162" t="s">
        <v>73</v>
      </c>
      <c r="G230" s="1518" t="s">
        <v>7</v>
      </c>
      <c r="H230" s="1518"/>
      <c r="I230" s="1519" t="s">
        <v>2</v>
      </c>
      <c r="J230" s="119"/>
      <c r="K230" s="1524"/>
      <c r="L230" s="1527" t="s">
        <v>41</v>
      </c>
      <c r="M230" s="1527" t="s">
        <v>43</v>
      </c>
      <c r="N230" s="1527" t="s">
        <v>44</v>
      </c>
      <c r="O230" s="1528" t="s">
        <v>77</v>
      </c>
      <c r="P230" s="158"/>
    </row>
    <row r="231" spans="1:16" ht="14">
      <c r="A231" s="161" t="s">
        <v>90</v>
      </c>
      <c r="B231" s="159">
        <f>VLOOKUP(B229,A249:K260,9,FALSE)</f>
        <v>2016</v>
      </c>
      <c r="C231" s="159" t="str">
        <f>VLOOKUP(B229,A249:K260,10,FALSE)</f>
        <v>-</v>
      </c>
      <c r="D231" s="1519"/>
      <c r="E231" s="119"/>
      <c r="F231" s="160" t="s">
        <v>75</v>
      </c>
      <c r="G231" s="159">
        <f>B231</f>
        <v>2016</v>
      </c>
      <c r="H231" s="159" t="str">
        <f>C231</f>
        <v>-</v>
      </c>
      <c r="I231" s="1519"/>
      <c r="J231" s="119"/>
      <c r="K231" s="1525"/>
      <c r="L231" s="1527"/>
      <c r="M231" s="1527"/>
      <c r="N231" s="1527"/>
      <c r="O231" s="1528"/>
      <c r="P231" s="158"/>
    </row>
    <row r="232" spans="1:16" ht="13">
      <c r="A232" s="147">
        <f>VLOOKUP($A$229,$B$138:$F$149,2,FALSE)</f>
        <v>14.8</v>
      </c>
      <c r="B232" s="146">
        <f>VLOOKUP($A$229,$B$138:$F$149,3,FALSE)</f>
        <v>0.3</v>
      </c>
      <c r="C232" s="146" t="str">
        <f>VLOOKUP($A$229,$B$138:$F$149,4,FALSE)</f>
        <v>-</v>
      </c>
      <c r="D232" s="145">
        <f>VLOOKUP($A$229,$B$138:$F$149,5,FALSE)</f>
        <v>0</v>
      </c>
      <c r="E232" s="119"/>
      <c r="F232" s="147">
        <f>VLOOKUP($F$229,$I$138:$M$149,2,FALSE)</f>
        <v>45.7</v>
      </c>
      <c r="G232" s="146">
        <f>VLOOKUP($F$229,$I$138:$M$149,3,FALSE)</f>
        <v>-6.4</v>
      </c>
      <c r="H232" s="146" t="str">
        <f>VLOOKUP($F$229,$I$138:$M$149,4,FALSE)</f>
        <v>-</v>
      </c>
      <c r="I232" s="145">
        <f>VLOOKUP($F$229,$I$138:$M$149,5,FALSE)</f>
        <v>0</v>
      </c>
      <c r="J232" s="119"/>
      <c r="K232" s="1526"/>
      <c r="L232" s="1527"/>
      <c r="M232" s="1527"/>
      <c r="N232" s="1527"/>
      <c r="O232" s="1528"/>
      <c r="P232" s="158"/>
    </row>
    <row r="233" spans="1:16" ht="13">
      <c r="A233" s="147">
        <f>VLOOKUP($A$229,$B$151:$F$162,2,FALSE)</f>
        <v>19.7</v>
      </c>
      <c r="B233" s="146">
        <f>VLOOKUP($A$229,$B$151:$F$162,3,FALSE)</f>
        <v>0.5</v>
      </c>
      <c r="C233" s="146" t="str">
        <f>VLOOKUP($A$229,$B$151:$F$162,4,FALSE)</f>
        <v>-</v>
      </c>
      <c r="D233" s="145">
        <f>VLOOKUP($A$229,$B$151:$F$162,5,FALSE)</f>
        <v>0</v>
      </c>
      <c r="E233" s="119"/>
      <c r="F233" s="147">
        <f>VLOOKUP($F$229,$I$151:$M$162,2,FALSE)</f>
        <v>54.3</v>
      </c>
      <c r="G233" s="146">
        <f>VLOOKUP($F$229,$I$151:$M$162,3,FALSE)</f>
        <v>-5.9</v>
      </c>
      <c r="H233" s="146" t="str">
        <f>VLOOKUP($F$229,$I$151:$M$162,4,FALSE)</f>
        <v>-</v>
      </c>
      <c r="I233" s="145">
        <f>VLOOKUP($F$229,$I$151:$M$162,5,FALSE)</f>
        <v>0</v>
      </c>
      <c r="J233" s="119"/>
      <c r="K233" s="157" t="s">
        <v>72</v>
      </c>
      <c r="L233" s="156">
        <f>AVERAGE(ID!F14:G14)</f>
        <v>23.4</v>
      </c>
      <c r="M233" s="156">
        <f>L233+C242</f>
        <v>23.9</v>
      </c>
      <c r="N233" s="156">
        <f>STDEV(ID!F14:G14)</f>
        <v>0.28284271247462051</v>
      </c>
      <c r="O233" s="155">
        <f>VLOOKUP(K229,O137:P148,2,(FALSE))</f>
        <v>0.3</v>
      </c>
      <c r="P233" s="138"/>
    </row>
    <row r="234" spans="1:16" ht="13.5" thickBot="1">
      <c r="A234" s="147">
        <f>VLOOKUP($A$229,$B$164:$F$175,2,FALSE)</f>
        <v>24.6</v>
      </c>
      <c r="B234" s="146">
        <f>VLOOKUP($A$229,$B$164:$F$175,3,FALSE)</f>
        <v>0.5</v>
      </c>
      <c r="C234" s="146" t="str">
        <f>VLOOKUP($A$229,$B$164:$F$175,4,FALSE)</f>
        <v>-</v>
      </c>
      <c r="D234" s="145">
        <f>VLOOKUP($A$229,$B$164:$F$175,5,FALSE)</f>
        <v>0</v>
      </c>
      <c r="E234" s="119"/>
      <c r="F234" s="147">
        <f>VLOOKUP($F$229,$I$164:$M$175,2,FALSE)</f>
        <v>62.5</v>
      </c>
      <c r="G234" s="146">
        <f>VLOOKUP($F$229,$I$164:$M$175,3,FALSE)</f>
        <v>-5.6</v>
      </c>
      <c r="H234" s="146" t="str">
        <f>VLOOKUP($F$229,$I$164:$M$175,4,FALSE)</f>
        <v>-</v>
      </c>
      <c r="I234" s="145">
        <f>VLOOKUP($F$229,$I$164:$M$175,5,FALSE)</f>
        <v>0</v>
      </c>
      <c r="J234" s="119"/>
      <c r="K234" s="154" t="s">
        <v>75</v>
      </c>
      <c r="L234" s="153">
        <f>AVERAGE(ID!F15:G15)</f>
        <v>66.95</v>
      </c>
      <c r="M234" s="153">
        <f>L234+H242</f>
        <v>61.893888888888895</v>
      </c>
      <c r="N234" s="156">
        <f>STDEV(ID!F15:G15)</f>
        <v>0.7778174593051983</v>
      </c>
      <c r="O234" s="152">
        <f>VLOOKUP(K229,O153:P164,2,(FALSE))</f>
        <v>2.5</v>
      </c>
      <c r="P234" s="138"/>
    </row>
    <row r="235" spans="1:16" ht="13">
      <c r="A235" s="147">
        <f>VLOOKUP($A$229,$B$177:$F$188,2,FALSE)</f>
        <v>29.5</v>
      </c>
      <c r="B235" s="146">
        <f>VLOOKUP($A$229,$B$177:$F$188,3,FALSE)</f>
        <v>0.4</v>
      </c>
      <c r="C235" s="146" t="str">
        <f>VLOOKUP($A$229,$B$177:$F$188,4,FALSE)</f>
        <v>-</v>
      </c>
      <c r="D235" s="145">
        <f>VLOOKUP($A$229,$B$177:$F$188,5,FALSE)</f>
        <v>0</v>
      </c>
      <c r="E235" s="119"/>
      <c r="F235" s="147">
        <f>VLOOKUP($F$229,$I$177:$M$188,2,FALSE)</f>
        <v>71.5</v>
      </c>
      <c r="G235" s="146">
        <f>VLOOKUP($F$229,$I$177:$M$188,3,FALSE)</f>
        <v>-4.5</v>
      </c>
      <c r="H235" s="146" t="str">
        <f>VLOOKUP($F$229,$I$177:$M$188,4,FALSE)</f>
        <v>-</v>
      </c>
      <c r="I235" s="145">
        <f>VLOOKUP($F$229,$I$177:$M$188,5,FALSE)</f>
        <v>0</v>
      </c>
      <c r="J235" s="119"/>
      <c r="K235" s="119"/>
      <c r="L235" s="150"/>
      <c r="M235" s="151"/>
      <c r="N235" s="150"/>
      <c r="O235" s="149"/>
      <c r="P235" s="138"/>
    </row>
    <row r="236" spans="1:16" ht="13">
      <c r="A236" s="147">
        <f>VLOOKUP($A$229,$B$190:$F$201,2,FALSE)</f>
        <v>34.5</v>
      </c>
      <c r="B236" s="146">
        <f>VLOOKUP($A$229,$B$190:$F$201,3,FALSE)</f>
        <v>0.4</v>
      </c>
      <c r="C236" s="146" t="str">
        <f>VLOOKUP($A$229,$B$190:$F$201,4,FALSE)</f>
        <v>-</v>
      </c>
      <c r="D236" s="145">
        <f>VLOOKUP($A$229,$B$190:$F$201,5,FALSE)</f>
        <v>0</v>
      </c>
      <c r="E236" s="119"/>
      <c r="F236" s="147">
        <f>VLOOKUP($F$229,$I$190:$M$201,2,FALSE)</f>
        <v>80.8</v>
      </c>
      <c r="G236" s="146">
        <f>VLOOKUP($F$229,$I$190:$M$201,3,FALSE)</f>
        <v>-1.7</v>
      </c>
      <c r="H236" s="146" t="str">
        <f>VLOOKUP($F$229,$I$190:$M$201,4,FALSE)</f>
        <v>-</v>
      </c>
      <c r="I236" s="145">
        <f>VLOOKUP($F$229,$I$190:$M$201,5,FALSE)</f>
        <v>0</v>
      </c>
      <c r="J236" s="119"/>
      <c r="K236" s="119"/>
      <c r="L236" s="1529" t="s">
        <v>93</v>
      </c>
      <c r="M236" s="1529"/>
      <c r="N236" s="1529"/>
      <c r="O236" s="148"/>
      <c r="P236" s="138"/>
    </row>
    <row r="237" spans="1:16" ht="15.5">
      <c r="A237" s="147">
        <f>VLOOKUP($A$229,$B$203:$F$214,2,FALSE)</f>
        <v>39.5</v>
      </c>
      <c r="B237" s="146">
        <f>VLOOKUP($A$229,$B$203:$F$214,3,FALSE)</f>
        <v>0.5</v>
      </c>
      <c r="C237" s="146" t="str">
        <f>VLOOKUP($A$229,$B$203:$F$214,4,FALSE)</f>
        <v>-</v>
      </c>
      <c r="D237" s="145">
        <f>VLOOKUP($A$229,$B$203:$F$214,5,FALSE)</f>
        <v>0</v>
      </c>
      <c r="E237" s="119"/>
      <c r="F237" s="147">
        <f>VLOOKUP($F$229,$I$203:$M$214,2,FALSE)</f>
        <v>88.7</v>
      </c>
      <c r="G237" s="146">
        <f>VLOOKUP($F$229,$I$203:$M$214,3,FALSE)</f>
        <v>2.6</v>
      </c>
      <c r="H237" s="146" t="str">
        <f>VLOOKUP($F$229,$I$203:$M$214,4,FALSE)</f>
        <v>-</v>
      </c>
      <c r="I237" s="145">
        <f>VLOOKUP($F$229,$I$203:$M$214,5,FALSE)</f>
        <v>0</v>
      </c>
      <c r="J237" s="119"/>
      <c r="K237" s="119"/>
      <c r="L237" s="140" t="str">
        <f>TEXT(M233,"0.0")</f>
        <v>23.9</v>
      </c>
      <c r="M237" s="140" t="str">
        <f>TEXT(O233,"0.0")</f>
        <v>0.3</v>
      </c>
      <c r="N237" s="139" t="s">
        <v>95</v>
      </c>
      <c r="O237" s="130"/>
      <c r="P237" s="144"/>
    </row>
    <row r="238" spans="1:16" ht="16" thickBot="1">
      <c r="A238" s="143">
        <f>VLOOKUP($A$229,$B$216:$F$227,2,FALSE)</f>
        <v>40</v>
      </c>
      <c r="B238" s="142">
        <f>VLOOKUP($A$229,$B$216:$F$227,3,FALSE)</f>
        <v>0</v>
      </c>
      <c r="C238" s="142" t="str">
        <f>VLOOKUP($A$229,$B$216:$F$227,4,FALSE)</f>
        <v>-</v>
      </c>
      <c r="D238" s="141">
        <f>VLOOKUP($A$229,$B$216:$F$227,5,FALSE)</f>
        <v>0</v>
      </c>
      <c r="E238" s="119"/>
      <c r="F238" s="143">
        <f>VLOOKUP($F$229,$I$216:$M$227,2,FALSE)</f>
        <v>90</v>
      </c>
      <c r="G238" s="142">
        <f>VLOOKUP($F$229,$I$216:$M$227,3,FALSE)</f>
        <v>0</v>
      </c>
      <c r="H238" s="142" t="str">
        <f>VLOOKUP($F$229,$I$216:$M$227,4,FALSE)</f>
        <v>-</v>
      </c>
      <c r="I238" s="141">
        <f>VLOOKUP($F$229,$I$216:$M$227,5,FALSE)</f>
        <v>0</v>
      </c>
      <c r="J238" s="119"/>
      <c r="K238" s="119"/>
      <c r="L238" s="140" t="str">
        <f>TEXT(M234,"0.0")</f>
        <v>61.9</v>
      </c>
      <c r="M238" s="140" t="str">
        <f>TEXT(O234,"0.0")</f>
        <v>2.5</v>
      </c>
      <c r="N238" s="139" t="s">
        <v>97</v>
      </c>
      <c r="O238" s="130"/>
      <c r="P238" s="138"/>
    </row>
    <row r="239" spans="1:16" ht="16" thickBot="1">
      <c r="A239" s="137"/>
      <c r="B239" s="119"/>
      <c r="C239" s="119"/>
      <c r="D239" s="119"/>
      <c r="E239" s="119"/>
      <c r="F239" s="119"/>
      <c r="G239" s="119"/>
      <c r="H239" s="119"/>
      <c r="I239" s="119"/>
      <c r="J239" s="119"/>
      <c r="K239" s="119"/>
      <c r="L239" s="136" t="s">
        <v>100</v>
      </c>
      <c r="M239" s="135" t="s">
        <v>101</v>
      </c>
      <c r="N239" s="135" t="s">
        <v>102</v>
      </c>
      <c r="O239" s="130"/>
      <c r="P239" s="134"/>
    </row>
    <row r="240" spans="1:16" ht="14.5" thickBot="1">
      <c r="A240" s="1497" t="s">
        <v>91</v>
      </c>
      <c r="B240" s="1498"/>
      <c r="C240" s="1498"/>
      <c r="D240" s="1499"/>
      <c r="E240" s="133"/>
      <c r="F240" s="1497" t="s">
        <v>92</v>
      </c>
      <c r="G240" s="1498"/>
      <c r="H240" s="1498"/>
      <c r="I240" s="1499"/>
      <c r="J240" s="119"/>
      <c r="K240" s="119"/>
      <c r="L240" s="119"/>
      <c r="M240" s="132"/>
      <c r="N240" s="131"/>
      <c r="O240" s="130"/>
      <c r="P240" s="129"/>
    </row>
    <row r="241" spans="1:16" ht="13.5">
      <c r="A241" s="128"/>
      <c r="B241" s="126">
        <f>IF(A242&lt;=A233,A232,IF(A242&lt;=A234,A233,IF(A242&lt;=A235,A234,IF(A242&lt;=A236,A235,IF(A242&lt;=A237,A236,IF(A242&lt;=A238,A237))))))</f>
        <v>19.7</v>
      </c>
      <c r="C241" s="126"/>
      <c r="D241" s="125">
        <f>IF(A242&lt;=A233,B232,IF(A242&lt;=A234,B233,IF(A242&lt;=A235,B234,IF(A242&lt;=A236,B235,IF(A242&lt;=A237,B236,IF(A242&lt;=A238,B237))))))</f>
        <v>0.5</v>
      </c>
      <c r="E241" s="123"/>
      <c r="F241" s="127"/>
      <c r="G241" s="126">
        <f>IF(F242&lt;=F233,F232,IF(F242&lt;=F234,F233,IF(F242&lt;=F235,F234,IF(F242&lt;=F236,F235,IF(F242&lt;=F237,F236,IF(F242&lt;=F238,F237))))))</f>
        <v>62.5</v>
      </c>
      <c r="H241" s="126"/>
      <c r="I241" s="125">
        <f>IF(F242&lt;=F233,G232,IF(F242&lt;=F234,G233,IF(F242&lt;=F235,G234,IF(F242&lt;=F236,G235,IF(F242&lt;=F237,G236,IF(F242&lt;=F238,G237))))))</f>
        <v>-5.6</v>
      </c>
      <c r="J241" s="119"/>
      <c r="K241" s="119"/>
      <c r="L241" s="119"/>
      <c r="M241" s="119"/>
      <c r="N241" s="119"/>
      <c r="O241" s="118"/>
      <c r="P241" s="124"/>
    </row>
    <row r="242" spans="1:16" ht="14">
      <c r="A242" s="122">
        <f>L233</f>
        <v>23.4</v>
      </c>
      <c r="B242" s="121"/>
      <c r="C242" s="121">
        <f>((A242-B241)/(B243-B241)*(D243-D241)+D241)</f>
        <v>0.5</v>
      </c>
      <c r="D242" s="120"/>
      <c r="E242" s="123"/>
      <c r="F242" s="122">
        <f>L234</f>
        <v>66.95</v>
      </c>
      <c r="G242" s="121"/>
      <c r="H242" s="121">
        <f>((F242-G241)/(G243-G241)*(I243-I241)+I241)</f>
        <v>-5.056111111111111</v>
      </c>
      <c r="I242" s="120"/>
      <c r="J242" s="119"/>
      <c r="K242" s="119"/>
      <c r="L242" s="119"/>
      <c r="M242" s="119"/>
      <c r="N242" s="119"/>
      <c r="O242" s="118"/>
      <c r="P242" s="117"/>
    </row>
    <row r="243" spans="1:16" ht="13.5" thickBot="1">
      <c r="A243" s="115"/>
      <c r="B243" s="114">
        <f>IF(A242&lt;=A233,A233,IF(A242&lt;=A234,A234,IF(A242&lt;=A235,A235,IF(A242&lt;=A236,A236,IF(A242&lt;=A237,A237,IF(A242&lt;=A238,A238))))))</f>
        <v>24.6</v>
      </c>
      <c r="C243" s="113"/>
      <c r="D243" s="112">
        <f>IF(A242&lt;=A233,B233,IF(A242&lt;=A234,B234,IF(A242&lt;=A235,B235,IF(A242&lt;=A236,B236,IF(A242&lt;=A237,B237,IF(A242&lt;=A238,B238))))))</f>
        <v>0.5</v>
      </c>
      <c r="E243" s="116"/>
      <c r="F243" s="115"/>
      <c r="G243" s="114">
        <f>IF(F242&lt;=F233,F233,IF(F242&lt;=F234,F234,IF(F242&lt;=F235,F235,IF(F242&lt;=F236,F236,IF(F242&lt;=F237,F237,IF(F242&lt;=F238,F238))))))</f>
        <v>71.5</v>
      </c>
      <c r="H243" s="113"/>
      <c r="I243" s="112">
        <f>IF(F242&lt;=F233,G233,IF(F242&lt;=F234,G234,IF(F242&lt;=F235,G235,IF(F242&lt;=F236,G236,IF(F242&lt;=F237,G237,IF(F242&lt;=F238,G238))))))</f>
        <v>-4.5</v>
      </c>
      <c r="J243" s="111"/>
      <c r="K243" s="111"/>
      <c r="L243" s="111"/>
      <c r="M243" s="111"/>
      <c r="N243" s="111"/>
      <c r="O243" s="110"/>
      <c r="P243" s="109"/>
    </row>
    <row r="248" spans="1:16" s="95" customFormat="1" ht="13.5" thickBot="1">
      <c r="A248" s="1500" t="str">
        <f>ID!B72</f>
        <v>Thermohygrolight, Merek : Sekonic, Model : ST-50A, SN : HE-21.000670</v>
      </c>
      <c r="B248" s="1501"/>
      <c r="C248" s="1501"/>
      <c r="D248" s="1501"/>
      <c r="E248" s="1501"/>
      <c r="F248" s="1501"/>
      <c r="G248" s="1501"/>
      <c r="H248" s="1501"/>
      <c r="I248" s="1502"/>
      <c r="J248" s="1502"/>
      <c r="K248" s="1503"/>
    </row>
    <row r="249" spans="1:16" s="95" customFormat="1" ht="13">
      <c r="A249" s="106" t="s">
        <v>94</v>
      </c>
      <c r="B249" s="102"/>
      <c r="C249" s="102"/>
      <c r="D249" s="101"/>
      <c r="E249" s="101"/>
      <c r="F249" s="101"/>
      <c r="G249" s="100"/>
      <c r="H249" s="99"/>
      <c r="I249" s="108">
        <f>D4</f>
        <v>2017</v>
      </c>
      <c r="J249" s="107">
        <f>E4</f>
        <v>2015</v>
      </c>
      <c r="K249" s="96">
        <v>1</v>
      </c>
    </row>
    <row r="250" spans="1:16" s="95" customFormat="1" ht="13">
      <c r="A250" s="106" t="s">
        <v>96</v>
      </c>
      <c r="B250" s="102"/>
      <c r="C250" s="102"/>
      <c r="D250" s="101"/>
      <c r="E250" s="101"/>
      <c r="F250" s="101"/>
      <c r="G250" s="100"/>
      <c r="H250" s="99"/>
      <c r="I250" s="105">
        <f>D15</f>
        <v>2018</v>
      </c>
      <c r="J250" s="104">
        <f>E15</f>
        <v>2017</v>
      </c>
      <c r="K250" s="96">
        <v>2</v>
      </c>
    </row>
    <row r="251" spans="1:16" s="95" customFormat="1" ht="13">
      <c r="A251" s="106" t="s">
        <v>98</v>
      </c>
      <c r="B251" s="102"/>
      <c r="C251" s="102"/>
      <c r="D251" s="101"/>
      <c r="E251" s="101"/>
      <c r="F251" s="101"/>
      <c r="G251" s="100"/>
      <c r="H251" s="99"/>
      <c r="I251" s="105">
        <f>D26</f>
        <v>2018</v>
      </c>
      <c r="J251" s="104">
        <f>E26</f>
        <v>2017</v>
      </c>
      <c r="K251" s="96">
        <v>3</v>
      </c>
    </row>
    <row r="252" spans="1:16" s="95" customFormat="1" ht="13">
      <c r="A252" s="106" t="s">
        <v>99</v>
      </c>
      <c r="B252" s="102"/>
      <c r="C252" s="102"/>
      <c r="D252" s="101"/>
      <c r="E252" s="101"/>
      <c r="F252" s="101"/>
      <c r="G252" s="100"/>
      <c r="H252" s="99"/>
      <c r="I252" s="105">
        <f>D37</f>
        <v>2017</v>
      </c>
      <c r="J252" s="104">
        <f>E37</f>
        <v>2015</v>
      </c>
      <c r="K252" s="96">
        <v>4</v>
      </c>
    </row>
    <row r="253" spans="1:16" s="95" customFormat="1" ht="13">
      <c r="A253" s="106" t="s">
        <v>103</v>
      </c>
      <c r="B253" s="102"/>
      <c r="C253" s="102"/>
      <c r="D253" s="101"/>
      <c r="E253" s="101"/>
      <c r="F253" s="101"/>
      <c r="G253" s="100"/>
      <c r="H253" s="99"/>
      <c r="I253" s="105">
        <f>D48</f>
        <v>2017</v>
      </c>
      <c r="J253" s="104">
        <f>E48</f>
        <v>2015</v>
      </c>
      <c r="K253" s="96">
        <v>5</v>
      </c>
    </row>
    <row r="254" spans="1:16" s="95" customFormat="1" ht="13">
      <c r="A254" s="106" t="s">
        <v>104</v>
      </c>
      <c r="B254" s="102"/>
      <c r="C254" s="102"/>
      <c r="D254" s="101"/>
      <c r="E254" s="101"/>
      <c r="F254" s="101"/>
      <c r="G254" s="100"/>
      <c r="H254" s="99"/>
      <c r="I254" s="105">
        <f>D59</f>
        <v>2018</v>
      </c>
      <c r="J254" s="104">
        <f>E59</f>
        <v>2017</v>
      </c>
      <c r="K254" s="96">
        <v>6</v>
      </c>
    </row>
    <row r="255" spans="1:16" s="95" customFormat="1" ht="13">
      <c r="A255" s="106" t="s">
        <v>105</v>
      </c>
      <c r="B255" s="102"/>
      <c r="C255" s="102"/>
      <c r="D255" s="101"/>
      <c r="E255" s="101"/>
      <c r="F255" s="101"/>
      <c r="G255" s="100"/>
      <c r="H255" s="99"/>
      <c r="I255" s="105">
        <f>D70</f>
        <v>2018</v>
      </c>
      <c r="J255" s="104">
        <f>E70</f>
        <v>2017</v>
      </c>
      <c r="K255" s="96">
        <v>7</v>
      </c>
    </row>
    <row r="256" spans="1:16" s="95" customFormat="1" ht="13">
      <c r="A256" s="106" t="s">
        <v>106</v>
      </c>
      <c r="B256" s="102"/>
      <c r="C256" s="102"/>
      <c r="D256" s="101"/>
      <c r="E256" s="101"/>
      <c r="F256" s="101"/>
      <c r="G256" s="100"/>
      <c r="H256" s="99"/>
      <c r="I256" s="105">
        <f>D81</f>
        <v>2019</v>
      </c>
      <c r="J256" s="104">
        <f>E81</f>
        <v>2017</v>
      </c>
      <c r="K256" s="96">
        <v>8</v>
      </c>
    </row>
    <row r="257" spans="1:11" s="95" customFormat="1" ht="13">
      <c r="A257" s="106" t="s">
        <v>107</v>
      </c>
      <c r="B257" s="102"/>
      <c r="C257" s="102"/>
      <c r="D257" s="101"/>
      <c r="E257" s="101"/>
      <c r="F257" s="101"/>
      <c r="G257" s="100"/>
      <c r="H257" s="99"/>
      <c r="I257" s="105">
        <f>D92</f>
        <v>2019</v>
      </c>
      <c r="J257" s="104" t="str">
        <f>E92</f>
        <v>-</v>
      </c>
      <c r="K257" s="96">
        <v>9</v>
      </c>
    </row>
    <row r="258" spans="1:11" s="95" customFormat="1" ht="13">
      <c r="A258" s="106" t="s">
        <v>108</v>
      </c>
      <c r="B258" s="102"/>
      <c r="C258" s="102"/>
      <c r="D258" s="101"/>
      <c r="E258" s="101"/>
      <c r="F258" s="101"/>
      <c r="G258" s="100"/>
      <c r="H258" s="99"/>
      <c r="I258" s="105">
        <f>D103</f>
        <v>2019</v>
      </c>
      <c r="J258" s="104">
        <f>E103</f>
        <v>2016</v>
      </c>
      <c r="K258" s="96">
        <v>10</v>
      </c>
    </row>
    <row r="259" spans="1:11" s="95" customFormat="1" ht="13">
      <c r="A259" s="106" t="s">
        <v>109</v>
      </c>
      <c r="B259" s="102"/>
      <c r="C259" s="102"/>
      <c r="D259" s="101"/>
      <c r="E259" s="101"/>
      <c r="F259" s="101"/>
      <c r="G259" s="100"/>
      <c r="H259" s="99"/>
      <c r="I259" s="105">
        <f>D114</f>
        <v>2016</v>
      </c>
      <c r="J259" s="104" t="str">
        <f>E114</f>
        <v>-</v>
      </c>
      <c r="K259" s="96">
        <v>11</v>
      </c>
    </row>
    <row r="260" spans="1:11" s="95" customFormat="1" ht="13.5" thickBot="1">
      <c r="A260" s="103">
        <v>12</v>
      </c>
      <c r="B260" s="102"/>
      <c r="C260" s="102"/>
      <c r="D260" s="101"/>
      <c r="E260" s="101"/>
      <c r="F260" s="101"/>
      <c r="G260" s="100"/>
      <c r="H260" s="99"/>
      <c r="I260" s="98">
        <f>D125</f>
        <v>2017</v>
      </c>
      <c r="J260" s="97" t="str">
        <f>E125</f>
        <v>-</v>
      </c>
      <c r="K260" s="96">
        <v>12</v>
      </c>
    </row>
    <row r="261" spans="1:11" s="95" customFormat="1" ht="13.5" thickBot="1">
      <c r="A261" s="1511">
        <f>VLOOKUP(A248,A249:K259,11,(FALSE))</f>
        <v>11</v>
      </c>
      <c r="B261" s="1512"/>
      <c r="C261" s="1512"/>
      <c r="D261" s="1512"/>
      <c r="E261" s="1512"/>
      <c r="F261" s="1512"/>
      <c r="G261" s="1512"/>
      <c r="H261" s="1512"/>
      <c r="I261" s="1513"/>
      <c r="J261" s="1513"/>
      <c r="K261" s="1514"/>
    </row>
  </sheetData>
  <mergeCells count="190">
    <mergeCell ref="A13:A22"/>
    <mergeCell ref="B13:F13"/>
    <mergeCell ref="H13:L13"/>
    <mergeCell ref="A1:O1"/>
    <mergeCell ref="A2:A11"/>
    <mergeCell ref="B2:F2"/>
    <mergeCell ref="H2:L2"/>
    <mergeCell ref="N2:O2"/>
    <mergeCell ref="B3:C3"/>
    <mergeCell ref="D3:E3"/>
    <mergeCell ref="F3:F4"/>
    <mergeCell ref="H3:I3"/>
    <mergeCell ref="J3:K3"/>
    <mergeCell ref="L3:L4"/>
    <mergeCell ref="B4:C4"/>
    <mergeCell ref="H4:I4"/>
    <mergeCell ref="N13:O13"/>
    <mergeCell ref="B14:C14"/>
    <mergeCell ref="D14:E14"/>
    <mergeCell ref="F14:F15"/>
    <mergeCell ref="H14:I14"/>
    <mergeCell ref="J14:K14"/>
    <mergeCell ref="L14:L15"/>
    <mergeCell ref="B15:C15"/>
    <mergeCell ref="H15:I15"/>
    <mergeCell ref="N35:O35"/>
    <mergeCell ref="B36:C36"/>
    <mergeCell ref="D36:E36"/>
    <mergeCell ref="F36:F37"/>
    <mergeCell ref="H36:I36"/>
    <mergeCell ref="B37:C37"/>
    <mergeCell ref="H37:I37"/>
    <mergeCell ref="N24:O24"/>
    <mergeCell ref="B25:C25"/>
    <mergeCell ref="D25:E25"/>
    <mergeCell ref="F25:F26"/>
    <mergeCell ref="H25:I25"/>
    <mergeCell ref="J25:K25"/>
    <mergeCell ref="L25:L26"/>
    <mergeCell ref="A46:A55"/>
    <mergeCell ref="B46:F46"/>
    <mergeCell ref="H46:L46"/>
    <mergeCell ref="B26:C26"/>
    <mergeCell ref="H26:I26"/>
    <mergeCell ref="A35:A44"/>
    <mergeCell ref="B35:F35"/>
    <mergeCell ref="H35:L35"/>
    <mergeCell ref="A24:A33"/>
    <mergeCell ref="B24:F24"/>
    <mergeCell ref="H24:L24"/>
    <mergeCell ref="J36:K36"/>
    <mergeCell ref="L36:L37"/>
    <mergeCell ref="N46:O46"/>
    <mergeCell ref="B47:C47"/>
    <mergeCell ref="D47:E47"/>
    <mergeCell ref="F47:F48"/>
    <mergeCell ref="H47:I47"/>
    <mergeCell ref="J47:K47"/>
    <mergeCell ref="L47:L48"/>
    <mergeCell ref="B48:C48"/>
    <mergeCell ref="H48:I48"/>
    <mergeCell ref="L69:L70"/>
    <mergeCell ref="N68:O68"/>
    <mergeCell ref="B69:C69"/>
    <mergeCell ref="D69:E69"/>
    <mergeCell ref="F69:F70"/>
    <mergeCell ref="H69:I69"/>
    <mergeCell ref="B59:C59"/>
    <mergeCell ref="H59:I59"/>
    <mergeCell ref="H57:L57"/>
    <mergeCell ref="N57:O57"/>
    <mergeCell ref="B58:C58"/>
    <mergeCell ref="A112:A121"/>
    <mergeCell ref="B112:F112"/>
    <mergeCell ref="H112:L112"/>
    <mergeCell ref="B92:C92"/>
    <mergeCell ref="H92:I92"/>
    <mergeCell ref="H81:I81"/>
    <mergeCell ref="J102:K102"/>
    <mergeCell ref="L102:L103"/>
    <mergeCell ref="B103:C103"/>
    <mergeCell ref="H103:I103"/>
    <mergeCell ref="A79:A88"/>
    <mergeCell ref="B79:F79"/>
    <mergeCell ref="H79:L79"/>
    <mergeCell ref="A101:A110"/>
    <mergeCell ref="B101:F101"/>
    <mergeCell ref="H101:L101"/>
    <mergeCell ref="B80:C80"/>
    <mergeCell ref="D80:E80"/>
    <mergeCell ref="F80:F81"/>
    <mergeCell ref="H80:I80"/>
    <mergeCell ref="J80:K80"/>
    <mergeCell ref="L80:L81"/>
    <mergeCell ref="B81:C81"/>
    <mergeCell ref="A57:A66"/>
    <mergeCell ref="B57:F57"/>
    <mergeCell ref="N90:O90"/>
    <mergeCell ref="B91:C91"/>
    <mergeCell ref="D91:E91"/>
    <mergeCell ref="F91:F92"/>
    <mergeCell ref="H91:I91"/>
    <mergeCell ref="J91:K91"/>
    <mergeCell ref="L91:L92"/>
    <mergeCell ref="A90:A99"/>
    <mergeCell ref="B90:F90"/>
    <mergeCell ref="H90:L90"/>
    <mergeCell ref="A68:A77"/>
    <mergeCell ref="B68:F68"/>
    <mergeCell ref="H68:L68"/>
    <mergeCell ref="B70:C70"/>
    <mergeCell ref="H70:I70"/>
    <mergeCell ref="N79:O79"/>
    <mergeCell ref="D58:E58"/>
    <mergeCell ref="F58:F59"/>
    <mergeCell ref="H58:I58"/>
    <mergeCell ref="J58:K58"/>
    <mergeCell ref="L58:L59"/>
    <mergeCell ref="J69:K69"/>
    <mergeCell ref="O136:P136"/>
    <mergeCell ref="N123:O123"/>
    <mergeCell ref="N101:O101"/>
    <mergeCell ref="B102:C102"/>
    <mergeCell ref="D102:E102"/>
    <mergeCell ref="F102:F103"/>
    <mergeCell ref="H102:I102"/>
    <mergeCell ref="N112:O112"/>
    <mergeCell ref="B113:C113"/>
    <mergeCell ref="D113:E113"/>
    <mergeCell ref="F113:F114"/>
    <mergeCell ref="H113:I113"/>
    <mergeCell ref="J113:K113"/>
    <mergeCell ref="L113:L114"/>
    <mergeCell ref="B114:C114"/>
    <mergeCell ref="H114:I114"/>
    <mergeCell ref="L236:N236"/>
    <mergeCell ref="L124:L125"/>
    <mergeCell ref="B125:C125"/>
    <mergeCell ref="H125:I125"/>
    <mergeCell ref="A151:A162"/>
    <mergeCell ref="H151:H162"/>
    <mergeCell ref="O151:P151"/>
    <mergeCell ref="O152:P152"/>
    <mergeCell ref="J135:M135"/>
    <mergeCell ref="O135:P135"/>
    <mergeCell ref="D136:E136"/>
    <mergeCell ref="A123:A132"/>
    <mergeCell ref="B123:F123"/>
    <mergeCell ref="H123:L123"/>
    <mergeCell ref="A138:A149"/>
    <mergeCell ref="H138:H149"/>
    <mergeCell ref="B124:C124"/>
    <mergeCell ref="D124:E124"/>
    <mergeCell ref="F124:F125"/>
    <mergeCell ref="H124:I124"/>
    <mergeCell ref="J124:K124"/>
    <mergeCell ref="F136:F137"/>
    <mergeCell ref="K136:L136"/>
    <mergeCell ref="M136:M137"/>
    <mergeCell ref="L229:O229"/>
    <mergeCell ref="B230:C230"/>
    <mergeCell ref="D230:D231"/>
    <mergeCell ref="G230:H230"/>
    <mergeCell ref="I230:I231"/>
    <mergeCell ref="A164:A175"/>
    <mergeCell ref="H164:H175"/>
    <mergeCell ref="A177:A188"/>
    <mergeCell ref="H177:H188"/>
    <mergeCell ref="A190:A201"/>
    <mergeCell ref="H190:H201"/>
    <mergeCell ref="A203:A214"/>
    <mergeCell ref="H203:H214"/>
    <mergeCell ref="A216:A227"/>
    <mergeCell ref="H216:H227"/>
    <mergeCell ref="B229:D229"/>
    <mergeCell ref="G229:I229"/>
    <mergeCell ref="K230:K232"/>
    <mergeCell ref="L230:L232"/>
    <mergeCell ref="M230:M232"/>
    <mergeCell ref="N230:N232"/>
    <mergeCell ref="O230:O232"/>
    <mergeCell ref="A240:D240"/>
    <mergeCell ref="F240:I240"/>
    <mergeCell ref="A248:K248"/>
    <mergeCell ref="A135:A137"/>
    <mergeCell ref="B135:B137"/>
    <mergeCell ref="C135:F135"/>
    <mergeCell ref="H135:H137"/>
    <mergeCell ref="I135:I137"/>
    <mergeCell ref="A261:K261"/>
  </mergeCells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10</vt:i4>
      </vt:variant>
    </vt:vector>
  </HeadingPairs>
  <TitlesOfParts>
    <vt:vector size="22" baseType="lpstr">
      <vt:lpstr>DB Stopwatch (2)</vt:lpstr>
      <vt:lpstr>SERTIFIKAT</vt:lpstr>
      <vt:lpstr>ESA</vt:lpstr>
      <vt:lpstr>LK</vt:lpstr>
      <vt:lpstr>Riwayat Revisi</vt:lpstr>
      <vt:lpstr>ID</vt:lpstr>
      <vt:lpstr>Budget</vt:lpstr>
      <vt:lpstr>kata-kata</vt:lpstr>
      <vt:lpstr>DB Suhu</vt:lpstr>
      <vt:lpstr>Penyelia</vt:lpstr>
      <vt:lpstr>Input Data Sertifikat Defib</vt:lpstr>
      <vt:lpstr>LH</vt:lpstr>
      <vt:lpstr>Budget!Print_Area</vt:lpstr>
      <vt:lpstr>'DB Stopwatch (2)'!Print_Area</vt:lpstr>
      <vt:lpstr>'DB Suhu'!Print_Area</vt:lpstr>
      <vt:lpstr>ESA!Print_Area</vt:lpstr>
      <vt:lpstr>ID!Print_Area</vt:lpstr>
      <vt:lpstr>'Input Data Sertifikat Defib'!Print_Area</vt:lpstr>
      <vt:lpstr>LH!Print_Area</vt:lpstr>
      <vt:lpstr>LK!Print_Area</vt:lpstr>
      <vt:lpstr>Penyelia!Print_Area</vt:lpstr>
      <vt:lpstr>SERTIFIKAT!Print_Area</vt:lpstr>
    </vt:vector>
  </TitlesOfParts>
  <Manager/>
  <Company>BPFK Surabaya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Calibration Laboratory</dc:creator>
  <cp:keywords/>
  <dc:description/>
  <cp:lastModifiedBy>MyBook PRO K5</cp:lastModifiedBy>
  <cp:revision/>
  <dcterms:created xsi:type="dcterms:W3CDTF">2003-07-23T01:21:42Z</dcterms:created>
  <dcterms:modified xsi:type="dcterms:W3CDTF">2023-09-26T00:38:43Z</dcterms:modified>
  <cp:category/>
  <cp:contentStatus/>
</cp:coreProperties>
</file>