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raxel\public\excel\"/>
    </mc:Choice>
  </mc:AlternateContent>
  <xr:revisionPtr revIDLastSave="0" documentId="13_ncr:1_{38099A12-F2A8-47B2-9098-CD07535C8869}" xr6:coauthVersionLast="45" xr6:coauthVersionMax="45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DB Stopwatch (2)" sheetId="40" r:id="rId1"/>
    <sheet name="SERTIFIKAT" sheetId="43" state="hidden" r:id="rId2"/>
    <sheet name="ESA" sheetId="44" r:id="rId3"/>
    <sheet name="LK" sheetId="8" r:id="rId4"/>
    <sheet name="Riwayat Revisi" sheetId="36" r:id="rId5"/>
    <sheet name="ID" sheetId="13" r:id="rId6"/>
    <sheet name="Input Data ECG Sim" sheetId="34" state="hidden" r:id="rId7"/>
    <sheet name="Budget" sheetId="12" r:id="rId8"/>
    <sheet name="kata-kata" sheetId="35" r:id="rId9"/>
    <sheet name="DB Suhu" sheetId="30" state="hidden" r:id="rId10"/>
    <sheet name="DB Thermohygro" sheetId="42" state="hidden" r:id="rId11"/>
    <sheet name="Penyelia" sheetId="4" r:id="rId12"/>
    <sheet name="Input Data Sertifikat Defib" sheetId="37" state="hidden" r:id="rId13"/>
    <sheet name="LH" sheetId="29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Print_Area" localSheetId="7">Budget!$A$1:$W$72,Budget!$A$74:$W$148,Budget!$A$150:$W$213</definedName>
    <definedName name="_xlnm.Print_Area" localSheetId="0">'DB Stopwatch (2)'!$A$2:$T$96,'DB Stopwatch (2)'!$A$200:$O$223</definedName>
    <definedName name="_xlnm.Print_Area" localSheetId="9">'DB Suhu'!$A$229:$O$243</definedName>
    <definedName name="_xlnm.Print_Area" localSheetId="10">'DB Thermohygro'!#REF!,'DB Thermohygro'!#REF!</definedName>
    <definedName name="_xlnm.Print_Area" localSheetId="2">ESA!$AA$185:$AN$220</definedName>
    <definedName name="_xlnm.Print_Area" localSheetId="5">ID!$A$1:$M$63,ID!$A$67:$M$108</definedName>
    <definedName name="_xlnm.Print_Area" localSheetId="6">'Input Data ECG Sim'!$A$241:$F$259</definedName>
    <definedName name="_xlnm.Print_Area" localSheetId="12">'Input Data Sertifikat Defib'!$Z$77:$AL$114</definedName>
    <definedName name="_xlnm.Print_Area" localSheetId="13">LH!$A$1:$L$121</definedName>
    <definedName name="_xlnm.Print_Area" localSheetId="3">LK!$A$1:$M$97</definedName>
    <definedName name="_xlnm.Print_Area" localSheetId="11">Penyelia!$A$1:$N$110</definedName>
    <definedName name="_xlnm.Print_Area" localSheetId="1">SERTIFIKAT!$A$1:$F$33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2" i="29" l="1"/>
  <c r="J36" i="29"/>
  <c r="D19" i="29"/>
  <c r="G39" i="29"/>
  <c r="B76" i="29" l="1"/>
  <c r="B77" i="29"/>
  <c r="B78" i="29"/>
  <c r="B79" i="29"/>
  <c r="B80" i="29"/>
  <c r="B81" i="29"/>
  <c r="B82" i="29"/>
  <c r="B83" i="29"/>
  <c r="B84" i="29"/>
  <c r="B75" i="29"/>
  <c r="A1" i="29" l="1"/>
  <c r="D14" i="34" l="1"/>
  <c r="D19" i="34" s="1"/>
  <c r="D23" i="34" s="1"/>
  <c r="D26" i="34" s="1"/>
  <c r="L14" i="34"/>
  <c r="L19" i="34" s="1"/>
  <c r="L23" i="34" s="1"/>
  <c r="L26" i="34" s="1"/>
  <c r="T43" i="34"/>
  <c r="T48" i="34" s="1"/>
  <c r="T52" i="34" s="1"/>
  <c r="T55" i="34" s="1"/>
  <c r="L43" i="34"/>
  <c r="L48" i="34" s="1"/>
  <c r="L52" i="34" s="1"/>
  <c r="L55" i="34" s="1"/>
  <c r="D43" i="34"/>
  <c r="D48" i="34" s="1"/>
  <c r="D52" i="34" s="1"/>
  <c r="D55" i="34" s="1"/>
  <c r="T72" i="34"/>
  <c r="T77" i="34" s="1"/>
  <c r="T81" i="34" s="1"/>
  <c r="T84" i="34" s="1"/>
  <c r="T101" i="34"/>
  <c r="T106" i="34" s="1"/>
  <c r="T110" i="34" s="1"/>
  <c r="T113" i="34" s="1"/>
  <c r="L101" i="34"/>
  <c r="L106" i="34" s="1"/>
  <c r="L110" i="34" s="1"/>
  <c r="L113" i="34" s="1"/>
  <c r="D101" i="34"/>
  <c r="D106" i="34" s="1"/>
  <c r="D110" i="34" s="1"/>
  <c r="D113" i="34" s="1"/>
  <c r="D130" i="34"/>
  <c r="D135" i="34" s="1"/>
  <c r="D139" i="34" s="1"/>
  <c r="D142" i="34" s="1"/>
  <c r="L130" i="34"/>
  <c r="L135" i="34" s="1"/>
  <c r="L139" i="34" s="1"/>
  <c r="L142" i="34" s="1"/>
  <c r="T130" i="34"/>
  <c r="T135" i="34" s="1"/>
  <c r="T139" i="34" s="1"/>
  <c r="T142" i="34" s="1"/>
  <c r="T159" i="34"/>
  <c r="T164" i="34" s="1"/>
  <c r="T168" i="34" s="1"/>
  <c r="T171" i="34" s="1"/>
  <c r="L159" i="34"/>
  <c r="L164" i="34" s="1"/>
  <c r="L168" i="34" s="1"/>
  <c r="L171" i="34" s="1"/>
  <c r="D159" i="34"/>
  <c r="D164" i="34" s="1"/>
  <c r="D168" i="34" s="1"/>
  <c r="D171" i="34" s="1"/>
  <c r="AD23" i="4" l="1"/>
  <c r="J49" i="35"/>
  <c r="L26" i="13" s="1"/>
  <c r="K49" i="35"/>
  <c r="L27" i="13" s="1"/>
  <c r="A166" i="44"/>
  <c r="F148" i="44" s="1"/>
  <c r="N142" i="44"/>
  <c r="N139" i="44"/>
  <c r="I139" i="44" s="1"/>
  <c r="N140" i="44"/>
  <c r="N141" i="44"/>
  <c r="I143" i="44" s="1"/>
  <c r="N138" i="44"/>
  <c r="O138" i="44" s="1"/>
  <c r="N137" i="44"/>
  <c r="I135" i="44" s="1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V124" i="44"/>
  <c r="N124" i="44"/>
  <c r="F124" i="44"/>
  <c r="V123" i="44"/>
  <c r="N123" i="44"/>
  <c r="F123" i="44"/>
  <c r="V122" i="44"/>
  <c r="N122" i="44"/>
  <c r="F122" i="44"/>
  <c r="V121" i="44"/>
  <c r="N121" i="44"/>
  <c r="F121" i="44"/>
  <c r="U120" i="44"/>
  <c r="T120" i="44"/>
  <c r="S120" i="44"/>
  <c r="M120" i="44"/>
  <c r="L120" i="44"/>
  <c r="K120" i="44"/>
  <c r="E120" i="44"/>
  <c r="D120" i="44"/>
  <c r="C120" i="44"/>
  <c r="R119" i="44"/>
  <c r="V118" i="44"/>
  <c r="N118" i="44"/>
  <c r="F118" i="44"/>
  <c r="V117" i="44"/>
  <c r="N117" i="44"/>
  <c r="F117" i="44"/>
  <c r="V116" i="44"/>
  <c r="N116" i="44"/>
  <c r="F116" i="44"/>
  <c r="V115" i="44"/>
  <c r="N115" i="44"/>
  <c r="F115" i="44"/>
  <c r="U114" i="44"/>
  <c r="T114" i="44"/>
  <c r="S114" i="44"/>
  <c r="M114" i="44"/>
  <c r="L114" i="44"/>
  <c r="K114" i="44"/>
  <c r="V112" i="44"/>
  <c r="N112" i="44"/>
  <c r="F112" i="44"/>
  <c r="V111" i="44"/>
  <c r="N111" i="44"/>
  <c r="F111" i="44"/>
  <c r="V110" i="44"/>
  <c r="N110" i="44"/>
  <c r="F110" i="44"/>
  <c r="V109" i="44"/>
  <c r="N109" i="44"/>
  <c r="F109" i="44"/>
  <c r="V108" i="44"/>
  <c r="N108" i="44"/>
  <c r="F108" i="44"/>
  <c r="V107" i="44"/>
  <c r="N107" i="44"/>
  <c r="F107" i="44"/>
  <c r="U106" i="44"/>
  <c r="T106" i="44"/>
  <c r="S106" i="44"/>
  <c r="M106" i="44"/>
  <c r="L106" i="44"/>
  <c r="K106" i="44"/>
  <c r="E106" i="44"/>
  <c r="D106" i="44"/>
  <c r="C106" i="44"/>
  <c r="V104" i="44"/>
  <c r="N104" i="44"/>
  <c r="F104" i="44"/>
  <c r="V103" i="44"/>
  <c r="N103" i="44"/>
  <c r="F103" i="44"/>
  <c r="V102" i="44"/>
  <c r="N102" i="44"/>
  <c r="F102" i="44"/>
  <c r="V101" i="44"/>
  <c r="N101" i="44"/>
  <c r="F101" i="44"/>
  <c r="V100" i="44"/>
  <c r="N100" i="44"/>
  <c r="F100" i="44"/>
  <c r="V99" i="44"/>
  <c r="N99" i="44"/>
  <c r="F99" i="44"/>
  <c r="R95" i="44"/>
  <c r="J95" i="44"/>
  <c r="B95" i="44"/>
  <c r="W93" i="44"/>
  <c r="V93" i="44"/>
  <c r="O93" i="44"/>
  <c r="N93" i="44"/>
  <c r="F93" i="44"/>
  <c r="V92" i="44"/>
  <c r="O92" i="44"/>
  <c r="N92" i="44"/>
  <c r="F92" i="44"/>
  <c r="V91" i="44"/>
  <c r="O91" i="44"/>
  <c r="N91" i="44"/>
  <c r="F91" i="44"/>
  <c r="X90" i="44"/>
  <c r="V90" i="44"/>
  <c r="P90" i="44"/>
  <c r="O90" i="44"/>
  <c r="N90" i="44"/>
  <c r="H90" i="44"/>
  <c r="G93" i="44" s="1"/>
  <c r="F90" i="44"/>
  <c r="U89" i="44"/>
  <c r="T89" i="44"/>
  <c r="S89" i="44"/>
  <c r="M89" i="44"/>
  <c r="L89" i="44"/>
  <c r="K89" i="44"/>
  <c r="E89" i="44"/>
  <c r="D89" i="44"/>
  <c r="C89" i="44"/>
  <c r="R88" i="44"/>
  <c r="W87" i="44"/>
  <c r="V87" i="44"/>
  <c r="O87" i="44"/>
  <c r="N87" i="44"/>
  <c r="G87" i="44"/>
  <c r="F87" i="44"/>
  <c r="W86" i="44"/>
  <c r="V86" i="44"/>
  <c r="N86" i="44"/>
  <c r="G86" i="44"/>
  <c r="F86" i="44"/>
  <c r="W85" i="44"/>
  <c r="V85" i="44"/>
  <c r="N85" i="44"/>
  <c r="F85" i="44"/>
  <c r="W84" i="44"/>
  <c r="V84" i="44"/>
  <c r="P84" i="44"/>
  <c r="O84" i="44"/>
  <c r="N84" i="44"/>
  <c r="H84" i="44"/>
  <c r="G85" i="44" s="1"/>
  <c r="F84" i="44"/>
  <c r="U83" i="44"/>
  <c r="T83" i="44"/>
  <c r="S83" i="44"/>
  <c r="M83" i="44"/>
  <c r="L83" i="44"/>
  <c r="K83" i="44"/>
  <c r="R82" i="44"/>
  <c r="W81" i="44"/>
  <c r="V81" i="44"/>
  <c r="N81" i="44"/>
  <c r="F81" i="44"/>
  <c r="W80" i="44"/>
  <c r="V80" i="44"/>
  <c r="N80" i="44"/>
  <c r="F80" i="44"/>
  <c r="V79" i="44"/>
  <c r="O79" i="44"/>
  <c r="N79" i="44"/>
  <c r="G79" i="44"/>
  <c r="F79" i="44"/>
  <c r="V78" i="44"/>
  <c r="N78" i="44"/>
  <c r="G78" i="44"/>
  <c r="F78" i="44"/>
  <c r="W77" i="44"/>
  <c r="V77" i="44"/>
  <c r="N77" i="44"/>
  <c r="F77" i="44"/>
  <c r="X76" i="44"/>
  <c r="W76" i="44" s="1"/>
  <c r="V76" i="44"/>
  <c r="P76" i="44"/>
  <c r="N76" i="44"/>
  <c r="H76" i="44"/>
  <c r="G80" i="44" s="1"/>
  <c r="G76" i="44"/>
  <c r="F76" i="44"/>
  <c r="U75" i="44"/>
  <c r="T75" i="44"/>
  <c r="S75" i="44"/>
  <c r="M75" i="44"/>
  <c r="L75" i="44"/>
  <c r="K75" i="44"/>
  <c r="E75" i="44"/>
  <c r="E83" i="44" s="1"/>
  <c r="D75" i="44"/>
  <c r="D83" i="44" s="1"/>
  <c r="C75" i="44"/>
  <c r="C83" i="44" s="1"/>
  <c r="V73" i="44"/>
  <c r="N73" i="44"/>
  <c r="F73" i="44"/>
  <c r="V72" i="44"/>
  <c r="O72" i="44"/>
  <c r="N72" i="44"/>
  <c r="G72" i="44"/>
  <c r="F72" i="44"/>
  <c r="V71" i="44"/>
  <c r="N71" i="44"/>
  <c r="G71" i="44"/>
  <c r="F71" i="44"/>
  <c r="W70" i="44"/>
  <c r="V70" i="44"/>
  <c r="N70" i="44"/>
  <c r="G70" i="44"/>
  <c r="F70" i="44"/>
  <c r="W69" i="44"/>
  <c r="V69" i="44"/>
  <c r="O69" i="44"/>
  <c r="N69" i="44"/>
  <c r="F69" i="44"/>
  <c r="X68" i="44"/>
  <c r="W71" i="44" s="1"/>
  <c r="W68" i="44"/>
  <c r="V68" i="44"/>
  <c r="P68" i="44"/>
  <c r="O73" i="44" s="1"/>
  <c r="O68" i="44"/>
  <c r="N68" i="44"/>
  <c r="H68" i="44"/>
  <c r="G73" i="44" s="1"/>
  <c r="F68" i="44"/>
  <c r="R64" i="44"/>
  <c r="J64" i="44"/>
  <c r="B64" i="44"/>
  <c r="W62" i="44"/>
  <c r="V62" i="44"/>
  <c r="N62" i="44"/>
  <c r="F62" i="44"/>
  <c r="W61" i="44"/>
  <c r="V61" i="44"/>
  <c r="N61" i="44"/>
  <c r="F61" i="44"/>
  <c r="W60" i="44"/>
  <c r="V60" i="44"/>
  <c r="O60" i="44"/>
  <c r="N60" i="44"/>
  <c r="F60" i="44"/>
  <c r="X59" i="44"/>
  <c r="W59" i="44" s="1"/>
  <c r="V59" i="44"/>
  <c r="P59" i="44"/>
  <c r="O62" i="44" s="1"/>
  <c r="O59" i="44"/>
  <c r="N59" i="44"/>
  <c r="H59" i="44"/>
  <c r="F59" i="44"/>
  <c r="U58" i="44"/>
  <c r="T58" i="44"/>
  <c r="S58" i="44"/>
  <c r="M58" i="44"/>
  <c r="L58" i="44"/>
  <c r="K58" i="44"/>
  <c r="E58" i="44"/>
  <c r="D58" i="44"/>
  <c r="C58" i="44"/>
  <c r="B57" i="44"/>
  <c r="J57" i="44" s="1"/>
  <c r="R57" i="44" s="1"/>
  <c r="W56" i="44"/>
  <c r="V56" i="44"/>
  <c r="N56" i="44"/>
  <c r="F56" i="44"/>
  <c r="W55" i="44"/>
  <c r="V55" i="44"/>
  <c r="O55" i="44"/>
  <c r="N55" i="44"/>
  <c r="F55" i="44"/>
  <c r="V54" i="44"/>
  <c r="O54" i="44"/>
  <c r="N54" i="44"/>
  <c r="F54" i="44"/>
  <c r="X53" i="44"/>
  <c r="W54" i="44" s="1"/>
  <c r="W53" i="44"/>
  <c r="V53" i="44"/>
  <c r="P53" i="44"/>
  <c r="O56" i="44" s="1"/>
  <c r="O53" i="44"/>
  <c r="N53" i="44"/>
  <c r="H53" i="44"/>
  <c r="G53" i="44"/>
  <c r="F53" i="44"/>
  <c r="U52" i="44"/>
  <c r="T52" i="44"/>
  <c r="S52" i="44"/>
  <c r="M52" i="44"/>
  <c r="L52" i="44"/>
  <c r="K52" i="44"/>
  <c r="E52" i="44"/>
  <c r="D52" i="44"/>
  <c r="C52" i="44"/>
  <c r="B51" i="44"/>
  <c r="J51" i="44" s="1"/>
  <c r="R51" i="44" s="1"/>
  <c r="W50" i="44"/>
  <c r="V50" i="44"/>
  <c r="O50" i="44"/>
  <c r="N50" i="44"/>
  <c r="F50" i="44"/>
  <c r="V49" i="44"/>
  <c r="O49" i="44"/>
  <c r="N49" i="44"/>
  <c r="G49" i="44"/>
  <c r="F49" i="44"/>
  <c r="V48" i="44"/>
  <c r="N48" i="44"/>
  <c r="G48" i="44"/>
  <c r="F48" i="44"/>
  <c r="W47" i="44"/>
  <c r="V47" i="44"/>
  <c r="N47" i="44"/>
  <c r="G47" i="44"/>
  <c r="F47" i="44"/>
  <c r="W46" i="44"/>
  <c r="V46" i="44"/>
  <c r="O46" i="44"/>
  <c r="N46" i="44"/>
  <c r="F46" i="44"/>
  <c r="X45" i="44"/>
  <c r="W49" i="44" s="1"/>
  <c r="W45" i="44"/>
  <c r="V45" i="44"/>
  <c r="P45" i="44"/>
  <c r="O45" i="44"/>
  <c r="N45" i="44"/>
  <c r="H45" i="44"/>
  <c r="G50" i="44" s="1"/>
  <c r="F45" i="44"/>
  <c r="U44" i="44"/>
  <c r="T44" i="44"/>
  <c r="S44" i="44"/>
  <c r="M44" i="44"/>
  <c r="L44" i="44"/>
  <c r="K44" i="44"/>
  <c r="E44" i="44"/>
  <c r="D44" i="44"/>
  <c r="C44" i="44"/>
  <c r="W42" i="44"/>
  <c r="V42" i="44"/>
  <c r="N42" i="44"/>
  <c r="F42" i="44"/>
  <c r="V41" i="44"/>
  <c r="O41" i="44"/>
  <c r="N41" i="44"/>
  <c r="G41" i="44"/>
  <c r="F41" i="44"/>
  <c r="V40" i="44"/>
  <c r="N40" i="44"/>
  <c r="G40" i="44"/>
  <c r="F40" i="44"/>
  <c r="W39" i="44"/>
  <c r="V39" i="44"/>
  <c r="N39" i="44"/>
  <c r="G39" i="44"/>
  <c r="F39" i="44"/>
  <c r="W38" i="44"/>
  <c r="V38" i="44"/>
  <c r="O38" i="44"/>
  <c r="N38" i="44"/>
  <c r="F38" i="44"/>
  <c r="X37" i="44"/>
  <c r="W41" i="44" s="1"/>
  <c r="W37" i="44"/>
  <c r="V37" i="44"/>
  <c r="P37" i="44"/>
  <c r="O37" i="44"/>
  <c r="N37" i="44"/>
  <c r="H37" i="44"/>
  <c r="G42" i="44" s="1"/>
  <c r="F37" i="44"/>
  <c r="R33" i="44"/>
  <c r="J33" i="44"/>
  <c r="B33" i="44"/>
  <c r="W31" i="44"/>
  <c r="V31" i="44"/>
  <c r="N31" i="44"/>
  <c r="F31" i="44"/>
  <c r="W30" i="44"/>
  <c r="V30" i="44"/>
  <c r="O30" i="44"/>
  <c r="N30" i="44"/>
  <c r="F30" i="44"/>
  <c r="W29" i="44"/>
  <c r="V29" i="44"/>
  <c r="O29" i="44"/>
  <c r="N29" i="44"/>
  <c r="G29" i="44"/>
  <c r="F29" i="44"/>
  <c r="X28" i="44"/>
  <c r="W28" i="44" s="1"/>
  <c r="V28" i="44"/>
  <c r="P28" i="44"/>
  <c r="O31" i="44" s="1"/>
  <c r="O28" i="44"/>
  <c r="N28" i="44"/>
  <c r="H28" i="44"/>
  <c r="F28" i="44"/>
  <c r="U27" i="44"/>
  <c r="T27" i="44"/>
  <c r="S27" i="44"/>
  <c r="M27" i="44"/>
  <c r="L27" i="44"/>
  <c r="K27" i="44"/>
  <c r="E27" i="44"/>
  <c r="D27" i="44"/>
  <c r="C27" i="44"/>
  <c r="R26" i="44"/>
  <c r="J26" i="44"/>
  <c r="V25" i="44"/>
  <c r="O25" i="44"/>
  <c r="N25" i="44"/>
  <c r="F25" i="44"/>
  <c r="V24" i="44"/>
  <c r="N24" i="44"/>
  <c r="F24" i="44"/>
  <c r="V23" i="44"/>
  <c r="N23" i="44"/>
  <c r="F23" i="44"/>
  <c r="X22" i="44"/>
  <c r="W24" i="44" s="1"/>
  <c r="V22" i="44"/>
  <c r="P22" i="44"/>
  <c r="N22" i="44"/>
  <c r="F22" i="44"/>
  <c r="U21" i="44"/>
  <c r="T21" i="44"/>
  <c r="S21" i="44"/>
  <c r="M21" i="44"/>
  <c r="L21" i="44"/>
  <c r="K21" i="44"/>
  <c r="R20" i="44"/>
  <c r="J20" i="44"/>
  <c r="W19" i="44"/>
  <c r="V19" i="44"/>
  <c r="O19" i="44"/>
  <c r="N19" i="44"/>
  <c r="F19" i="44"/>
  <c r="V18" i="44"/>
  <c r="N18" i="44"/>
  <c r="G18" i="44"/>
  <c r="F18" i="44"/>
  <c r="W17" i="44"/>
  <c r="V17" i="44"/>
  <c r="N17" i="44"/>
  <c r="F17" i="44"/>
  <c r="W16" i="44"/>
  <c r="V16" i="44"/>
  <c r="O16" i="44"/>
  <c r="N16" i="44"/>
  <c r="F16" i="44"/>
  <c r="W15" i="44"/>
  <c r="V15" i="44"/>
  <c r="O15" i="44"/>
  <c r="N15" i="44"/>
  <c r="G15" i="44"/>
  <c r="F15" i="44"/>
  <c r="X14" i="44"/>
  <c r="W18" i="44" s="1"/>
  <c r="V14" i="44"/>
  <c r="P14" i="44"/>
  <c r="O14" i="44"/>
  <c r="N14" i="44"/>
  <c r="H14" i="44"/>
  <c r="F14" i="44"/>
  <c r="U13" i="44"/>
  <c r="T13" i="44"/>
  <c r="S13" i="44"/>
  <c r="M13" i="44"/>
  <c r="L13" i="44"/>
  <c r="K13" i="44"/>
  <c r="E13" i="44"/>
  <c r="D13" i="44"/>
  <c r="C13" i="44"/>
  <c r="W11" i="44"/>
  <c r="V11" i="44"/>
  <c r="N11" i="44"/>
  <c r="F11" i="44"/>
  <c r="V10" i="44"/>
  <c r="N10" i="44"/>
  <c r="G10" i="44"/>
  <c r="F10" i="44"/>
  <c r="W9" i="44"/>
  <c r="V9" i="44"/>
  <c r="N9" i="44"/>
  <c r="F9" i="44"/>
  <c r="W8" i="44"/>
  <c r="V8" i="44"/>
  <c r="O8" i="44"/>
  <c r="N8" i="44"/>
  <c r="F8" i="44"/>
  <c r="W7" i="44"/>
  <c r="V7" i="44"/>
  <c r="O7" i="44"/>
  <c r="N7" i="44"/>
  <c r="G7" i="44"/>
  <c r="F7" i="44"/>
  <c r="X6" i="44"/>
  <c r="W10" i="44" s="1"/>
  <c r="V6" i="44"/>
  <c r="P6" i="44"/>
  <c r="O6" i="44"/>
  <c r="N6" i="44"/>
  <c r="H6" i="44"/>
  <c r="F6" i="44"/>
  <c r="R2" i="44"/>
  <c r="J2" i="44"/>
  <c r="B2" i="44"/>
  <c r="C154" i="44" l="1"/>
  <c r="D143" i="44"/>
  <c r="E143" i="44"/>
  <c r="F157" i="44"/>
  <c r="C136" i="44"/>
  <c r="B159" i="44"/>
  <c r="B138" i="44"/>
  <c r="C146" i="44"/>
  <c r="F160" i="44"/>
  <c r="F141" i="44"/>
  <c r="D154" i="44"/>
  <c r="D136" i="44"/>
  <c r="E145" i="44"/>
  <c r="B162" i="44"/>
  <c r="E148" i="44"/>
  <c r="E141" i="44"/>
  <c r="I137" i="44"/>
  <c r="K137" i="44" s="1"/>
  <c r="P138" i="44"/>
  <c r="I25" i="4" s="1"/>
  <c r="O25" i="4" s="1"/>
  <c r="G59" i="44"/>
  <c r="G61" i="44"/>
  <c r="G62" i="44"/>
  <c r="D146" i="44"/>
  <c r="F149" i="44"/>
  <c r="E154" i="44"/>
  <c r="C159" i="44"/>
  <c r="G149" i="44"/>
  <c r="D159" i="44"/>
  <c r="G14" i="44"/>
  <c r="G16" i="44"/>
  <c r="G17" i="44"/>
  <c r="O81" i="44"/>
  <c r="O77" i="44"/>
  <c r="O76" i="44"/>
  <c r="O78" i="44"/>
  <c r="G92" i="44"/>
  <c r="B142" i="44"/>
  <c r="B150" i="44"/>
  <c r="D160" i="44"/>
  <c r="W25" i="44"/>
  <c r="W90" i="44"/>
  <c r="W92" i="44"/>
  <c r="W91" i="44"/>
  <c r="G134" i="44"/>
  <c r="F137" i="44"/>
  <c r="G140" i="44"/>
  <c r="F142" i="44"/>
  <c r="D144" i="44"/>
  <c r="F147" i="44"/>
  <c r="E151" i="44"/>
  <c r="G155" i="44"/>
  <c r="E160" i="44"/>
  <c r="C138" i="44"/>
  <c r="E146" i="44"/>
  <c r="O70" i="44"/>
  <c r="O71" i="44"/>
  <c r="O39" i="44"/>
  <c r="O40" i="44"/>
  <c r="O61" i="44"/>
  <c r="G161" i="44" s="1"/>
  <c r="B135" i="44"/>
  <c r="G137" i="44"/>
  <c r="C145" i="44"/>
  <c r="B153" i="44"/>
  <c r="G156" i="44"/>
  <c r="G28" i="44"/>
  <c r="G30" i="44"/>
  <c r="G31" i="44"/>
  <c r="O85" i="44"/>
  <c r="O86" i="44"/>
  <c r="G162" i="44"/>
  <c r="E161" i="44"/>
  <c r="C160" i="44"/>
  <c r="E158" i="44"/>
  <c r="F156" i="44"/>
  <c r="D155" i="44"/>
  <c r="B154" i="44"/>
  <c r="D151" i="44"/>
  <c r="E149" i="44"/>
  <c r="C148" i="44"/>
  <c r="D147" i="44"/>
  <c r="B146" i="44"/>
  <c r="B145" i="44"/>
  <c r="B143" i="44"/>
  <c r="C141" i="44"/>
  <c r="D140" i="44"/>
  <c r="G139" i="44"/>
  <c r="D137" i="44"/>
  <c r="B136" i="44"/>
  <c r="F134" i="44"/>
  <c r="A179" i="44"/>
  <c r="N166" i="44" s="1"/>
  <c r="O179" i="44" s="1"/>
  <c r="B81" i="13" s="1"/>
  <c r="F162" i="44"/>
  <c r="D161" i="44"/>
  <c r="B160" i="44"/>
  <c r="D158" i="44"/>
  <c r="E156" i="44"/>
  <c r="C155" i="44"/>
  <c r="G153" i="44"/>
  <c r="C151" i="44"/>
  <c r="D149" i="44"/>
  <c r="B148" i="44"/>
  <c r="C147" i="44"/>
  <c r="B141" i="44"/>
  <c r="C140" i="44"/>
  <c r="F139" i="44"/>
  <c r="G138" i="44"/>
  <c r="C137" i="44"/>
  <c r="B134" i="44"/>
  <c r="G142" i="44"/>
  <c r="G141" i="44"/>
  <c r="E162" i="44"/>
  <c r="C161" i="44"/>
  <c r="G159" i="44"/>
  <c r="C158" i="44"/>
  <c r="D156" i="44"/>
  <c r="B155" i="44"/>
  <c r="F153" i="44"/>
  <c r="B151" i="44"/>
  <c r="C149" i="44"/>
  <c r="B147" i="44"/>
  <c r="G144" i="44"/>
  <c r="B140" i="44"/>
  <c r="E139" i="44"/>
  <c r="F138" i="44"/>
  <c r="B137" i="44"/>
  <c r="B133" i="44"/>
  <c r="D162" i="44"/>
  <c r="B161" i="44"/>
  <c r="F159" i="44"/>
  <c r="B158" i="44"/>
  <c r="C156" i="44"/>
  <c r="G154" i="44"/>
  <c r="E153" i="44"/>
  <c r="G150" i="44"/>
  <c r="B149" i="44"/>
  <c r="G145" i="44"/>
  <c r="F144" i="44"/>
  <c r="D139" i="44"/>
  <c r="E138" i="44"/>
  <c r="G136" i="44"/>
  <c r="E135" i="44"/>
  <c r="B132" i="44"/>
  <c r="C162" i="44"/>
  <c r="G160" i="44"/>
  <c r="E159" i="44"/>
  <c r="G157" i="44"/>
  <c r="B156" i="44"/>
  <c r="F154" i="44"/>
  <c r="D153" i="44"/>
  <c r="F150" i="44"/>
  <c r="G148" i="44"/>
  <c r="F146" i="44"/>
  <c r="F145" i="44"/>
  <c r="E144" i="44"/>
  <c r="C139" i="44"/>
  <c r="D138" i="44"/>
  <c r="F136" i="44"/>
  <c r="D135" i="44"/>
  <c r="A132" i="44"/>
  <c r="G6" i="44"/>
  <c r="G8" i="44"/>
  <c r="G9" i="44"/>
  <c r="E136" i="44"/>
  <c r="E140" i="44"/>
  <c r="B144" i="44"/>
  <c r="E155" i="44"/>
  <c r="W23" i="44"/>
  <c r="E137" i="44"/>
  <c r="F140" i="44"/>
  <c r="C144" i="44"/>
  <c r="E147" i="44"/>
  <c r="F155" i="44"/>
  <c r="G11" i="44"/>
  <c r="O22" i="44"/>
  <c r="O23" i="44"/>
  <c r="O9" i="44"/>
  <c r="O10" i="44"/>
  <c r="G19" i="44"/>
  <c r="O11" i="44"/>
  <c r="O17" i="44"/>
  <c r="O18" i="44"/>
  <c r="W22" i="44"/>
  <c r="O24" i="44"/>
  <c r="O42" i="44"/>
  <c r="O47" i="44"/>
  <c r="G146" i="44" s="1"/>
  <c r="O48" i="44"/>
  <c r="G147" i="44" s="1"/>
  <c r="G55" i="44"/>
  <c r="G56" i="44"/>
  <c r="G54" i="44"/>
  <c r="G60" i="44"/>
  <c r="W78" i="44"/>
  <c r="W79" i="44"/>
  <c r="O80" i="44"/>
  <c r="G90" i="44"/>
  <c r="G91" i="44"/>
  <c r="C135" i="44"/>
  <c r="B139" i="44"/>
  <c r="D141" i="44"/>
  <c r="C143" i="44"/>
  <c r="D145" i="44"/>
  <c r="D148" i="44"/>
  <c r="C153" i="44"/>
  <c r="B157" i="44"/>
  <c r="F161" i="44"/>
  <c r="I141" i="44"/>
  <c r="W6" i="44"/>
  <c r="W14" i="44"/>
  <c r="G37" i="44"/>
  <c r="G45" i="44"/>
  <c r="G68" i="44"/>
  <c r="G77" i="44"/>
  <c r="G81" i="44"/>
  <c r="G84" i="44"/>
  <c r="I145" i="44"/>
  <c r="W72" i="44"/>
  <c r="W40" i="44"/>
  <c r="G46" i="44"/>
  <c r="W48" i="44"/>
  <c r="G69" i="44"/>
  <c r="G38" i="44"/>
  <c r="K143" i="44" l="1"/>
  <c r="O141" i="44" s="1"/>
  <c r="P141" i="44" s="1"/>
  <c r="I28" i="4" s="1"/>
  <c r="O28" i="4" s="1"/>
  <c r="K141" i="44"/>
  <c r="O140" i="44" s="1"/>
  <c r="P140" i="44" s="1"/>
  <c r="I27" i="4" s="1"/>
  <c r="O27" i="4" s="1"/>
  <c r="K139" i="44"/>
  <c r="O139" i="44" s="1"/>
  <c r="P139" i="44" s="1"/>
  <c r="I26" i="4" s="1"/>
  <c r="O26" i="4" s="1"/>
  <c r="K135" i="44"/>
  <c r="O137" i="44" s="1"/>
  <c r="P137" i="44" s="1"/>
  <c r="K145" i="44"/>
  <c r="O142" i="44" s="1"/>
  <c r="P142" i="44" s="1"/>
  <c r="AE23" i="4" s="1"/>
  <c r="N25" i="4" l="1"/>
  <c r="AB21" i="4"/>
  <c r="O147" i="44"/>
  <c r="N143" i="44"/>
  <c r="Q137" i="44"/>
  <c r="D16" i="29" s="1"/>
  <c r="AH17" i="4" l="1"/>
  <c r="B86" i="13" s="1"/>
  <c r="O143" i="44"/>
  <c r="Q143" i="44" s="1"/>
  <c r="E16" i="29" s="1"/>
  <c r="N144" i="44" l="1"/>
  <c r="D16" i="4" s="1"/>
  <c r="N147" i="44" l="1"/>
  <c r="P147" i="44" s="1"/>
  <c r="J36" i="13" l="1"/>
  <c r="J37" i="13"/>
  <c r="J38" i="13"/>
  <c r="J39" i="13"/>
  <c r="J40" i="13"/>
  <c r="J41" i="13"/>
  <c r="J42" i="13"/>
  <c r="J43" i="13"/>
  <c r="J35" i="13"/>
  <c r="L48" i="13"/>
  <c r="M72" i="13"/>
  <c r="M73" i="13"/>
  <c r="M74" i="13"/>
  <c r="M71" i="13"/>
  <c r="M60" i="13"/>
  <c r="M61" i="13"/>
  <c r="M62" i="13"/>
  <c r="M59" i="13"/>
  <c r="U73" i="37"/>
  <c r="T73" i="37"/>
  <c r="N73" i="37"/>
  <c r="L73" i="37"/>
  <c r="M73" i="37" s="1"/>
  <c r="G73" i="37"/>
  <c r="F73" i="37"/>
  <c r="U72" i="37"/>
  <c r="T72" i="37"/>
  <c r="N72" i="37"/>
  <c r="L72" i="37"/>
  <c r="M72" i="37" s="1"/>
  <c r="G72" i="37"/>
  <c r="F72" i="37"/>
  <c r="U71" i="37"/>
  <c r="T71" i="37"/>
  <c r="N71" i="37"/>
  <c r="M71" i="37"/>
  <c r="L71" i="37"/>
  <c r="G71" i="37"/>
  <c r="F71" i="37"/>
  <c r="U70" i="37"/>
  <c r="T70" i="37"/>
  <c r="N70" i="37"/>
  <c r="L70" i="37"/>
  <c r="M70" i="37" s="1"/>
  <c r="G70" i="37"/>
  <c r="F70" i="37"/>
  <c r="U69" i="37"/>
  <c r="T69" i="37"/>
  <c r="N69" i="37"/>
  <c r="M69" i="37"/>
  <c r="L69" i="37"/>
  <c r="G69" i="37"/>
  <c r="F69" i="37"/>
  <c r="T68" i="37"/>
  <c r="L68" i="37"/>
  <c r="M68" i="37" s="1"/>
  <c r="F68" i="37"/>
  <c r="U65" i="37"/>
  <c r="T65" i="37"/>
  <c r="N65" i="37"/>
  <c r="L65" i="37"/>
  <c r="M65" i="37" s="1"/>
  <c r="G65" i="37"/>
  <c r="F65" i="37"/>
  <c r="U64" i="37"/>
  <c r="T64" i="37"/>
  <c r="N64" i="37"/>
  <c r="L64" i="37"/>
  <c r="M64" i="37" s="1"/>
  <c r="G64" i="37"/>
  <c r="F64" i="37"/>
  <c r="U63" i="37"/>
  <c r="T63" i="37"/>
  <c r="N63" i="37"/>
  <c r="L63" i="37"/>
  <c r="M63" i="37" s="1"/>
  <c r="G63" i="37"/>
  <c r="F63" i="37"/>
  <c r="U62" i="37"/>
  <c r="T62" i="37"/>
  <c r="N62" i="37"/>
  <c r="M62" i="37"/>
  <c r="L62" i="37"/>
  <c r="G62" i="37"/>
  <c r="F62" i="37"/>
  <c r="U61" i="37"/>
  <c r="T61" i="37"/>
  <c r="N61" i="37"/>
  <c r="L61" i="37"/>
  <c r="M61" i="37" s="1"/>
  <c r="G61" i="37"/>
  <c r="F61" i="37"/>
  <c r="U60" i="37"/>
  <c r="T60" i="37"/>
  <c r="N60" i="37"/>
  <c r="L60" i="37"/>
  <c r="M60" i="37" s="1"/>
  <c r="G60" i="37"/>
  <c r="F60" i="37"/>
  <c r="U59" i="37"/>
  <c r="T59" i="37"/>
  <c r="N59" i="37"/>
  <c r="L59" i="37"/>
  <c r="M59" i="37" s="1"/>
  <c r="G59" i="37"/>
  <c r="F59" i="37"/>
  <c r="U58" i="37"/>
  <c r="T58" i="37"/>
  <c r="N58" i="37"/>
  <c r="L58" i="37"/>
  <c r="M58" i="37" s="1"/>
  <c r="G58" i="37"/>
  <c r="F58" i="37"/>
  <c r="U57" i="37"/>
  <c r="T57" i="37"/>
  <c r="N57" i="37"/>
  <c r="L57" i="37"/>
  <c r="M57" i="37" s="1"/>
  <c r="G57" i="37"/>
  <c r="F57" i="37"/>
  <c r="T56" i="37"/>
  <c r="M56" i="37"/>
  <c r="L56" i="37"/>
  <c r="F56" i="37"/>
  <c r="U48" i="37"/>
  <c r="T48" i="37"/>
  <c r="N48" i="37"/>
  <c r="M48" i="37"/>
  <c r="G48" i="37"/>
  <c r="F48" i="37"/>
  <c r="U47" i="37"/>
  <c r="T47" i="37"/>
  <c r="N47" i="37"/>
  <c r="M47" i="37"/>
  <c r="G47" i="37"/>
  <c r="F47" i="37"/>
  <c r="U46" i="37"/>
  <c r="T46" i="37"/>
  <c r="N46" i="37"/>
  <c r="M46" i="37"/>
  <c r="G46" i="37"/>
  <c r="F46" i="37"/>
  <c r="U45" i="37"/>
  <c r="T45" i="37"/>
  <c r="N45" i="37"/>
  <c r="M45" i="37"/>
  <c r="G45" i="37"/>
  <c r="F45" i="37"/>
  <c r="U44" i="37"/>
  <c r="T44" i="37"/>
  <c r="N44" i="37"/>
  <c r="M44" i="37"/>
  <c r="G44" i="37"/>
  <c r="F44" i="37"/>
  <c r="T43" i="37"/>
  <c r="M43" i="37"/>
  <c r="F43" i="37"/>
  <c r="U40" i="37"/>
  <c r="T40" i="37"/>
  <c r="N40" i="37"/>
  <c r="M40" i="37"/>
  <c r="G40" i="37"/>
  <c r="F40" i="37"/>
  <c r="U39" i="37"/>
  <c r="T39" i="37"/>
  <c r="N39" i="37"/>
  <c r="M39" i="37"/>
  <c r="G39" i="37"/>
  <c r="F39" i="37"/>
  <c r="U38" i="37"/>
  <c r="T38" i="37"/>
  <c r="N38" i="37"/>
  <c r="M38" i="37"/>
  <c r="G38" i="37"/>
  <c r="F38" i="37"/>
  <c r="U37" i="37"/>
  <c r="T37" i="37"/>
  <c r="N37" i="37"/>
  <c r="M37" i="37"/>
  <c r="G37" i="37"/>
  <c r="F37" i="37"/>
  <c r="U36" i="37"/>
  <c r="T36" i="37"/>
  <c r="N36" i="37"/>
  <c r="M36" i="37"/>
  <c r="G36" i="37"/>
  <c r="F36" i="37"/>
  <c r="U35" i="37"/>
  <c r="T35" i="37"/>
  <c r="N35" i="37"/>
  <c r="M35" i="37"/>
  <c r="G35" i="37"/>
  <c r="F35" i="37"/>
  <c r="U34" i="37"/>
  <c r="T34" i="37"/>
  <c r="N34" i="37"/>
  <c r="M34" i="37"/>
  <c r="G34" i="37"/>
  <c r="F34" i="37"/>
  <c r="U33" i="37"/>
  <c r="T33" i="37"/>
  <c r="N33" i="37"/>
  <c r="M33" i="37"/>
  <c r="G33" i="37"/>
  <c r="F33" i="37"/>
  <c r="U32" i="37"/>
  <c r="T32" i="37"/>
  <c r="N32" i="37"/>
  <c r="M32" i="37"/>
  <c r="G32" i="37"/>
  <c r="F32" i="37"/>
  <c r="T31" i="37"/>
  <c r="M31" i="37"/>
  <c r="F31" i="37"/>
  <c r="U23" i="37"/>
  <c r="T23" i="37"/>
  <c r="N23" i="37"/>
  <c r="M23" i="37"/>
  <c r="G23" i="37"/>
  <c r="F23" i="37"/>
  <c r="U22" i="37"/>
  <c r="T22" i="37"/>
  <c r="N22" i="37"/>
  <c r="M22" i="37"/>
  <c r="G22" i="37"/>
  <c r="F22" i="37"/>
  <c r="U21" i="37"/>
  <c r="T21" i="37"/>
  <c r="N21" i="37"/>
  <c r="M21" i="37"/>
  <c r="G21" i="37"/>
  <c r="F21" i="37"/>
  <c r="U20" i="37"/>
  <c r="T20" i="37"/>
  <c r="N20" i="37"/>
  <c r="M20" i="37"/>
  <c r="G20" i="37"/>
  <c r="F20" i="37"/>
  <c r="U19" i="37"/>
  <c r="T19" i="37"/>
  <c r="N19" i="37"/>
  <c r="M19" i="37"/>
  <c r="G19" i="37"/>
  <c r="F19" i="37"/>
  <c r="T18" i="37"/>
  <c r="M18" i="37"/>
  <c r="F18" i="37"/>
  <c r="E17" i="37"/>
  <c r="D17" i="37"/>
  <c r="C17" i="37"/>
  <c r="U15" i="37"/>
  <c r="T15" i="37"/>
  <c r="N15" i="37"/>
  <c r="M15" i="37"/>
  <c r="G15" i="37"/>
  <c r="F15" i="37"/>
  <c r="U14" i="37"/>
  <c r="T14" i="37"/>
  <c r="N14" i="37"/>
  <c r="M14" i="37"/>
  <c r="G14" i="37"/>
  <c r="F14" i="37"/>
  <c r="U13" i="37"/>
  <c r="T13" i="37"/>
  <c r="N13" i="37"/>
  <c r="M13" i="37"/>
  <c r="G13" i="37"/>
  <c r="F13" i="37"/>
  <c r="U12" i="37"/>
  <c r="T12" i="37"/>
  <c r="N12" i="37"/>
  <c r="M12" i="37"/>
  <c r="G12" i="37"/>
  <c r="F12" i="37"/>
  <c r="U11" i="37"/>
  <c r="T11" i="37"/>
  <c r="N11" i="37"/>
  <c r="M11" i="37"/>
  <c r="G11" i="37"/>
  <c r="F11" i="37"/>
  <c r="U10" i="37"/>
  <c r="T10" i="37"/>
  <c r="N10" i="37"/>
  <c r="M10" i="37"/>
  <c r="G10" i="37"/>
  <c r="F10" i="37"/>
  <c r="U9" i="37"/>
  <c r="T9" i="37"/>
  <c r="N9" i="37"/>
  <c r="M9" i="37"/>
  <c r="G9" i="37"/>
  <c r="F9" i="37"/>
  <c r="U8" i="37"/>
  <c r="T8" i="37"/>
  <c r="N8" i="37"/>
  <c r="M8" i="37"/>
  <c r="G8" i="37"/>
  <c r="F8" i="37"/>
  <c r="U7" i="37"/>
  <c r="T7" i="37"/>
  <c r="N7" i="37"/>
  <c r="M7" i="37"/>
  <c r="G7" i="37"/>
  <c r="F7" i="37"/>
  <c r="T6" i="37"/>
  <c r="M6" i="37"/>
  <c r="F6" i="37"/>
  <c r="B50" i="43" l="1"/>
  <c r="A22" i="43" s="1"/>
  <c r="B45" i="43"/>
  <c r="B46" i="43" s="1"/>
  <c r="B43" i="43"/>
  <c r="E26" i="43"/>
  <c r="D21" i="43"/>
  <c r="D20" i="43"/>
  <c r="D19" i="43"/>
  <c r="B54" i="43" s="1"/>
  <c r="B55" i="43" s="1"/>
  <c r="D18" i="43"/>
  <c r="D17" i="43"/>
  <c r="A17" i="43"/>
  <c r="F11" i="43"/>
  <c r="D11" i="43"/>
  <c r="D10" i="43"/>
  <c r="D9" i="43"/>
  <c r="D8" i="43"/>
  <c r="D4" i="43"/>
  <c r="D23" i="43" s="1"/>
  <c r="A3" i="43"/>
  <c r="F6" i="43" s="1"/>
  <c r="A19" i="43" l="1"/>
  <c r="A20" i="43"/>
  <c r="A21" i="43"/>
  <c r="B59" i="43"/>
  <c r="B57" i="43" s="1"/>
  <c r="B58" i="43"/>
  <c r="Q378" i="42" l="1"/>
  <c r="F386" i="42" s="1"/>
  <c r="Q377" i="42"/>
  <c r="A386" i="42" s="1"/>
  <c r="J412" i="42"/>
  <c r="I412" i="42"/>
  <c r="J411" i="42"/>
  <c r="I411" i="42"/>
  <c r="J410" i="42"/>
  <c r="I410" i="42"/>
  <c r="J409" i="42"/>
  <c r="I409" i="42"/>
  <c r="J408" i="42"/>
  <c r="I408" i="42"/>
  <c r="J407" i="42"/>
  <c r="I407" i="42"/>
  <c r="J406" i="42"/>
  <c r="I406" i="42"/>
  <c r="J405" i="42"/>
  <c r="I405" i="42"/>
  <c r="J404" i="42"/>
  <c r="I404" i="42"/>
  <c r="J403" i="42"/>
  <c r="I403" i="42"/>
  <c r="J402" i="42"/>
  <c r="I402" i="42"/>
  <c r="J401" i="42"/>
  <c r="I401" i="42"/>
  <c r="J400" i="42"/>
  <c r="I400" i="42"/>
  <c r="J399" i="42"/>
  <c r="I399" i="42"/>
  <c r="J398" i="42"/>
  <c r="I398" i="42"/>
  <c r="J397" i="42"/>
  <c r="I397" i="42"/>
  <c r="J396" i="42"/>
  <c r="I396" i="42"/>
  <c r="J395" i="42"/>
  <c r="I395" i="42"/>
  <c r="J394" i="42"/>
  <c r="I394" i="42"/>
  <c r="J393" i="42"/>
  <c r="I393" i="42"/>
  <c r="A392" i="42"/>
  <c r="S379" i="42"/>
  <c r="Q379" i="42"/>
  <c r="K386" i="42" s="1"/>
  <c r="S378" i="42"/>
  <c r="S377" i="42"/>
  <c r="S371" i="42"/>
  <c r="R371" i="42"/>
  <c r="Q371" i="42"/>
  <c r="L371" i="42"/>
  <c r="K371" i="42"/>
  <c r="J371" i="42"/>
  <c r="E371" i="42"/>
  <c r="D371" i="42"/>
  <c r="C371" i="42"/>
  <c r="S370" i="42"/>
  <c r="R370" i="42"/>
  <c r="Q370" i="42"/>
  <c r="L370" i="42"/>
  <c r="K370" i="42"/>
  <c r="J370" i="42"/>
  <c r="E370" i="42"/>
  <c r="D370" i="42"/>
  <c r="C370" i="42"/>
  <c r="S369" i="42"/>
  <c r="R369" i="42"/>
  <c r="Q369" i="42"/>
  <c r="L369" i="42"/>
  <c r="K369" i="42"/>
  <c r="J369" i="42"/>
  <c r="E369" i="42"/>
  <c r="D369" i="42"/>
  <c r="C369" i="42"/>
  <c r="S368" i="42"/>
  <c r="R368" i="42"/>
  <c r="Q368" i="42"/>
  <c r="L368" i="42"/>
  <c r="K368" i="42"/>
  <c r="J368" i="42"/>
  <c r="E368" i="42"/>
  <c r="D368" i="42"/>
  <c r="C368" i="42"/>
  <c r="S367" i="42"/>
  <c r="R367" i="42"/>
  <c r="Q367" i="42"/>
  <c r="L367" i="42"/>
  <c r="K367" i="42"/>
  <c r="J367" i="42"/>
  <c r="E367" i="42"/>
  <c r="D367" i="42"/>
  <c r="C367" i="42"/>
  <c r="S366" i="42"/>
  <c r="R366" i="42"/>
  <c r="Q366" i="42"/>
  <c r="L366" i="42"/>
  <c r="K366" i="42"/>
  <c r="J366" i="42"/>
  <c r="E366" i="42"/>
  <c r="D366" i="42"/>
  <c r="C366" i="42"/>
  <c r="S365" i="42"/>
  <c r="R365" i="42"/>
  <c r="Q365" i="42"/>
  <c r="L365" i="42"/>
  <c r="K365" i="42"/>
  <c r="J365" i="42"/>
  <c r="E365" i="42"/>
  <c r="D365" i="42"/>
  <c r="C365" i="42"/>
  <c r="S364" i="42"/>
  <c r="R364" i="42"/>
  <c r="Q364" i="42"/>
  <c r="L364" i="42"/>
  <c r="K364" i="42"/>
  <c r="J364" i="42"/>
  <c r="E364" i="42"/>
  <c r="D364" i="42"/>
  <c r="C364" i="42"/>
  <c r="S363" i="42"/>
  <c r="R363" i="42"/>
  <c r="Q363" i="42"/>
  <c r="L363" i="42"/>
  <c r="K363" i="42"/>
  <c r="J363" i="42"/>
  <c r="E363" i="42"/>
  <c r="D363" i="42"/>
  <c r="C363" i="42"/>
  <c r="S362" i="42"/>
  <c r="R362" i="42"/>
  <c r="Q362" i="42"/>
  <c r="L362" i="42"/>
  <c r="K362" i="42"/>
  <c r="J362" i="42"/>
  <c r="E362" i="42"/>
  <c r="D362" i="42"/>
  <c r="C362" i="42"/>
  <c r="S361" i="42"/>
  <c r="R361" i="42"/>
  <c r="Q361" i="42"/>
  <c r="L361" i="42"/>
  <c r="K361" i="42"/>
  <c r="J361" i="42"/>
  <c r="E361" i="42"/>
  <c r="D361" i="42"/>
  <c r="C361" i="42"/>
  <c r="S360" i="42"/>
  <c r="R360" i="42"/>
  <c r="Q360" i="42"/>
  <c r="L360" i="42"/>
  <c r="K360" i="42"/>
  <c r="J360" i="42"/>
  <c r="E360" i="42"/>
  <c r="D360" i="42"/>
  <c r="C360" i="42"/>
  <c r="S359" i="42"/>
  <c r="R359" i="42"/>
  <c r="Q359" i="42"/>
  <c r="L359" i="42"/>
  <c r="K359" i="42"/>
  <c r="J359" i="42"/>
  <c r="E359" i="42"/>
  <c r="D359" i="42"/>
  <c r="C359" i="42"/>
  <c r="S358" i="42"/>
  <c r="R358" i="42"/>
  <c r="Q358" i="42"/>
  <c r="L358" i="42"/>
  <c r="K358" i="42"/>
  <c r="J358" i="42"/>
  <c r="E358" i="42"/>
  <c r="D358" i="42"/>
  <c r="C358" i="42"/>
  <c r="S357" i="42"/>
  <c r="R357" i="42"/>
  <c r="Q357" i="42"/>
  <c r="L357" i="42"/>
  <c r="K357" i="42"/>
  <c r="J357" i="42"/>
  <c r="E357" i="42"/>
  <c r="D357" i="42"/>
  <c r="C357" i="42"/>
  <c r="S356" i="42"/>
  <c r="R356" i="42"/>
  <c r="Q356" i="42"/>
  <c r="L356" i="42"/>
  <c r="K356" i="42"/>
  <c r="J356" i="42"/>
  <c r="E356" i="42"/>
  <c r="D356" i="42"/>
  <c r="C356" i="42"/>
  <c r="S355" i="42"/>
  <c r="R355" i="42"/>
  <c r="Q355" i="42"/>
  <c r="L355" i="42"/>
  <c r="K355" i="42"/>
  <c r="J355" i="42"/>
  <c r="E355" i="42"/>
  <c r="D355" i="42"/>
  <c r="C355" i="42"/>
  <c r="S354" i="42"/>
  <c r="R354" i="42"/>
  <c r="Q354" i="42"/>
  <c r="L354" i="42"/>
  <c r="K354" i="42"/>
  <c r="J354" i="42"/>
  <c r="E354" i="42"/>
  <c r="D354" i="42"/>
  <c r="C354" i="42"/>
  <c r="S353" i="42"/>
  <c r="R353" i="42"/>
  <c r="Q353" i="42"/>
  <c r="L353" i="42"/>
  <c r="K353" i="42"/>
  <c r="J353" i="42"/>
  <c r="E353" i="42"/>
  <c r="D353" i="42"/>
  <c r="C353" i="42"/>
  <c r="S352" i="42"/>
  <c r="R352" i="42"/>
  <c r="Q352" i="42"/>
  <c r="L352" i="42"/>
  <c r="K352" i="42"/>
  <c r="J352" i="42"/>
  <c r="E352" i="42"/>
  <c r="D352" i="42"/>
  <c r="C352" i="42"/>
  <c r="S350" i="42"/>
  <c r="R350" i="42"/>
  <c r="Q350" i="42"/>
  <c r="L350" i="42"/>
  <c r="K350" i="42"/>
  <c r="J350" i="42"/>
  <c r="E350" i="42"/>
  <c r="D350" i="42"/>
  <c r="C350" i="42"/>
  <c r="S349" i="42"/>
  <c r="R349" i="42"/>
  <c r="Q349" i="42"/>
  <c r="L349" i="42"/>
  <c r="K349" i="42"/>
  <c r="J349" i="42"/>
  <c r="E349" i="42"/>
  <c r="D349" i="42"/>
  <c r="C349" i="42"/>
  <c r="S348" i="42"/>
  <c r="R348" i="42"/>
  <c r="Q348" i="42"/>
  <c r="L348" i="42"/>
  <c r="K348" i="42"/>
  <c r="J348" i="42"/>
  <c r="E348" i="42"/>
  <c r="D348" i="42"/>
  <c r="C348" i="42"/>
  <c r="S347" i="42"/>
  <c r="R347" i="42"/>
  <c r="Q347" i="42"/>
  <c r="L347" i="42"/>
  <c r="K347" i="42"/>
  <c r="J347" i="42"/>
  <c r="E347" i="42"/>
  <c r="D347" i="42"/>
  <c r="C347" i="42"/>
  <c r="S346" i="42"/>
  <c r="R346" i="42"/>
  <c r="Q346" i="42"/>
  <c r="L346" i="42"/>
  <c r="K346" i="42"/>
  <c r="J346" i="42"/>
  <c r="E346" i="42"/>
  <c r="D346" i="42"/>
  <c r="C346" i="42"/>
  <c r="S345" i="42"/>
  <c r="R345" i="42"/>
  <c r="Q345" i="42"/>
  <c r="L345" i="42"/>
  <c r="K345" i="42"/>
  <c r="J345" i="42"/>
  <c r="E345" i="42"/>
  <c r="D345" i="42"/>
  <c r="C345" i="42"/>
  <c r="S344" i="42"/>
  <c r="R344" i="42"/>
  <c r="Q344" i="42"/>
  <c r="L344" i="42"/>
  <c r="K344" i="42"/>
  <c r="J344" i="42"/>
  <c r="E344" i="42"/>
  <c r="D344" i="42"/>
  <c r="C344" i="42"/>
  <c r="S343" i="42"/>
  <c r="R343" i="42"/>
  <c r="Q343" i="42"/>
  <c r="L343" i="42"/>
  <c r="K343" i="42"/>
  <c r="J343" i="42"/>
  <c r="E343" i="42"/>
  <c r="D343" i="42"/>
  <c r="C343" i="42"/>
  <c r="S342" i="42"/>
  <c r="R342" i="42"/>
  <c r="Q342" i="42"/>
  <c r="L342" i="42"/>
  <c r="K342" i="42"/>
  <c r="J342" i="42"/>
  <c r="E342" i="42"/>
  <c r="D342" i="42"/>
  <c r="C342" i="42"/>
  <c r="S341" i="42"/>
  <c r="R341" i="42"/>
  <c r="Q341" i="42"/>
  <c r="L341" i="42"/>
  <c r="K341" i="42"/>
  <c r="J341" i="42"/>
  <c r="E341" i="42"/>
  <c r="D341" i="42"/>
  <c r="C341" i="42"/>
  <c r="S340" i="42"/>
  <c r="R340" i="42"/>
  <c r="Q340" i="42"/>
  <c r="L340" i="42"/>
  <c r="K340" i="42"/>
  <c r="J340" i="42"/>
  <c r="E340" i="42"/>
  <c r="D340" i="42"/>
  <c r="C340" i="42"/>
  <c r="S339" i="42"/>
  <c r="R339" i="42"/>
  <c r="Q339" i="42"/>
  <c r="L339" i="42"/>
  <c r="K339" i="42"/>
  <c r="J339" i="42"/>
  <c r="E339" i="42"/>
  <c r="D339" i="42"/>
  <c r="C339" i="42"/>
  <c r="S338" i="42"/>
  <c r="R338" i="42"/>
  <c r="Q338" i="42"/>
  <c r="L338" i="42"/>
  <c r="K338" i="42"/>
  <c r="J338" i="42"/>
  <c r="E338" i="42"/>
  <c r="D338" i="42"/>
  <c r="C338" i="42"/>
  <c r="S337" i="42"/>
  <c r="R337" i="42"/>
  <c r="Q337" i="42"/>
  <c r="L337" i="42"/>
  <c r="K337" i="42"/>
  <c r="J337" i="42"/>
  <c r="E337" i="42"/>
  <c r="D337" i="42"/>
  <c r="C337" i="42"/>
  <c r="S336" i="42"/>
  <c r="R336" i="42"/>
  <c r="Q336" i="42"/>
  <c r="L336" i="42"/>
  <c r="K336" i="42"/>
  <c r="J336" i="42"/>
  <c r="E336" i="42"/>
  <c r="D336" i="42"/>
  <c r="C336" i="42"/>
  <c r="S335" i="42"/>
  <c r="R335" i="42"/>
  <c r="Q335" i="42"/>
  <c r="L335" i="42"/>
  <c r="K335" i="42"/>
  <c r="J335" i="42"/>
  <c r="E335" i="42"/>
  <c r="D335" i="42"/>
  <c r="C335" i="42"/>
  <c r="S334" i="42"/>
  <c r="R334" i="42"/>
  <c r="Q334" i="42"/>
  <c r="L334" i="42"/>
  <c r="K334" i="42"/>
  <c r="J334" i="42"/>
  <c r="E334" i="42"/>
  <c r="D334" i="42"/>
  <c r="C334" i="42"/>
  <c r="S333" i="42"/>
  <c r="R333" i="42"/>
  <c r="Q333" i="42"/>
  <c r="L333" i="42"/>
  <c r="K333" i="42"/>
  <c r="J333" i="42"/>
  <c r="E333" i="42"/>
  <c r="D333" i="42"/>
  <c r="C333" i="42"/>
  <c r="S332" i="42"/>
  <c r="R332" i="42"/>
  <c r="Q332" i="42"/>
  <c r="L332" i="42"/>
  <c r="K332" i="42"/>
  <c r="J332" i="42"/>
  <c r="E332" i="42"/>
  <c r="D332" i="42"/>
  <c r="C332" i="42"/>
  <c r="S331" i="42"/>
  <c r="R331" i="42"/>
  <c r="Q331" i="42"/>
  <c r="L331" i="42"/>
  <c r="K331" i="42"/>
  <c r="J331" i="42"/>
  <c r="E331" i="42"/>
  <c r="D331" i="42"/>
  <c r="C331" i="42"/>
  <c r="S329" i="42"/>
  <c r="R329" i="42"/>
  <c r="Q329" i="42"/>
  <c r="L329" i="42"/>
  <c r="K329" i="42"/>
  <c r="J329" i="42"/>
  <c r="E329" i="42"/>
  <c r="D329" i="42"/>
  <c r="C329" i="42"/>
  <c r="S328" i="42"/>
  <c r="R328" i="42"/>
  <c r="Q328" i="42"/>
  <c r="L328" i="42"/>
  <c r="K328" i="42"/>
  <c r="J328" i="42"/>
  <c r="E328" i="42"/>
  <c r="D328" i="42"/>
  <c r="C328" i="42"/>
  <c r="S327" i="42"/>
  <c r="R327" i="42"/>
  <c r="Q327" i="42"/>
  <c r="L327" i="42"/>
  <c r="K327" i="42"/>
  <c r="J327" i="42"/>
  <c r="E327" i="42"/>
  <c r="D327" i="42"/>
  <c r="C327" i="42"/>
  <c r="S326" i="42"/>
  <c r="R326" i="42"/>
  <c r="Q326" i="42"/>
  <c r="L326" i="42"/>
  <c r="K326" i="42"/>
  <c r="J326" i="42"/>
  <c r="E326" i="42"/>
  <c r="D326" i="42"/>
  <c r="C326" i="42"/>
  <c r="S325" i="42"/>
  <c r="R325" i="42"/>
  <c r="Q325" i="42"/>
  <c r="L325" i="42"/>
  <c r="K325" i="42"/>
  <c r="J325" i="42"/>
  <c r="E325" i="42"/>
  <c r="D325" i="42"/>
  <c r="C325" i="42"/>
  <c r="S324" i="42"/>
  <c r="R324" i="42"/>
  <c r="Q324" i="42"/>
  <c r="L324" i="42"/>
  <c r="K324" i="42"/>
  <c r="J324" i="42"/>
  <c r="E324" i="42"/>
  <c r="D324" i="42"/>
  <c r="C324" i="42"/>
  <c r="S323" i="42"/>
  <c r="R323" i="42"/>
  <c r="Q323" i="42"/>
  <c r="L323" i="42"/>
  <c r="K323" i="42"/>
  <c r="J323" i="42"/>
  <c r="E323" i="42"/>
  <c r="D323" i="42"/>
  <c r="C323" i="42"/>
  <c r="S322" i="42"/>
  <c r="R322" i="42"/>
  <c r="Q322" i="42"/>
  <c r="L322" i="42"/>
  <c r="K322" i="42"/>
  <c r="J322" i="42"/>
  <c r="E322" i="42"/>
  <c r="D322" i="42"/>
  <c r="C322" i="42"/>
  <c r="S321" i="42"/>
  <c r="R321" i="42"/>
  <c r="Q321" i="42"/>
  <c r="L321" i="42"/>
  <c r="K321" i="42"/>
  <c r="J321" i="42"/>
  <c r="E321" i="42"/>
  <c r="D321" i="42"/>
  <c r="C321" i="42"/>
  <c r="S320" i="42"/>
  <c r="R320" i="42"/>
  <c r="Q320" i="42"/>
  <c r="L320" i="42"/>
  <c r="K320" i="42"/>
  <c r="J320" i="42"/>
  <c r="E320" i="42"/>
  <c r="D320" i="42"/>
  <c r="C320" i="42"/>
  <c r="S319" i="42"/>
  <c r="R319" i="42"/>
  <c r="Q319" i="42"/>
  <c r="L319" i="42"/>
  <c r="K319" i="42"/>
  <c r="J319" i="42"/>
  <c r="E319" i="42"/>
  <c r="D319" i="42"/>
  <c r="C319" i="42"/>
  <c r="S318" i="42"/>
  <c r="R318" i="42"/>
  <c r="Q318" i="42"/>
  <c r="L318" i="42"/>
  <c r="K318" i="42"/>
  <c r="J318" i="42"/>
  <c r="E318" i="42"/>
  <c r="D318" i="42"/>
  <c r="C318" i="42"/>
  <c r="S317" i="42"/>
  <c r="R317" i="42"/>
  <c r="Q317" i="42"/>
  <c r="L317" i="42"/>
  <c r="K317" i="42"/>
  <c r="J317" i="42"/>
  <c r="E317" i="42"/>
  <c r="D317" i="42"/>
  <c r="C317" i="42"/>
  <c r="S316" i="42"/>
  <c r="R316" i="42"/>
  <c r="Q316" i="42"/>
  <c r="L316" i="42"/>
  <c r="K316" i="42"/>
  <c r="J316" i="42"/>
  <c r="E316" i="42"/>
  <c r="D316" i="42"/>
  <c r="C316" i="42"/>
  <c r="S315" i="42"/>
  <c r="R315" i="42"/>
  <c r="Q315" i="42"/>
  <c r="L315" i="42"/>
  <c r="K315" i="42"/>
  <c r="J315" i="42"/>
  <c r="E315" i="42"/>
  <c r="D315" i="42"/>
  <c r="C315" i="42"/>
  <c r="S314" i="42"/>
  <c r="R314" i="42"/>
  <c r="Q314" i="42"/>
  <c r="L314" i="42"/>
  <c r="K314" i="42"/>
  <c r="J314" i="42"/>
  <c r="E314" i="42"/>
  <c r="D314" i="42"/>
  <c r="C314" i="42"/>
  <c r="S313" i="42"/>
  <c r="R313" i="42"/>
  <c r="Q313" i="42"/>
  <c r="L313" i="42"/>
  <c r="K313" i="42"/>
  <c r="J313" i="42"/>
  <c r="E313" i="42"/>
  <c r="D313" i="42"/>
  <c r="C313" i="42"/>
  <c r="S312" i="42"/>
  <c r="R312" i="42"/>
  <c r="Q312" i="42"/>
  <c r="L312" i="42"/>
  <c r="K312" i="42"/>
  <c r="J312" i="42"/>
  <c r="E312" i="42"/>
  <c r="D312" i="42"/>
  <c r="C312" i="42"/>
  <c r="S311" i="42"/>
  <c r="R311" i="42"/>
  <c r="Q311" i="42"/>
  <c r="L311" i="42"/>
  <c r="K311" i="42"/>
  <c r="J311" i="42"/>
  <c r="E311" i="42"/>
  <c r="D311" i="42"/>
  <c r="C311" i="42"/>
  <c r="S310" i="42"/>
  <c r="R310" i="42"/>
  <c r="Q310" i="42"/>
  <c r="L310" i="42"/>
  <c r="K310" i="42"/>
  <c r="J310" i="42"/>
  <c r="E310" i="42"/>
  <c r="D310" i="42"/>
  <c r="C310" i="42"/>
  <c r="S308" i="42"/>
  <c r="R308" i="42"/>
  <c r="Q308" i="42"/>
  <c r="L308" i="42"/>
  <c r="K308" i="42"/>
  <c r="J308" i="42"/>
  <c r="E308" i="42"/>
  <c r="D308" i="42"/>
  <c r="C308" i="42"/>
  <c r="S307" i="42"/>
  <c r="R307" i="42"/>
  <c r="Q307" i="42"/>
  <c r="L307" i="42"/>
  <c r="K307" i="42"/>
  <c r="J307" i="42"/>
  <c r="E307" i="42"/>
  <c r="D307" i="42"/>
  <c r="C307" i="42"/>
  <c r="S306" i="42"/>
  <c r="R306" i="42"/>
  <c r="Q306" i="42"/>
  <c r="L306" i="42"/>
  <c r="K306" i="42"/>
  <c r="J306" i="42"/>
  <c r="E306" i="42"/>
  <c r="D306" i="42"/>
  <c r="C306" i="42"/>
  <c r="S305" i="42"/>
  <c r="R305" i="42"/>
  <c r="Q305" i="42"/>
  <c r="L305" i="42"/>
  <c r="K305" i="42"/>
  <c r="J305" i="42"/>
  <c r="E305" i="42"/>
  <c r="D305" i="42"/>
  <c r="C305" i="42"/>
  <c r="S304" i="42"/>
  <c r="R304" i="42"/>
  <c r="Q304" i="42"/>
  <c r="L304" i="42"/>
  <c r="K304" i="42"/>
  <c r="J304" i="42"/>
  <c r="E304" i="42"/>
  <c r="D304" i="42"/>
  <c r="C304" i="42"/>
  <c r="S303" i="42"/>
  <c r="R303" i="42"/>
  <c r="Q303" i="42"/>
  <c r="L303" i="42"/>
  <c r="K303" i="42"/>
  <c r="J303" i="42"/>
  <c r="E303" i="42"/>
  <c r="D303" i="42"/>
  <c r="C303" i="42"/>
  <c r="S302" i="42"/>
  <c r="R302" i="42"/>
  <c r="Q302" i="42"/>
  <c r="L302" i="42"/>
  <c r="K302" i="42"/>
  <c r="J302" i="42"/>
  <c r="E302" i="42"/>
  <c r="D302" i="42"/>
  <c r="C302" i="42"/>
  <c r="S301" i="42"/>
  <c r="R301" i="42"/>
  <c r="Q301" i="42"/>
  <c r="L301" i="42"/>
  <c r="K301" i="42"/>
  <c r="J301" i="42"/>
  <c r="E301" i="42"/>
  <c r="D301" i="42"/>
  <c r="C301" i="42"/>
  <c r="S300" i="42"/>
  <c r="R300" i="42"/>
  <c r="Q300" i="42"/>
  <c r="L300" i="42"/>
  <c r="K300" i="42"/>
  <c r="J300" i="42"/>
  <c r="E300" i="42"/>
  <c r="D300" i="42"/>
  <c r="C300" i="42"/>
  <c r="S299" i="42"/>
  <c r="R299" i="42"/>
  <c r="Q299" i="42"/>
  <c r="L299" i="42"/>
  <c r="K299" i="42"/>
  <c r="J299" i="42"/>
  <c r="E299" i="42"/>
  <c r="D299" i="42"/>
  <c r="C299" i="42"/>
  <c r="S298" i="42"/>
  <c r="R298" i="42"/>
  <c r="Q298" i="42"/>
  <c r="L298" i="42"/>
  <c r="K298" i="42"/>
  <c r="J298" i="42"/>
  <c r="E298" i="42"/>
  <c r="D298" i="42"/>
  <c r="C298" i="42"/>
  <c r="S297" i="42"/>
  <c r="R297" i="42"/>
  <c r="Q297" i="42"/>
  <c r="L297" i="42"/>
  <c r="K297" i="42"/>
  <c r="J297" i="42"/>
  <c r="E297" i="42"/>
  <c r="D297" i="42"/>
  <c r="C297" i="42"/>
  <c r="S296" i="42"/>
  <c r="R296" i="42"/>
  <c r="Q296" i="42"/>
  <c r="L296" i="42"/>
  <c r="K296" i="42"/>
  <c r="J296" i="42"/>
  <c r="E296" i="42"/>
  <c r="D296" i="42"/>
  <c r="C296" i="42"/>
  <c r="S295" i="42"/>
  <c r="R295" i="42"/>
  <c r="Q295" i="42"/>
  <c r="L295" i="42"/>
  <c r="K295" i="42"/>
  <c r="J295" i="42"/>
  <c r="E295" i="42"/>
  <c r="D295" i="42"/>
  <c r="C295" i="42"/>
  <c r="S294" i="42"/>
  <c r="R294" i="42"/>
  <c r="Q294" i="42"/>
  <c r="L294" i="42"/>
  <c r="K294" i="42"/>
  <c r="J294" i="42"/>
  <c r="E294" i="42"/>
  <c r="D294" i="42"/>
  <c r="C294" i="42"/>
  <c r="S293" i="42"/>
  <c r="R293" i="42"/>
  <c r="Q293" i="42"/>
  <c r="L293" i="42"/>
  <c r="K293" i="42"/>
  <c r="J293" i="42"/>
  <c r="E293" i="42"/>
  <c r="D293" i="42"/>
  <c r="C293" i="42"/>
  <c r="W292" i="42"/>
  <c r="S292" i="42"/>
  <c r="R292" i="42"/>
  <c r="Q292" i="42"/>
  <c r="L292" i="42"/>
  <c r="K292" i="42"/>
  <c r="J292" i="42"/>
  <c r="E292" i="42"/>
  <c r="D292" i="42"/>
  <c r="C292" i="42"/>
  <c r="W291" i="42"/>
  <c r="S291" i="42"/>
  <c r="R291" i="42"/>
  <c r="Q291" i="42"/>
  <c r="L291" i="42"/>
  <c r="K291" i="42"/>
  <c r="J291" i="42"/>
  <c r="E291" i="42"/>
  <c r="D291" i="42"/>
  <c r="C291" i="42"/>
  <c r="W290" i="42"/>
  <c r="S290" i="42"/>
  <c r="R290" i="42"/>
  <c r="Q290" i="42"/>
  <c r="L290" i="42"/>
  <c r="K290" i="42"/>
  <c r="J290" i="42"/>
  <c r="E290" i="42"/>
  <c r="D290" i="42"/>
  <c r="C290" i="42"/>
  <c r="W289" i="42"/>
  <c r="S289" i="42"/>
  <c r="R289" i="42"/>
  <c r="Q289" i="42"/>
  <c r="L289" i="42"/>
  <c r="K289" i="42"/>
  <c r="J289" i="42"/>
  <c r="E289" i="42"/>
  <c r="D289" i="42"/>
  <c r="C289" i="42"/>
  <c r="W288" i="42"/>
  <c r="W287" i="42"/>
  <c r="S287" i="42"/>
  <c r="R287" i="42"/>
  <c r="Q287" i="42"/>
  <c r="L287" i="42"/>
  <c r="K287" i="42"/>
  <c r="J287" i="42"/>
  <c r="E287" i="42"/>
  <c r="D287" i="42"/>
  <c r="C287" i="42"/>
  <c r="W286" i="42"/>
  <c r="S286" i="42"/>
  <c r="R286" i="42"/>
  <c r="Q286" i="42"/>
  <c r="L286" i="42"/>
  <c r="K286" i="42"/>
  <c r="J286" i="42"/>
  <c r="E286" i="42"/>
  <c r="D286" i="42"/>
  <c r="C286" i="42"/>
  <c r="W285" i="42"/>
  <c r="S285" i="42"/>
  <c r="R285" i="42"/>
  <c r="Q285" i="42"/>
  <c r="L285" i="42"/>
  <c r="K285" i="42"/>
  <c r="J285" i="42"/>
  <c r="E285" i="42"/>
  <c r="D285" i="42"/>
  <c r="C285" i="42"/>
  <c r="W284" i="42"/>
  <c r="S284" i="42"/>
  <c r="R284" i="42"/>
  <c r="Q284" i="42"/>
  <c r="L284" i="42"/>
  <c r="K284" i="42"/>
  <c r="J284" i="42"/>
  <c r="E284" i="42"/>
  <c r="D284" i="42"/>
  <c r="C284" i="42"/>
  <c r="W283" i="42"/>
  <c r="S283" i="42"/>
  <c r="R283" i="42"/>
  <c r="Q283" i="42"/>
  <c r="L283" i="42"/>
  <c r="K283" i="42"/>
  <c r="J283" i="42"/>
  <c r="E283" i="42"/>
  <c r="D283" i="42"/>
  <c r="C283" i="42"/>
  <c r="W282" i="42"/>
  <c r="S282" i="42"/>
  <c r="R282" i="42"/>
  <c r="Q282" i="42"/>
  <c r="L282" i="42"/>
  <c r="K282" i="42"/>
  <c r="J282" i="42"/>
  <c r="E282" i="42"/>
  <c r="D282" i="42"/>
  <c r="C282" i="42"/>
  <c r="W281" i="42"/>
  <c r="S281" i="42"/>
  <c r="R281" i="42"/>
  <c r="Q281" i="42"/>
  <c r="L281" i="42"/>
  <c r="K281" i="42"/>
  <c r="J281" i="42"/>
  <c r="E281" i="42"/>
  <c r="D281" i="42"/>
  <c r="C281" i="42"/>
  <c r="W280" i="42"/>
  <c r="S280" i="42"/>
  <c r="R280" i="42"/>
  <c r="Q280" i="42"/>
  <c r="L280" i="42"/>
  <c r="K280" i="42"/>
  <c r="J280" i="42"/>
  <c r="E280" i="42"/>
  <c r="D280" i="42"/>
  <c r="C280" i="42"/>
  <c r="W279" i="42"/>
  <c r="S279" i="42"/>
  <c r="R279" i="42"/>
  <c r="Q279" i="42"/>
  <c r="L279" i="42"/>
  <c r="K279" i="42"/>
  <c r="J279" i="42"/>
  <c r="E279" i="42"/>
  <c r="D279" i="42"/>
  <c r="C279" i="42"/>
  <c r="W278" i="42"/>
  <c r="S278" i="42"/>
  <c r="R278" i="42"/>
  <c r="Q278" i="42"/>
  <c r="L278" i="42"/>
  <c r="K278" i="42"/>
  <c r="J278" i="42"/>
  <c r="E278" i="42"/>
  <c r="D278" i="42"/>
  <c r="C278" i="42"/>
  <c r="W277" i="42"/>
  <c r="S277" i="42"/>
  <c r="R277" i="42"/>
  <c r="Q277" i="42"/>
  <c r="L277" i="42"/>
  <c r="K277" i="42"/>
  <c r="J277" i="42"/>
  <c r="E277" i="42"/>
  <c r="D277" i="42"/>
  <c r="C277" i="42"/>
  <c r="W276" i="42"/>
  <c r="S276" i="42"/>
  <c r="R276" i="42"/>
  <c r="Q276" i="42"/>
  <c r="L276" i="42"/>
  <c r="K276" i="42"/>
  <c r="J276" i="42"/>
  <c r="E276" i="42"/>
  <c r="D276" i="42"/>
  <c r="C276" i="42"/>
  <c r="W275" i="42"/>
  <c r="S275" i="42"/>
  <c r="R275" i="42"/>
  <c r="Q275" i="42"/>
  <c r="L275" i="42"/>
  <c r="K275" i="42"/>
  <c r="J275" i="42"/>
  <c r="E275" i="42"/>
  <c r="D275" i="42"/>
  <c r="C275" i="42"/>
  <c r="W274" i="42"/>
  <c r="S274" i="42"/>
  <c r="R274" i="42"/>
  <c r="Q274" i="42"/>
  <c r="L274" i="42"/>
  <c r="K274" i="42"/>
  <c r="J274" i="42"/>
  <c r="E274" i="42"/>
  <c r="D274" i="42"/>
  <c r="C274" i="42"/>
  <c r="W273" i="42"/>
  <c r="S273" i="42"/>
  <c r="R273" i="42"/>
  <c r="Q273" i="42"/>
  <c r="L273" i="42"/>
  <c r="K273" i="42"/>
  <c r="J273" i="42"/>
  <c r="E273" i="42"/>
  <c r="D273" i="42"/>
  <c r="C273" i="42"/>
  <c r="S272" i="42"/>
  <c r="R272" i="42"/>
  <c r="Q272" i="42"/>
  <c r="L272" i="42"/>
  <c r="K272" i="42"/>
  <c r="J272" i="42"/>
  <c r="E272" i="42"/>
  <c r="D272" i="42"/>
  <c r="C272" i="42"/>
  <c r="S271" i="42"/>
  <c r="R271" i="42"/>
  <c r="Q271" i="42"/>
  <c r="L271" i="42"/>
  <c r="K271" i="42"/>
  <c r="J271" i="42"/>
  <c r="E271" i="42"/>
  <c r="D271" i="42"/>
  <c r="C271" i="42"/>
  <c r="S270" i="42"/>
  <c r="R270" i="42"/>
  <c r="Q270" i="42"/>
  <c r="L270" i="42"/>
  <c r="K270" i="42"/>
  <c r="J270" i="42"/>
  <c r="E270" i="42"/>
  <c r="D270" i="42"/>
  <c r="C270" i="42"/>
  <c r="S269" i="42"/>
  <c r="R269" i="42"/>
  <c r="Q269" i="42"/>
  <c r="L269" i="42"/>
  <c r="K269" i="42"/>
  <c r="J269" i="42"/>
  <c r="E269" i="42"/>
  <c r="D269" i="42"/>
  <c r="C269" i="42"/>
  <c r="W268" i="42"/>
  <c r="S268" i="42"/>
  <c r="R268" i="42"/>
  <c r="Q268" i="42"/>
  <c r="L268" i="42"/>
  <c r="K268" i="42"/>
  <c r="J268" i="42"/>
  <c r="E268" i="42"/>
  <c r="D268" i="42"/>
  <c r="C268" i="42"/>
  <c r="W267" i="42"/>
  <c r="W266" i="42"/>
  <c r="S266" i="42"/>
  <c r="R266" i="42"/>
  <c r="Q266" i="42"/>
  <c r="L266" i="42"/>
  <c r="K266" i="42"/>
  <c r="J266" i="42"/>
  <c r="E266" i="42"/>
  <c r="D266" i="42"/>
  <c r="C266" i="42"/>
  <c r="W265" i="42"/>
  <c r="S265" i="42"/>
  <c r="R265" i="42"/>
  <c r="Q265" i="42"/>
  <c r="L265" i="42"/>
  <c r="K265" i="42"/>
  <c r="J265" i="42"/>
  <c r="E265" i="42"/>
  <c r="D265" i="42"/>
  <c r="C265" i="42"/>
  <c r="W264" i="42"/>
  <c r="S264" i="42"/>
  <c r="R264" i="42"/>
  <c r="Q264" i="42"/>
  <c r="L264" i="42"/>
  <c r="K264" i="42"/>
  <c r="J264" i="42"/>
  <c r="E264" i="42"/>
  <c r="D264" i="42"/>
  <c r="C264" i="42"/>
  <c r="W263" i="42"/>
  <c r="S263" i="42"/>
  <c r="R263" i="42"/>
  <c r="Q263" i="42"/>
  <c r="L263" i="42"/>
  <c r="K263" i="42"/>
  <c r="J263" i="42"/>
  <c r="E263" i="42"/>
  <c r="D263" i="42"/>
  <c r="C263" i="42"/>
  <c r="W262" i="42"/>
  <c r="S262" i="42"/>
  <c r="R262" i="42"/>
  <c r="Q262" i="42"/>
  <c r="L262" i="42"/>
  <c r="K262" i="42"/>
  <c r="J262" i="42"/>
  <c r="E262" i="42"/>
  <c r="D262" i="42"/>
  <c r="C262" i="42"/>
  <c r="W261" i="42"/>
  <c r="S261" i="42"/>
  <c r="R261" i="42"/>
  <c r="Q261" i="42"/>
  <c r="L261" i="42"/>
  <c r="K261" i="42"/>
  <c r="J261" i="42"/>
  <c r="E261" i="42"/>
  <c r="D261" i="42"/>
  <c r="C261" i="42"/>
  <c r="W260" i="42"/>
  <c r="S260" i="42"/>
  <c r="R260" i="42"/>
  <c r="Q260" i="42"/>
  <c r="L260" i="42"/>
  <c r="K260" i="42"/>
  <c r="J260" i="42"/>
  <c r="E260" i="42"/>
  <c r="D260" i="42"/>
  <c r="C260" i="42"/>
  <c r="W259" i="42"/>
  <c r="S259" i="42"/>
  <c r="R259" i="42"/>
  <c r="Q259" i="42"/>
  <c r="L259" i="42"/>
  <c r="K259" i="42"/>
  <c r="J259" i="42"/>
  <c r="E259" i="42"/>
  <c r="D259" i="42"/>
  <c r="C259" i="42"/>
  <c r="W258" i="42"/>
  <c r="S258" i="42"/>
  <c r="R258" i="42"/>
  <c r="Q258" i="42"/>
  <c r="L258" i="42"/>
  <c r="K258" i="42"/>
  <c r="J258" i="42"/>
  <c r="E258" i="42"/>
  <c r="D258" i="42"/>
  <c r="C258" i="42"/>
  <c r="W257" i="42"/>
  <c r="S257" i="42"/>
  <c r="R257" i="42"/>
  <c r="Q257" i="42"/>
  <c r="L257" i="42"/>
  <c r="K257" i="42"/>
  <c r="J257" i="42"/>
  <c r="E257" i="42"/>
  <c r="D257" i="42"/>
  <c r="C257" i="42"/>
  <c r="W256" i="42"/>
  <c r="S256" i="42"/>
  <c r="R256" i="42"/>
  <c r="Q256" i="42"/>
  <c r="L256" i="42"/>
  <c r="K256" i="42"/>
  <c r="J256" i="42"/>
  <c r="E256" i="42"/>
  <c r="D256" i="42"/>
  <c r="C256" i="42"/>
  <c r="W255" i="42"/>
  <c r="S255" i="42"/>
  <c r="R255" i="42"/>
  <c r="Q255" i="42"/>
  <c r="L255" i="42"/>
  <c r="K255" i="42"/>
  <c r="J255" i="42"/>
  <c r="E255" i="42"/>
  <c r="D255" i="42"/>
  <c r="C255" i="42"/>
  <c r="W254" i="42"/>
  <c r="S254" i="42"/>
  <c r="R254" i="42"/>
  <c r="Q254" i="42"/>
  <c r="L254" i="42"/>
  <c r="K254" i="42"/>
  <c r="J254" i="42"/>
  <c r="E254" i="42"/>
  <c r="D254" i="42"/>
  <c r="C254" i="42"/>
  <c r="W253" i="42"/>
  <c r="S253" i="42"/>
  <c r="R253" i="42"/>
  <c r="Q253" i="42"/>
  <c r="L253" i="42"/>
  <c r="K253" i="42"/>
  <c r="J253" i="42"/>
  <c r="E253" i="42"/>
  <c r="D253" i="42"/>
  <c r="C253" i="42"/>
  <c r="W252" i="42"/>
  <c r="S252" i="42"/>
  <c r="R252" i="42"/>
  <c r="Q252" i="42"/>
  <c r="L252" i="42"/>
  <c r="K252" i="42"/>
  <c r="J252" i="42"/>
  <c r="E252" i="42"/>
  <c r="D252" i="42"/>
  <c r="C252" i="42"/>
  <c r="W251" i="42"/>
  <c r="S251" i="42"/>
  <c r="R251" i="42"/>
  <c r="Q251" i="42"/>
  <c r="L251" i="42"/>
  <c r="K251" i="42"/>
  <c r="J251" i="42"/>
  <c r="E251" i="42"/>
  <c r="D251" i="42"/>
  <c r="C251" i="42"/>
  <c r="W250" i="42"/>
  <c r="S250" i="42"/>
  <c r="R250" i="42"/>
  <c r="Q250" i="42"/>
  <c r="L250" i="42"/>
  <c r="K250" i="42"/>
  <c r="J250" i="42"/>
  <c r="E250" i="42"/>
  <c r="D250" i="42"/>
  <c r="C250" i="42"/>
  <c r="W249" i="42"/>
  <c r="S249" i="42"/>
  <c r="R249" i="42"/>
  <c r="Q249" i="42"/>
  <c r="L249" i="42"/>
  <c r="K249" i="42"/>
  <c r="J249" i="42"/>
  <c r="E249" i="42"/>
  <c r="D249" i="42"/>
  <c r="C249" i="42"/>
  <c r="S248" i="42"/>
  <c r="R248" i="42"/>
  <c r="Q248" i="42"/>
  <c r="L248" i="42"/>
  <c r="K248" i="42"/>
  <c r="J248" i="42"/>
  <c r="E248" i="42"/>
  <c r="D248" i="42"/>
  <c r="C248" i="42"/>
  <c r="S247" i="42"/>
  <c r="R247" i="42"/>
  <c r="Q247" i="42"/>
  <c r="L247" i="42"/>
  <c r="K247" i="42"/>
  <c r="J247" i="42"/>
  <c r="E247" i="42"/>
  <c r="D247" i="42"/>
  <c r="C247" i="42"/>
  <c r="S245" i="42"/>
  <c r="R245" i="42"/>
  <c r="Q245" i="42"/>
  <c r="L245" i="42"/>
  <c r="K245" i="42"/>
  <c r="J245" i="42"/>
  <c r="E245" i="42"/>
  <c r="D245" i="42"/>
  <c r="C245" i="42"/>
  <c r="W244" i="42"/>
  <c r="S244" i="42"/>
  <c r="R244" i="42"/>
  <c r="Q244" i="42"/>
  <c r="L244" i="42"/>
  <c r="K244" i="42"/>
  <c r="J244" i="42"/>
  <c r="E244" i="42"/>
  <c r="D244" i="42"/>
  <c r="C244" i="42"/>
  <c r="W243" i="42"/>
  <c r="S243" i="42"/>
  <c r="R243" i="42"/>
  <c r="Q243" i="42"/>
  <c r="L243" i="42"/>
  <c r="K243" i="42"/>
  <c r="J243" i="42"/>
  <c r="E243" i="42"/>
  <c r="D243" i="42"/>
  <c r="C243" i="42"/>
  <c r="W242" i="42"/>
  <c r="S242" i="42"/>
  <c r="R242" i="42"/>
  <c r="Q242" i="42"/>
  <c r="L242" i="42"/>
  <c r="K242" i="42"/>
  <c r="J242" i="42"/>
  <c r="E242" i="42"/>
  <c r="D242" i="42"/>
  <c r="C242" i="42"/>
  <c r="W241" i="42"/>
  <c r="S241" i="42"/>
  <c r="R241" i="42"/>
  <c r="Q241" i="42"/>
  <c r="L241" i="42"/>
  <c r="K241" i="42"/>
  <c r="J241" i="42"/>
  <c r="E241" i="42"/>
  <c r="D241" i="42"/>
  <c r="C241" i="42"/>
  <c r="W240" i="42"/>
  <c r="S240" i="42"/>
  <c r="R240" i="42"/>
  <c r="Q240" i="42"/>
  <c r="L240" i="42"/>
  <c r="K240" i="42"/>
  <c r="J240" i="42"/>
  <c r="E240" i="42"/>
  <c r="D240" i="42"/>
  <c r="C240" i="42"/>
  <c r="W239" i="42"/>
  <c r="S239" i="42"/>
  <c r="R239" i="42"/>
  <c r="Q239" i="42"/>
  <c r="L239" i="42"/>
  <c r="K239" i="42"/>
  <c r="J239" i="42"/>
  <c r="E239" i="42"/>
  <c r="D239" i="42"/>
  <c r="C239" i="42"/>
  <c r="W238" i="42"/>
  <c r="S238" i="42"/>
  <c r="R238" i="42"/>
  <c r="Q238" i="42"/>
  <c r="L238" i="42"/>
  <c r="K238" i="42"/>
  <c r="J238" i="42"/>
  <c r="E238" i="42"/>
  <c r="D238" i="42"/>
  <c r="C238" i="42"/>
  <c r="W237" i="42"/>
  <c r="S237" i="42"/>
  <c r="R237" i="42"/>
  <c r="Q237" i="42"/>
  <c r="L237" i="42"/>
  <c r="K237" i="42"/>
  <c r="J237" i="42"/>
  <c r="E237" i="42"/>
  <c r="D237" i="42"/>
  <c r="C237" i="42"/>
  <c r="W236" i="42"/>
  <c r="S236" i="42"/>
  <c r="R236" i="42"/>
  <c r="Q236" i="42"/>
  <c r="L236" i="42"/>
  <c r="K236" i="42"/>
  <c r="J236" i="42"/>
  <c r="E236" i="42"/>
  <c r="D236" i="42"/>
  <c r="C236" i="42"/>
  <c r="W235" i="42"/>
  <c r="S235" i="42"/>
  <c r="R235" i="42"/>
  <c r="Q235" i="42"/>
  <c r="L235" i="42"/>
  <c r="K235" i="42"/>
  <c r="J235" i="42"/>
  <c r="E235" i="42"/>
  <c r="D235" i="42"/>
  <c r="C235" i="42"/>
  <c r="W234" i="42"/>
  <c r="S234" i="42"/>
  <c r="R234" i="42"/>
  <c r="Q234" i="42"/>
  <c r="L234" i="42"/>
  <c r="K234" i="42"/>
  <c r="J234" i="42"/>
  <c r="E234" i="42"/>
  <c r="D234" i="42"/>
  <c r="C234" i="42"/>
  <c r="W233" i="42"/>
  <c r="S233" i="42"/>
  <c r="R233" i="42"/>
  <c r="Q233" i="42"/>
  <c r="L233" i="42"/>
  <c r="K233" i="42"/>
  <c r="J233" i="42"/>
  <c r="E233" i="42"/>
  <c r="D233" i="42"/>
  <c r="C233" i="42"/>
  <c r="W232" i="42"/>
  <c r="S232" i="42"/>
  <c r="R232" i="42"/>
  <c r="Q232" i="42"/>
  <c r="L232" i="42"/>
  <c r="K232" i="42"/>
  <c r="J232" i="42"/>
  <c r="E232" i="42"/>
  <c r="D232" i="42"/>
  <c r="C232" i="42"/>
  <c r="W231" i="42"/>
  <c r="S231" i="42"/>
  <c r="R231" i="42"/>
  <c r="Q231" i="42"/>
  <c r="L231" i="42"/>
  <c r="K231" i="42"/>
  <c r="J231" i="42"/>
  <c r="E231" i="42"/>
  <c r="D231" i="42"/>
  <c r="C231" i="42"/>
  <c r="W230" i="42"/>
  <c r="S230" i="42"/>
  <c r="R230" i="42"/>
  <c r="Q230" i="42"/>
  <c r="L230" i="42"/>
  <c r="K230" i="42"/>
  <c r="J230" i="42"/>
  <c r="E230" i="42"/>
  <c r="D230" i="42"/>
  <c r="C230" i="42"/>
  <c r="W229" i="42"/>
  <c r="S229" i="42"/>
  <c r="R229" i="42"/>
  <c r="Q229" i="42"/>
  <c r="L229" i="42"/>
  <c r="K229" i="42"/>
  <c r="J229" i="42"/>
  <c r="E229" i="42"/>
  <c r="D229" i="42"/>
  <c r="C229" i="42"/>
  <c r="W228" i="42"/>
  <c r="S228" i="42"/>
  <c r="R228" i="42"/>
  <c r="Q228" i="42"/>
  <c r="L228" i="42"/>
  <c r="K228" i="42"/>
  <c r="J228" i="42"/>
  <c r="E228" i="42"/>
  <c r="D228" i="42"/>
  <c r="C228" i="42"/>
  <c r="W227" i="42"/>
  <c r="S227" i="42"/>
  <c r="R227" i="42"/>
  <c r="Q227" i="42"/>
  <c r="L227" i="42"/>
  <c r="K227" i="42"/>
  <c r="J227" i="42"/>
  <c r="E227" i="42"/>
  <c r="D227" i="42"/>
  <c r="C227" i="42"/>
  <c r="W226" i="42"/>
  <c r="S226" i="42"/>
  <c r="R226" i="42"/>
  <c r="Q226" i="42"/>
  <c r="L226" i="42"/>
  <c r="K226" i="42"/>
  <c r="J226" i="42"/>
  <c r="E226" i="42"/>
  <c r="D226" i="42"/>
  <c r="C226" i="42"/>
  <c r="W225" i="42"/>
  <c r="R220" i="42"/>
  <c r="T371" i="42" s="1"/>
  <c r="L220" i="42"/>
  <c r="M371" i="42" s="1"/>
  <c r="F220" i="42"/>
  <c r="F371" i="42" s="1"/>
  <c r="R219" i="42"/>
  <c r="T350" i="42" s="1"/>
  <c r="L219" i="42"/>
  <c r="M350" i="42" s="1"/>
  <c r="F219" i="42"/>
  <c r="F350" i="42" s="1"/>
  <c r="R218" i="42"/>
  <c r="T329" i="42" s="1"/>
  <c r="L218" i="42"/>
  <c r="M329" i="42" s="1"/>
  <c r="F218" i="42"/>
  <c r="F329" i="42" s="1"/>
  <c r="R217" i="42"/>
  <c r="T308" i="42" s="1"/>
  <c r="L217" i="42"/>
  <c r="M308" i="42" s="1"/>
  <c r="F217" i="42"/>
  <c r="F308" i="42" s="1"/>
  <c r="R216" i="42"/>
  <c r="T287" i="42" s="1"/>
  <c r="L216" i="42"/>
  <c r="M287" i="42" s="1"/>
  <c r="F216" i="42"/>
  <c r="F287" i="42" s="1"/>
  <c r="R215" i="42"/>
  <c r="T266" i="42" s="1"/>
  <c r="L215" i="42"/>
  <c r="M266" i="42" s="1"/>
  <c r="F215" i="42"/>
  <c r="F266" i="42" s="1"/>
  <c r="R214" i="42"/>
  <c r="T245" i="42" s="1"/>
  <c r="L214" i="42"/>
  <c r="M245" i="42" s="1"/>
  <c r="F214" i="42"/>
  <c r="F245" i="42" s="1"/>
  <c r="K213" i="42"/>
  <c r="Q213" i="42" s="1"/>
  <c r="J213" i="42"/>
  <c r="P213" i="42" s="1"/>
  <c r="H211" i="42"/>
  <c r="N211" i="42" s="1"/>
  <c r="R209" i="42"/>
  <c r="T370" i="42" s="1"/>
  <c r="L209" i="42"/>
  <c r="M370" i="42" s="1"/>
  <c r="F209" i="42"/>
  <c r="F370" i="42" s="1"/>
  <c r="R208" i="42"/>
  <c r="T349" i="42" s="1"/>
  <c r="L208" i="42"/>
  <c r="M349" i="42" s="1"/>
  <c r="F208" i="42"/>
  <c r="F349" i="42" s="1"/>
  <c r="R207" i="42"/>
  <c r="T328" i="42" s="1"/>
  <c r="L207" i="42"/>
  <c r="M328" i="42" s="1"/>
  <c r="F207" i="42"/>
  <c r="F328" i="42" s="1"/>
  <c r="R206" i="42"/>
  <c r="T307" i="42" s="1"/>
  <c r="L206" i="42"/>
  <c r="M307" i="42" s="1"/>
  <c r="F206" i="42"/>
  <c r="F307" i="42" s="1"/>
  <c r="R205" i="42"/>
  <c r="T286" i="42" s="1"/>
  <c r="L205" i="42"/>
  <c r="M286" i="42" s="1"/>
  <c r="F205" i="42"/>
  <c r="R204" i="42"/>
  <c r="T265" i="42" s="1"/>
  <c r="L204" i="42"/>
  <c r="M265" i="42" s="1"/>
  <c r="F204" i="42"/>
  <c r="F265" i="42" s="1"/>
  <c r="R203" i="42"/>
  <c r="T244" i="42" s="1"/>
  <c r="L203" i="42"/>
  <c r="M244" i="42" s="1"/>
  <c r="F203" i="42"/>
  <c r="F244" i="42" s="1"/>
  <c r="K202" i="42"/>
  <c r="Q202" i="42" s="1"/>
  <c r="J202" i="42"/>
  <c r="P202" i="42" s="1"/>
  <c r="H200" i="42"/>
  <c r="N200" i="42" s="1"/>
  <c r="R198" i="42"/>
  <c r="T369" i="42" s="1"/>
  <c r="L198" i="42"/>
  <c r="M369" i="42" s="1"/>
  <c r="F198" i="42"/>
  <c r="F369" i="42" s="1"/>
  <c r="R197" i="42"/>
  <c r="T348" i="42" s="1"/>
  <c r="L197" i="42"/>
  <c r="M348" i="42" s="1"/>
  <c r="F197" i="42"/>
  <c r="F348" i="42" s="1"/>
  <c r="R196" i="42"/>
  <c r="T327" i="42" s="1"/>
  <c r="L196" i="42"/>
  <c r="M327" i="42" s="1"/>
  <c r="F196" i="42"/>
  <c r="F327" i="42" s="1"/>
  <c r="R195" i="42"/>
  <c r="T306" i="42" s="1"/>
  <c r="L195" i="42"/>
  <c r="M306" i="42" s="1"/>
  <c r="F195" i="42"/>
  <c r="F306" i="42" s="1"/>
  <c r="R194" i="42"/>
  <c r="T285" i="42" s="1"/>
  <c r="L194" i="42"/>
  <c r="M285" i="42" s="1"/>
  <c r="F194" i="42"/>
  <c r="F286" i="42" s="1"/>
  <c r="R193" i="42"/>
  <c r="T264" i="42" s="1"/>
  <c r="L193" i="42"/>
  <c r="M264" i="42" s="1"/>
  <c r="F193" i="42"/>
  <c r="F264" i="42" s="1"/>
  <c r="R192" i="42"/>
  <c r="T243" i="42" s="1"/>
  <c r="L192" i="42"/>
  <c r="M243" i="42" s="1"/>
  <c r="F192" i="42"/>
  <c r="F243" i="42" s="1"/>
  <c r="K191" i="42"/>
  <c r="Q191" i="42" s="1"/>
  <c r="J191" i="42"/>
  <c r="P191" i="42" s="1"/>
  <c r="H189" i="42"/>
  <c r="N189" i="42" s="1"/>
  <c r="R187" i="42"/>
  <c r="T368" i="42" s="1"/>
  <c r="L187" i="42"/>
  <c r="M368" i="42" s="1"/>
  <c r="F187" i="42"/>
  <c r="F368" i="42" s="1"/>
  <c r="R186" i="42"/>
  <c r="T347" i="42" s="1"/>
  <c r="L186" i="42"/>
  <c r="M347" i="42" s="1"/>
  <c r="F186" i="42"/>
  <c r="F347" i="42" s="1"/>
  <c r="R185" i="42"/>
  <c r="T326" i="42" s="1"/>
  <c r="L185" i="42"/>
  <c r="M326" i="42" s="1"/>
  <c r="F185" i="42"/>
  <c r="F326" i="42" s="1"/>
  <c r="R184" i="42"/>
  <c r="T305" i="42" s="1"/>
  <c r="L184" i="42"/>
  <c r="M305" i="42" s="1"/>
  <c r="F184" i="42"/>
  <c r="F305" i="42" s="1"/>
  <c r="R183" i="42"/>
  <c r="T284" i="42" s="1"/>
  <c r="L183" i="42"/>
  <c r="M284" i="42" s="1"/>
  <c r="F183" i="42"/>
  <c r="F284" i="42" s="1"/>
  <c r="R182" i="42"/>
  <c r="T263" i="42" s="1"/>
  <c r="L182" i="42"/>
  <c r="M263" i="42" s="1"/>
  <c r="F182" i="42"/>
  <c r="F263" i="42" s="1"/>
  <c r="R181" i="42"/>
  <c r="T242" i="42" s="1"/>
  <c r="L181" i="42"/>
  <c r="M242" i="42" s="1"/>
  <c r="F181" i="42"/>
  <c r="F242" i="42" s="1"/>
  <c r="K180" i="42"/>
  <c r="Q180" i="42" s="1"/>
  <c r="J180" i="42"/>
  <c r="P180" i="42" s="1"/>
  <c r="H178" i="42"/>
  <c r="N178" i="42" s="1"/>
  <c r="R176" i="42"/>
  <c r="T367" i="42" s="1"/>
  <c r="L176" i="42"/>
  <c r="M367" i="42" s="1"/>
  <c r="F176" i="42"/>
  <c r="F367" i="42" s="1"/>
  <c r="R175" i="42"/>
  <c r="T346" i="42" s="1"/>
  <c r="L175" i="42"/>
  <c r="M346" i="42" s="1"/>
  <c r="F175" i="42"/>
  <c r="F346" i="42" s="1"/>
  <c r="R174" i="42"/>
  <c r="T325" i="42" s="1"/>
  <c r="L174" i="42"/>
  <c r="M325" i="42" s="1"/>
  <c r="F174" i="42"/>
  <c r="F325" i="42" s="1"/>
  <c r="R173" i="42"/>
  <c r="T304" i="42" s="1"/>
  <c r="L173" i="42"/>
  <c r="M304" i="42" s="1"/>
  <c r="F173" i="42"/>
  <c r="F304" i="42" s="1"/>
  <c r="R172" i="42"/>
  <c r="T283" i="42" s="1"/>
  <c r="L172" i="42"/>
  <c r="M283" i="42" s="1"/>
  <c r="F172" i="42"/>
  <c r="F283" i="42" s="1"/>
  <c r="R171" i="42"/>
  <c r="T262" i="42" s="1"/>
  <c r="L171" i="42"/>
  <c r="M262" i="42" s="1"/>
  <c r="F171" i="42"/>
  <c r="F262" i="42" s="1"/>
  <c r="R170" i="42"/>
  <c r="T241" i="42" s="1"/>
  <c r="L170" i="42"/>
  <c r="M241" i="42" s="1"/>
  <c r="F170" i="42"/>
  <c r="F241" i="42" s="1"/>
  <c r="K169" i="42"/>
  <c r="Q169" i="42" s="1"/>
  <c r="J169" i="42"/>
  <c r="P169" i="42" s="1"/>
  <c r="H167" i="42"/>
  <c r="N167" i="42" s="1"/>
  <c r="R165" i="42"/>
  <c r="T366" i="42" s="1"/>
  <c r="L165" i="42"/>
  <c r="M366" i="42" s="1"/>
  <c r="F165" i="42"/>
  <c r="F366" i="42" s="1"/>
  <c r="R164" i="42"/>
  <c r="T345" i="42" s="1"/>
  <c r="L164" i="42"/>
  <c r="M345" i="42" s="1"/>
  <c r="F164" i="42"/>
  <c r="F345" i="42" s="1"/>
  <c r="R163" i="42"/>
  <c r="T324" i="42" s="1"/>
  <c r="L163" i="42"/>
  <c r="M324" i="42" s="1"/>
  <c r="F163" i="42"/>
  <c r="F324" i="42" s="1"/>
  <c r="R162" i="42"/>
  <c r="T303" i="42" s="1"/>
  <c r="L162" i="42"/>
  <c r="M303" i="42" s="1"/>
  <c r="F162" i="42"/>
  <c r="F303" i="42" s="1"/>
  <c r="R161" i="42"/>
  <c r="T282" i="42" s="1"/>
  <c r="L161" i="42"/>
  <c r="M282" i="42" s="1"/>
  <c r="F161" i="42"/>
  <c r="F282" i="42" s="1"/>
  <c r="R160" i="42"/>
  <c r="T261" i="42" s="1"/>
  <c r="L160" i="42"/>
  <c r="M261" i="42" s="1"/>
  <c r="F160" i="42"/>
  <c r="F261" i="42" s="1"/>
  <c r="R159" i="42"/>
  <c r="T240" i="42" s="1"/>
  <c r="L159" i="42"/>
  <c r="M240" i="42" s="1"/>
  <c r="F159" i="42"/>
  <c r="F240" i="42" s="1"/>
  <c r="K158" i="42"/>
  <c r="Q158" i="42" s="1"/>
  <c r="J158" i="42"/>
  <c r="P158" i="42" s="1"/>
  <c r="H156" i="42"/>
  <c r="N156" i="42" s="1"/>
  <c r="R154" i="42"/>
  <c r="T365" i="42" s="1"/>
  <c r="L154" i="42"/>
  <c r="M365" i="42" s="1"/>
  <c r="F154" i="42"/>
  <c r="F365" i="42" s="1"/>
  <c r="R153" i="42"/>
  <c r="T344" i="42" s="1"/>
  <c r="L153" i="42"/>
  <c r="M344" i="42" s="1"/>
  <c r="F153" i="42"/>
  <c r="F344" i="42" s="1"/>
  <c r="R152" i="42"/>
  <c r="T323" i="42" s="1"/>
  <c r="L152" i="42"/>
  <c r="M323" i="42" s="1"/>
  <c r="F152" i="42"/>
  <c r="F323" i="42" s="1"/>
  <c r="R151" i="42"/>
  <c r="T302" i="42" s="1"/>
  <c r="L151" i="42"/>
  <c r="M302" i="42" s="1"/>
  <c r="F151" i="42"/>
  <c r="F301" i="42" s="1"/>
  <c r="R150" i="42"/>
  <c r="T281" i="42" s="1"/>
  <c r="L150" i="42"/>
  <c r="F150" i="42"/>
  <c r="F281" i="42" s="1"/>
  <c r="R149" i="42"/>
  <c r="T260" i="42" s="1"/>
  <c r="L149" i="42"/>
  <c r="M260" i="42" s="1"/>
  <c r="F149" i="42"/>
  <c r="F260" i="42" s="1"/>
  <c r="R148" i="42"/>
  <c r="T239" i="42" s="1"/>
  <c r="L148" i="42"/>
  <c r="M239" i="42" s="1"/>
  <c r="F148" i="42"/>
  <c r="F239" i="42" s="1"/>
  <c r="K147" i="42"/>
  <c r="Q147" i="42" s="1"/>
  <c r="J147" i="42"/>
  <c r="P147" i="42" s="1"/>
  <c r="H145" i="42"/>
  <c r="N145" i="42" s="1"/>
  <c r="R143" i="42"/>
  <c r="T364" i="42" s="1"/>
  <c r="L143" i="42"/>
  <c r="M364" i="42" s="1"/>
  <c r="F143" i="42"/>
  <c r="F364" i="42" s="1"/>
  <c r="R142" i="42"/>
  <c r="T343" i="42" s="1"/>
  <c r="L142" i="42"/>
  <c r="M343" i="42" s="1"/>
  <c r="F142" i="42"/>
  <c r="F343" i="42" s="1"/>
  <c r="R141" i="42"/>
  <c r="T322" i="42" s="1"/>
  <c r="L141" i="42"/>
  <c r="M322" i="42" s="1"/>
  <c r="F141" i="42"/>
  <c r="F322" i="42" s="1"/>
  <c r="R140" i="42"/>
  <c r="T301" i="42" s="1"/>
  <c r="L140" i="42"/>
  <c r="M301" i="42" s="1"/>
  <c r="F140" i="42"/>
  <c r="R139" i="42"/>
  <c r="T280" i="42" s="1"/>
  <c r="L139" i="42"/>
  <c r="M280" i="42" s="1"/>
  <c r="F139" i="42"/>
  <c r="F280" i="42" s="1"/>
  <c r="R138" i="42"/>
  <c r="T259" i="42" s="1"/>
  <c r="L138" i="42"/>
  <c r="M259" i="42" s="1"/>
  <c r="F138" i="42"/>
  <c r="F259" i="42" s="1"/>
  <c r="R137" i="42"/>
  <c r="T238" i="42" s="1"/>
  <c r="L137" i="42"/>
  <c r="M238" i="42" s="1"/>
  <c r="F137" i="42"/>
  <c r="F238" i="42" s="1"/>
  <c r="K136" i="42"/>
  <c r="Q136" i="42" s="1"/>
  <c r="J136" i="42"/>
  <c r="P136" i="42" s="1"/>
  <c r="H134" i="42"/>
  <c r="N134" i="42" s="1"/>
  <c r="R132" i="42"/>
  <c r="T363" i="42" s="1"/>
  <c r="L132" i="42"/>
  <c r="M363" i="42" s="1"/>
  <c r="F132" i="42"/>
  <c r="F363" i="42" s="1"/>
  <c r="R131" i="42"/>
  <c r="T342" i="42" s="1"/>
  <c r="L131" i="42"/>
  <c r="M342" i="42" s="1"/>
  <c r="F131" i="42"/>
  <c r="F342" i="42" s="1"/>
  <c r="R130" i="42"/>
  <c r="T321" i="42" s="1"/>
  <c r="L130" i="42"/>
  <c r="M321" i="42" s="1"/>
  <c r="F130" i="42"/>
  <c r="F321" i="42" s="1"/>
  <c r="R129" i="42"/>
  <c r="T300" i="42" s="1"/>
  <c r="L129" i="42"/>
  <c r="M300" i="42" s="1"/>
  <c r="F129" i="42"/>
  <c r="F300" i="42" s="1"/>
  <c r="R128" i="42"/>
  <c r="T279" i="42" s="1"/>
  <c r="L128" i="42"/>
  <c r="M279" i="42" s="1"/>
  <c r="F128" i="42"/>
  <c r="F279" i="42" s="1"/>
  <c r="R127" i="42"/>
  <c r="T258" i="42" s="1"/>
  <c r="L127" i="42"/>
  <c r="M258" i="42" s="1"/>
  <c r="F127" i="42"/>
  <c r="F258" i="42" s="1"/>
  <c r="R126" i="42"/>
  <c r="T237" i="42" s="1"/>
  <c r="L126" i="42"/>
  <c r="M237" i="42" s="1"/>
  <c r="F126" i="42"/>
  <c r="F237" i="42" s="1"/>
  <c r="K125" i="42"/>
  <c r="Q125" i="42" s="1"/>
  <c r="J125" i="42"/>
  <c r="P125" i="42" s="1"/>
  <c r="H123" i="42"/>
  <c r="N123" i="42" s="1"/>
  <c r="R121" i="42"/>
  <c r="T362" i="42" s="1"/>
  <c r="L121" i="42"/>
  <c r="M362" i="42" s="1"/>
  <c r="F121" i="42"/>
  <c r="F362" i="42" s="1"/>
  <c r="R120" i="42"/>
  <c r="T341" i="42" s="1"/>
  <c r="L120" i="42"/>
  <c r="M341" i="42" s="1"/>
  <c r="F120" i="42"/>
  <c r="F341" i="42" s="1"/>
  <c r="R119" i="42"/>
  <c r="T320" i="42" s="1"/>
  <c r="L119" i="42"/>
  <c r="M320" i="42" s="1"/>
  <c r="F119" i="42"/>
  <c r="F320" i="42" s="1"/>
  <c r="R118" i="42"/>
  <c r="T299" i="42" s="1"/>
  <c r="L118" i="42"/>
  <c r="M299" i="42" s="1"/>
  <c r="F118" i="42"/>
  <c r="F299" i="42" s="1"/>
  <c r="R117" i="42"/>
  <c r="T278" i="42" s="1"/>
  <c r="L117" i="42"/>
  <c r="M278" i="42" s="1"/>
  <c r="F117" i="42"/>
  <c r="F278" i="42" s="1"/>
  <c r="R116" i="42"/>
  <c r="T257" i="42" s="1"/>
  <c r="L116" i="42"/>
  <c r="M257" i="42" s="1"/>
  <c r="F116" i="42"/>
  <c r="F257" i="42" s="1"/>
  <c r="R115" i="42"/>
  <c r="T236" i="42" s="1"/>
  <c r="L115" i="42"/>
  <c r="M236" i="42" s="1"/>
  <c r="F115" i="42"/>
  <c r="F236" i="42" s="1"/>
  <c r="K114" i="42"/>
  <c r="Q114" i="42" s="1"/>
  <c r="J114" i="42"/>
  <c r="P114" i="42" s="1"/>
  <c r="H112" i="42"/>
  <c r="N112" i="42" s="1"/>
  <c r="R110" i="42"/>
  <c r="T361" i="42" s="1"/>
  <c r="L110" i="42"/>
  <c r="M361" i="42" s="1"/>
  <c r="F110" i="42"/>
  <c r="F361" i="42" s="1"/>
  <c r="R109" i="42"/>
  <c r="T340" i="42" s="1"/>
  <c r="L109" i="42"/>
  <c r="M340" i="42" s="1"/>
  <c r="F109" i="42"/>
  <c r="F340" i="42" s="1"/>
  <c r="R108" i="42"/>
  <c r="T319" i="42" s="1"/>
  <c r="L108" i="42"/>
  <c r="M319" i="42" s="1"/>
  <c r="F108" i="42"/>
  <c r="F319" i="42" s="1"/>
  <c r="R107" i="42"/>
  <c r="T298" i="42" s="1"/>
  <c r="L107" i="42"/>
  <c r="M298" i="42" s="1"/>
  <c r="F107" i="42"/>
  <c r="F298" i="42" s="1"/>
  <c r="R106" i="42"/>
  <c r="T277" i="42" s="1"/>
  <c r="L106" i="42"/>
  <c r="M277" i="42" s="1"/>
  <c r="F106" i="42"/>
  <c r="F277" i="42" s="1"/>
  <c r="R105" i="42"/>
  <c r="T256" i="42" s="1"/>
  <c r="L105" i="42"/>
  <c r="M256" i="42" s="1"/>
  <c r="F105" i="42"/>
  <c r="F256" i="42" s="1"/>
  <c r="R104" i="42"/>
  <c r="T235" i="42" s="1"/>
  <c r="L104" i="42"/>
  <c r="M235" i="42" s="1"/>
  <c r="F104" i="42"/>
  <c r="F235" i="42" s="1"/>
  <c r="K103" i="42"/>
  <c r="Q103" i="42" s="1"/>
  <c r="J103" i="42"/>
  <c r="P103" i="42" s="1"/>
  <c r="H101" i="42"/>
  <c r="N101" i="42" s="1"/>
  <c r="R99" i="42"/>
  <c r="T360" i="42" s="1"/>
  <c r="L99" i="42"/>
  <c r="M360" i="42" s="1"/>
  <c r="F99" i="42"/>
  <c r="F360" i="42" s="1"/>
  <c r="R98" i="42"/>
  <c r="T339" i="42" s="1"/>
  <c r="L98" i="42"/>
  <c r="M339" i="42" s="1"/>
  <c r="F98" i="42"/>
  <c r="F339" i="42" s="1"/>
  <c r="R97" i="42"/>
  <c r="T318" i="42" s="1"/>
  <c r="L97" i="42"/>
  <c r="M318" i="42" s="1"/>
  <c r="F97" i="42"/>
  <c r="F318" i="42" s="1"/>
  <c r="R96" i="42"/>
  <c r="T297" i="42" s="1"/>
  <c r="L96" i="42"/>
  <c r="M297" i="42" s="1"/>
  <c r="F96" i="42"/>
  <c r="F297" i="42" s="1"/>
  <c r="R95" i="42"/>
  <c r="T276" i="42" s="1"/>
  <c r="L95" i="42"/>
  <c r="M276" i="42" s="1"/>
  <c r="F95" i="42"/>
  <c r="F276" i="42" s="1"/>
  <c r="R94" i="42"/>
  <c r="T255" i="42" s="1"/>
  <c r="L94" i="42"/>
  <c r="M255" i="42" s="1"/>
  <c r="F94" i="42"/>
  <c r="F255" i="42" s="1"/>
  <c r="R93" i="42"/>
  <c r="T234" i="42" s="1"/>
  <c r="L93" i="42"/>
  <c r="M234" i="42" s="1"/>
  <c r="F93" i="42"/>
  <c r="F234" i="42" s="1"/>
  <c r="K92" i="42"/>
  <c r="Q92" i="42" s="1"/>
  <c r="J92" i="42"/>
  <c r="P92" i="42" s="1"/>
  <c r="H90" i="42"/>
  <c r="N90" i="42" s="1"/>
  <c r="R88" i="42"/>
  <c r="T359" i="42" s="1"/>
  <c r="L88" i="42"/>
  <c r="M359" i="42" s="1"/>
  <c r="F88" i="42"/>
  <c r="F359" i="42" s="1"/>
  <c r="R87" i="42"/>
  <c r="T338" i="42" s="1"/>
  <c r="L87" i="42"/>
  <c r="M338" i="42" s="1"/>
  <c r="F87" i="42"/>
  <c r="F338" i="42" s="1"/>
  <c r="R86" i="42"/>
  <c r="T317" i="42" s="1"/>
  <c r="L86" i="42"/>
  <c r="M317" i="42" s="1"/>
  <c r="F86" i="42"/>
  <c r="F317" i="42" s="1"/>
  <c r="R85" i="42"/>
  <c r="T296" i="42" s="1"/>
  <c r="L85" i="42"/>
  <c r="M296" i="42" s="1"/>
  <c r="F85" i="42"/>
  <c r="F296" i="42" s="1"/>
  <c r="R84" i="42"/>
  <c r="T275" i="42" s="1"/>
  <c r="L84" i="42"/>
  <c r="M275" i="42" s="1"/>
  <c r="F84" i="42"/>
  <c r="F275" i="42" s="1"/>
  <c r="R83" i="42"/>
  <c r="T254" i="42" s="1"/>
  <c r="L83" i="42"/>
  <c r="M254" i="42" s="1"/>
  <c r="F83" i="42"/>
  <c r="F254" i="42" s="1"/>
  <c r="R82" i="42"/>
  <c r="T233" i="42" s="1"/>
  <c r="L82" i="42"/>
  <c r="M233" i="42" s="1"/>
  <c r="F82" i="42"/>
  <c r="F233" i="42" s="1"/>
  <c r="K81" i="42"/>
  <c r="Q81" i="42" s="1"/>
  <c r="J81" i="42"/>
  <c r="P81" i="42" s="1"/>
  <c r="H79" i="42"/>
  <c r="N79" i="42" s="1"/>
  <c r="R77" i="42"/>
  <c r="T358" i="42" s="1"/>
  <c r="L77" i="42"/>
  <c r="M358" i="42" s="1"/>
  <c r="F77" i="42"/>
  <c r="F358" i="42" s="1"/>
  <c r="R76" i="42"/>
  <c r="T337" i="42" s="1"/>
  <c r="L76" i="42"/>
  <c r="M337" i="42" s="1"/>
  <c r="F76" i="42"/>
  <c r="F337" i="42" s="1"/>
  <c r="R75" i="42"/>
  <c r="T316" i="42" s="1"/>
  <c r="L75" i="42"/>
  <c r="M316" i="42" s="1"/>
  <c r="F75" i="42"/>
  <c r="F316" i="42" s="1"/>
  <c r="R74" i="42"/>
  <c r="T295" i="42" s="1"/>
  <c r="L74" i="42"/>
  <c r="M295" i="42" s="1"/>
  <c r="F74" i="42"/>
  <c r="F295" i="42" s="1"/>
  <c r="R73" i="42"/>
  <c r="T274" i="42" s="1"/>
  <c r="L73" i="42"/>
  <c r="M274" i="42" s="1"/>
  <c r="F73" i="42"/>
  <c r="F274" i="42" s="1"/>
  <c r="R72" i="42"/>
  <c r="T253" i="42" s="1"/>
  <c r="L72" i="42"/>
  <c r="M253" i="42" s="1"/>
  <c r="F72" i="42"/>
  <c r="F253" i="42" s="1"/>
  <c r="R71" i="42"/>
  <c r="T232" i="42" s="1"/>
  <c r="L71" i="42"/>
  <c r="M232" i="42" s="1"/>
  <c r="F71" i="42"/>
  <c r="F232" i="42" s="1"/>
  <c r="K70" i="42"/>
  <c r="Q70" i="42" s="1"/>
  <c r="J70" i="42"/>
  <c r="P70" i="42" s="1"/>
  <c r="H68" i="42"/>
  <c r="N68" i="42" s="1"/>
  <c r="R66" i="42"/>
  <c r="T357" i="42" s="1"/>
  <c r="L66" i="42"/>
  <c r="M357" i="42" s="1"/>
  <c r="F66" i="42"/>
  <c r="F357" i="42" s="1"/>
  <c r="R65" i="42"/>
  <c r="T336" i="42" s="1"/>
  <c r="L65" i="42"/>
  <c r="M336" i="42" s="1"/>
  <c r="F65" i="42"/>
  <c r="F336" i="42" s="1"/>
  <c r="R64" i="42"/>
  <c r="T315" i="42" s="1"/>
  <c r="L64" i="42"/>
  <c r="M315" i="42" s="1"/>
  <c r="F64" i="42"/>
  <c r="F315" i="42" s="1"/>
  <c r="R63" i="42"/>
  <c r="T294" i="42" s="1"/>
  <c r="L63" i="42"/>
  <c r="M294" i="42" s="1"/>
  <c r="F63" i="42"/>
  <c r="F294" i="42" s="1"/>
  <c r="R62" i="42"/>
  <c r="T273" i="42" s="1"/>
  <c r="L62" i="42"/>
  <c r="M273" i="42" s="1"/>
  <c r="F62" i="42"/>
  <c r="F273" i="42" s="1"/>
  <c r="R61" i="42"/>
  <c r="T252" i="42" s="1"/>
  <c r="L61" i="42"/>
  <c r="M252" i="42" s="1"/>
  <c r="F61" i="42"/>
  <c r="F252" i="42" s="1"/>
  <c r="R60" i="42"/>
  <c r="T231" i="42" s="1"/>
  <c r="L60" i="42"/>
  <c r="M231" i="42" s="1"/>
  <c r="F60" i="42"/>
  <c r="F231" i="42" s="1"/>
  <c r="K59" i="42"/>
  <c r="Q59" i="42" s="1"/>
  <c r="J59" i="42"/>
  <c r="P59" i="42" s="1"/>
  <c r="H57" i="42"/>
  <c r="N57" i="42" s="1"/>
  <c r="R55" i="42"/>
  <c r="T356" i="42" s="1"/>
  <c r="L55" i="42"/>
  <c r="M356" i="42" s="1"/>
  <c r="F55" i="42"/>
  <c r="F356" i="42" s="1"/>
  <c r="R54" i="42"/>
  <c r="T335" i="42" s="1"/>
  <c r="L54" i="42"/>
  <c r="M335" i="42" s="1"/>
  <c r="F54" i="42"/>
  <c r="F335" i="42" s="1"/>
  <c r="R53" i="42"/>
  <c r="T314" i="42" s="1"/>
  <c r="L53" i="42"/>
  <c r="M314" i="42" s="1"/>
  <c r="F53" i="42"/>
  <c r="F314" i="42" s="1"/>
  <c r="R52" i="42"/>
  <c r="T293" i="42" s="1"/>
  <c r="L52" i="42"/>
  <c r="M293" i="42" s="1"/>
  <c r="F52" i="42"/>
  <c r="F293" i="42" s="1"/>
  <c r="R51" i="42"/>
  <c r="T272" i="42" s="1"/>
  <c r="L51" i="42"/>
  <c r="M272" i="42" s="1"/>
  <c r="F51" i="42"/>
  <c r="F272" i="42" s="1"/>
  <c r="R50" i="42"/>
  <c r="T251" i="42" s="1"/>
  <c r="L50" i="42"/>
  <c r="M251" i="42" s="1"/>
  <c r="F50" i="42"/>
  <c r="F251" i="42" s="1"/>
  <c r="R49" i="42"/>
  <c r="T230" i="42" s="1"/>
  <c r="L49" i="42"/>
  <c r="M230" i="42" s="1"/>
  <c r="F49" i="42"/>
  <c r="F230" i="42" s="1"/>
  <c r="K48" i="42"/>
  <c r="Q48" i="42" s="1"/>
  <c r="J48" i="42"/>
  <c r="P48" i="42" s="1"/>
  <c r="H46" i="42"/>
  <c r="N46" i="42" s="1"/>
  <c r="R44" i="42"/>
  <c r="T355" i="42" s="1"/>
  <c r="L44" i="42"/>
  <c r="M355" i="42" s="1"/>
  <c r="F44" i="42"/>
  <c r="F355" i="42" s="1"/>
  <c r="R43" i="42"/>
  <c r="T334" i="42" s="1"/>
  <c r="L43" i="42"/>
  <c r="M334" i="42" s="1"/>
  <c r="F43" i="42"/>
  <c r="F334" i="42" s="1"/>
  <c r="R42" i="42"/>
  <c r="T313" i="42" s="1"/>
  <c r="L42" i="42"/>
  <c r="M313" i="42" s="1"/>
  <c r="F42" i="42"/>
  <c r="F313" i="42" s="1"/>
  <c r="R41" i="42"/>
  <c r="T292" i="42" s="1"/>
  <c r="L41" i="42"/>
  <c r="M292" i="42" s="1"/>
  <c r="F41" i="42"/>
  <c r="F292" i="42" s="1"/>
  <c r="R40" i="42"/>
  <c r="T271" i="42" s="1"/>
  <c r="L40" i="42"/>
  <c r="M271" i="42" s="1"/>
  <c r="F40" i="42"/>
  <c r="F271" i="42" s="1"/>
  <c r="R39" i="42"/>
  <c r="T250" i="42" s="1"/>
  <c r="L39" i="42"/>
  <c r="M250" i="42" s="1"/>
  <c r="F39" i="42"/>
  <c r="F250" i="42" s="1"/>
  <c r="R38" i="42"/>
  <c r="T229" i="42" s="1"/>
  <c r="L38" i="42"/>
  <c r="M229" i="42" s="1"/>
  <c r="F38" i="42"/>
  <c r="F229" i="42" s="1"/>
  <c r="K37" i="42"/>
  <c r="Q37" i="42" s="1"/>
  <c r="J37" i="42"/>
  <c r="P37" i="42" s="1"/>
  <c r="H35" i="42"/>
  <c r="N35" i="42" s="1"/>
  <c r="R33" i="42"/>
  <c r="T354" i="42" s="1"/>
  <c r="L33" i="42"/>
  <c r="M354" i="42" s="1"/>
  <c r="F33" i="42"/>
  <c r="F354" i="42" s="1"/>
  <c r="R32" i="42"/>
  <c r="T333" i="42" s="1"/>
  <c r="L32" i="42"/>
  <c r="M333" i="42" s="1"/>
  <c r="F32" i="42"/>
  <c r="F333" i="42" s="1"/>
  <c r="R31" i="42"/>
  <c r="T312" i="42" s="1"/>
  <c r="L31" i="42"/>
  <c r="M312" i="42" s="1"/>
  <c r="F31" i="42"/>
  <c r="F312" i="42" s="1"/>
  <c r="R30" i="42"/>
  <c r="T291" i="42" s="1"/>
  <c r="L30" i="42"/>
  <c r="M291" i="42" s="1"/>
  <c r="F30" i="42"/>
  <c r="F291" i="42" s="1"/>
  <c r="R29" i="42"/>
  <c r="T270" i="42" s="1"/>
  <c r="L29" i="42"/>
  <c r="M270" i="42" s="1"/>
  <c r="F29" i="42"/>
  <c r="F270" i="42" s="1"/>
  <c r="R28" i="42"/>
  <c r="T249" i="42" s="1"/>
  <c r="L28" i="42"/>
  <c r="M249" i="42" s="1"/>
  <c r="F28" i="42"/>
  <c r="F249" i="42" s="1"/>
  <c r="R27" i="42"/>
  <c r="T228" i="42" s="1"/>
  <c r="L27" i="42"/>
  <c r="M228" i="42" s="1"/>
  <c r="F27" i="42"/>
  <c r="F228" i="42" s="1"/>
  <c r="K26" i="42"/>
  <c r="Q26" i="42" s="1"/>
  <c r="J26" i="42"/>
  <c r="P26" i="42" s="1"/>
  <c r="H24" i="42"/>
  <c r="N24" i="42" s="1"/>
  <c r="R22" i="42"/>
  <c r="T353" i="42" s="1"/>
  <c r="L22" i="42"/>
  <c r="M353" i="42" s="1"/>
  <c r="F22" i="42"/>
  <c r="F353" i="42" s="1"/>
  <c r="R21" i="42"/>
  <c r="T332" i="42" s="1"/>
  <c r="L21" i="42"/>
  <c r="M332" i="42" s="1"/>
  <c r="F21" i="42"/>
  <c r="F332" i="42" s="1"/>
  <c r="R20" i="42"/>
  <c r="T311" i="42" s="1"/>
  <c r="L20" i="42"/>
  <c r="M311" i="42" s="1"/>
  <c r="F20" i="42"/>
  <c r="F311" i="42" s="1"/>
  <c r="R19" i="42"/>
  <c r="T290" i="42" s="1"/>
  <c r="L19" i="42"/>
  <c r="M290" i="42" s="1"/>
  <c r="F19" i="42"/>
  <c r="F290" i="42" s="1"/>
  <c r="R18" i="42"/>
  <c r="T269" i="42" s="1"/>
  <c r="L18" i="42"/>
  <c r="M269" i="42" s="1"/>
  <c r="F18" i="42"/>
  <c r="F269" i="42" s="1"/>
  <c r="R17" i="42"/>
  <c r="T248" i="42" s="1"/>
  <c r="L17" i="42"/>
  <c r="M248" i="42" s="1"/>
  <c r="F17" i="42"/>
  <c r="F248" i="42" s="1"/>
  <c r="R16" i="42"/>
  <c r="T227" i="42" s="1"/>
  <c r="L16" i="42"/>
  <c r="M227" i="42" s="1"/>
  <c r="F16" i="42"/>
  <c r="F227" i="42" s="1"/>
  <c r="K15" i="42"/>
  <c r="Q15" i="42" s="1"/>
  <c r="J15" i="42"/>
  <c r="P15" i="42" s="1"/>
  <c r="H13" i="42"/>
  <c r="N13" i="42" s="1"/>
  <c r="R11" i="42"/>
  <c r="T352" i="42" s="1"/>
  <c r="L11" i="42"/>
  <c r="M352" i="42" s="1"/>
  <c r="F11" i="42"/>
  <c r="F352" i="42" s="1"/>
  <c r="R10" i="42"/>
  <c r="T331" i="42" s="1"/>
  <c r="L10" i="42"/>
  <c r="M331" i="42" s="1"/>
  <c r="F10" i="42"/>
  <c r="F331" i="42" s="1"/>
  <c r="R9" i="42"/>
  <c r="T310" i="42" s="1"/>
  <c r="L9" i="42"/>
  <c r="F9" i="42"/>
  <c r="F310" i="42" s="1"/>
  <c r="R8" i="42"/>
  <c r="T289" i="42" s="1"/>
  <c r="L8" i="42"/>
  <c r="M289" i="42" s="1"/>
  <c r="F8" i="42"/>
  <c r="F289" i="42" s="1"/>
  <c r="R7" i="42"/>
  <c r="T268" i="42" s="1"/>
  <c r="L7" i="42"/>
  <c r="M268" i="42" s="1"/>
  <c r="F7" i="42"/>
  <c r="F268" i="42" s="1"/>
  <c r="R6" i="42"/>
  <c r="T247" i="42" s="1"/>
  <c r="L6" i="42"/>
  <c r="M247" i="42" s="1"/>
  <c r="F6" i="42"/>
  <c r="F247" i="42" s="1"/>
  <c r="R5" i="42"/>
  <c r="T226" i="42" s="1"/>
  <c r="L5" i="42"/>
  <c r="M226" i="42" s="1"/>
  <c r="F5" i="42"/>
  <c r="F226" i="42" s="1"/>
  <c r="K4" i="42"/>
  <c r="Q4" i="42" s="1"/>
  <c r="J4" i="42"/>
  <c r="P4" i="42" s="1"/>
  <c r="H2" i="42"/>
  <c r="N2" i="42" s="1"/>
  <c r="F285" i="42" l="1"/>
  <c r="F302" i="42"/>
  <c r="A413" i="42"/>
  <c r="A373" i="42" s="1"/>
  <c r="B373" i="42"/>
  <c r="M281" i="42"/>
  <c r="M310" i="42"/>
  <c r="C375" i="42" l="1"/>
  <c r="H375" i="42" s="1"/>
  <c r="M375" i="42" s="1"/>
  <c r="B375" i="42"/>
  <c r="G375" i="42" s="1"/>
  <c r="L375" i="42" s="1"/>
  <c r="G373" i="42"/>
  <c r="D382" i="42"/>
  <c r="A381" i="42"/>
  <c r="A380" i="42"/>
  <c r="A379" i="42"/>
  <c r="A378" i="42"/>
  <c r="A377" i="42"/>
  <c r="A376" i="42"/>
  <c r="P373" i="42"/>
  <c r="F373" i="42"/>
  <c r="C382" i="42"/>
  <c r="D381" i="42"/>
  <c r="D380" i="42"/>
  <c r="D379" i="42"/>
  <c r="D378" i="42"/>
  <c r="D377" i="42"/>
  <c r="D376" i="42"/>
  <c r="B382" i="42"/>
  <c r="C381" i="42"/>
  <c r="C380" i="42"/>
  <c r="C379" i="42"/>
  <c r="C378" i="42"/>
  <c r="C377" i="42"/>
  <c r="C376" i="42"/>
  <c r="A382" i="42"/>
  <c r="B380" i="42"/>
  <c r="B378" i="42"/>
  <c r="B381" i="42"/>
  <c r="B376" i="42"/>
  <c r="B379" i="42"/>
  <c r="B377" i="42"/>
  <c r="T379" i="42" l="1"/>
  <c r="N395" i="42" s="1"/>
  <c r="T378" i="42"/>
  <c r="T377" i="42"/>
  <c r="L373" i="42"/>
  <c r="Q373" i="42"/>
  <c r="D387" i="42"/>
  <c r="D385" i="42"/>
  <c r="B387" i="42"/>
  <c r="B385" i="42"/>
  <c r="I382" i="42"/>
  <c r="F381" i="42"/>
  <c r="F380" i="42"/>
  <c r="F379" i="42"/>
  <c r="F378" i="42"/>
  <c r="F377" i="42"/>
  <c r="F376" i="42"/>
  <c r="H382" i="42"/>
  <c r="I381" i="42"/>
  <c r="I380" i="42"/>
  <c r="I379" i="42"/>
  <c r="I378" i="42"/>
  <c r="I377" i="42"/>
  <c r="I376" i="42"/>
  <c r="G382" i="42"/>
  <c r="H381" i="42"/>
  <c r="H380" i="42"/>
  <c r="H379" i="42"/>
  <c r="H378" i="42"/>
  <c r="H377" i="42"/>
  <c r="H376" i="42"/>
  <c r="K373" i="42"/>
  <c r="G380" i="42"/>
  <c r="G378" i="42"/>
  <c r="G381" i="42"/>
  <c r="G376" i="42"/>
  <c r="F382" i="42"/>
  <c r="G379" i="42"/>
  <c r="G377" i="42"/>
  <c r="N393" i="42" l="1"/>
  <c r="E14" i="29"/>
  <c r="N394" i="42"/>
  <c r="E15" i="29"/>
  <c r="C386" i="42"/>
  <c r="R377" i="42" s="1"/>
  <c r="D14" i="29" s="1"/>
  <c r="N382" i="42"/>
  <c r="K381" i="42"/>
  <c r="K380" i="42"/>
  <c r="K379" i="42"/>
  <c r="K378" i="42"/>
  <c r="K377" i="42"/>
  <c r="K376" i="42"/>
  <c r="M382" i="42"/>
  <c r="N381" i="42"/>
  <c r="N380" i="42"/>
  <c r="N379" i="42"/>
  <c r="N378" i="42"/>
  <c r="N377" i="42"/>
  <c r="N376" i="42"/>
  <c r="L382" i="42"/>
  <c r="M381" i="42"/>
  <c r="M380" i="42"/>
  <c r="M379" i="42"/>
  <c r="M378" i="42"/>
  <c r="M377" i="42"/>
  <c r="M376" i="42"/>
  <c r="L381" i="42"/>
  <c r="L376" i="42"/>
  <c r="K382" i="42"/>
  <c r="L379" i="42"/>
  <c r="L377" i="42"/>
  <c r="L380" i="42"/>
  <c r="L378" i="42"/>
  <c r="G387" i="42"/>
  <c r="G385" i="42"/>
  <c r="I387" i="42"/>
  <c r="I385" i="42"/>
  <c r="M393" i="42" l="1"/>
  <c r="Q381" i="42" s="1"/>
  <c r="H14" i="13"/>
  <c r="H386" i="42"/>
  <c r="R378" i="42" s="1"/>
  <c r="D15" i="29" s="1"/>
  <c r="L385" i="42"/>
  <c r="N387" i="42"/>
  <c r="N385" i="42"/>
  <c r="L387" i="42"/>
  <c r="M394" i="42" l="1"/>
  <c r="Q382" i="42" s="1"/>
  <c r="H15" i="13"/>
  <c r="M386" i="42"/>
  <c r="R379" i="42" s="1"/>
  <c r="M395" i="42" s="1"/>
  <c r="Q383" i="42" s="1"/>
  <c r="U234" i="34" l="1"/>
  <c r="M234" i="34"/>
  <c r="E234" i="34"/>
  <c r="U233" i="34"/>
  <c r="M233" i="34"/>
  <c r="E233" i="34"/>
  <c r="U232" i="34"/>
  <c r="M232" i="34"/>
  <c r="E232" i="34"/>
  <c r="U231" i="34"/>
  <c r="M231" i="34"/>
  <c r="E231" i="34"/>
  <c r="U230" i="34"/>
  <c r="M230" i="34"/>
  <c r="E230" i="34"/>
  <c r="U227" i="34"/>
  <c r="M227" i="34"/>
  <c r="E227" i="34"/>
  <c r="U224" i="34"/>
  <c r="M224" i="34"/>
  <c r="E224" i="34"/>
  <c r="U223" i="34"/>
  <c r="M223" i="34"/>
  <c r="E223" i="34"/>
  <c r="U220" i="34"/>
  <c r="M220" i="34"/>
  <c r="E220" i="34"/>
  <c r="U219" i="34"/>
  <c r="M219" i="34"/>
  <c r="E219" i="34"/>
  <c r="U218" i="34"/>
  <c r="M218" i="34"/>
  <c r="E218" i="34"/>
  <c r="T217" i="34"/>
  <c r="T222" i="34" s="1"/>
  <c r="T226" i="34" s="1"/>
  <c r="T229" i="34" s="1"/>
  <c r="S217" i="34"/>
  <c r="S222" i="34" s="1"/>
  <c r="S226" i="34" s="1"/>
  <c r="S229" i="34" s="1"/>
  <c r="R217" i="34"/>
  <c r="R222" i="34" s="1"/>
  <c r="R226" i="34" s="1"/>
  <c r="R229" i="34" s="1"/>
  <c r="L217" i="34"/>
  <c r="L222" i="34" s="1"/>
  <c r="L226" i="34" s="1"/>
  <c r="L229" i="34" s="1"/>
  <c r="K217" i="34"/>
  <c r="K222" i="34" s="1"/>
  <c r="K226" i="34" s="1"/>
  <c r="K229" i="34" s="1"/>
  <c r="J217" i="34"/>
  <c r="J222" i="34" s="1"/>
  <c r="J226" i="34" s="1"/>
  <c r="J229" i="34" s="1"/>
  <c r="D217" i="34"/>
  <c r="D222" i="34" s="1"/>
  <c r="D226" i="34" s="1"/>
  <c r="D229" i="34" s="1"/>
  <c r="C217" i="34"/>
  <c r="C222" i="34" s="1"/>
  <c r="C226" i="34" s="1"/>
  <c r="C229" i="34" s="1"/>
  <c r="B217" i="34"/>
  <c r="B222" i="34" s="1"/>
  <c r="B226" i="34" s="1"/>
  <c r="B229" i="34" s="1"/>
  <c r="U215" i="34"/>
  <c r="M215" i="34"/>
  <c r="E215" i="34"/>
  <c r="U214" i="34"/>
  <c r="M214" i="34"/>
  <c r="E214" i="34"/>
  <c r="U213" i="34"/>
  <c r="M213" i="34"/>
  <c r="E213" i="34"/>
  <c r="U212" i="34"/>
  <c r="M212" i="34"/>
  <c r="E212" i="34"/>
  <c r="U205" i="34"/>
  <c r="M205" i="34"/>
  <c r="E205" i="34"/>
  <c r="U204" i="34"/>
  <c r="M204" i="34"/>
  <c r="E204" i="34"/>
  <c r="U203" i="34"/>
  <c r="M203" i="34"/>
  <c r="E203" i="34"/>
  <c r="U202" i="34"/>
  <c r="M202" i="34"/>
  <c r="E202" i="34"/>
  <c r="U201" i="34"/>
  <c r="M201" i="34"/>
  <c r="E201" i="34"/>
  <c r="U198" i="34"/>
  <c r="M198" i="34"/>
  <c r="E198" i="34"/>
  <c r="U195" i="34"/>
  <c r="M195" i="34"/>
  <c r="E195" i="34"/>
  <c r="U194" i="34"/>
  <c r="M194" i="34"/>
  <c r="E194" i="34"/>
  <c r="U191" i="34"/>
  <c r="M191" i="34"/>
  <c r="E191" i="34"/>
  <c r="U190" i="34"/>
  <c r="M190" i="34"/>
  <c r="E190" i="34"/>
  <c r="U189" i="34"/>
  <c r="M189" i="34"/>
  <c r="E189" i="34"/>
  <c r="T188" i="34"/>
  <c r="T193" i="34" s="1"/>
  <c r="T197" i="34" s="1"/>
  <c r="T200" i="34" s="1"/>
  <c r="S188" i="34"/>
  <c r="S193" i="34" s="1"/>
  <c r="S197" i="34" s="1"/>
  <c r="S200" i="34" s="1"/>
  <c r="R188" i="34"/>
  <c r="R193" i="34" s="1"/>
  <c r="R197" i="34" s="1"/>
  <c r="R200" i="34" s="1"/>
  <c r="L188" i="34"/>
  <c r="L193" i="34" s="1"/>
  <c r="L197" i="34" s="1"/>
  <c r="L200" i="34" s="1"/>
  <c r="K188" i="34"/>
  <c r="K193" i="34" s="1"/>
  <c r="K197" i="34" s="1"/>
  <c r="K200" i="34" s="1"/>
  <c r="J188" i="34"/>
  <c r="J193" i="34" s="1"/>
  <c r="J197" i="34" s="1"/>
  <c r="J200" i="34" s="1"/>
  <c r="D188" i="34"/>
  <c r="D193" i="34" s="1"/>
  <c r="D197" i="34" s="1"/>
  <c r="D200" i="34" s="1"/>
  <c r="C188" i="34"/>
  <c r="C193" i="34" s="1"/>
  <c r="C197" i="34" s="1"/>
  <c r="C200" i="34" s="1"/>
  <c r="B188" i="34"/>
  <c r="B193" i="34" s="1"/>
  <c r="B197" i="34" s="1"/>
  <c r="B200" i="34" s="1"/>
  <c r="U186" i="34"/>
  <c r="M186" i="34"/>
  <c r="E186" i="34"/>
  <c r="U185" i="34"/>
  <c r="M185" i="34"/>
  <c r="E185" i="34"/>
  <c r="U184" i="34"/>
  <c r="M184" i="34"/>
  <c r="E184" i="34"/>
  <c r="U183" i="34"/>
  <c r="M183" i="34"/>
  <c r="E183" i="34"/>
  <c r="U176" i="34"/>
  <c r="M176" i="34"/>
  <c r="E176" i="34"/>
  <c r="U175" i="34"/>
  <c r="M175" i="34"/>
  <c r="E175" i="34"/>
  <c r="U174" i="34"/>
  <c r="M174" i="34"/>
  <c r="E174" i="34"/>
  <c r="U173" i="34"/>
  <c r="M173" i="34"/>
  <c r="E173" i="34"/>
  <c r="U172" i="34"/>
  <c r="M172" i="34"/>
  <c r="E172" i="34"/>
  <c r="U169" i="34"/>
  <c r="M169" i="34"/>
  <c r="E169" i="34"/>
  <c r="U166" i="34"/>
  <c r="M166" i="34"/>
  <c r="E166" i="34"/>
  <c r="U165" i="34"/>
  <c r="M165" i="34"/>
  <c r="E165" i="34"/>
  <c r="U162" i="34"/>
  <c r="M162" i="34"/>
  <c r="E162" i="34"/>
  <c r="U161" i="34"/>
  <c r="M161" i="34"/>
  <c r="E161" i="34"/>
  <c r="U160" i="34"/>
  <c r="M160" i="34"/>
  <c r="E160" i="34"/>
  <c r="S159" i="34"/>
  <c r="S164" i="34" s="1"/>
  <c r="S168" i="34" s="1"/>
  <c r="S171" i="34" s="1"/>
  <c r="R159" i="34"/>
  <c r="R164" i="34" s="1"/>
  <c r="R168" i="34" s="1"/>
  <c r="R171" i="34" s="1"/>
  <c r="K159" i="34"/>
  <c r="K164" i="34" s="1"/>
  <c r="K168" i="34" s="1"/>
  <c r="K171" i="34" s="1"/>
  <c r="J159" i="34"/>
  <c r="J164" i="34" s="1"/>
  <c r="J168" i="34" s="1"/>
  <c r="J171" i="34" s="1"/>
  <c r="C159" i="34"/>
  <c r="C164" i="34" s="1"/>
  <c r="C168" i="34" s="1"/>
  <c r="C171" i="34" s="1"/>
  <c r="B159" i="34"/>
  <c r="B164" i="34" s="1"/>
  <c r="B168" i="34" s="1"/>
  <c r="B171" i="34" s="1"/>
  <c r="U157" i="34"/>
  <c r="M157" i="34"/>
  <c r="E157" i="34"/>
  <c r="U156" i="34"/>
  <c r="M156" i="34"/>
  <c r="E156" i="34"/>
  <c r="U155" i="34"/>
  <c r="M155" i="34"/>
  <c r="E155" i="34"/>
  <c r="U154" i="34"/>
  <c r="M154" i="34"/>
  <c r="E154" i="34"/>
  <c r="U147" i="34"/>
  <c r="M147" i="34"/>
  <c r="E147" i="34"/>
  <c r="U146" i="34"/>
  <c r="M146" i="34"/>
  <c r="E146" i="34"/>
  <c r="U145" i="34"/>
  <c r="M145" i="34"/>
  <c r="E145" i="34"/>
  <c r="U144" i="34"/>
  <c r="M144" i="34"/>
  <c r="E144" i="34"/>
  <c r="U143" i="34"/>
  <c r="M143" i="34"/>
  <c r="E143" i="34"/>
  <c r="U140" i="34"/>
  <c r="M140" i="34"/>
  <c r="E140" i="34"/>
  <c r="U137" i="34"/>
  <c r="M137" i="34"/>
  <c r="E137" i="34"/>
  <c r="U136" i="34"/>
  <c r="M136" i="34"/>
  <c r="E136" i="34"/>
  <c r="U133" i="34"/>
  <c r="M133" i="34"/>
  <c r="E133" i="34"/>
  <c r="U132" i="34"/>
  <c r="M132" i="34"/>
  <c r="E132" i="34"/>
  <c r="U131" i="34"/>
  <c r="M131" i="34"/>
  <c r="E131" i="34"/>
  <c r="S130" i="34"/>
  <c r="S135" i="34" s="1"/>
  <c r="S139" i="34" s="1"/>
  <c r="S142" i="34" s="1"/>
  <c r="R130" i="34"/>
  <c r="R135" i="34" s="1"/>
  <c r="R139" i="34" s="1"/>
  <c r="R142" i="34" s="1"/>
  <c r="K130" i="34"/>
  <c r="K135" i="34" s="1"/>
  <c r="K139" i="34" s="1"/>
  <c r="K142" i="34" s="1"/>
  <c r="J130" i="34"/>
  <c r="J135" i="34" s="1"/>
  <c r="J139" i="34" s="1"/>
  <c r="J142" i="34" s="1"/>
  <c r="C130" i="34"/>
  <c r="C135" i="34" s="1"/>
  <c r="C139" i="34" s="1"/>
  <c r="C142" i="34" s="1"/>
  <c r="B130" i="34"/>
  <c r="B135" i="34" s="1"/>
  <c r="B139" i="34" s="1"/>
  <c r="B142" i="34" s="1"/>
  <c r="U128" i="34"/>
  <c r="M128" i="34"/>
  <c r="E128" i="34"/>
  <c r="U127" i="34"/>
  <c r="M127" i="34"/>
  <c r="E127" i="34"/>
  <c r="U126" i="34"/>
  <c r="M126" i="34"/>
  <c r="E126" i="34"/>
  <c r="U125" i="34"/>
  <c r="M125" i="34"/>
  <c r="E125" i="34"/>
  <c r="U118" i="34"/>
  <c r="M118" i="34"/>
  <c r="E118" i="34"/>
  <c r="U117" i="34"/>
  <c r="M117" i="34"/>
  <c r="E117" i="34"/>
  <c r="U116" i="34"/>
  <c r="M116" i="34"/>
  <c r="E116" i="34"/>
  <c r="U115" i="34"/>
  <c r="M115" i="34"/>
  <c r="E115" i="34"/>
  <c r="U114" i="34"/>
  <c r="M114" i="34"/>
  <c r="E114" i="34"/>
  <c r="U111" i="34"/>
  <c r="M111" i="34"/>
  <c r="E111" i="34"/>
  <c r="U108" i="34"/>
  <c r="M108" i="34"/>
  <c r="E108" i="34"/>
  <c r="U107" i="34"/>
  <c r="M107" i="34"/>
  <c r="E107" i="34"/>
  <c r="U104" i="34"/>
  <c r="M104" i="34"/>
  <c r="E104" i="34"/>
  <c r="U103" i="34"/>
  <c r="M103" i="34"/>
  <c r="E103" i="34"/>
  <c r="U102" i="34"/>
  <c r="M102" i="34"/>
  <c r="E102" i="34"/>
  <c r="S101" i="34"/>
  <c r="S106" i="34" s="1"/>
  <c r="S110" i="34" s="1"/>
  <c r="S113" i="34" s="1"/>
  <c r="R101" i="34"/>
  <c r="R106" i="34" s="1"/>
  <c r="R110" i="34" s="1"/>
  <c r="R113" i="34" s="1"/>
  <c r="K101" i="34"/>
  <c r="K106" i="34" s="1"/>
  <c r="K110" i="34" s="1"/>
  <c r="K113" i="34" s="1"/>
  <c r="J101" i="34"/>
  <c r="J106" i="34" s="1"/>
  <c r="J110" i="34" s="1"/>
  <c r="J113" i="34" s="1"/>
  <c r="C101" i="34"/>
  <c r="C106" i="34" s="1"/>
  <c r="C110" i="34" s="1"/>
  <c r="C113" i="34" s="1"/>
  <c r="B101" i="34"/>
  <c r="B106" i="34" s="1"/>
  <c r="B110" i="34" s="1"/>
  <c r="B113" i="34" s="1"/>
  <c r="U99" i="34"/>
  <c r="M99" i="34"/>
  <c r="E99" i="34"/>
  <c r="U98" i="34"/>
  <c r="M98" i="34"/>
  <c r="E98" i="34"/>
  <c r="U97" i="34"/>
  <c r="M97" i="34"/>
  <c r="E97" i="34"/>
  <c r="U96" i="34"/>
  <c r="M96" i="34"/>
  <c r="E96" i="34"/>
  <c r="U89" i="34"/>
  <c r="M89" i="34"/>
  <c r="E89" i="34"/>
  <c r="U88" i="34"/>
  <c r="M88" i="34"/>
  <c r="E88" i="34"/>
  <c r="U87" i="34"/>
  <c r="M87" i="34"/>
  <c r="E87" i="34"/>
  <c r="U86" i="34"/>
  <c r="M86" i="34"/>
  <c r="E86" i="34"/>
  <c r="U85" i="34"/>
  <c r="M85" i="34"/>
  <c r="E85" i="34"/>
  <c r="U82" i="34"/>
  <c r="M82" i="34"/>
  <c r="E82" i="34"/>
  <c r="U79" i="34"/>
  <c r="M79" i="34"/>
  <c r="E79" i="34"/>
  <c r="U78" i="34"/>
  <c r="M78" i="34"/>
  <c r="E78" i="34"/>
  <c r="U75" i="34"/>
  <c r="M75" i="34"/>
  <c r="E75" i="34"/>
  <c r="U74" i="34"/>
  <c r="M74" i="34"/>
  <c r="E74" i="34"/>
  <c r="U73" i="34"/>
  <c r="M73" i="34"/>
  <c r="E73" i="34"/>
  <c r="S72" i="34"/>
  <c r="S77" i="34" s="1"/>
  <c r="S81" i="34" s="1"/>
  <c r="S84" i="34" s="1"/>
  <c r="R72" i="34"/>
  <c r="R77" i="34" s="1"/>
  <c r="R81" i="34" s="1"/>
  <c r="R84" i="34" s="1"/>
  <c r="L72" i="34"/>
  <c r="L77" i="34" s="1"/>
  <c r="L81" i="34" s="1"/>
  <c r="L84" i="34" s="1"/>
  <c r="K72" i="34"/>
  <c r="K77" i="34" s="1"/>
  <c r="K81" i="34" s="1"/>
  <c r="K84" i="34" s="1"/>
  <c r="J72" i="34"/>
  <c r="J77" i="34" s="1"/>
  <c r="J81" i="34" s="1"/>
  <c r="J84" i="34" s="1"/>
  <c r="D72" i="34"/>
  <c r="D77" i="34" s="1"/>
  <c r="D81" i="34" s="1"/>
  <c r="D84" i="34" s="1"/>
  <c r="C72" i="34"/>
  <c r="C77" i="34" s="1"/>
  <c r="C81" i="34" s="1"/>
  <c r="C84" i="34" s="1"/>
  <c r="B72" i="34"/>
  <c r="B77" i="34" s="1"/>
  <c r="B81" i="34" s="1"/>
  <c r="B84" i="34" s="1"/>
  <c r="U70" i="34"/>
  <c r="M70" i="34"/>
  <c r="E70" i="34"/>
  <c r="U69" i="34"/>
  <c r="M69" i="34"/>
  <c r="E69" i="34"/>
  <c r="U68" i="34"/>
  <c r="M68" i="34"/>
  <c r="E68" i="34"/>
  <c r="U67" i="34"/>
  <c r="M67" i="34"/>
  <c r="E67" i="34"/>
  <c r="U60" i="34"/>
  <c r="M60" i="34"/>
  <c r="E60" i="34"/>
  <c r="U59" i="34"/>
  <c r="M59" i="34"/>
  <c r="E59" i="34"/>
  <c r="U58" i="34"/>
  <c r="M58" i="34"/>
  <c r="E58" i="34"/>
  <c r="U57" i="34"/>
  <c r="M57" i="34"/>
  <c r="E57" i="34"/>
  <c r="U56" i="34"/>
  <c r="M56" i="34"/>
  <c r="E56" i="34"/>
  <c r="U53" i="34"/>
  <c r="M53" i="34"/>
  <c r="E53" i="34"/>
  <c r="U50" i="34"/>
  <c r="M50" i="34"/>
  <c r="E50" i="34"/>
  <c r="U49" i="34"/>
  <c r="M49" i="34"/>
  <c r="E49" i="34"/>
  <c r="U46" i="34"/>
  <c r="M46" i="34"/>
  <c r="E46" i="34"/>
  <c r="U45" i="34"/>
  <c r="M45" i="34"/>
  <c r="E45" i="34"/>
  <c r="U44" i="34"/>
  <c r="M44" i="34"/>
  <c r="E44" i="34"/>
  <c r="S43" i="34"/>
  <c r="S48" i="34" s="1"/>
  <c r="S52" i="34" s="1"/>
  <c r="S55" i="34" s="1"/>
  <c r="R43" i="34"/>
  <c r="R48" i="34" s="1"/>
  <c r="R52" i="34" s="1"/>
  <c r="R55" i="34" s="1"/>
  <c r="K43" i="34"/>
  <c r="K48" i="34" s="1"/>
  <c r="K52" i="34" s="1"/>
  <c r="K55" i="34" s="1"/>
  <c r="J43" i="34"/>
  <c r="J48" i="34" s="1"/>
  <c r="J52" i="34" s="1"/>
  <c r="J55" i="34" s="1"/>
  <c r="C43" i="34"/>
  <c r="C48" i="34" s="1"/>
  <c r="C52" i="34" s="1"/>
  <c r="C55" i="34" s="1"/>
  <c r="B43" i="34"/>
  <c r="B48" i="34" s="1"/>
  <c r="B52" i="34" s="1"/>
  <c r="B55" i="34" s="1"/>
  <c r="U41" i="34"/>
  <c r="M41" i="34"/>
  <c r="E41" i="34"/>
  <c r="U40" i="34"/>
  <c r="M40" i="34"/>
  <c r="E40" i="34"/>
  <c r="U39" i="34"/>
  <c r="M39" i="34"/>
  <c r="E39" i="34"/>
  <c r="U38" i="34"/>
  <c r="M38" i="34"/>
  <c r="E38" i="34"/>
  <c r="U31" i="34"/>
  <c r="M31" i="34"/>
  <c r="E31" i="34"/>
  <c r="U30" i="34"/>
  <c r="M30" i="34"/>
  <c r="E30" i="34"/>
  <c r="U29" i="34"/>
  <c r="M29" i="34"/>
  <c r="E29" i="34"/>
  <c r="U28" i="34"/>
  <c r="M28" i="34"/>
  <c r="E28" i="34"/>
  <c r="U27" i="34"/>
  <c r="M27" i="34"/>
  <c r="E27" i="34"/>
  <c r="U24" i="34"/>
  <c r="M24" i="34"/>
  <c r="E24" i="34"/>
  <c r="U21" i="34"/>
  <c r="M21" i="34"/>
  <c r="E21" i="34"/>
  <c r="U20" i="34"/>
  <c r="M20" i="34"/>
  <c r="E20" i="34"/>
  <c r="U17" i="34"/>
  <c r="M17" i="34"/>
  <c r="E17" i="34"/>
  <c r="U16" i="34"/>
  <c r="M16" i="34"/>
  <c r="E16" i="34"/>
  <c r="U15" i="34"/>
  <c r="M15" i="34"/>
  <c r="E15" i="34"/>
  <c r="T14" i="34"/>
  <c r="T19" i="34" s="1"/>
  <c r="T23" i="34" s="1"/>
  <c r="T26" i="34" s="1"/>
  <c r="S14" i="34"/>
  <c r="S19" i="34" s="1"/>
  <c r="S23" i="34" s="1"/>
  <c r="S26" i="34" s="1"/>
  <c r="R14" i="34"/>
  <c r="R19" i="34" s="1"/>
  <c r="R23" i="34" s="1"/>
  <c r="R26" i="34" s="1"/>
  <c r="K14" i="34"/>
  <c r="K19" i="34" s="1"/>
  <c r="K23" i="34" s="1"/>
  <c r="K26" i="34" s="1"/>
  <c r="J14" i="34"/>
  <c r="J19" i="34" s="1"/>
  <c r="J23" i="34" s="1"/>
  <c r="J26" i="34" s="1"/>
  <c r="C14" i="34"/>
  <c r="C19" i="34" s="1"/>
  <c r="C23" i="34" s="1"/>
  <c r="B14" i="34"/>
  <c r="B19" i="34" s="1"/>
  <c r="B23" i="34" s="1"/>
  <c r="U12" i="34"/>
  <c r="M12" i="34"/>
  <c r="E12" i="34"/>
  <c r="U11" i="34"/>
  <c r="M11" i="34"/>
  <c r="E11" i="34"/>
  <c r="U10" i="34"/>
  <c r="M10" i="34"/>
  <c r="E10" i="34"/>
  <c r="U9" i="34"/>
  <c r="M9" i="34"/>
  <c r="E9" i="34"/>
  <c r="D7" i="4" l="1"/>
  <c r="D7" i="29" s="1"/>
  <c r="A7" i="13"/>
  <c r="A7" i="4" s="1"/>
  <c r="A7" i="29" s="1"/>
  <c r="B75" i="4" l="1"/>
  <c r="B76" i="4"/>
  <c r="B77" i="4"/>
  <c r="C69" i="29" s="1"/>
  <c r="B74" i="4"/>
  <c r="A225" i="40" l="1"/>
  <c r="B200" i="40" s="1"/>
  <c r="B222" i="40"/>
  <c r="L241" i="40"/>
  <c r="K241" i="40"/>
  <c r="J241" i="40"/>
  <c r="L240" i="40"/>
  <c r="K240" i="40"/>
  <c r="J240" i="40"/>
  <c r="L239" i="40"/>
  <c r="K239" i="40"/>
  <c r="J239" i="40"/>
  <c r="L238" i="40"/>
  <c r="K238" i="40"/>
  <c r="J238" i="40"/>
  <c r="L237" i="40"/>
  <c r="K237" i="40"/>
  <c r="J237" i="40"/>
  <c r="L236" i="40"/>
  <c r="K236" i="40"/>
  <c r="J236" i="40"/>
  <c r="L235" i="40"/>
  <c r="K235" i="40"/>
  <c r="J235" i="40"/>
  <c r="L234" i="40"/>
  <c r="K234" i="40"/>
  <c r="J234" i="40"/>
  <c r="L233" i="40"/>
  <c r="K233" i="40"/>
  <c r="J233" i="40"/>
  <c r="L232" i="40"/>
  <c r="K232" i="40"/>
  <c r="J232" i="40"/>
  <c r="L231" i="40"/>
  <c r="K231" i="40"/>
  <c r="J231" i="40"/>
  <c r="L230" i="40"/>
  <c r="K230" i="40"/>
  <c r="J230" i="40"/>
  <c r="L229" i="40"/>
  <c r="K229" i="40"/>
  <c r="J229" i="40"/>
  <c r="L228" i="40"/>
  <c r="K228" i="40"/>
  <c r="J228" i="40"/>
  <c r="L227" i="40"/>
  <c r="K227" i="40"/>
  <c r="J227" i="40"/>
  <c r="L226" i="40"/>
  <c r="K226" i="40"/>
  <c r="J226" i="40"/>
  <c r="K222" i="40"/>
  <c r="E222" i="40"/>
  <c r="H197" i="40"/>
  <c r="F197" i="40"/>
  <c r="E197" i="40"/>
  <c r="D197" i="40"/>
  <c r="C197" i="40"/>
  <c r="H196" i="40"/>
  <c r="F196" i="40"/>
  <c r="E196" i="40"/>
  <c r="D196" i="40"/>
  <c r="C196" i="40"/>
  <c r="H195" i="40"/>
  <c r="F195" i="40"/>
  <c r="E195" i="40"/>
  <c r="D195" i="40"/>
  <c r="C195" i="40"/>
  <c r="H194" i="40"/>
  <c r="F194" i="40"/>
  <c r="E194" i="40"/>
  <c r="D194" i="40"/>
  <c r="C194" i="40"/>
  <c r="H193" i="40"/>
  <c r="F193" i="40"/>
  <c r="E193" i="40"/>
  <c r="D193" i="40"/>
  <c r="C193" i="40"/>
  <c r="H192" i="40"/>
  <c r="F192" i="40"/>
  <c r="E192" i="40"/>
  <c r="D192" i="40"/>
  <c r="C192" i="40"/>
  <c r="H191" i="40"/>
  <c r="F191" i="40"/>
  <c r="E191" i="40"/>
  <c r="D191" i="40"/>
  <c r="C191" i="40"/>
  <c r="H190" i="40"/>
  <c r="F190" i="40"/>
  <c r="E190" i="40"/>
  <c r="D190" i="40"/>
  <c r="C190" i="40"/>
  <c r="H189" i="40"/>
  <c r="F189" i="40"/>
  <c r="E189" i="40"/>
  <c r="D189" i="40"/>
  <c r="C189" i="40"/>
  <c r="H188" i="40"/>
  <c r="F188" i="40"/>
  <c r="E188" i="40"/>
  <c r="D188" i="40"/>
  <c r="C188" i="40"/>
  <c r="H187" i="40"/>
  <c r="F187" i="40"/>
  <c r="E187" i="40"/>
  <c r="D187" i="40"/>
  <c r="C187" i="40"/>
  <c r="H186" i="40"/>
  <c r="F186" i="40"/>
  <c r="E186" i="40"/>
  <c r="D186" i="40"/>
  <c r="C186" i="40"/>
  <c r="H185" i="40"/>
  <c r="F185" i="40"/>
  <c r="E185" i="40"/>
  <c r="D185" i="40"/>
  <c r="C185" i="40"/>
  <c r="H184" i="40"/>
  <c r="F184" i="40"/>
  <c r="E184" i="40"/>
  <c r="D184" i="40"/>
  <c r="C184" i="40"/>
  <c r="H183" i="40"/>
  <c r="F183" i="40"/>
  <c r="E183" i="40"/>
  <c r="D183" i="40"/>
  <c r="C183" i="40"/>
  <c r="H182" i="40"/>
  <c r="F182" i="40"/>
  <c r="E182" i="40"/>
  <c r="D182" i="40"/>
  <c r="C182" i="40"/>
  <c r="R181" i="40"/>
  <c r="P181" i="40"/>
  <c r="O181" i="40"/>
  <c r="N181" i="40"/>
  <c r="M181" i="40"/>
  <c r="H181" i="40"/>
  <c r="F181" i="40"/>
  <c r="E181" i="40"/>
  <c r="D181" i="40"/>
  <c r="C181" i="40"/>
  <c r="R180" i="40"/>
  <c r="P180" i="40"/>
  <c r="O180" i="40"/>
  <c r="N180" i="40"/>
  <c r="M180" i="40"/>
  <c r="H180" i="40"/>
  <c r="F180" i="40"/>
  <c r="E180" i="40"/>
  <c r="D180" i="40"/>
  <c r="C180" i="40"/>
  <c r="R179" i="40"/>
  <c r="P179" i="40"/>
  <c r="O179" i="40"/>
  <c r="N179" i="40"/>
  <c r="M179" i="40"/>
  <c r="H179" i="40"/>
  <c r="F179" i="40"/>
  <c r="E179" i="40"/>
  <c r="D179" i="40"/>
  <c r="C179" i="40"/>
  <c r="R178" i="40"/>
  <c r="P178" i="40"/>
  <c r="O178" i="40"/>
  <c r="N178" i="40"/>
  <c r="M178" i="40"/>
  <c r="H178" i="40"/>
  <c r="F178" i="40"/>
  <c r="E178" i="40"/>
  <c r="D178" i="40"/>
  <c r="C178" i="40"/>
  <c r="R177" i="40"/>
  <c r="P177" i="40"/>
  <c r="O177" i="40"/>
  <c r="N177" i="40"/>
  <c r="M177" i="40"/>
  <c r="H177" i="40"/>
  <c r="F177" i="40"/>
  <c r="E177" i="40"/>
  <c r="D177" i="40"/>
  <c r="C177" i="40"/>
  <c r="R176" i="40"/>
  <c r="P176" i="40"/>
  <c r="O176" i="40"/>
  <c r="N176" i="40"/>
  <c r="M176" i="40"/>
  <c r="H176" i="40"/>
  <c r="F176" i="40"/>
  <c r="E176" i="40"/>
  <c r="D176" i="40"/>
  <c r="C176" i="40"/>
  <c r="R175" i="40"/>
  <c r="P175" i="40"/>
  <c r="O175" i="40"/>
  <c r="N175" i="40"/>
  <c r="M175" i="40"/>
  <c r="H175" i="40"/>
  <c r="F175" i="40"/>
  <c r="E175" i="40"/>
  <c r="D175" i="40"/>
  <c r="C175" i="40"/>
  <c r="R174" i="40"/>
  <c r="P174" i="40"/>
  <c r="O174" i="40"/>
  <c r="N174" i="40"/>
  <c r="M174" i="40"/>
  <c r="H174" i="40"/>
  <c r="F174" i="40"/>
  <c r="E174" i="40"/>
  <c r="D174" i="40"/>
  <c r="C174" i="40"/>
  <c r="R173" i="40"/>
  <c r="P173" i="40"/>
  <c r="O173" i="40"/>
  <c r="N173" i="40"/>
  <c r="M173" i="40"/>
  <c r="H173" i="40"/>
  <c r="F173" i="40"/>
  <c r="E173" i="40"/>
  <c r="D173" i="40"/>
  <c r="C173" i="40"/>
  <c r="R172" i="40"/>
  <c r="P172" i="40"/>
  <c r="O172" i="40"/>
  <c r="N172" i="40"/>
  <c r="M172" i="40"/>
  <c r="H172" i="40"/>
  <c r="F172" i="40"/>
  <c r="E172" i="40"/>
  <c r="D172" i="40"/>
  <c r="C172" i="40"/>
  <c r="R171" i="40"/>
  <c r="P171" i="40"/>
  <c r="O171" i="40"/>
  <c r="N171" i="40"/>
  <c r="M171" i="40"/>
  <c r="H171" i="40"/>
  <c r="F171" i="40"/>
  <c r="E171" i="40"/>
  <c r="D171" i="40"/>
  <c r="C171" i="40"/>
  <c r="R170" i="40"/>
  <c r="P170" i="40"/>
  <c r="O170" i="40"/>
  <c r="N170" i="40"/>
  <c r="M170" i="40"/>
  <c r="H170" i="40"/>
  <c r="F170" i="40"/>
  <c r="E170" i="40"/>
  <c r="D170" i="40"/>
  <c r="C170" i="40"/>
  <c r="R169" i="40"/>
  <c r="P169" i="40"/>
  <c r="O169" i="40"/>
  <c r="N169" i="40"/>
  <c r="M169" i="40"/>
  <c r="H169" i="40"/>
  <c r="F169" i="40"/>
  <c r="E169" i="40"/>
  <c r="D169" i="40"/>
  <c r="C169" i="40"/>
  <c r="R168" i="40"/>
  <c r="P168" i="40"/>
  <c r="O168" i="40"/>
  <c r="N168" i="40"/>
  <c r="M168" i="40"/>
  <c r="H168" i="40"/>
  <c r="F168" i="40"/>
  <c r="E168" i="40"/>
  <c r="D168" i="40"/>
  <c r="C168" i="40"/>
  <c r="R167" i="40"/>
  <c r="P167" i="40"/>
  <c r="O167" i="40"/>
  <c r="N167" i="40"/>
  <c r="M167" i="40"/>
  <c r="H167" i="40"/>
  <c r="F167" i="40"/>
  <c r="E167" i="40"/>
  <c r="D167" i="40"/>
  <c r="C167" i="40"/>
  <c r="R166" i="40"/>
  <c r="P166" i="40"/>
  <c r="O166" i="40"/>
  <c r="N166" i="40"/>
  <c r="M166" i="40"/>
  <c r="H166" i="40"/>
  <c r="F166" i="40"/>
  <c r="E166" i="40"/>
  <c r="D166" i="40"/>
  <c r="C166" i="40"/>
  <c r="R165" i="40"/>
  <c r="P165" i="40"/>
  <c r="O165" i="40"/>
  <c r="N165" i="40"/>
  <c r="M165" i="40"/>
  <c r="H165" i="40"/>
  <c r="F165" i="40"/>
  <c r="E165" i="40"/>
  <c r="D165" i="40"/>
  <c r="C165" i="40"/>
  <c r="R164" i="40"/>
  <c r="P164" i="40"/>
  <c r="O164" i="40"/>
  <c r="N164" i="40"/>
  <c r="M164" i="40"/>
  <c r="H164" i="40"/>
  <c r="F164" i="40"/>
  <c r="E164" i="40"/>
  <c r="D164" i="40"/>
  <c r="C164" i="40"/>
  <c r="R163" i="40"/>
  <c r="P163" i="40"/>
  <c r="O163" i="40"/>
  <c r="N163" i="40"/>
  <c r="M163" i="40"/>
  <c r="H163" i="40"/>
  <c r="F163" i="40"/>
  <c r="E163" i="40"/>
  <c r="D163" i="40"/>
  <c r="C163" i="40"/>
  <c r="R162" i="40"/>
  <c r="P162" i="40"/>
  <c r="O162" i="40"/>
  <c r="N162" i="40"/>
  <c r="M162" i="40"/>
  <c r="H162" i="40"/>
  <c r="F162" i="40"/>
  <c r="E162" i="40"/>
  <c r="D162" i="40"/>
  <c r="C162" i="40"/>
  <c r="R161" i="40"/>
  <c r="P161" i="40"/>
  <c r="O161" i="40"/>
  <c r="N161" i="40"/>
  <c r="M161" i="40"/>
  <c r="H161" i="40"/>
  <c r="F161" i="40"/>
  <c r="E161" i="40"/>
  <c r="D161" i="40"/>
  <c r="C161" i="40"/>
  <c r="R160" i="40"/>
  <c r="P160" i="40"/>
  <c r="O160" i="40"/>
  <c r="N160" i="40"/>
  <c r="M160" i="40"/>
  <c r="H160" i="40"/>
  <c r="F160" i="40"/>
  <c r="E160" i="40"/>
  <c r="D160" i="40"/>
  <c r="C160" i="40"/>
  <c r="R159" i="40"/>
  <c r="P159" i="40"/>
  <c r="O159" i="40"/>
  <c r="N159" i="40"/>
  <c r="M159" i="40"/>
  <c r="H159" i="40"/>
  <c r="F159" i="40"/>
  <c r="E159" i="40"/>
  <c r="D159" i="40"/>
  <c r="C159" i="40"/>
  <c r="R158" i="40"/>
  <c r="P158" i="40"/>
  <c r="O158" i="40"/>
  <c r="N158" i="40"/>
  <c r="M158" i="40"/>
  <c r="H158" i="40"/>
  <c r="F158" i="40"/>
  <c r="E158" i="40"/>
  <c r="D158" i="40"/>
  <c r="C158" i="40"/>
  <c r="R157" i="40"/>
  <c r="P157" i="40"/>
  <c r="O157" i="40"/>
  <c r="N157" i="40"/>
  <c r="M157" i="40"/>
  <c r="H157" i="40"/>
  <c r="F157" i="40"/>
  <c r="E157" i="40"/>
  <c r="D157" i="40"/>
  <c r="C157" i="40"/>
  <c r="R156" i="40"/>
  <c r="P156" i="40"/>
  <c r="O156" i="40"/>
  <c r="N156" i="40"/>
  <c r="M156" i="40"/>
  <c r="H156" i="40"/>
  <c r="F156" i="40"/>
  <c r="E156" i="40"/>
  <c r="D156" i="40"/>
  <c r="C156" i="40"/>
  <c r="R155" i="40"/>
  <c r="P155" i="40"/>
  <c r="O155" i="40"/>
  <c r="N155" i="40"/>
  <c r="M155" i="40"/>
  <c r="H155" i="40"/>
  <c r="F155" i="40"/>
  <c r="E155" i="40"/>
  <c r="D155" i="40"/>
  <c r="C155" i="40"/>
  <c r="R154" i="40"/>
  <c r="P154" i="40"/>
  <c r="O154" i="40"/>
  <c r="N154" i="40"/>
  <c r="M154" i="40"/>
  <c r="H154" i="40"/>
  <c r="F154" i="40"/>
  <c r="E154" i="40"/>
  <c r="D154" i="40"/>
  <c r="C154" i="40"/>
  <c r="R153" i="40"/>
  <c r="P153" i="40"/>
  <c r="O153" i="40"/>
  <c r="N153" i="40"/>
  <c r="M153" i="40"/>
  <c r="H153" i="40"/>
  <c r="F153" i="40"/>
  <c r="E153" i="40"/>
  <c r="D153" i="40"/>
  <c r="C153" i="40"/>
  <c r="R152" i="40"/>
  <c r="P152" i="40"/>
  <c r="O152" i="40"/>
  <c r="N152" i="40"/>
  <c r="M152" i="40"/>
  <c r="H152" i="40"/>
  <c r="F152" i="40"/>
  <c r="E152" i="40"/>
  <c r="D152" i="40"/>
  <c r="C152" i="40"/>
  <c r="R151" i="40"/>
  <c r="P151" i="40"/>
  <c r="O151" i="40"/>
  <c r="N151" i="40"/>
  <c r="M151" i="40"/>
  <c r="H151" i="40"/>
  <c r="F151" i="40"/>
  <c r="E151" i="40"/>
  <c r="D151" i="40"/>
  <c r="C151" i="40"/>
  <c r="R150" i="40"/>
  <c r="P150" i="40"/>
  <c r="O150" i="40"/>
  <c r="N150" i="40"/>
  <c r="M150" i="40"/>
  <c r="H150" i="40"/>
  <c r="F150" i="40"/>
  <c r="E150" i="40"/>
  <c r="D150" i="40"/>
  <c r="C150" i="40"/>
  <c r="R149" i="40"/>
  <c r="P149" i="40"/>
  <c r="O149" i="40"/>
  <c r="N149" i="40"/>
  <c r="M149" i="40"/>
  <c r="H149" i="40"/>
  <c r="F149" i="40"/>
  <c r="E149" i="40"/>
  <c r="D149" i="40"/>
  <c r="C149" i="40"/>
  <c r="R148" i="40"/>
  <c r="P148" i="40"/>
  <c r="O148" i="40"/>
  <c r="N148" i="40"/>
  <c r="M148" i="40"/>
  <c r="H148" i="40"/>
  <c r="F148" i="40"/>
  <c r="E148" i="40"/>
  <c r="D148" i="40"/>
  <c r="C148" i="40"/>
  <c r="R147" i="40"/>
  <c r="P147" i="40"/>
  <c r="O147" i="40"/>
  <c r="N147" i="40"/>
  <c r="M147" i="40"/>
  <c r="H147" i="40"/>
  <c r="F147" i="40"/>
  <c r="E147" i="40"/>
  <c r="D147" i="40"/>
  <c r="C147" i="40"/>
  <c r="R146" i="40"/>
  <c r="P146" i="40"/>
  <c r="O146" i="40"/>
  <c r="N146" i="40"/>
  <c r="M146" i="40"/>
  <c r="H146" i="40"/>
  <c r="F146" i="40"/>
  <c r="E146" i="40"/>
  <c r="D146" i="40"/>
  <c r="C146" i="40"/>
  <c r="R145" i="40"/>
  <c r="P145" i="40"/>
  <c r="O145" i="40"/>
  <c r="N145" i="40"/>
  <c r="M145" i="40"/>
  <c r="H145" i="40"/>
  <c r="F145" i="40"/>
  <c r="E145" i="40"/>
  <c r="D145" i="40"/>
  <c r="C145" i="40"/>
  <c r="R144" i="40"/>
  <c r="P144" i="40"/>
  <c r="O144" i="40"/>
  <c r="N144" i="40"/>
  <c r="M144" i="40"/>
  <c r="H144" i="40"/>
  <c r="F144" i="40"/>
  <c r="E144" i="40"/>
  <c r="D144" i="40"/>
  <c r="C144" i="40"/>
  <c r="R143" i="40"/>
  <c r="P143" i="40"/>
  <c r="O143" i="40"/>
  <c r="N143" i="40"/>
  <c r="M143" i="40"/>
  <c r="H143" i="40"/>
  <c r="F143" i="40"/>
  <c r="E143" i="40"/>
  <c r="D143" i="40"/>
  <c r="C143" i="40"/>
  <c r="R142" i="40"/>
  <c r="P142" i="40"/>
  <c r="O142" i="40"/>
  <c r="N142" i="40"/>
  <c r="M142" i="40"/>
  <c r="H142" i="40"/>
  <c r="F142" i="40"/>
  <c r="E142" i="40"/>
  <c r="D142" i="40"/>
  <c r="C142" i="40"/>
  <c r="R141" i="40"/>
  <c r="P141" i="40"/>
  <c r="O141" i="40"/>
  <c r="N141" i="40"/>
  <c r="M141" i="40"/>
  <c r="H141" i="40"/>
  <c r="F141" i="40"/>
  <c r="E141" i="40"/>
  <c r="D141" i="40"/>
  <c r="C141" i="40"/>
  <c r="R140" i="40"/>
  <c r="P140" i="40"/>
  <c r="O140" i="40"/>
  <c r="N140" i="40"/>
  <c r="M140" i="40"/>
  <c r="H140" i="40"/>
  <c r="F140" i="40"/>
  <c r="E140" i="40"/>
  <c r="D140" i="40"/>
  <c r="C140" i="40"/>
  <c r="R139" i="40"/>
  <c r="P139" i="40"/>
  <c r="O139" i="40"/>
  <c r="N139" i="40"/>
  <c r="M139" i="40"/>
  <c r="H139" i="40"/>
  <c r="F139" i="40"/>
  <c r="E139" i="40"/>
  <c r="D139" i="40"/>
  <c r="C139" i="40"/>
  <c r="R138" i="40"/>
  <c r="P138" i="40"/>
  <c r="O138" i="40"/>
  <c r="N138" i="40"/>
  <c r="M138" i="40"/>
  <c r="H138" i="40"/>
  <c r="F138" i="40"/>
  <c r="E138" i="40"/>
  <c r="D138" i="40"/>
  <c r="C138" i="40"/>
  <c r="R137" i="40"/>
  <c r="P137" i="40"/>
  <c r="O137" i="40"/>
  <c r="N137" i="40"/>
  <c r="M137" i="40"/>
  <c r="H137" i="40"/>
  <c r="F137" i="40"/>
  <c r="E137" i="40"/>
  <c r="D137" i="40"/>
  <c r="C137" i="40"/>
  <c r="R136" i="40"/>
  <c r="P136" i="40"/>
  <c r="O136" i="40"/>
  <c r="N136" i="40"/>
  <c r="M136" i="40"/>
  <c r="H136" i="40"/>
  <c r="F136" i="40"/>
  <c r="E136" i="40"/>
  <c r="D136" i="40"/>
  <c r="C136" i="40"/>
  <c r="R135" i="40"/>
  <c r="P135" i="40"/>
  <c r="O135" i="40"/>
  <c r="N135" i="40"/>
  <c r="M135" i="40"/>
  <c r="H135" i="40"/>
  <c r="F135" i="40"/>
  <c r="E135" i="40"/>
  <c r="D135" i="40"/>
  <c r="C135" i="40"/>
  <c r="R134" i="40"/>
  <c r="P134" i="40"/>
  <c r="O134" i="40"/>
  <c r="N134" i="40"/>
  <c r="M134" i="40"/>
  <c r="H134" i="40"/>
  <c r="F134" i="40"/>
  <c r="E134" i="40"/>
  <c r="D134" i="40"/>
  <c r="C134" i="40"/>
  <c r="R133" i="40"/>
  <c r="P133" i="40"/>
  <c r="O133" i="40"/>
  <c r="N133" i="40"/>
  <c r="M133" i="40"/>
  <c r="H133" i="40"/>
  <c r="F133" i="40"/>
  <c r="E133" i="40"/>
  <c r="D133" i="40"/>
  <c r="C133" i="40"/>
  <c r="R132" i="40"/>
  <c r="P132" i="40"/>
  <c r="O132" i="40"/>
  <c r="N132" i="40"/>
  <c r="M132" i="40"/>
  <c r="H132" i="40"/>
  <c r="F132" i="40"/>
  <c r="E132" i="40"/>
  <c r="D132" i="40"/>
  <c r="C132" i="40"/>
  <c r="R131" i="40"/>
  <c r="P131" i="40"/>
  <c r="O131" i="40"/>
  <c r="N131" i="40"/>
  <c r="M131" i="40"/>
  <c r="H131" i="40"/>
  <c r="F131" i="40"/>
  <c r="E131" i="40"/>
  <c r="D131" i="40"/>
  <c r="C131" i="40"/>
  <c r="R130" i="40"/>
  <c r="P130" i="40"/>
  <c r="O130" i="40"/>
  <c r="N130" i="40"/>
  <c r="M130" i="40"/>
  <c r="H130" i="40"/>
  <c r="F130" i="40"/>
  <c r="E130" i="40"/>
  <c r="D130" i="40"/>
  <c r="C130" i="40"/>
  <c r="R129" i="40"/>
  <c r="P129" i="40"/>
  <c r="O129" i="40"/>
  <c r="N129" i="40"/>
  <c r="M129" i="40"/>
  <c r="H129" i="40"/>
  <c r="F129" i="40"/>
  <c r="E129" i="40"/>
  <c r="D129" i="40"/>
  <c r="C129" i="40"/>
  <c r="R128" i="40"/>
  <c r="P128" i="40"/>
  <c r="O128" i="40"/>
  <c r="N128" i="40"/>
  <c r="M128" i="40"/>
  <c r="H128" i="40"/>
  <c r="F128" i="40"/>
  <c r="E128" i="40"/>
  <c r="D128" i="40"/>
  <c r="C128" i="40"/>
  <c r="R127" i="40"/>
  <c r="P127" i="40"/>
  <c r="O127" i="40"/>
  <c r="N127" i="40"/>
  <c r="M127" i="40"/>
  <c r="H127" i="40"/>
  <c r="F127" i="40"/>
  <c r="E127" i="40"/>
  <c r="D127" i="40"/>
  <c r="C127" i="40"/>
  <c r="R126" i="40"/>
  <c r="P126" i="40"/>
  <c r="O126" i="40"/>
  <c r="N126" i="40"/>
  <c r="M126" i="40"/>
  <c r="H126" i="40"/>
  <c r="F126" i="40"/>
  <c r="E126" i="40"/>
  <c r="D126" i="40"/>
  <c r="C126" i="40"/>
  <c r="R125" i="40"/>
  <c r="P125" i="40"/>
  <c r="O125" i="40"/>
  <c r="N125" i="40"/>
  <c r="M125" i="40"/>
  <c r="H125" i="40"/>
  <c r="F125" i="40"/>
  <c r="E125" i="40"/>
  <c r="D125" i="40"/>
  <c r="C125" i="40"/>
  <c r="R124" i="40"/>
  <c r="P124" i="40"/>
  <c r="O124" i="40"/>
  <c r="N124" i="40"/>
  <c r="M124" i="40"/>
  <c r="H124" i="40"/>
  <c r="F124" i="40"/>
  <c r="E124" i="40"/>
  <c r="D124" i="40"/>
  <c r="C124" i="40"/>
  <c r="R123" i="40"/>
  <c r="P123" i="40"/>
  <c r="O123" i="40"/>
  <c r="N123" i="40"/>
  <c r="M123" i="40"/>
  <c r="H123" i="40"/>
  <c r="F123" i="40"/>
  <c r="E123" i="40"/>
  <c r="D123" i="40"/>
  <c r="C123" i="40"/>
  <c r="R122" i="40"/>
  <c r="P122" i="40"/>
  <c r="O122" i="40"/>
  <c r="N122" i="40"/>
  <c r="M122" i="40"/>
  <c r="H122" i="40"/>
  <c r="F122" i="40"/>
  <c r="E122" i="40"/>
  <c r="D122" i="40"/>
  <c r="C122" i="40"/>
  <c r="R121" i="40"/>
  <c r="P121" i="40"/>
  <c r="O121" i="40"/>
  <c r="N121" i="40"/>
  <c r="M121" i="40"/>
  <c r="H121" i="40"/>
  <c r="F121" i="40"/>
  <c r="E121" i="40"/>
  <c r="D121" i="40"/>
  <c r="C121" i="40"/>
  <c r="R120" i="40"/>
  <c r="P120" i="40"/>
  <c r="O120" i="40"/>
  <c r="N120" i="40"/>
  <c r="M120" i="40"/>
  <c r="H120" i="40"/>
  <c r="F120" i="40"/>
  <c r="E120" i="40"/>
  <c r="D120" i="40"/>
  <c r="C120" i="40"/>
  <c r="R119" i="40"/>
  <c r="P119" i="40"/>
  <c r="O119" i="40"/>
  <c r="N119" i="40"/>
  <c r="M119" i="40"/>
  <c r="H119" i="40"/>
  <c r="F119" i="40"/>
  <c r="E119" i="40"/>
  <c r="D119" i="40"/>
  <c r="C119" i="40"/>
  <c r="R118" i="40"/>
  <c r="P118" i="40"/>
  <c r="O118" i="40"/>
  <c r="N118" i="40"/>
  <c r="M118" i="40"/>
  <c r="H118" i="40"/>
  <c r="F118" i="40"/>
  <c r="E118" i="40"/>
  <c r="D118" i="40"/>
  <c r="C118" i="40"/>
  <c r="R117" i="40"/>
  <c r="P117" i="40"/>
  <c r="O117" i="40"/>
  <c r="N117" i="40"/>
  <c r="M117" i="40"/>
  <c r="H117" i="40"/>
  <c r="F117" i="40"/>
  <c r="E117" i="40"/>
  <c r="D117" i="40"/>
  <c r="C117" i="40"/>
  <c r="R116" i="40"/>
  <c r="P116" i="40"/>
  <c r="O116" i="40"/>
  <c r="N116" i="40"/>
  <c r="M116" i="40"/>
  <c r="H116" i="40"/>
  <c r="F116" i="40"/>
  <c r="E116" i="40"/>
  <c r="D116" i="40"/>
  <c r="C116" i="40"/>
  <c r="R115" i="40"/>
  <c r="P115" i="40"/>
  <c r="O115" i="40"/>
  <c r="N115" i="40"/>
  <c r="M115" i="40"/>
  <c r="H115" i="40"/>
  <c r="F115" i="40"/>
  <c r="E115" i="40"/>
  <c r="D115" i="40"/>
  <c r="C115" i="40"/>
  <c r="R114" i="40"/>
  <c r="P114" i="40"/>
  <c r="O114" i="40"/>
  <c r="N114" i="40"/>
  <c r="M114" i="40"/>
  <c r="H114" i="40"/>
  <c r="F114" i="40"/>
  <c r="E114" i="40"/>
  <c r="D114" i="40"/>
  <c r="C114" i="40"/>
  <c r="R113" i="40"/>
  <c r="P113" i="40"/>
  <c r="O113" i="40"/>
  <c r="N113" i="40"/>
  <c r="M113" i="40"/>
  <c r="H113" i="40"/>
  <c r="F113" i="40"/>
  <c r="E113" i="40"/>
  <c r="D113" i="40"/>
  <c r="C113" i="40"/>
  <c r="R112" i="40"/>
  <c r="P112" i="40"/>
  <c r="O112" i="40"/>
  <c r="N112" i="40"/>
  <c r="M112" i="40"/>
  <c r="H112" i="40"/>
  <c r="F112" i="40"/>
  <c r="E112" i="40"/>
  <c r="D112" i="40"/>
  <c r="C112" i="40"/>
  <c r="R111" i="40"/>
  <c r="P111" i="40"/>
  <c r="O111" i="40"/>
  <c r="N111" i="40"/>
  <c r="M111" i="40"/>
  <c r="H111" i="40"/>
  <c r="F111" i="40"/>
  <c r="E111" i="40"/>
  <c r="D111" i="40"/>
  <c r="C111" i="40"/>
  <c r="R110" i="40"/>
  <c r="P110" i="40"/>
  <c r="O110" i="40"/>
  <c r="N110" i="40"/>
  <c r="M110" i="40"/>
  <c r="H110" i="40"/>
  <c r="F110" i="40"/>
  <c r="E110" i="40"/>
  <c r="D110" i="40"/>
  <c r="C110" i="40"/>
  <c r="R109" i="40"/>
  <c r="P109" i="40"/>
  <c r="O109" i="40"/>
  <c r="N109" i="40"/>
  <c r="M109" i="40"/>
  <c r="H109" i="40"/>
  <c r="F109" i="40"/>
  <c r="E109" i="40"/>
  <c r="D109" i="40"/>
  <c r="C109" i="40"/>
  <c r="R108" i="40"/>
  <c r="P108" i="40"/>
  <c r="O108" i="40"/>
  <c r="N108" i="40"/>
  <c r="M108" i="40"/>
  <c r="H108" i="40"/>
  <c r="F108" i="40"/>
  <c r="E108" i="40"/>
  <c r="D108" i="40"/>
  <c r="C108" i="40"/>
  <c r="R107" i="40"/>
  <c r="P107" i="40"/>
  <c r="O107" i="40"/>
  <c r="N107" i="40"/>
  <c r="M107" i="40"/>
  <c r="H107" i="40"/>
  <c r="F107" i="40"/>
  <c r="E107" i="40"/>
  <c r="D107" i="40"/>
  <c r="C107" i="40"/>
  <c r="R106" i="40"/>
  <c r="P106" i="40"/>
  <c r="O106" i="40"/>
  <c r="N106" i="40"/>
  <c r="M106" i="40"/>
  <c r="H106" i="40"/>
  <c r="F106" i="40"/>
  <c r="E106" i="40"/>
  <c r="D106" i="40"/>
  <c r="C106" i="40"/>
  <c r="R105" i="40"/>
  <c r="P105" i="40"/>
  <c r="O105" i="40"/>
  <c r="N105" i="40"/>
  <c r="M105" i="40"/>
  <c r="H105" i="40"/>
  <c r="F105" i="40"/>
  <c r="E105" i="40"/>
  <c r="D105" i="40"/>
  <c r="C105" i="40"/>
  <c r="R104" i="40"/>
  <c r="P104" i="40"/>
  <c r="O104" i="40"/>
  <c r="N104" i="40"/>
  <c r="M104" i="40"/>
  <c r="H104" i="40"/>
  <c r="F104" i="40"/>
  <c r="E104" i="40"/>
  <c r="D104" i="40"/>
  <c r="C104" i="40"/>
  <c r="R103" i="40"/>
  <c r="P103" i="40"/>
  <c r="O103" i="40"/>
  <c r="N103" i="40"/>
  <c r="M103" i="40"/>
  <c r="H103" i="40"/>
  <c r="F103" i="40"/>
  <c r="E103" i="40"/>
  <c r="D103" i="40"/>
  <c r="C103" i="40"/>
  <c r="R102" i="40"/>
  <c r="P102" i="40"/>
  <c r="O102" i="40"/>
  <c r="N102" i="40"/>
  <c r="M102" i="40"/>
  <c r="H102" i="40"/>
  <c r="F102" i="40"/>
  <c r="E102" i="40"/>
  <c r="D102" i="40"/>
  <c r="C102" i="40"/>
  <c r="K99" i="40"/>
  <c r="E92" i="40"/>
  <c r="Q181" i="40" s="1"/>
  <c r="E91" i="40"/>
  <c r="Q165" i="40" s="1"/>
  <c r="E90" i="40"/>
  <c r="Q149" i="40" s="1"/>
  <c r="E89" i="40"/>
  <c r="Q133" i="40" s="1"/>
  <c r="E88" i="40"/>
  <c r="Q117" i="40" s="1"/>
  <c r="E87" i="40"/>
  <c r="G197" i="40" s="1"/>
  <c r="E86" i="40"/>
  <c r="G181" i="40" s="1"/>
  <c r="E85" i="40"/>
  <c r="G165" i="40" s="1"/>
  <c r="E84" i="40"/>
  <c r="G149" i="40" s="1"/>
  <c r="E83" i="40"/>
  <c r="G133" i="40" s="1"/>
  <c r="E82" i="40"/>
  <c r="G117" i="40" s="1"/>
  <c r="S77" i="40"/>
  <c r="Q180" i="40" s="1"/>
  <c r="L77" i="40"/>
  <c r="Q179" i="40" s="1"/>
  <c r="E77" i="40"/>
  <c r="Q178" i="40" s="1"/>
  <c r="S76" i="40"/>
  <c r="Q164" i="40" s="1"/>
  <c r="L76" i="40"/>
  <c r="Q163" i="40" s="1"/>
  <c r="E76" i="40"/>
  <c r="Q162" i="40" s="1"/>
  <c r="S75" i="40"/>
  <c r="Q148" i="40" s="1"/>
  <c r="L75" i="40"/>
  <c r="Q147" i="40" s="1"/>
  <c r="E75" i="40"/>
  <c r="Q146" i="40" s="1"/>
  <c r="S74" i="40"/>
  <c r="Q132" i="40" s="1"/>
  <c r="L74" i="40"/>
  <c r="Q131" i="40" s="1"/>
  <c r="E74" i="40"/>
  <c r="Q130" i="40" s="1"/>
  <c r="S73" i="40"/>
  <c r="Q116" i="40" s="1"/>
  <c r="L73" i="40"/>
  <c r="Q115" i="40" s="1"/>
  <c r="E73" i="40"/>
  <c r="Q114" i="40" s="1"/>
  <c r="S72" i="40"/>
  <c r="G196" i="40" s="1"/>
  <c r="L72" i="40"/>
  <c r="G195" i="40" s="1"/>
  <c r="E72" i="40"/>
  <c r="G194" i="40" s="1"/>
  <c r="S71" i="40"/>
  <c r="G180" i="40" s="1"/>
  <c r="L71" i="40"/>
  <c r="G179" i="40" s="1"/>
  <c r="E71" i="40"/>
  <c r="G178" i="40" s="1"/>
  <c r="S70" i="40"/>
  <c r="G164" i="40" s="1"/>
  <c r="L70" i="40"/>
  <c r="G163" i="40" s="1"/>
  <c r="E70" i="40"/>
  <c r="G162" i="40" s="1"/>
  <c r="S69" i="40"/>
  <c r="G148" i="40" s="1"/>
  <c r="L69" i="40"/>
  <c r="G147" i="40" s="1"/>
  <c r="E69" i="40"/>
  <c r="G146" i="40" s="1"/>
  <c r="S68" i="40"/>
  <c r="G132" i="40" s="1"/>
  <c r="L68" i="40"/>
  <c r="G131" i="40" s="1"/>
  <c r="E68" i="40"/>
  <c r="G130" i="40" s="1"/>
  <c r="S67" i="40"/>
  <c r="G116" i="40" s="1"/>
  <c r="L67" i="40"/>
  <c r="G115" i="40" s="1"/>
  <c r="E67" i="40"/>
  <c r="G114" i="40" s="1"/>
  <c r="S62" i="40"/>
  <c r="Q177" i="40" s="1"/>
  <c r="L62" i="40"/>
  <c r="Q176" i="40" s="1"/>
  <c r="E62" i="40"/>
  <c r="Q175" i="40" s="1"/>
  <c r="S61" i="40"/>
  <c r="Q161" i="40" s="1"/>
  <c r="L61" i="40"/>
  <c r="Q160" i="40" s="1"/>
  <c r="E61" i="40"/>
  <c r="Q159" i="40" s="1"/>
  <c r="S60" i="40"/>
  <c r="Q145" i="40" s="1"/>
  <c r="L60" i="40"/>
  <c r="Q144" i="40" s="1"/>
  <c r="E60" i="40"/>
  <c r="Q143" i="40" s="1"/>
  <c r="S59" i="40"/>
  <c r="Q129" i="40" s="1"/>
  <c r="L59" i="40"/>
  <c r="Q128" i="40" s="1"/>
  <c r="E59" i="40"/>
  <c r="Q127" i="40" s="1"/>
  <c r="S58" i="40"/>
  <c r="Q113" i="40" s="1"/>
  <c r="L58" i="40"/>
  <c r="Q112" i="40" s="1"/>
  <c r="E58" i="40"/>
  <c r="Q111" i="40" s="1"/>
  <c r="S57" i="40"/>
  <c r="G193" i="40" s="1"/>
  <c r="L57" i="40"/>
  <c r="G192" i="40" s="1"/>
  <c r="E57" i="40"/>
  <c r="G191" i="40" s="1"/>
  <c r="S56" i="40"/>
  <c r="G177" i="40" s="1"/>
  <c r="L56" i="40"/>
  <c r="G176" i="40" s="1"/>
  <c r="E56" i="40"/>
  <c r="G175" i="40" s="1"/>
  <c r="S55" i="40"/>
  <c r="G161" i="40" s="1"/>
  <c r="L55" i="40"/>
  <c r="G160" i="40" s="1"/>
  <c r="E55" i="40"/>
  <c r="G159" i="40" s="1"/>
  <c r="S54" i="40"/>
  <c r="G145" i="40" s="1"/>
  <c r="L54" i="40"/>
  <c r="G144" i="40" s="1"/>
  <c r="E54" i="40"/>
  <c r="G143" i="40" s="1"/>
  <c r="S53" i="40"/>
  <c r="G129" i="40" s="1"/>
  <c r="L53" i="40"/>
  <c r="G128" i="40" s="1"/>
  <c r="E53" i="40"/>
  <c r="G127" i="40" s="1"/>
  <c r="S52" i="40"/>
  <c r="G113" i="40" s="1"/>
  <c r="L52" i="40"/>
  <c r="G112" i="40" s="1"/>
  <c r="E52" i="40"/>
  <c r="G111" i="40" s="1"/>
  <c r="S47" i="40"/>
  <c r="Q174" i="40" s="1"/>
  <c r="L47" i="40"/>
  <c r="Q173" i="40" s="1"/>
  <c r="E47" i="40"/>
  <c r="Q172" i="40" s="1"/>
  <c r="S46" i="40"/>
  <c r="Q158" i="40" s="1"/>
  <c r="L46" i="40"/>
  <c r="Q157" i="40" s="1"/>
  <c r="E46" i="40"/>
  <c r="Q156" i="40" s="1"/>
  <c r="S45" i="40"/>
  <c r="Q142" i="40" s="1"/>
  <c r="L45" i="40"/>
  <c r="Q141" i="40" s="1"/>
  <c r="E45" i="40"/>
  <c r="Q140" i="40" s="1"/>
  <c r="S44" i="40"/>
  <c r="Q126" i="40" s="1"/>
  <c r="L44" i="40"/>
  <c r="Q125" i="40" s="1"/>
  <c r="E44" i="40"/>
  <c r="Q124" i="40" s="1"/>
  <c r="S43" i="40"/>
  <c r="Q110" i="40" s="1"/>
  <c r="L43" i="40"/>
  <c r="Q109" i="40" s="1"/>
  <c r="E43" i="40"/>
  <c r="Q108" i="40" s="1"/>
  <c r="S42" i="40"/>
  <c r="G190" i="40" s="1"/>
  <c r="L42" i="40"/>
  <c r="G189" i="40" s="1"/>
  <c r="E42" i="40"/>
  <c r="G188" i="40" s="1"/>
  <c r="S41" i="40"/>
  <c r="G174" i="40" s="1"/>
  <c r="L41" i="40"/>
  <c r="G173" i="40" s="1"/>
  <c r="E41" i="40"/>
  <c r="G172" i="40" s="1"/>
  <c r="S40" i="40"/>
  <c r="G158" i="40" s="1"/>
  <c r="L40" i="40"/>
  <c r="G157" i="40" s="1"/>
  <c r="E40" i="40"/>
  <c r="G156" i="40" s="1"/>
  <c r="S39" i="40"/>
  <c r="G142" i="40" s="1"/>
  <c r="L39" i="40"/>
  <c r="G141" i="40" s="1"/>
  <c r="E39" i="40"/>
  <c r="G140" i="40" s="1"/>
  <c r="S38" i="40"/>
  <c r="G126" i="40" s="1"/>
  <c r="L38" i="40"/>
  <c r="G125" i="40" s="1"/>
  <c r="E38" i="40"/>
  <c r="G124" i="40" s="1"/>
  <c r="S37" i="40"/>
  <c r="G110" i="40" s="1"/>
  <c r="L37" i="40"/>
  <c r="G109" i="40" s="1"/>
  <c r="E37" i="40"/>
  <c r="G108" i="40" s="1"/>
  <c r="S31" i="40"/>
  <c r="Q171" i="40" s="1"/>
  <c r="L31" i="40"/>
  <c r="Q170" i="40" s="1"/>
  <c r="E31" i="40"/>
  <c r="Q169" i="40" s="1"/>
  <c r="S30" i="40"/>
  <c r="Q155" i="40" s="1"/>
  <c r="L30" i="40"/>
  <c r="Q154" i="40" s="1"/>
  <c r="E30" i="40"/>
  <c r="Q153" i="40" s="1"/>
  <c r="S29" i="40"/>
  <c r="Q139" i="40" s="1"/>
  <c r="L29" i="40"/>
  <c r="Q138" i="40" s="1"/>
  <c r="E29" i="40"/>
  <c r="Q137" i="40" s="1"/>
  <c r="S28" i="40"/>
  <c r="Q123" i="40" s="1"/>
  <c r="L28" i="40"/>
  <c r="Q122" i="40" s="1"/>
  <c r="E28" i="40"/>
  <c r="Q121" i="40" s="1"/>
  <c r="S27" i="40"/>
  <c r="Q107" i="40" s="1"/>
  <c r="L27" i="40"/>
  <c r="Q106" i="40" s="1"/>
  <c r="E27" i="40"/>
  <c r="Q105" i="40" s="1"/>
  <c r="S26" i="40"/>
  <c r="G187" i="40" s="1"/>
  <c r="L26" i="40"/>
  <c r="G186" i="40" s="1"/>
  <c r="E26" i="40"/>
  <c r="G185" i="40" s="1"/>
  <c r="S25" i="40"/>
  <c r="G171" i="40" s="1"/>
  <c r="L25" i="40"/>
  <c r="G170" i="40" s="1"/>
  <c r="E25" i="40"/>
  <c r="G169" i="40" s="1"/>
  <c r="S24" i="40"/>
  <c r="G155" i="40" s="1"/>
  <c r="L24" i="40"/>
  <c r="G154" i="40" s="1"/>
  <c r="E24" i="40"/>
  <c r="G153" i="40" s="1"/>
  <c r="S23" i="40"/>
  <c r="G139" i="40" s="1"/>
  <c r="L23" i="40"/>
  <c r="G138" i="40" s="1"/>
  <c r="E23" i="40"/>
  <c r="G137" i="40" s="1"/>
  <c r="S22" i="40"/>
  <c r="G123" i="40" s="1"/>
  <c r="L22" i="40"/>
  <c r="G122" i="40" s="1"/>
  <c r="E22" i="40"/>
  <c r="G121" i="40" s="1"/>
  <c r="S21" i="40"/>
  <c r="G107" i="40" s="1"/>
  <c r="L21" i="40"/>
  <c r="G106" i="40" s="1"/>
  <c r="E21" i="40"/>
  <c r="G105" i="40" s="1"/>
  <c r="A20" i="40"/>
  <c r="A36" i="40" s="1"/>
  <c r="A19" i="40"/>
  <c r="H19" i="40" s="1"/>
  <c r="O19" i="40" s="1"/>
  <c r="F18" i="40"/>
  <c r="F34" i="40" s="1"/>
  <c r="F49" i="40" s="1"/>
  <c r="F64" i="40" s="1"/>
  <c r="F79" i="40" s="1"/>
  <c r="S16" i="40"/>
  <c r="Q168" i="40" s="1"/>
  <c r="L16" i="40"/>
  <c r="Q167" i="40" s="1"/>
  <c r="E16" i="40"/>
  <c r="Q166" i="40" s="1"/>
  <c r="S15" i="40"/>
  <c r="Q152" i="40" s="1"/>
  <c r="L15" i="40"/>
  <c r="Q151" i="40" s="1"/>
  <c r="E15" i="40"/>
  <c r="Q150" i="40" s="1"/>
  <c r="S14" i="40"/>
  <c r="Q136" i="40" s="1"/>
  <c r="L14" i="40"/>
  <c r="Q135" i="40" s="1"/>
  <c r="E14" i="40"/>
  <c r="Q134" i="40" s="1"/>
  <c r="S13" i="40"/>
  <c r="Q120" i="40" s="1"/>
  <c r="L13" i="40"/>
  <c r="Q119" i="40" s="1"/>
  <c r="E13" i="40"/>
  <c r="Q118" i="40" s="1"/>
  <c r="S12" i="40"/>
  <c r="Q104" i="40" s="1"/>
  <c r="L12" i="40"/>
  <c r="Q103" i="40" s="1"/>
  <c r="E12" i="40"/>
  <c r="Q102" i="40" s="1"/>
  <c r="S11" i="40"/>
  <c r="G184" i="40" s="1"/>
  <c r="L11" i="40"/>
  <c r="G183" i="40" s="1"/>
  <c r="E11" i="40"/>
  <c r="G182" i="40" s="1"/>
  <c r="S10" i="40"/>
  <c r="G168" i="40" s="1"/>
  <c r="L10" i="40"/>
  <c r="G167" i="40" s="1"/>
  <c r="E10" i="40"/>
  <c r="G166" i="40" s="1"/>
  <c r="S9" i="40"/>
  <c r="G152" i="40" s="1"/>
  <c r="L9" i="40"/>
  <c r="G151" i="40" s="1"/>
  <c r="E9" i="40"/>
  <c r="G150" i="40" s="1"/>
  <c r="S8" i="40"/>
  <c r="G136" i="40" s="1"/>
  <c r="L8" i="40"/>
  <c r="G135" i="40" s="1"/>
  <c r="E8" i="40"/>
  <c r="G134" i="40" s="1"/>
  <c r="S7" i="40"/>
  <c r="G120" i="40" s="1"/>
  <c r="L7" i="40"/>
  <c r="G119" i="40" s="1"/>
  <c r="E7" i="40"/>
  <c r="G118" i="40" s="1"/>
  <c r="S6" i="40"/>
  <c r="G104" i="40" s="1"/>
  <c r="L6" i="40"/>
  <c r="G103" i="40" s="1"/>
  <c r="E6" i="40"/>
  <c r="G102" i="40" s="1"/>
  <c r="H5" i="40"/>
  <c r="O5" i="40" s="1"/>
  <c r="H4" i="40"/>
  <c r="O4" i="40" s="1"/>
  <c r="M3" i="40"/>
  <c r="T3" i="40" s="1"/>
  <c r="A35" i="40" l="1"/>
  <c r="A50" i="40" s="1"/>
  <c r="A65" i="40" s="1"/>
  <c r="A80" i="40" s="1"/>
  <c r="M18" i="40"/>
  <c r="T18" i="40" s="1"/>
  <c r="A242" i="40"/>
  <c r="O225" i="40" s="1"/>
  <c r="O242" i="40" s="1"/>
  <c r="B85" i="13" s="1"/>
  <c r="B82" i="4" s="1"/>
  <c r="H36" i="40"/>
  <c r="H51" i="40" s="1"/>
  <c r="H66" i="40" s="1"/>
  <c r="A51" i="40"/>
  <c r="A66" i="40" s="1"/>
  <c r="A81" i="40" s="1"/>
  <c r="O36" i="40"/>
  <c r="O51" i="40" s="1"/>
  <c r="O66" i="40" s="1"/>
  <c r="H35" i="40"/>
  <c r="H50" i="40" s="1"/>
  <c r="H65" i="40" s="1"/>
  <c r="D202" i="40"/>
  <c r="C202" i="40"/>
  <c r="B202" i="40"/>
  <c r="H20" i="40"/>
  <c r="O20" i="40" s="1"/>
  <c r="M34" i="40"/>
  <c r="M49" i="40" s="1"/>
  <c r="M64" i="40" s="1"/>
  <c r="O35" i="40"/>
  <c r="O50" i="40" s="1"/>
  <c r="O65" i="40" s="1"/>
  <c r="T34" i="40"/>
  <c r="T49" i="40" s="1"/>
  <c r="T64" i="40" s="1"/>
  <c r="F53" i="29"/>
  <c r="D54" i="29"/>
  <c r="D53" i="29"/>
  <c r="C53" i="29"/>
  <c r="B88" i="4"/>
  <c r="B88" i="29" s="1"/>
  <c r="B87" i="4"/>
  <c r="B87" i="29" s="1"/>
  <c r="C54" i="4"/>
  <c r="C54" i="29" s="1"/>
  <c r="E53" i="4"/>
  <c r="E53" i="29" s="1"/>
  <c r="B52" i="4"/>
  <c r="B52" i="29" s="1"/>
  <c r="B46" i="4"/>
  <c r="B46" i="29" s="1"/>
  <c r="J48" i="13"/>
  <c r="C114" i="37" s="1"/>
  <c r="F114" i="37"/>
  <c r="P203" i="12" s="1"/>
  <c r="E167" i="12"/>
  <c r="C36" i="4"/>
  <c r="C50" i="4" s="1"/>
  <c r="C50" i="29" s="1"/>
  <c r="B32" i="4"/>
  <c r="B32" i="29" s="1"/>
  <c r="C153" i="12"/>
  <c r="O153" i="12"/>
  <c r="E155" i="12"/>
  <c r="Q155" i="12"/>
  <c r="E156" i="12"/>
  <c r="F156" i="12"/>
  <c r="Q156" i="12"/>
  <c r="R156" i="12"/>
  <c r="E157" i="12"/>
  <c r="F157" i="12"/>
  <c r="Q157" i="12"/>
  <c r="R157" i="12"/>
  <c r="F158" i="12"/>
  <c r="R158" i="12"/>
  <c r="C165" i="12"/>
  <c r="O165" i="12"/>
  <c r="Q167" i="12"/>
  <c r="E168" i="12"/>
  <c r="F168" i="12"/>
  <c r="Q168" i="12"/>
  <c r="R168" i="12"/>
  <c r="E169" i="12"/>
  <c r="F169" i="12"/>
  <c r="Q169" i="12"/>
  <c r="R169" i="12"/>
  <c r="F170" i="12"/>
  <c r="R170" i="12"/>
  <c r="C177" i="12"/>
  <c r="O177" i="12"/>
  <c r="E179" i="12"/>
  <c r="Q179" i="12"/>
  <c r="E180" i="12"/>
  <c r="F180" i="12"/>
  <c r="Q180" i="12"/>
  <c r="R180" i="12"/>
  <c r="E181" i="12"/>
  <c r="F181" i="12"/>
  <c r="Q181" i="12"/>
  <c r="R181" i="12"/>
  <c r="F182" i="12"/>
  <c r="R182" i="12"/>
  <c r="C189" i="12"/>
  <c r="O189" i="12"/>
  <c r="E191" i="12"/>
  <c r="Q191" i="12"/>
  <c r="E192" i="12"/>
  <c r="F192" i="12"/>
  <c r="Q192" i="12"/>
  <c r="R192" i="12"/>
  <c r="E193" i="12"/>
  <c r="F193" i="12"/>
  <c r="Q193" i="12"/>
  <c r="R193" i="12"/>
  <c r="F194" i="12"/>
  <c r="R194" i="12"/>
  <c r="C201" i="12"/>
  <c r="E203" i="12"/>
  <c r="Q203" i="12"/>
  <c r="E204" i="12"/>
  <c r="F204" i="12"/>
  <c r="Q204" i="12"/>
  <c r="R204" i="12"/>
  <c r="E205" i="12"/>
  <c r="F205" i="12"/>
  <c r="Q205" i="12"/>
  <c r="R205" i="12"/>
  <c r="F206" i="12"/>
  <c r="R206" i="12"/>
  <c r="E217" i="12"/>
  <c r="E218" i="12"/>
  <c r="C40" i="12"/>
  <c r="C28" i="12"/>
  <c r="C16" i="12"/>
  <c r="C4" i="12"/>
  <c r="B104" i="37"/>
  <c r="B105" i="37"/>
  <c r="B106" i="37"/>
  <c r="B107" i="37"/>
  <c r="B108" i="37"/>
  <c r="B109" i="37"/>
  <c r="B110" i="37"/>
  <c r="B111" i="37"/>
  <c r="B103" i="37"/>
  <c r="B120" i="37"/>
  <c r="B77" i="37" s="1"/>
  <c r="L114" i="37"/>
  <c r="P204" i="12" s="1"/>
  <c r="S204" i="12" s="1"/>
  <c r="U204" i="12" s="1"/>
  <c r="B113" i="37"/>
  <c r="L111" i="37"/>
  <c r="P192" i="12" s="1"/>
  <c r="S192" i="12" s="1"/>
  <c r="U192" i="12" s="1"/>
  <c r="L110" i="37"/>
  <c r="P180" i="12" s="1"/>
  <c r="S180" i="12" s="1"/>
  <c r="U180" i="12" s="1"/>
  <c r="L109" i="37"/>
  <c r="P168" i="12" s="1"/>
  <c r="L108" i="37"/>
  <c r="P156" i="12" s="1"/>
  <c r="S156" i="12" s="1"/>
  <c r="U156" i="12" s="1"/>
  <c r="L107" i="37"/>
  <c r="D204" i="12" s="1"/>
  <c r="G204" i="12" s="1"/>
  <c r="I204" i="12" s="1"/>
  <c r="J204" i="12" s="1"/>
  <c r="L106" i="37"/>
  <c r="D192" i="12" s="1"/>
  <c r="L105" i="37"/>
  <c r="D180" i="12" s="1"/>
  <c r="L104" i="37"/>
  <c r="D168" i="12" s="1"/>
  <c r="G168" i="12" s="1"/>
  <c r="I168" i="12" s="1"/>
  <c r="L103" i="37"/>
  <c r="D156" i="12" s="1"/>
  <c r="F104" i="37"/>
  <c r="D167" i="12" s="1"/>
  <c r="F105" i="37"/>
  <c r="D179" i="12" s="1"/>
  <c r="G179" i="12" s="1"/>
  <c r="I179" i="12" s="1"/>
  <c r="F106" i="37"/>
  <c r="D191" i="12" s="1"/>
  <c r="F107" i="37"/>
  <c r="D203" i="12" s="1"/>
  <c r="G203" i="12" s="1"/>
  <c r="I203" i="12" s="1"/>
  <c r="F108" i="37"/>
  <c r="P155" i="12" s="1"/>
  <c r="S155" i="12" s="1"/>
  <c r="U155" i="12" s="1"/>
  <c r="F109" i="37"/>
  <c r="P167" i="12" s="1"/>
  <c r="S167" i="12" s="1"/>
  <c r="U167" i="12" s="1"/>
  <c r="V167" i="12" s="1"/>
  <c r="F110" i="37"/>
  <c r="P179" i="12" s="1"/>
  <c r="F111" i="37"/>
  <c r="P191" i="12" s="1"/>
  <c r="S191" i="12" s="1"/>
  <c r="U191" i="12" s="1"/>
  <c r="V191" i="12" s="1"/>
  <c r="F103" i="37"/>
  <c r="D155" i="12" s="1"/>
  <c r="H36" i="13"/>
  <c r="C104" i="37" s="1"/>
  <c r="J81" i="37" s="1"/>
  <c r="H37" i="13"/>
  <c r="C105" i="37" s="1"/>
  <c r="J82" i="37" s="1"/>
  <c r="H38" i="13"/>
  <c r="C106" i="37" s="1"/>
  <c r="J83" i="37" s="1"/>
  <c r="H39" i="13"/>
  <c r="C107" i="37" s="1"/>
  <c r="J84" i="37" s="1"/>
  <c r="H40" i="13"/>
  <c r="C108" i="37" s="1"/>
  <c r="J85" i="37" s="1"/>
  <c r="H41" i="13"/>
  <c r="C109" i="37" s="1"/>
  <c r="J86" i="37" s="1"/>
  <c r="H42" i="13"/>
  <c r="C110" i="37" s="1"/>
  <c r="J87" i="37" s="1"/>
  <c r="H43" i="13"/>
  <c r="C111" i="37" s="1"/>
  <c r="J88" i="37" s="1"/>
  <c r="H35" i="13"/>
  <c r="C103" i="37" s="1"/>
  <c r="J80" i="37" s="1"/>
  <c r="J91" i="37" l="1"/>
  <c r="G191" i="12"/>
  <c r="I191" i="12" s="1"/>
  <c r="S203" i="12"/>
  <c r="U203" i="12" s="1"/>
  <c r="W203" i="12" s="1"/>
  <c r="C80" i="37"/>
  <c r="G80" i="37"/>
  <c r="F81" i="37"/>
  <c r="E82" i="37"/>
  <c r="D83" i="37"/>
  <c r="C84" i="37"/>
  <c r="G84" i="37"/>
  <c r="F85" i="37"/>
  <c r="E86" i="37"/>
  <c r="D87" i="37"/>
  <c r="C88" i="37"/>
  <c r="G88" i="37"/>
  <c r="F89" i="37"/>
  <c r="E90" i="37"/>
  <c r="C92" i="37"/>
  <c r="G92" i="37"/>
  <c r="F93" i="37"/>
  <c r="E94" i="37"/>
  <c r="D95" i="37"/>
  <c r="C96" i="37"/>
  <c r="G96" i="37"/>
  <c r="F97" i="37"/>
  <c r="E98" i="37"/>
  <c r="B82" i="37"/>
  <c r="B86" i="37"/>
  <c r="B90" i="37"/>
  <c r="B94" i="37"/>
  <c r="B98" i="37"/>
  <c r="D82" i="37"/>
  <c r="G87" i="37"/>
  <c r="G91" i="37"/>
  <c r="D94" i="37"/>
  <c r="F96" i="37"/>
  <c r="B81" i="37"/>
  <c r="B97" i="37"/>
  <c r="D80" i="37"/>
  <c r="C81" i="37"/>
  <c r="G81" i="37"/>
  <c r="F82" i="37"/>
  <c r="E83" i="37"/>
  <c r="D84" i="37"/>
  <c r="C85" i="37"/>
  <c r="G85" i="37"/>
  <c r="F86" i="37"/>
  <c r="E87" i="37"/>
  <c r="D88" i="37"/>
  <c r="C89" i="37"/>
  <c r="G89" i="37"/>
  <c r="F90" i="37"/>
  <c r="D92" i="37"/>
  <c r="C93" i="37"/>
  <c r="G93" i="37"/>
  <c r="F94" i="37"/>
  <c r="E95" i="37"/>
  <c r="D96" i="37"/>
  <c r="C97" i="37"/>
  <c r="G97" i="37"/>
  <c r="F98" i="37"/>
  <c r="B83" i="37"/>
  <c r="B87" i="37"/>
  <c r="B91" i="37"/>
  <c r="B95" i="37"/>
  <c r="E81" i="37"/>
  <c r="C83" i="37"/>
  <c r="F84" i="37"/>
  <c r="D86" i="37"/>
  <c r="F88" i="37"/>
  <c r="C91" i="37"/>
  <c r="E93" i="37"/>
  <c r="C95" i="37"/>
  <c r="D98" i="37"/>
  <c r="B89" i="37"/>
  <c r="E80" i="37"/>
  <c r="D81" i="37"/>
  <c r="C82" i="37"/>
  <c r="G82" i="37"/>
  <c r="F83" i="37"/>
  <c r="E84" i="37"/>
  <c r="D85" i="37"/>
  <c r="C86" i="37"/>
  <c r="G86" i="37"/>
  <c r="F87" i="37"/>
  <c r="E88" i="37"/>
  <c r="D89" i="37"/>
  <c r="C90" i="37"/>
  <c r="G90" i="37"/>
  <c r="F91" i="37"/>
  <c r="E92" i="37"/>
  <c r="D93" i="37"/>
  <c r="C94" i="37"/>
  <c r="G94" i="37"/>
  <c r="F95" i="37"/>
  <c r="E96" i="37"/>
  <c r="D97" i="37"/>
  <c r="C98" i="37"/>
  <c r="G98" i="37"/>
  <c r="B84" i="37"/>
  <c r="B88" i="37"/>
  <c r="B92" i="37"/>
  <c r="B96" i="37"/>
  <c r="F80" i="37"/>
  <c r="G83" i="37"/>
  <c r="E85" i="37"/>
  <c r="C87" i="37"/>
  <c r="E89" i="37"/>
  <c r="D90" i="37"/>
  <c r="F92" i="37"/>
  <c r="G95" i="37"/>
  <c r="E97" i="37"/>
  <c r="B85" i="37"/>
  <c r="B93" i="37"/>
  <c r="G156" i="12"/>
  <c r="I156" i="12" s="1"/>
  <c r="G180" i="12"/>
  <c r="I180" i="12" s="1"/>
  <c r="K180" i="12" s="1"/>
  <c r="A200" i="40"/>
  <c r="H212" i="40" s="1"/>
  <c r="G212" i="40" s="1"/>
  <c r="G78" i="37"/>
  <c r="C36" i="29"/>
  <c r="D210" i="40"/>
  <c r="A207" i="40"/>
  <c r="A205" i="40"/>
  <c r="A203" i="40"/>
  <c r="B78" i="37"/>
  <c r="C79" i="37"/>
  <c r="G167" i="12"/>
  <c r="I167" i="12" s="1"/>
  <c r="J167" i="12" s="1"/>
  <c r="S168" i="12"/>
  <c r="U168" i="12" s="1"/>
  <c r="W168" i="12" s="1"/>
  <c r="S179" i="12"/>
  <c r="U179" i="12" s="1"/>
  <c r="V179" i="12" s="1"/>
  <c r="G155" i="12"/>
  <c r="I155" i="12" s="1"/>
  <c r="J155" i="12" s="1"/>
  <c r="G192" i="12"/>
  <c r="I192" i="12" s="1"/>
  <c r="J192" i="12" s="1"/>
  <c r="K191" i="12"/>
  <c r="J191" i="12"/>
  <c r="J180" i="12"/>
  <c r="V204" i="12"/>
  <c r="W204" i="12"/>
  <c r="K204" i="12"/>
  <c r="J203" i="12"/>
  <c r="K203" i="12"/>
  <c r="J179" i="12"/>
  <c r="K179" i="12"/>
  <c r="V180" i="12"/>
  <c r="W180" i="12"/>
  <c r="K168" i="12"/>
  <c r="J168" i="12"/>
  <c r="V156" i="12"/>
  <c r="W156" i="12"/>
  <c r="K156" i="12"/>
  <c r="J156" i="12"/>
  <c r="V192" i="12"/>
  <c r="W192" i="12"/>
  <c r="V155" i="12"/>
  <c r="W155" i="12"/>
  <c r="W191" i="12"/>
  <c r="W167" i="12"/>
  <c r="B80" i="37"/>
  <c r="F78" i="37"/>
  <c r="B130" i="37"/>
  <c r="N120" i="37" s="1"/>
  <c r="N130" i="37" s="1"/>
  <c r="B84" i="13" s="1"/>
  <c r="B81" i="4" s="1"/>
  <c r="B79" i="37"/>
  <c r="D72" i="13"/>
  <c r="O4" i="12" s="1"/>
  <c r="D73" i="13"/>
  <c r="O16" i="12" s="1"/>
  <c r="D74" i="13"/>
  <c r="O28" i="12" s="1"/>
  <c r="D71" i="13"/>
  <c r="C52" i="12" s="1"/>
  <c r="B213" i="40" l="1"/>
  <c r="C203" i="40"/>
  <c r="B205" i="40"/>
  <c r="B212" i="40"/>
  <c r="V203" i="12"/>
  <c r="C210" i="40"/>
  <c r="H205" i="40"/>
  <c r="G205" i="40" s="1"/>
  <c r="D205" i="40"/>
  <c r="D206" i="40"/>
  <c r="A210" i="40"/>
  <c r="B211" i="40"/>
  <c r="D204" i="40"/>
  <c r="H213" i="40"/>
  <c r="G213" i="40" s="1"/>
  <c r="K87" i="37"/>
  <c r="L87" i="37" s="1"/>
  <c r="M87" i="37" s="1"/>
  <c r="K81" i="37"/>
  <c r="L81" i="37" s="1"/>
  <c r="M81" i="37" s="1"/>
  <c r="B203" i="40"/>
  <c r="C208" i="40"/>
  <c r="D209" i="40"/>
  <c r="B204" i="40"/>
  <c r="C209" i="40"/>
  <c r="H209" i="40"/>
  <c r="G209" i="40" s="1"/>
  <c r="K86" i="37"/>
  <c r="L86" i="37" s="1"/>
  <c r="M86" i="37" s="1"/>
  <c r="B206" i="40"/>
  <c r="C211" i="40"/>
  <c r="H210" i="40"/>
  <c r="G210" i="40" s="1"/>
  <c r="K88" i="37"/>
  <c r="L88" i="37" s="1"/>
  <c r="B207" i="40"/>
  <c r="C212" i="40"/>
  <c r="E212" i="40" s="1"/>
  <c r="H206" i="40"/>
  <c r="G206" i="40" s="1"/>
  <c r="D211" i="40"/>
  <c r="F211" i="40" s="1"/>
  <c r="K85" i="37"/>
  <c r="L85" i="37" s="1"/>
  <c r="A211" i="40"/>
  <c r="C205" i="40"/>
  <c r="F205" i="40" s="1"/>
  <c r="C213" i="40"/>
  <c r="E213" i="40" s="1"/>
  <c r="H211" i="40"/>
  <c r="G211" i="40" s="1"/>
  <c r="K80" i="37"/>
  <c r="L80" i="37" s="1"/>
  <c r="A208" i="40"/>
  <c r="A213" i="40"/>
  <c r="B209" i="40"/>
  <c r="C206" i="40"/>
  <c r="D203" i="40"/>
  <c r="F203" i="40" s="1"/>
  <c r="H207" i="40"/>
  <c r="G207" i="40" s="1"/>
  <c r="D212" i="40"/>
  <c r="K82" i="37"/>
  <c r="L82" i="37" s="1"/>
  <c r="A209" i="40"/>
  <c r="C204" i="40"/>
  <c r="A204" i="40"/>
  <c r="B208" i="40"/>
  <c r="D207" i="40"/>
  <c r="A206" i="40"/>
  <c r="A212" i="40"/>
  <c r="B210" i="40"/>
  <c r="E210" i="40" s="1"/>
  <c r="C207" i="40"/>
  <c r="H203" i="40"/>
  <c r="G203" i="40" s="1"/>
  <c r="D208" i="40"/>
  <c r="D213" i="40"/>
  <c r="K91" i="37"/>
  <c r="L91" i="37" s="1"/>
  <c r="K83" i="37"/>
  <c r="L83" i="37" s="1"/>
  <c r="K84" i="37"/>
  <c r="L84" i="37" s="1"/>
  <c r="H204" i="40"/>
  <c r="G204" i="40" s="1"/>
  <c r="H208" i="40"/>
  <c r="G208" i="40" s="1"/>
  <c r="K192" i="12"/>
  <c r="V168" i="12"/>
  <c r="E211" i="40"/>
  <c r="E203" i="40"/>
  <c r="W179" i="12"/>
  <c r="K167" i="12"/>
  <c r="K155" i="12"/>
  <c r="B17" i="35"/>
  <c r="B18" i="35"/>
  <c r="B19" i="35"/>
  <c r="B20" i="35"/>
  <c r="B21" i="35"/>
  <c r="B22" i="35"/>
  <c r="B23" i="35"/>
  <c r="B16" i="35"/>
  <c r="F212" i="40" l="1"/>
  <c r="F204" i="40"/>
  <c r="F209" i="40"/>
  <c r="E209" i="40"/>
  <c r="E204" i="40"/>
  <c r="F208" i="40"/>
  <c r="F213" i="40"/>
  <c r="N86" i="37"/>
  <c r="F206" i="40"/>
  <c r="D104" i="37"/>
  <c r="N87" i="37"/>
  <c r="C222" i="40"/>
  <c r="D222" i="40" s="1"/>
  <c r="J222" i="40" s="1"/>
  <c r="F210" i="40"/>
  <c r="E208" i="40"/>
  <c r="E206" i="40"/>
  <c r="N81" i="37"/>
  <c r="F207" i="40"/>
  <c r="N88" i="37"/>
  <c r="M88" i="37"/>
  <c r="N85" i="37"/>
  <c r="M85" i="37"/>
  <c r="M91" i="37"/>
  <c r="N91" i="37"/>
  <c r="E205" i="40"/>
  <c r="E207" i="40"/>
  <c r="D107" i="37"/>
  <c r="N84" i="37"/>
  <c r="M84" i="37"/>
  <c r="M83" i="37"/>
  <c r="N83" i="37"/>
  <c r="N82" i="37"/>
  <c r="M82" i="37"/>
  <c r="N80" i="37"/>
  <c r="D158" i="12" s="1"/>
  <c r="G158" i="12" s="1"/>
  <c r="I158" i="12" s="1"/>
  <c r="J158" i="12" s="1"/>
  <c r="M80" i="37"/>
  <c r="M103" i="37" s="1"/>
  <c r="E114" i="37"/>
  <c r="E103" i="37"/>
  <c r="E107" i="37"/>
  <c r="E104" i="37"/>
  <c r="D103" i="37"/>
  <c r="D114" i="37"/>
  <c r="D110" i="37"/>
  <c r="E110" i="37"/>
  <c r="D111" i="37"/>
  <c r="E111" i="37"/>
  <c r="J111" i="37" s="1"/>
  <c r="D109" i="37"/>
  <c r="D106" i="37"/>
  <c r="E106" i="37"/>
  <c r="D105" i="37"/>
  <c r="E105" i="37"/>
  <c r="J105" i="37" s="1"/>
  <c r="D108" i="37"/>
  <c r="E108" i="37"/>
  <c r="F222" i="40" l="1"/>
  <c r="G222" i="40" s="1"/>
  <c r="I222" i="40"/>
  <c r="H222" i="40"/>
  <c r="E54" i="4"/>
  <c r="L222" i="40"/>
  <c r="J114" i="37"/>
  <c r="G50" i="4" s="1"/>
  <c r="I42" i="13"/>
  <c r="J110" i="37"/>
  <c r="G43" i="4" s="1"/>
  <c r="G43" i="29" s="1"/>
  <c r="I36" i="13"/>
  <c r="J104" i="37"/>
  <c r="G37" i="4" s="1"/>
  <c r="G37" i="29" s="1"/>
  <c r="I40" i="13"/>
  <c r="J108" i="37"/>
  <c r="G41" i="4" s="1"/>
  <c r="G41" i="29" s="1"/>
  <c r="I38" i="13"/>
  <c r="J106" i="37"/>
  <c r="G39" i="4" s="1"/>
  <c r="I39" i="13"/>
  <c r="J107" i="37"/>
  <c r="G40" i="4" s="1"/>
  <c r="G40" i="29" s="1"/>
  <c r="I103" i="37"/>
  <c r="F36" i="4" s="1"/>
  <c r="F36" i="29" s="1"/>
  <c r="J103" i="37"/>
  <c r="G36" i="4" s="1"/>
  <c r="G36" i="29" s="1"/>
  <c r="K48" i="13"/>
  <c r="E50" i="4" s="1"/>
  <c r="E50" i="29" s="1"/>
  <c r="G114" i="37"/>
  <c r="H114" i="37" s="1"/>
  <c r="I114" i="37"/>
  <c r="F50" i="4" s="1"/>
  <c r="F50" i="29" s="1"/>
  <c r="D157" i="12"/>
  <c r="G157" i="12" s="1"/>
  <c r="I157" i="12" s="1"/>
  <c r="J157" i="12" s="1"/>
  <c r="J160" i="12" s="1"/>
  <c r="J161" i="12" s="1"/>
  <c r="I107" i="37"/>
  <c r="F40" i="4" s="1"/>
  <c r="F40" i="29" s="1"/>
  <c r="D206" i="12"/>
  <c r="G206" i="12" s="1"/>
  <c r="I206" i="12" s="1"/>
  <c r="J206" i="12" s="1"/>
  <c r="G107" i="37"/>
  <c r="H107" i="37" s="1"/>
  <c r="I104" i="37"/>
  <c r="F37" i="4" s="1"/>
  <c r="F37" i="29" s="1"/>
  <c r="D170" i="12"/>
  <c r="G170" i="12" s="1"/>
  <c r="I170" i="12" s="1"/>
  <c r="J170" i="12" s="1"/>
  <c r="G104" i="37"/>
  <c r="H104" i="37" s="1"/>
  <c r="K158" i="12"/>
  <c r="E54" i="29"/>
  <c r="I43" i="13"/>
  <c r="G44" i="4"/>
  <c r="G44" i="29" s="1"/>
  <c r="I37" i="13"/>
  <c r="G38" i="4"/>
  <c r="G38" i="29" s="1"/>
  <c r="P158" i="12"/>
  <c r="S158" i="12" s="1"/>
  <c r="U158" i="12" s="1"/>
  <c r="P194" i="12"/>
  <c r="S194" i="12" s="1"/>
  <c r="U194" i="12" s="1"/>
  <c r="I110" i="37"/>
  <c r="F43" i="4" s="1"/>
  <c r="F43" i="29" s="1"/>
  <c r="G110" i="37"/>
  <c r="H110" i="37" s="1"/>
  <c r="G105" i="37"/>
  <c r="H105" i="37" s="1"/>
  <c r="E109" i="37"/>
  <c r="I105" i="37"/>
  <c r="F38" i="4" s="1"/>
  <c r="F38" i="29" s="1"/>
  <c r="I35" i="13"/>
  <c r="G106" i="37"/>
  <c r="H106" i="37" s="1"/>
  <c r="I111" i="37"/>
  <c r="F44" i="4" s="1"/>
  <c r="F44" i="29" s="1"/>
  <c r="G103" i="37"/>
  <c r="H103" i="37" s="1"/>
  <c r="I106" i="37"/>
  <c r="F39" i="4" s="1"/>
  <c r="F39" i="29" s="1"/>
  <c r="G111" i="37"/>
  <c r="H111" i="37" s="1"/>
  <c r="G108" i="37"/>
  <c r="H108" i="37" s="1"/>
  <c r="I108" i="37"/>
  <c r="F41" i="4" s="1"/>
  <c r="F41" i="29" s="1"/>
  <c r="P170" i="12"/>
  <c r="S170" i="12" s="1"/>
  <c r="U170" i="12" s="1"/>
  <c r="D194" i="12"/>
  <c r="G194" i="12" s="1"/>
  <c r="I194" i="12" s="1"/>
  <c r="D182" i="12"/>
  <c r="G182" i="12" s="1"/>
  <c r="I182" i="12" s="1"/>
  <c r="P206" i="12"/>
  <c r="P182" i="12"/>
  <c r="S182" i="12" s="1"/>
  <c r="U182" i="12" s="1"/>
  <c r="G50" i="29" l="1"/>
  <c r="G109" i="37"/>
  <c r="H109" i="37" s="1"/>
  <c r="J109" i="37"/>
  <c r="G42" i="4" s="1"/>
  <c r="G42" i="29" s="1"/>
  <c r="D50" i="4"/>
  <c r="D50" i="29" s="1"/>
  <c r="H50" i="4"/>
  <c r="H50" i="29" s="1"/>
  <c r="K157" i="12"/>
  <c r="K160" i="12" s="1"/>
  <c r="J162" i="12" s="1"/>
  <c r="J163" i="12" s="1"/>
  <c r="J164" i="12" s="1"/>
  <c r="J165" i="12" s="1"/>
  <c r="N103" i="37" s="1"/>
  <c r="I36" i="4" s="1"/>
  <c r="P205" i="12"/>
  <c r="M114" i="37"/>
  <c r="D193" i="12"/>
  <c r="G193" i="12" s="1"/>
  <c r="I193" i="12" s="1"/>
  <c r="K193" i="12" s="1"/>
  <c r="M106" i="37"/>
  <c r="P157" i="12"/>
  <c r="S157" i="12" s="1"/>
  <c r="U157" i="12" s="1"/>
  <c r="W157" i="12" s="1"/>
  <c r="M108" i="37"/>
  <c r="P181" i="12"/>
  <c r="S181" i="12" s="1"/>
  <c r="U181" i="12" s="1"/>
  <c r="W181" i="12" s="1"/>
  <c r="M110" i="37"/>
  <c r="D181" i="12"/>
  <c r="G181" i="12" s="1"/>
  <c r="I181" i="12" s="1"/>
  <c r="K181" i="12" s="1"/>
  <c r="M105" i="37"/>
  <c r="P169" i="12"/>
  <c r="S169" i="12" s="1"/>
  <c r="U169" i="12" s="1"/>
  <c r="V169" i="12" s="1"/>
  <c r="M109" i="37"/>
  <c r="P193" i="12"/>
  <c r="S193" i="12" s="1"/>
  <c r="U193" i="12" s="1"/>
  <c r="V193" i="12" s="1"/>
  <c r="M111" i="37"/>
  <c r="D169" i="12"/>
  <c r="G169" i="12" s="1"/>
  <c r="I169" i="12" s="1"/>
  <c r="J169" i="12" s="1"/>
  <c r="J172" i="12" s="1"/>
  <c r="J173" i="12" s="1"/>
  <c r="M104" i="37"/>
  <c r="D205" i="12"/>
  <c r="G205" i="12" s="1"/>
  <c r="I205" i="12" s="1"/>
  <c r="K205" i="12" s="1"/>
  <c r="M107" i="37"/>
  <c r="K206" i="12"/>
  <c r="K170" i="12"/>
  <c r="L54" i="4"/>
  <c r="Z54" i="4" s="1"/>
  <c r="N54" i="4" s="1"/>
  <c r="G54" i="4"/>
  <c r="F54" i="29" s="1"/>
  <c r="V194" i="12"/>
  <c r="W194" i="12"/>
  <c r="V182" i="12"/>
  <c r="W182" i="12"/>
  <c r="V170" i="12"/>
  <c r="W170" i="12"/>
  <c r="V158" i="12"/>
  <c r="W158" i="12"/>
  <c r="J194" i="12"/>
  <c r="K194" i="12"/>
  <c r="K182" i="12"/>
  <c r="J182" i="12"/>
  <c r="I109" i="37"/>
  <c r="F42" i="4" s="1"/>
  <c r="F42" i="29" s="1"/>
  <c r="I41" i="13"/>
  <c r="V157" i="12" l="1"/>
  <c r="V160" i="12" s="1"/>
  <c r="V161" i="12" s="1"/>
  <c r="J181" i="12"/>
  <c r="J184" i="12" s="1"/>
  <c r="J185" i="12" s="1"/>
  <c r="J193" i="12"/>
  <c r="J196" i="12" s="1"/>
  <c r="J197" i="12" s="1"/>
  <c r="V181" i="12"/>
  <c r="V184" i="12" s="1"/>
  <c r="V185" i="12" s="1"/>
  <c r="W169" i="12"/>
  <c r="W172" i="12" s="1"/>
  <c r="W193" i="12"/>
  <c r="W196" i="12" s="1"/>
  <c r="J205" i="12"/>
  <c r="J208" i="12" s="1"/>
  <c r="J209" i="12" s="1"/>
  <c r="K169" i="12"/>
  <c r="K172" i="12" s="1"/>
  <c r="J174" i="12" s="1"/>
  <c r="J175" i="12" s="1"/>
  <c r="J176" i="12" s="1"/>
  <c r="J177" i="12" s="1"/>
  <c r="N104" i="37" s="1"/>
  <c r="I37" i="4" s="1"/>
  <c r="J37" i="29" s="1"/>
  <c r="K208" i="12"/>
  <c r="E36" i="4"/>
  <c r="D36" i="4" s="1"/>
  <c r="D36" i="29" s="1"/>
  <c r="J54" i="4"/>
  <c r="V196" i="12"/>
  <c r="V197" i="12" s="1"/>
  <c r="V172" i="12"/>
  <c r="V173" i="12" s="1"/>
  <c r="K196" i="12"/>
  <c r="W184" i="12"/>
  <c r="W160" i="12"/>
  <c r="K184" i="12"/>
  <c r="D108" i="4"/>
  <c r="J210" i="12" l="1"/>
  <c r="J211" i="12" s="1"/>
  <c r="J212" i="12" s="1"/>
  <c r="J213" i="12" s="1"/>
  <c r="N107" i="37" s="1"/>
  <c r="I40" i="4" s="1"/>
  <c r="J40" i="29" s="1"/>
  <c r="E37" i="4"/>
  <c r="E37" i="29" s="1"/>
  <c r="E36" i="29"/>
  <c r="L36" i="4"/>
  <c r="Z36" i="4" s="1"/>
  <c r="V174" i="12"/>
  <c r="V175" i="12" s="1"/>
  <c r="V176" i="12" s="1"/>
  <c r="V177" i="12" s="1"/>
  <c r="N109" i="37" s="1"/>
  <c r="I42" i="4" s="1"/>
  <c r="V198" i="12"/>
  <c r="V199" i="12" s="1"/>
  <c r="V200" i="12" s="1"/>
  <c r="V201" i="12" s="1"/>
  <c r="N111" i="37" s="1"/>
  <c r="I44" i="4" s="1"/>
  <c r="J44" i="29" s="1"/>
  <c r="V186" i="12"/>
  <c r="V187" i="12" s="1"/>
  <c r="V188" i="12" s="1"/>
  <c r="V189" i="12" s="1"/>
  <c r="N110" i="37" s="1"/>
  <c r="I43" i="4" s="1"/>
  <c r="J43" i="29" s="1"/>
  <c r="J198" i="12"/>
  <c r="J199" i="12" s="1"/>
  <c r="J200" i="12" s="1"/>
  <c r="J201" i="12" s="1"/>
  <c r="N106" i="37" s="1"/>
  <c r="I39" i="4" s="1"/>
  <c r="J39" i="29" s="1"/>
  <c r="V162" i="12"/>
  <c r="V163" i="12" s="1"/>
  <c r="V164" i="12" s="1"/>
  <c r="V165" i="12" s="1"/>
  <c r="N108" i="37" s="1"/>
  <c r="I41" i="4" s="1"/>
  <c r="J41" i="29" s="1"/>
  <c r="J186" i="12"/>
  <c r="J187" i="12" s="1"/>
  <c r="J188" i="12" s="1"/>
  <c r="J189" i="12" s="1"/>
  <c r="N105" i="37" s="1"/>
  <c r="I38" i="4" s="1"/>
  <c r="J38" i="29" s="1"/>
  <c r="C60" i="29"/>
  <c r="A10" i="4"/>
  <c r="A10" i="29" s="1"/>
  <c r="A11" i="4"/>
  <c r="A11" i="29" s="1"/>
  <c r="E40" i="4" l="1"/>
  <c r="D40" i="4" s="1"/>
  <c r="D40" i="29" s="1"/>
  <c r="K36" i="4"/>
  <c r="D37" i="4"/>
  <c r="D37" i="29" s="1"/>
  <c r="E42" i="4"/>
  <c r="E42" i="29" s="1"/>
  <c r="E39" i="4"/>
  <c r="E43" i="4"/>
  <c r="E41" i="4"/>
  <c r="E38" i="4"/>
  <c r="E44" i="4"/>
  <c r="J27" i="35"/>
  <c r="E40" i="29" l="1"/>
  <c r="D42" i="4"/>
  <c r="D42" i="29" s="1"/>
  <c r="D41" i="4"/>
  <c r="D41" i="29" s="1"/>
  <c r="E41" i="29"/>
  <c r="D38" i="4"/>
  <c r="D38" i="29" s="1"/>
  <c r="E38" i="29"/>
  <c r="D43" i="4"/>
  <c r="D43" i="29" s="1"/>
  <c r="E43" i="29"/>
  <c r="D44" i="4"/>
  <c r="D44" i="29" s="1"/>
  <c r="E44" i="29"/>
  <c r="D39" i="4"/>
  <c r="D39" i="29" s="1"/>
  <c r="E39" i="29"/>
  <c r="Q272" i="34" l="1"/>
  <c r="Q273" i="34"/>
  <c r="Q274" i="34"/>
  <c r="Q275" i="34"/>
  <c r="Q281" i="34"/>
  <c r="Q282" i="34"/>
  <c r="Q283" i="34"/>
  <c r="Q284" i="34"/>
  <c r="W39" i="12"/>
  <c r="N30" i="12"/>
  <c r="N31" i="12" s="1"/>
  <c r="N32" i="12" s="1"/>
  <c r="N33" i="12" s="1"/>
  <c r="W27" i="12"/>
  <c r="N18" i="12"/>
  <c r="N19" i="12" s="1"/>
  <c r="N20" i="12" s="1"/>
  <c r="N21" i="12" s="1"/>
  <c r="W15" i="12"/>
  <c r="N6" i="12"/>
  <c r="N7" i="12" s="1"/>
  <c r="N8" i="12" s="1"/>
  <c r="N9" i="12" s="1"/>
  <c r="K63" i="12"/>
  <c r="B54" i="12"/>
  <c r="B55" i="12" s="1"/>
  <c r="B56" i="12" s="1"/>
  <c r="B57" i="12" s="1"/>
  <c r="Q6" i="12"/>
  <c r="Q18" i="12"/>
  <c r="Q30" i="12"/>
  <c r="E54" i="12"/>
  <c r="K39" i="12"/>
  <c r="B30" i="12"/>
  <c r="B31" i="12" s="1"/>
  <c r="B32" i="12" s="1"/>
  <c r="B33" i="12" s="1"/>
  <c r="E42" i="12" l="1"/>
  <c r="E30" i="12"/>
  <c r="E18" i="12"/>
  <c r="E6" i="12"/>
  <c r="A288" i="34"/>
  <c r="J289" i="34"/>
  <c r="J290" i="34"/>
  <c r="J291" i="34"/>
  <c r="J292" i="34"/>
  <c r="J293" i="34"/>
  <c r="J294" i="34"/>
  <c r="J295" i="34"/>
  <c r="J296" i="34"/>
  <c r="J297" i="34"/>
  <c r="J298" i="34"/>
  <c r="J299" i="34"/>
  <c r="J300" i="34"/>
  <c r="J301" i="34"/>
  <c r="J302" i="34"/>
  <c r="J303" i="34"/>
  <c r="J304" i="34"/>
  <c r="J305" i="34"/>
  <c r="J306" i="34"/>
  <c r="J307" i="34"/>
  <c r="J308" i="34"/>
  <c r="J309" i="34"/>
  <c r="J310" i="34"/>
  <c r="J311" i="34"/>
  <c r="J312" i="34"/>
  <c r="I289" i="34"/>
  <c r="I290" i="34"/>
  <c r="I291" i="34"/>
  <c r="I292" i="34"/>
  <c r="I293" i="34"/>
  <c r="I294" i="34"/>
  <c r="I295" i="34"/>
  <c r="I296" i="34"/>
  <c r="I297" i="34"/>
  <c r="I298" i="34"/>
  <c r="I299" i="34"/>
  <c r="I300" i="34"/>
  <c r="I301" i="34"/>
  <c r="I302" i="34"/>
  <c r="I303" i="34"/>
  <c r="I304" i="34"/>
  <c r="I305" i="34"/>
  <c r="I306" i="34"/>
  <c r="I307" i="34"/>
  <c r="I308" i="34"/>
  <c r="I309" i="34"/>
  <c r="I310" i="34"/>
  <c r="I311" i="34"/>
  <c r="I312" i="34"/>
  <c r="AD13" i="34"/>
  <c r="AD12" i="34"/>
  <c r="AD11" i="34"/>
  <c r="E241" i="34" l="1"/>
  <c r="C243" i="34"/>
  <c r="D244" i="34"/>
  <c r="C245" i="34"/>
  <c r="B246" i="34"/>
  <c r="F246" i="34"/>
  <c r="E247" i="34"/>
  <c r="F248" i="34"/>
  <c r="B250" i="34"/>
  <c r="F250" i="34"/>
  <c r="E251" i="34"/>
  <c r="D252" i="34"/>
  <c r="E253" i="34"/>
  <c r="D254" i="34"/>
  <c r="E255" i="34"/>
  <c r="D256" i="34"/>
  <c r="E257" i="34"/>
  <c r="D258" i="34"/>
  <c r="E259" i="34"/>
  <c r="F260" i="34"/>
  <c r="B262" i="34"/>
  <c r="F262" i="34"/>
  <c r="E263" i="34"/>
  <c r="D264" i="34"/>
  <c r="C265" i="34"/>
  <c r="B266" i="34"/>
  <c r="F266" i="34"/>
  <c r="E267" i="34"/>
  <c r="A243" i="34"/>
  <c r="A247" i="34"/>
  <c r="G247" i="34" s="1"/>
  <c r="A251" i="34"/>
  <c r="A255" i="34"/>
  <c r="A259" i="34"/>
  <c r="A263" i="34"/>
  <c r="A267" i="34"/>
  <c r="C244" i="34"/>
  <c r="F245" i="34"/>
  <c r="D247" i="34"/>
  <c r="D249" i="34"/>
  <c r="C252" i="34"/>
  <c r="D255" i="34"/>
  <c r="D259" i="34"/>
  <c r="D261" i="34"/>
  <c r="D263" i="34"/>
  <c r="F265" i="34"/>
  <c r="A246" i="34"/>
  <c r="G246" i="34" s="1"/>
  <c r="A258" i="34"/>
  <c r="F241" i="34"/>
  <c r="D243" i="34"/>
  <c r="E244" i="34"/>
  <c r="D245" i="34"/>
  <c r="C246" i="34"/>
  <c r="B247" i="34"/>
  <c r="F247" i="34"/>
  <c r="B249" i="34"/>
  <c r="C250" i="34"/>
  <c r="B251" i="34"/>
  <c r="F251" i="34"/>
  <c r="E252" i="34"/>
  <c r="F253" i="34"/>
  <c r="B255" i="34"/>
  <c r="F255" i="34"/>
  <c r="E256" i="34"/>
  <c r="F257" i="34"/>
  <c r="B259" i="34"/>
  <c r="F259" i="34"/>
  <c r="B261" i="34"/>
  <c r="C262" i="34"/>
  <c r="B263" i="34"/>
  <c r="F263" i="34"/>
  <c r="E264" i="34"/>
  <c r="D265" i="34"/>
  <c r="C266" i="34"/>
  <c r="B267" i="34"/>
  <c r="F267" i="34"/>
  <c r="A244" i="34"/>
  <c r="G244" i="34" s="1"/>
  <c r="A248" i="34"/>
  <c r="A252" i="34"/>
  <c r="A256" i="34"/>
  <c r="A260" i="34"/>
  <c r="A264" i="34"/>
  <c r="B245" i="34"/>
  <c r="D251" i="34"/>
  <c r="C254" i="34"/>
  <c r="B257" i="34"/>
  <c r="E260" i="34"/>
  <c r="B265" i="34"/>
  <c r="D267" i="34"/>
  <c r="A254" i="34"/>
  <c r="A266" i="34"/>
  <c r="B242" i="34"/>
  <c r="B244" i="34"/>
  <c r="F244" i="34"/>
  <c r="E245" i="34"/>
  <c r="D246" i="34"/>
  <c r="C247" i="34"/>
  <c r="B248" i="34"/>
  <c r="C249" i="34"/>
  <c r="D250" i="34"/>
  <c r="C251" i="34"/>
  <c r="B252" i="34"/>
  <c r="F252" i="34"/>
  <c r="B254" i="34"/>
  <c r="C255" i="34"/>
  <c r="B256" i="34"/>
  <c r="F256" i="34"/>
  <c r="B258" i="34"/>
  <c r="C259" i="34"/>
  <c r="B260" i="34"/>
  <c r="C261" i="34"/>
  <c r="D262" i="34"/>
  <c r="C263" i="34"/>
  <c r="B264" i="34"/>
  <c r="F264" i="34"/>
  <c r="E265" i="34"/>
  <c r="D266" i="34"/>
  <c r="C267" i="34"/>
  <c r="A241" i="34"/>
  <c r="A245" i="34"/>
  <c r="G245" i="34" s="1"/>
  <c r="A249" i="34"/>
  <c r="A253" i="34"/>
  <c r="A257" i="34"/>
  <c r="A261" i="34"/>
  <c r="A265" i="34"/>
  <c r="B243" i="34"/>
  <c r="E246" i="34"/>
  <c r="E248" i="34"/>
  <c r="E250" i="34"/>
  <c r="B253" i="34"/>
  <c r="C256" i="34"/>
  <c r="C258" i="34"/>
  <c r="E262" i="34"/>
  <c r="C264" i="34"/>
  <c r="E266" i="34"/>
  <c r="A242" i="34"/>
  <c r="A250" i="34"/>
  <c r="A262" i="34"/>
  <c r="A313" i="34"/>
  <c r="O288" i="34" s="1"/>
  <c r="O313" i="34" s="1"/>
  <c r="A240" i="34"/>
  <c r="O314" i="34" l="1"/>
  <c r="B82" i="13" s="1"/>
  <c r="B79" i="4" s="1"/>
  <c r="O315" i="34"/>
  <c r="B83" i="13" l="1"/>
  <c r="B80" i="4" s="1"/>
  <c r="B11" i="35" l="1"/>
  <c r="A9" i="13" l="1"/>
  <c r="A8" i="13"/>
  <c r="A8" i="4" l="1"/>
  <c r="A8" i="29" s="1"/>
  <c r="A9" i="4"/>
  <c r="A9" i="29" s="1"/>
  <c r="K59" i="13" l="1"/>
  <c r="Q243" i="34" l="1"/>
  <c r="R242" i="34" s="1"/>
  <c r="R272" i="34"/>
  <c r="T244" i="34" l="1"/>
  <c r="R244" i="34"/>
  <c r="T242" i="34"/>
  <c r="S243" i="34" l="1"/>
  <c r="S272" i="34" s="1"/>
  <c r="L59" i="13" s="1"/>
  <c r="C26" i="4"/>
  <c r="C26" i="29" s="1"/>
  <c r="C27" i="4"/>
  <c r="C28" i="4"/>
  <c r="C28" i="29" s="1"/>
  <c r="C25" i="4"/>
  <c r="C25" i="29" s="1"/>
  <c r="AB29" i="4" l="1"/>
  <c r="C27" i="29"/>
  <c r="U272" i="34"/>
  <c r="V272" i="34" s="1"/>
  <c r="U243" i="34"/>
  <c r="V242" i="34" s="1"/>
  <c r="V244" i="34" l="1"/>
  <c r="X242" i="34"/>
  <c r="Y243" i="34"/>
  <c r="X244" i="34"/>
  <c r="W243" i="34" l="1"/>
  <c r="T281" i="34" l="1"/>
  <c r="D54" i="12" s="1"/>
  <c r="K71" i="13"/>
  <c r="Q255" i="34" l="1"/>
  <c r="R281" i="34"/>
  <c r="B97" i="4"/>
  <c r="T254" i="34" l="1"/>
  <c r="R254" i="34"/>
  <c r="U255" i="34"/>
  <c r="T256" i="34"/>
  <c r="R256" i="34"/>
  <c r="B95" i="29"/>
  <c r="S255" i="34" l="1"/>
  <c r="S281" i="34" s="1"/>
  <c r="U281" i="34" s="1"/>
  <c r="V281" i="34" s="1"/>
  <c r="X254" i="34"/>
  <c r="V254" i="34"/>
  <c r="Y255" i="34"/>
  <c r="D57" i="12" s="1"/>
  <c r="V256" i="34"/>
  <c r="X256" i="34"/>
  <c r="W255" i="34" l="1"/>
  <c r="D56" i="12" s="1"/>
  <c r="D11" i="4" l="1"/>
  <c r="N234" i="30"/>
  <c r="N233" i="30"/>
  <c r="B78" i="4" l="1"/>
  <c r="A248" i="30"/>
  <c r="B229" i="30" s="1"/>
  <c r="L234" i="30"/>
  <c r="F242" i="30" s="1"/>
  <c r="L233" i="30"/>
  <c r="A242" i="30" s="1"/>
  <c r="H2" i="30"/>
  <c r="J4" i="30"/>
  <c r="K4" i="30"/>
  <c r="F5" i="30"/>
  <c r="F138" i="30" s="1"/>
  <c r="L5" i="30"/>
  <c r="F6" i="30"/>
  <c r="F151" i="30" s="1"/>
  <c r="L6" i="30"/>
  <c r="F7" i="30"/>
  <c r="F164" i="30" s="1"/>
  <c r="L7" i="30"/>
  <c r="M164" i="30" s="1"/>
  <c r="F8" i="30"/>
  <c r="F177" i="30" s="1"/>
  <c r="L8" i="30"/>
  <c r="M177" i="30" s="1"/>
  <c r="F9" i="30"/>
  <c r="F190" i="30" s="1"/>
  <c r="L9" i="30"/>
  <c r="F10" i="30"/>
  <c r="F203" i="30" s="1"/>
  <c r="L10" i="30"/>
  <c r="M203" i="30" s="1"/>
  <c r="F11" i="30"/>
  <c r="L11" i="30"/>
  <c r="M216" i="30" s="1"/>
  <c r="H13" i="30"/>
  <c r="J15" i="30"/>
  <c r="K15" i="30"/>
  <c r="F16" i="30"/>
  <c r="L16" i="30"/>
  <c r="M139" i="30" s="1"/>
  <c r="F17" i="30"/>
  <c r="L17" i="30"/>
  <c r="M152" i="30" s="1"/>
  <c r="F18" i="30"/>
  <c r="F165" i="30" s="1"/>
  <c r="L18" i="30"/>
  <c r="M165" i="30" s="1"/>
  <c r="F19" i="30"/>
  <c r="F178" i="30" s="1"/>
  <c r="L19" i="30"/>
  <c r="M178" i="30" s="1"/>
  <c r="F20" i="30"/>
  <c r="L20" i="30"/>
  <c r="F21" i="30"/>
  <c r="F204" i="30" s="1"/>
  <c r="L21" i="30"/>
  <c r="F22" i="30"/>
  <c r="L22" i="30"/>
  <c r="M217" i="30" s="1"/>
  <c r="H24" i="30"/>
  <c r="J26" i="30"/>
  <c r="K26" i="30"/>
  <c r="F27" i="30"/>
  <c r="F140" i="30" s="1"/>
  <c r="L27" i="30"/>
  <c r="M140" i="30" s="1"/>
  <c r="F28" i="30"/>
  <c r="L28" i="30"/>
  <c r="M153" i="30" s="1"/>
  <c r="F29" i="30"/>
  <c r="F166" i="30" s="1"/>
  <c r="L29" i="30"/>
  <c r="M166" i="30" s="1"/>
  <c r="F30" i="30"/>
  <c r="F179" i="30" s="1"/>
  <c r="L30" i="30"/>
  <c r="F31" i="30"/>
  <c r="F192" i="30" s="1"/>
  <c r="L31" i="30"/>
  <c r="M192" i="30" s="1"/>
  <c r="F32" i="30"/>
  <c r="F205" i="30" s="1"/>
  <c r="L32" i="30"/>
  <c r="F33" i="30"/>
  <c r="F218" i="30" s="1"/>
  <c r="L33" i="30"/>
  <c r="M218" i="30" s="1"/>
  <c r="H35" i="30"/>
  <c r="J37" i="30"/>
  <c r="K37" i="30"/>
  <c r="F38" i="30"/>
  <c r="F141" i="30" s="1"/>
  <c r="L38" i="30"/>
  <c r="F39" i="30"/>
  <c r="F154" i="30" s="1"/>
  <c r="L39" i="30"/>
  <c r="M154" i="30" s="1"/>
  <c r="F40" i="30"/>
  <c r="F167" i="30" s="1"/>
  <c r="L40" i="30"/>
  <c r="M167" i="30" s="1"/>
  <c r="F41" i="30"/>
  <c r="L41" i="30"/>
  <c r="M180" i="30" s="1"/>
  <c r="F42" i="30"/>
  <c r="F193" i="30" s="1"/>
  <c r="L42" i="30"/>
  <c r="M193" i="30" s="1"/>
  <c r="F43" i="30"/>
  <c r="F206" i="30" s="1"/>
  <c r="L43" i="30"/>
  <c r="M206" i="30" s="1"/>
  <c r="F44" i="30"/>
  <c r="F219" i="30" s="1"/>
  <c r="L44" i="30"/>
  <c r="M219" i="30" s="1"/>
  <c r="H46" i="30"/>
  <c r="J48" i="30"/>
  <c r="K48" i="30"/>
  <c r="F49" i="30"/>
  <c r="F142" i="30" s="1"/>
  <c r="L49" i="30"/>
  <c r="F50" i="30"/>
  <c r="F155" i="30" s="1"/>
  <c r="L50" i="30"/>
  <c r="M151" i="30" s="1"/>
  <c r="F51" i="30"/>
  <c r="F168" i="30" s="1"/>
  <c r="L51" i="30"/>
  <c r="F52" i="30"/>
  <c r="F181" i="30" s="1"/>
  <c r="L52" i="30"/>
  <c r="M181" i="30" s="1"/>
  <c r="F53" i="30"/>
  <c r="L53" i="30"/>
  <c r="M194" i="30" s="1"/>
  <c r="F54" i="30"/>
  <c r="F207" i="30" s="1"/>
  <c r="L54" i="30"/>
  <c r="M207" i="30" s="1"/>
  <c r="F55" i="30"/>
  <c r="F220" i="30" s="1"/>
  <c r="L55" i="30"/>
  <c r="H57" i="30"/>
  <c r="J59" i="30"/>
  <c r="K59" i="30"/>
  <c r="F60" i="30"/>
  <c r="F143" i="30" s="1"/>
  <c r="L60" i="30"/>
  <c r="M143" i="30" s="1"/>
  <c r="F61" i="30"/>
  <c r="F156" i="30" s="1"/>
  <c r="L61" i="30"/>
  <c r="M156" i="30" s="1"/>
  <c r="F62" i="30"/>
  <c r="L62" i="30"/>
  <c r="M169" i="30" s="1"/>
  <c r="F63" i="30"/>
  <c r="F182" i="30" s="1"/>
  <c r="L63" i="30"/>
  <c r="F64" i="30"/>
  <c r="L64" i="30"/>
  <c r="M195" i="30" s="1"/>
  <c r="F65" i="30"/>
  <c r="F208" i="30" s="1"/>
  <c r="L65" i="30"/>
  <c r="M208" i="30" s="1"/>
  <c r="F66" i="30"/>
  <c r="L66" i="30"/>
  <c r="M221" i="30" s="1"/>
  <c r="H68" i="30"/>
  <c r="J70" i="30"/>
  <c r="K70" i="30"/>
  <c r="F71" i="30"/>
  <c r="F144" i="30" s="1"/>
  <c r="L71" i="30"/>
  <c r="M144" i="30" s="1"/>
  <c r="F72" i="30"/>
  <c r="F157" i="30" s="1"/>
  <c r="L72" i="30"/>
  <c r="F73" i="30"/>
  <c r="F170" i="30" s="1"/>
  <c r="L73" i="30"/>
  <c r="M170" i="30" s="1"/>
  <c r="F74" i="30"/>
  <c r="F183" i="30" s="1"/>
  <c r="L74" i="30"/>
  <c r="F75" i="30"/>
  <c r="F196" i="30" s="1"/>
  <c r="L75" i="30"/>
  <c r="M196" i="30" s="1"/>
  <c r="F76" i="30"/>
  <c r="F209" i="30" s="1"/>
  <c r="L76" i="30"/>
  <c r="F77" i="30"/>
  <c r="F222" i="30" s="1"/>
  <c r="L77" i="30"/>
  <c r="M222" i="30" s="1"/>
  <c r="H79" i="30"/>
  <c r="J81" i="30"/>
  <c r="K81" i="30"/>
  <c r="F82" i="30"/>
  <c r="F145" i="30" s="1"/>
  <c r="L82" i="30"/>
  <c r="M145" i="30" s="1"/>
  <c r="F83" i="30"/>
  <c r="L83" i="30"/>
  <c r="M158" i="30" s="1"/>
  <c r="F84" i="30"/>
  <c r="F171" i="30" s="1"/>
  <c r="L84" i="30"/>
  <c r="M171" i="30" s="1"/>
  <c r="F85" i="30"/>
  <c r="F184" i="30" s="1"/>
  <c r="L85" i="30"/>
  <c r="M184" i="30" s="1"/>
  <c r="F86" i="30"/>
  <c r="F197" i="30" s="1"/>
  <c r="L86" i="30"/>
  <c r="F87" i="30"/>
  <c r="L87" i="30"/>
  <c r="M210" i="30" s="1"/>
  <c r="F88" i="30"/>
  <c r="F223" i="30" s="1"/>
  <c r="L88" i="30"/>
  <c r="M223" i="30" s="1"/>
  <c r="H90" i="30"/>
  <c r="J92" i="30"/>
  <c r="K92" i="30"/>
  <c r="F93" i="30"/>
  <c r="F146" i="30" s="1"/>
  <c r="L93" i="30"/>
  <c r="F94" i="30"/>
  <c r="F159" i="30" s="1"/>
  <c r="L94" i="30"/>
  <c r="M159" i="30" s="1"/>
  <c r="F95" i="30"/>
  <c r="F172" i="30" s="1"/>
  <c r="L95" i="30"/>
  <c r="F96" i="30"/>
  <c r="F185" i="30" s="1"/>
  <c r="L96" i="30"/>
  <c r="M185" i="30" s="1"/>
  <c r="F97" i="30"/>
  <c r="F198" i="30" s="1"/>
  <c r="L97" i="30"/>
  <c r="F98" i="30"/>
  <c r="F211" i="30" s="1"/>
  <c r="L98" i="30"/>
  <c r="M211" i="30" s="1"/>
  <c r="F99" i="30"/>
  <c r="L99" i="30"/>
  <c r="M224" i="30" s="1"/>
  <c r="H101" i="30"/>
  <c r="J103" i="30"/>
  <c r="K103" i="30"/>
  <c r="F104" i="30"/>
  <c r="L104" i="30"/>
  <c r="M147" i="30" s="1"/>
  <c r="F105" i="30"/>
  <c r="L105" i="30"/>
  <c r="M160" i="30" s="1"/>
  <c r="F106" i="30"/>
  <c r="F173" i="30" s="1"/>
  <c r="L106" i="30"/>
  <c r="M173" i="30" s="1"/>
  <c r="F107" i="30"/>
  <c r="F186" i="30" s="1"/>
  <c r="L107" i="30"/>
  <c r="M186" i="30" s="1"/>
  <c r="F108" i="30"/>
  <c r="F199" i="30" s="1"/>
  <c r="L108" i="30"/>
  <c r="M199" i="30" s="1"/>
  <c r="F109" i="30"/>
  <c r="F212" i="30" s="1"/>
  <c r="L109" i="30"/>
  <c r="F110" i="30"/>
  <c r="F225" i="30" s="1"/>
  <c r="L110" i="30"/>
  <c r="M225" i="30" s="1"/>
  <c r="H112" i="30"/>
  <c r="J114" i="30"/>
  <c r="K114" i="30"/>
  <c r="F115" i="30"/>
  <c r="F148" i="30" s="1"/>
  <c r="L115" i="30"/>
  <c r="M148" i="30" s="1"/>
  <c r="F116" i="30"/>
  <c r="F161" i="30" s="1"/>
  <c r="L116" i="30"/>
  <c r="F117" i="30"/>
  <c r="F174" i="30" s="1"/>
  <c r="L117" i="30"/>
  <c r="M174" i="30" s="1"/>
  <c r="F118" i="30"/>
  <c r="F187" i="30" s="1"/>
  <c r="L118" i="30"/>
  <c r="M187" i="30" s="1"/>
  <c r="F119" i="30"/>
  <c r="F200" i="30" s="1"/>
  <c r="L119" i="30"/>
  <c r="M200" i="30" s="1"/>
  <c r="F120" i="30"/>
  <c r="F213" i="30" s="1"/>
  <c r="L120" i="30"/>
  <c r="M213" i="30" s="1"/>
  <c r="F121" i="30"/>
  <c r="F226" i="30" s="1"/>
  <c r="L121" i="30"/>
  <c r="M226" i="30" s="1"/>
  <c r="H123" i="30"/>
  <c r="J125" i="30"/>
  <c r="K125" i="30"/>
  <c r="F126" i="30"/>
  <c r="F149" i="30" s="1"/>
  <c r="L126" i="30"/>
  <c r="M149" i="30" s="1"/>
  <c r="F127" i="30"/>
  <c r="F162" i="30" s="1"/>
  <c r="L127" i="30"/>
  <c r="M162" i="30" s="1"/>
  <c r="F128" i="30"/>
  <c r="F175" i="30" s="1"/>
  <c r="L128" i="30"/>
  <c r="M175" i="30" s="1"/>
  <c r="F129" i="30"/>
  <c r="F188" i="30" s="1"/>
  <c r="L129" i="30"/>
  <c r="M188" i="30" s="1"/>
  <c r="F130" i="30"/>
  <c r="F201" i="30" s="1"/>
  <c r="L130" i="30"/>
  <c r="F131" i="30"/>
  <c r="F214" i="30" s="1"/>
  <c r="L131" i="30"/>
  <c r="M214" i="30" s="1"/>
  <c r="F132" i="30"/>
  <c r="F227" i="30" s="1"/>
  <c r="L132" i="30"/>
  <c r="M227" i="30" s="1"/>
  <c r="P137" i="30"/>
  <c r="C138" i="30"/>
  <c r="D138" i="30"/>
  <c r="E138" i="30"/>
  <c r="J138" i="30"/>
  <c r="K138" i="30"/>
  <c r="L138" i="30"/>
  <c r="M138" i="30"/>
  <c r="P138" i="30"/>
  <c r="C139" i="30"/>
  <c r="D139" i="30"/>
  <c r="E139" i="30"/>
  <c r="F139" i="30"/>
  <c r="J139" i="30"/>
  <c r="K139" i="30"/>
  <c r="L139" i="30"/>
  <c r="P139" i="30"/>
  <c r="C140" i="30"/>
  <c r="D140" i="30"/>
  <c r="E140" i="30"/>
  <c r="J140" i="30"/>
  <c r="K140" i="30"/>
  <c r="L140" i="30"/>
  <c r="P140" i="30"/>
  <c r="C141" i="30"/>
  <c r="D141" i="30"/>
  <c r="E141" i="30"/>
  <c r="J141" i="30"/>
  <c r="K141" i="30"/>
  <c r="L141" i="30"/>
  <c r="M141" i="30"/>
  <c r="P141" i="30"/>
  <c r="C142" i="30"/>
  <c r="D142" i="30"/>
  <c r="E142" i="30"/>
  <c r="J142" i="30"/>
  <c r="K142" i="30"/>
  <c r="L142" i="30"/>
  <c r="M142" i="30"/>
  <c r="P142" i="30"/>
  <c r="C143" i="30"/>
  <c r="D143" i="30"/>
  <c r="E143" i="30"/>
  <c r="J143" i="30"/>
  <c r="K143" i="30"/>
  <c r="L143" i="30"/>
  <c r="P143" i="30"/>
  <c r="C144" i="30"/>
  <c r="D144" i="30"/>
  <c r="E144" i="30"/>
  <c r="J144" i="30"/>
  <c r="K144" i="30"/>
  <c r="L144" i="30"/>
  <c r="P144" i="30"/>
  <c r="C145" i="30"/>
  <c r="D145" i="30"/>
  <c r="E145" i="30"/>
  <c r="J145" i="30"/>
  <c r="K145" i="30"/>
  <c r="L145" i="30"/>
  <c r="P145" i="30"/>
  <c r="C146" i="30"/>
  <c r="D146" i="30"/>
  <c r="E146" i="30"/>
  <c r="J146" i="30"/>
  <c r="K146" i="30"/>
  <c r="L146" i="30"/>
  <c r="M146" i="30"/>
  <c r="P146" i="30"/>
  <c r="C147" i="30"/>
  <c r="D147" i="30"/>
  <c r="E147" i="30"/>
  <c r="F147" i="30"/>
  <c r="J147" i="30"/>
  <c r="K147" i="30"/>
  <c r="L147" i="30"/>
  <c r="P147" i="30"/>
  <c r="C148" i="30"/>
  <c r="D148" i="30"/>
  <c r="E148" i="30"/>
  <c r="J148" i="30"/>
  <c r="K148" i="30"/>
  <c r="L148" i="30"/>
  <c r="P148" i="30"/>
  <c r="C149" i="30"/>
  <c r="D149" i="30"/>
  <c r="E149" i="30"/>
  <c r="J149" i="30"/>
  <c r="K149" i="30"/>
  <c r="L149" i="30"/>
  <c r="C151" i="30"/>
  <c r="D151" i="30"/>
  <c r="E151" i="30"/>
  <c r="J151" i="30"/>
  <c r="K151" i="30"/>
  <c r="L151" i="30"/>
  <c r="C152" i="30"/>
  <c r="D152" i="30"/>
  <c r="E152" i="30"/>
  <c r="F152" i="30"/>
  <c r="J152" i="30"/>
  <c r="K152" i="30"/>
  <c r="L152" i="30"/>
  <c r="C153" i="30"/>
  <c r="D153" i="30"/>
  <c r="E153" i="30"/>
  <c r="F153" i="30"/>
  <c r="J153" i="30"/>
  <c r="K153" i="30"/>
  <c r="L153" i="30"/>
  <c r="P153" i="30"/>
  <c r="C154" i="30"/>
  <c r="D154" i="30"/>
  <c r="E154" i="30"/>
  <c r="J154" i="30"/>
  <c r="K154" i="30"/>
  <c r="L154" i="30"/>
  <c r="P154" i="30"/>
  <c r="C155" i="30"/>
  <c r="D155" i="30"/>
  <c r="E155" i="30"/>
  <c r="J155" i="30"/>
  <c r="K155" i="30"/>
  <c r="L155" i="30"/>
  <c r="P155" i="30"/>
  <c r="C156" i="30"/>
  <c r="D156" i="30"/>
  <c r="E156" i="30"/>
  <c r="J156" i="30"/>
  <c r="K156" i="30"/>
  <c r="L156" i="30"/>
  <c r="P156" i="30"/>
  <c r="C157" i="30"/>
  <c r="D157" i="30"/>
  <c r="E157" i="30"/>
  <c r="J157" i="30"/>
  <c r="K157" i="30"/>
  <c r="L157" i="30"/>
  <c r="M157" i="30"/>
  <c r="P157" i="30"/>
  <c r="C158" i="30"/>
  <c r="D158" i="30"/>
  <c r="E158" i="30"/>
  <c r="F158" i="30"/>
  <c r="J158" i="30"/>
  <c r="K158" i="30"/>
  <c r="L158" i="30"/>
  <c r="P158" i="30"/>
  <c r="C159" i="30"/>
  <c r="D159" i="30"/>
  <c r="E159" i="30"/>
  <c r="J159" i="30"/>
  <c r="K159" i="30"/>
  <c r="L159" i="30"/>
  <c r="P159" i="30"/>
  <c r="C160" i="30"/>
  <c r="D160" i="30"/>
  <c r="E160" i="30"/>
  <c r="F160" i="30"/>
  <c r="J160" i="30"/>
  <c r="K160" i="30"/>
  <c r="L160" i="30"/>
  <c r="P160" i="30"/>
  <c r="C161" i="30"/>
  <c r="D161" i="30"/>
  <c r="E161" i="30"/>
  <c r="J161" i="30"/>
  <c r="K161" i="30"/>
  <c r="L161" i="30"/>
  <c r="M161" i="30"/>
  <c r="P161" i="30"/>
  <c r="C162" i="30"/>
  <c r="D162" i="30"/>
  <c r="E162" i="30"/>
  <c r="J162" i="30"/>
  <c r="K162" i="30"/>
  <c r="L162" i="30"/>
  <c r="P162" i="30"/>
  <c r="P163" i="30"/>
  <c r="C164" i="30"/>
  <c r="D164" i="30"/>
  <c r="E164" i="30"/>
  <c r="J164" i="30"/>
  <c r="K164" i="30"/>
  <c r="L164" i="30"/>
  <c r="P164" i="30"/>
  <c r="C165" i="30"/>
  <c r="D165" i="30"/>
  <c r="E165" i="30"/>
  <c r="J165" i="30"/>
  <c r="K165" i="30"/>
  <c r="L165" i="30"/>
  <c r="C166" i="30"/>
  <c r="D166" i="30"/>
  <c r="E166" i="30"/>
  <c r="J166" i="30"/>
  <c r="K166" i="30"/>
  <c r="L166" i="30"/>
  <c r="C167" i="30"/>
  <c r="D167" i="30"/>
  <c r="E167" i="30"/>
  <c r="J167" i="30"/>
  <c r="K167" i="30"/>
  <c r="L167" i="30"/>
  <c r="C168" i="30"/>
  <c r="D168" i="30"/>
  <c r="E168" i="30"/>
  <c r="J168" i="30"/>
  <c r="K168" i="30"/>
  <c r="L168" i="30"/>
  <c r="M168" i="30"/>
  <c r="C169" i="30"/>
  <c r="D169" i="30"/>
  <c r="E169" i="30"/>
  <c r="F169" i="30"/>
  <c r="J169" i="30"/>
  <c r="K169" i="30"/>
  <c r="L169" i="30"/>
  <c r="C170" i="30"/>
  <c r="D170" i="30"/>
  <c r="E170" i="30"/>
  <c r="J170" i="30"/>
  <c r="K170" i="30"/>
  <c r="L170" i="30"/>
  <c r="C171" i="30"/>
  <c r="D171" i="30"/>
  <c r="E171" i="30"/>
  <c r="J171" i="30"/>
  <c r="K171" i="30"/>
  <c r="L171" i="30"/>
  <c r="C172" i="30"/>
  <c r="D172" i="30"/>
  <c r="E172" i="30"/>
  <c r="J172" i="30"/>
  <c r="K172" i="30"/>
  <c r="L172" i="30"/>
  <c r="M172" i="30"/>
  <c r="C173" i="30"/>
  <c r="D173" i="30"/>
  <c r="E173" i="30"/>
  <c r="J173" i="30"/>
  <c r="K173" i="30"/>
  <c r="L173" i="30"/>
  <c r="C174" i="30"/>
  <c r="D174" i="30"/>
  <c r="E174" i="30"/>
  <c r="J174" i="30"/>
  <c r="K174" i="30"/>
  <c r="L174" i="30"/>
  <c r="C175" i="30"/>
  <c r="D175" i="30"/>
  <c r="E175" i="30"/>
  <c r="J175" i="30"/>
  <c r="K175" i="30"/>
  <c r="L175" i="30"/>
  <c r="C177" i="30"/>
  <c r="D177" i="30"/>
  <c r="E177" i="30"/>
  <c r="J177" i="30"/>
  <c r="K177" i="30"/>
  <c r="L177" i="30"/>
  <c r="C178" i="30"/>
  <c r="D178" i="30"/>
  <c r="E178" i="30"/>
  <c r="J178" i="30"/>
  <c r="K178" i="30"/>
  <c r="L178" i="30"/>
  <c r="C179" i="30"/>
  <c r="D179" i="30"/>
  <c r="E179" i="30"/>
  <c r="J179" i="30"/>
  <c r="K179" i="30"/>
  <c r="L179" i="30"/>
  <c r="M179" i="30"/>
  <c r="C180" i="30"/>
  <c r="D180" i="30"/>
  <c r="E180" i="30"/>
  <c r="F180" i="30"/>
  <c r="J180" i="30"/>
  <c r="K180" i="30"/>
  <c r="L180" i="30"/>
  <c r="C181" i="30"/>
  <c r="D181" i="30"/>
  <c r="E181" i="30"/>
  <c r="J181" i="30"/>
  <c r="K181" i="30"/>
  <c r="L181" i="30"/>
  <c r="C182" i="30"/>
  <c r="D182" i="30"/>
  <c r="E182" i="30"/>
  <c r="J182" i="30"/>
  <c r="K182" i="30"/>
  <c r="L182" i="30"/>
  <c r="M182" i="30"/>
  <c r="C183" i="30"/>
  <c r="D183" i="30"/>
  <c r="E183" i="30"/>
  <c r="J183" i="30"/>
  <c r="K183" i="30"/>
  <c r="L183" i="30"/>
  <c r="M183" i="30"/>
  <c r="C184" i="30"/>
  <c r="D184" i="30"/>
  <c r="E184" i="30"/>
  <c r="J184" i="30"/>
  <c r="K184" i="30"/>
  <c r="L184" i="30"/>
  <c r="C185" i="30"/>
  <c r="D185" i="30"/>
  <c r="E185" i="30"/>
  <c r="J185" i="30"/>
  <c r="K185" i="30"/>
  <c r="L185" i="30"/>
  <c r="C186" i="30"/>
  <c r="D186" i="30"/>
  <c r="E186" i="30"/>
  <c r="J186" i="30"/>
  <c r="K186" i="30"/>
  <c r="L186" i="30"/>
  <c r="C187" i="30"/>
  <c r="D187" i="30"/>
  <c r="E187" i="30"/>
  <c r="J187" i="30"/>
  <c r="K187" i="30"/>
  <c r="L187" i="30"/>
  <c r="C188" i="30"/>
  <c r="D188" i="30"/>
  <c r="E188" i="30"/>
  <c r="J188" i="30"/>
  <c r="K188" i="30"/>
  <c r="L188" i="30"/>
  <c r="C190" i="30"/>
  <c r="D190" i="30"/>
  <c r="E190" i="30"/>
  <c r="J190" i="30"/>
  <c r="K190" i="30"/>
  <c r="L190" i="30"/>
  <c r="C191" i="30"/>
  <c r="D191" i="30"/>
  <c r="E191" i="30"/>
  <c r="F191" i="30"/>
  <c r="J191" i="30"/>
  <c r="K191" i="30"/>
  <c r="L191" i="30"/>
  <c r="C192" i="30"/>
  <c r="D192" i="30"/>
  <c r="E192" i="30"/>
  <c r="J192" i="30"/>
  <c r="K192" i="30"/>
  <c r="L192" i="30"/>
  <c r="C193" i="30"/>
  <c r="D193" i="30"/>
  <c r="E193" i="30"/>
  <c r="J193" i="30"/>
  <c r="K193" i="30"/>
  <c r="L193" i="30"/>
  <c r="C194" i="30"/>
  <c r="D194" i="30"/>
  <c r="E194" i="30"/>
  <c r="F194" i="30"/>
  <c r="J194" i="30"/>
  <c r="K194" i="30"/>
  <c r="L194" i="30"/>
  <c r="C195" i="30"/>
  <c r="D195" i="30"/>
  <c r="E195" i="30"/>
  <c r="F195" i="30"/>
  <c r="J195" i="30"/>
  <c r="K195" i="30"/>
  <c r="L195" i="30"/>
  <c r="C196" i="30"/>
  <c r="D196" i="30"/>
  <c r="E196" i="30"/>
  <c r="J196" i="30"/>
  <c r="K196" i="30"/>
  <c r="L196" i="30"/>
  <c r="C197" i="30"/>
  <c r="D197" i="30"/>
  <c r="E197" i="30"/>
  <c r="J197" i="30"/>
  <c r="K197" i="30"/>
  <c r="L197" i="30"/>
  <c r="M197" i="30"/>
  <c r="C198" i="30"/>
  <c r="D198" i="30"/>
  <c r="E198" i="30"/>
  <c r="J198" i="30"/>
  <c r="K198" i="30"/>
  <c r="L198" i="30"/>
  <c r="M198" i="30"/>
  <c r="C199" i="30"/>
  <c r="D199" i="30"/>
  <c r="E199" i="30"/>
  <c r="J199" i="30"/>
  <c r="K199" i="30"/>
  <c r="L199" i="30"/>
  <c r="C200" i="30"/>
  <c r="D200" i="30"/>
  <c r="E200" i="30"/>
  <c r="J200" i="30"/>
  <c r="K200" i="30"/>
  <c r="L200" i="30"/>
  <c r="C201" i="30"/>
  <c r="D201" i="30"/>
  <c r="E201" i="30"/>
  <c r="J201" i="30"/>
  <c r="K201" i="30"/>
  <c r="L201" i="30"/>
  <c r="M201" i="30"/>
  <c r="C203" i="30"/>
  <c r="D203" i="30"/>
  <c r="E203" i="30"/>
  <c r="J203" i="30"/>
  <c r="K203" i="30"/>
  <c r="L203" i="30"/>
  <c r="C204" i="30"/>
  <c r="D204" i="30"/>
  <c r="E204" i="30"/>
  <c r="J204" i="30"/>
  <c r="K204" i="30"/>
  <c r="L204" i="30"/>
  <c r="M204" i="30"/>
  <c r="C205" i="30"/>
  <c r="D205" i="30"/>
  <c r="E205" i="30"/>
  <c r="J205" i="30"/>
  <c r="K205" i="30"/>
  <c r="L205" i="30"/>
  <c r="M205" i="30"/>
  <c r="C206" i="30"/>
  <c r="D206" i="30"/>
  <c r="E206" i="30"/>
  <c r="J206" i="30"/>
  <c r="K206" i="30"/>
  <c r="L206" i="30"/>
  <c r="C207" i="30"/>
  <c r="D207" i="30"/>
  <c r="E207" i="30"/>
  <c r="J207" i="30"/>
  <c r="K207" i="30"/>
  <c r="L207" i="30"/>
  <c r="C208" i="30"/>
  <c r="D208" i="30"/>
  <c r="E208" i="30"/>
  <c r="J208" i="30"/>
  <c r="K208" i="30"/>
  <c r="L208" i="30"/>
  <c r="C209" i="30"/>
  <c r="D209" i="30"/>
  <c r="E209" i="30"/>
  <c r="J209" i="30"/>
  <c r="K209" i="30"/>
  <c r="L209" i="30"/>
  <c r="M209" i="30"/>
  <c r="C210" i="30"/>
  <c r="D210" i="30"/>
  <c r="E210" i="30"/>
  <c r="F210" i="30"/>
  <c r="J210" i="30"/>
  <c r="K210" i="30"/>
  <c r="L210" i="30"/>
  <c r="C211" i="30"/>
  <c r="D211" i="30"/>
  <c r="E211" i="30"/>
  <c r="J211" i="30"/>
  <c r="K211" i="30"/>
  <c r="L211" i="30"/>
  <c r="C212" i="30"/>
  <c r="D212" i="30"/>
  <c r="E212" i="30"/>
  <c r="J212" i="30"/>
  <c r="K212" i="30"/>
  <c r="L212" i="30"/>
  <c r="M212" i="30"/>
  <c r="C213" i="30"/>
  <c r="D213" i="30"/>
  <c r="E213" i="30"/>
  <c r="J213" i="30"/>
  <c r="K213" i="30"/>
  <c r="L213" i="30"/>
  <c r="C214" i="30"/>
  <c r="D214" i="30"/>
  <c r="E214" i="30"/>
  <c r="J214" i="30"/>
  <c r="K214" i="30"/>
  <c r="L214" i="30"/>
  <c r="C216" i="30"/>
  <c r="D216" i="30"/>
  <c r="E216" i="30"/>
  <c r="F216" i="30"/>
  <c r="J216" i="30"/>
  <c r="K216" i="30"/>
  <c r="L216" i="30"/>
  <c r="C217" i="30"/>
  <c r="D217" i="30"/>
  <c r="E217" i="30"/>
  <c r="F217" i="30"/>
  <c r="J217" i="30"/>
  <c r="K217" i="30"/>
  <c r="L217" i="30"/>
  <c r="C218" i="30"/>
  <c r="D218" i="30"/>
  <c r="E218" i="30"/>
  <c r="J218" i="30"/>
  <c r="K218" i="30"/>
  <c r="L218" i="30"/>
  <c r="C219" i="30"/>
  <c r="D219" i="30"/>
  <c r="E219" i="30"/>
  <c r="J219" i="30"/>
  <c r="K219" i="30"/>
  <c r="L219" i="30"/>
  <c r="C220" i="30"/>
  <c r="D220" i="30"/>
  <c r="E220" i="30"/>
  <c r="J220" i="30"/>
  <c r="K220" i="30"/>
  <c r="L220" i="30"/>
  <c r="M220" i="30"/>
  <c r="C221" i="30"/>
  <c r="D221" i="30"/>
  <c r="E221" i="30"/>
  <c r="F221" i="30"/>
  <c r="J221" i="30"/>
  <c r="K221" i="30"/>
  <c r="L221" i="30"/>
  <c r="C222" i="30"/>
  <c r="D222" i="30"/>
  <c r="E222" i="30"/>
  <c r="J222" i="30"/>
  <c r="K222" i="30"/>
  <c r="L222" i="30"/>
  <c r="C223" i="30"/>
  <c r="D223" i="30"/>
  <c r="E223" i="30"/>
  <c r="J223" i="30"/>
  <c r="K223" i="30"/>
  <c r="L223" i="30"/>
  <c r="C224" i="30"/>
  <c r="D224" i="30"/>
  <c r="E224" i="30"/>
  <c r="F224" i="30"/>
  <c r="J224" i="30"/>
  <c r="K224" i="30"/>
  <c r="L224" i="30"/>
  <c r="C225" i="30"/>
  <c r="D225" i="30"/>
  <c r="E225" i="30"/>
  <c r="J225" i="30"/>
  <c r="K225" i="30"/>
  <c r="L225" i="30"/>
  <c r="C226" i="30"/>
  <c r="D226" i="30"/>
  <c r="E226" i="30"/>
  <c r="J226" i="30"/>
  <c r="K226" i="30"/>
  <c r="L226" i="30"/>
  <c r="C227" i="30"/>
  <c r="D227" i="30"/>
  <c r="E227" i="30"/>
  <c r="J227" i="30"/>
  <c r="K227" i="30"/>
  <c r="L227" i="30"/>
  <c r="I249" i="30"/>
  <c r="J249" i="30"/>
  <c r="I250" i="30"/>
  <c r="J250" i="30"/>
  <c r="I251" i="30"/>
  <c r="J251" i="30"/>
  <c r="I252" i="30"/>
  <c r="J252" i="30"/>
  <c r="I253" i="30"/>
  <c r="J253" i="30"/>
  <c r="I254" i="30"/>
  <c r="J254" i="30"/>
  <c r="I255" i="30"/>
  <c r="J255" i="30"/>
  <c r="I256" i="30"/>
  <c r="J256" i="30"/>
  <c r="I257" i="30"/>
  <c r="J257" i="30"/>
  <c r="I258" i="30"/>
  <c r="J258" i="30"/>
  <c r="I259" i="30"/>
  <c r="J259" i="30"/>
  <c r="I260" i="30"/>
  <c r="J260" i="30"/>
  <c r="M155" i="30" l="1"/>
  <c r="B231" i="30"/>
  <c r="G231" i="30" s="1"/>
  <c r="M190" i="30"/>
  <c r="M191" i="30"/>
  <c r="A261" i="30"/>
  <c r="A229" i="30" s="1"/>
  <c r="K229" i="30" s="1"/>
  <c r="C231" i="30"/>
  <c r="H231" i="30" s="1"/>
  <c r="G229" i="30"/>
  <c r="L229" i="30" s="1"/>
  <c r="A235" i="30" l="1"/>
  <c r="B235" i="30"/>
  <c r="A238" i="30"/>
  <c r="A234" i="30"/>
  <c r="B238" i="30"/>
  <c r="C236" i="30"/>
  <c r="D238" i="30"/>
  <c r="D237" i="30"/>
  <c r="C234" i="30"/>
  <c r="C238" i="30"/>
  <c r="B236" i="30"/>
  <c r="D234" i="30"/>
  <c r="A232" i="30"/>
  <c r="B232" i="30"/>
  <c r="D233" i="30"/>
  <c r="C233" i="30"/>
  <c r="A236" i="30"/>
  <c r="F229" i="30"/>
  <c r="H234" i="30" s="1"/>
  <c r="B234" i="30"/>
  <c r="D235" i="30"/>
  <c r="C237" i="30"/>
  <c r="C232" i="30"/>
  <c r="A237" i="30"/>
  <c r="A233" i="30"/>
  <c r="B237" i="30"/>
  <c r="B233" i="30"/>
  <c r="D236" i="30"/>
  <c r="D232" i="30"/>
  <c r="C235" i="30"/>
  <c r="H232" i="30"/>
  <c r="O233" i="30"/>
  <c r="M237" i="30" s="1"/>
  <c r="O234" i="30"/>
  <c r="M238" i="30" s="1"/>
  <c r="D241" i="30" l="1"/>
  <c r="B243" i="30"/>
  <c r="D243" i="30"/>
  <c r="B241" i="30"/>
  <c r="I238" i="30"/>
  <c r="G234" i="30"/>
  <c r="G238" i="30"/>
  <c r="I237" i="30"/>
  <c r="F236" i="30"/>
  <c r="I233" i="30"/>
  <c r="H237" i="30"/>
  <c r="F235" i="30"/>
  <c r="F232" i="30"/>
  <c r="H236" i="30"/>
  <c r="G235" i="30"/>
  <c r="I234" i="30"/>
  <c r="H233" i="30"/>
  <c r="H238" i="30"/>
  <c r="F234" i="30"/>
  <c r="G237" i="30"/>
  <c r="G233" i="30"/>
  <c r="I236" i="30"/>
  <c r="I232" i="30"/>
  <c r="H235" i="30"/>
  <c r="F237" i="30"/>
  <c r="F233" i="30"/>
  <c r="G236" i="30"/>
  <c r="G232" i="30"/>
  <c r="I235" i="30"/>
  <c r="F238" i="30"/>
  <c r="I241" i="30" l="1"/>
  <c r="G243" i="30"/>
  <c r="I243" i="30"/>
  <c r="G241" i="30"/>
  <c r="C242" i="30"/>
  <c r="M233" i="30" s="1"/>
  <c r="L237" i="30" s="1"/>
  <c r="D14" i="4" l="1"/>
  <c r="H242" i="30"/>
  <c r="M234" i="30" s="1"/>
  <c r="L238" i="30" s="1"/>
  <c r="D15" i="4" l="1"/>
  <c r="M28" i="4" l="1"/>
  <c r="K62" i="13" l="1"/>
  <c r="K60" i="13"/>
  <c r="Q246" i="34" l="1"/>
  <c r="R273" i="34"/>
  <c r="U246" i="34" s="1"/>
  <c r="R275" i="34"/>
  <c r="U252" i="34" s="1"/>
  <c r="Q252" i="34"/>
  <c r="X247" i="34" l="1"/>
  <c r="X245" i="34"/>
  <c r="Y246" i="34"/>
  <c r="D21" i="12" s="1"/>
  <c r="V247" i="34"/>
  <c r="V245" i="34"/>
  <c r="R245" i="34"/>
  <c r="T245" i="34"/>
  <c r="T247" i="34"/>
  <c r="R247" i="34"/>
  <c r="T251" i="34"/>
  <c r="T253" i="34"/>
  <c r="R253" i="34"/>
  <c r="R251" i="34"/>
  <c r="V253" i="34"/>
  <c r="X253" i="34"/>
  <c r="X251" i="34"/>
  <c r="V251" i="34"/>
  <c r="Y252" i="34"/>
  <c r="D45" i="12" s="1"/>
  <c r="B55" i="13"/>
  <c r="K72" i="13"/>
  <c r="K73" i="13"/>
  <c r="K74" i="13"/>
  <c r="K61" i="13"/>
  <c r="S246" i="34" l="1"/>
  <c r="W252" i="34"/>
  <c r="D44" i="12" s="1"/>
  <c r="W246" i="34"/>
  <c r="D20" i="12" s="1"/>
  <c r="R274" i="34"/>
  <c r="U249" i="34" s="1"/>
  <c r="Q249" i="34"/>
  <c r="S252" i="34"/>
  <c r="S275" i="34" s="1"/>
  <c r="R283" i="34"/>
  <c r="Q261" i="34"/>
  <c r="Q264" i="34"/>
  <c r="R284" i="34"/>
  <c r="Q258" i="34"/>
  <c r="R282" i="34"/>
  <c r="S273" i="34" l="1"/>
  <c r="U273" i="34" s="1"/>
  <c r="V273" i="34" s="1"/>
  <c r="U258" i="34"/>
  <c r="R257" i="34"/>
  <c r="T257" i="34"/>
  <c r="R259" i="34"/>
  <c r="T259" i="34"/>
  <c r="U275" i="34"/>
  <c r="V275" i="34" s="1"/>
  <c r="L62" i="13"/>
  <c r="U264" i="34"/>
  <c r="T263" i="34"/>
  <c r="T265" i="34"/>
  <c r="R265" i="34"/>
  <c r="R263" i="34"/>
  <c r="T248" i="34"/>
  <c r="T250" i="34"/>
  <c r="R250" i="34"/>
  <c r="R248" i="34"/>
  <c r="U261" i="34"/>
  <c r="T260" i="34"/>
  <c r="R262" i="34"/>
  <c r="R260" i="34"/>
  <c r="T262" i="34"/>
  <c r="Y249" i="34"/>
  <c r="D33" i="12" s="1"/>
  <c r="V248" i="34"/>
  <c r="X248" i="34"/>
  <c r="X250" i="34"/>
  <c r="V250" i="34"/>
  <c r="X260" i="34" l="1"/>
  <c r="V260" i="34"/>
  <c r="L60" i="13"/>
  <c r="W249" i="34"/>
  <c r="D32" i="12" s="1"/>
  <c r="S258" i="34"/>
  <c r="S282" i="34" s="1"/>
  <c r="U282" i="34" s="1"/>
  <c r="V282" i="34" s="1"/>
  <c r="S264" i="34"/>
  <c r="S284" i="34" s="1"/>
  <c r="U284" i="34" s="1"/>
  <c r="V284" i="34" s="1"/>
  <c r="S249" i="34"/>
  <c r="S274" i="34" s="1"/>
  <c r="U274" i="34" s="1"/>
  <c r="V274" i="34" s="1"/>
  <c r="S261" i="34"/>
  <c r="S283" i="34" s="1"/>
  <c r="U283" i="34" s="1"/>
  <c r="V283" i="34" s="1"/>
  <c r="X265" i="34"/>
  <c r="V265" i="34"/>
  <c r="V263" i="34"/>
  <c r="Y264" i="34"/>
  <c r="P33" i="12" s="1"/>
  <c r="X263" i="34"/>
  <c r="Y258" i="34"/>
  <c r="P9" i="12" s="1"/>
  <c r="X257" i="34"/>
  <c r="V259" i="34"/>
  <c r="V257" i="34"/>
  <c r="X259" i="34"/>
  <c r="Y261" i="34"/>
  <c r="P21" i="12" s="1"/>
  <c r="V262" i="34"/>
  <c r="X262" i="34"/>
  <c r="L61" i="13" l="1"/>
  <c r="W264" i="34"/>
  <c r="P32" i="12" s="1"/>
  <c r="W261" i="34"/>
  <c r="P20" i="12" s="1"/>
  <c r="W258" i="34"/>
  <c r="P8" i="12" s="1"/>
  <c r="C60" i="4" l="1"/>
  <c r="A101" i="13"/>
  <c r="A89" i="13"/>
  <c r="A76" i="13"/>
  <c r="B67" i="13"/>
  <c r="B65" i="4" s="1"/>
  <c r="B56" i="4"/>
  <c r="A30" i="13"/>
  <c r="B30" i="13"/>
  <c r="B30" i="4" s="1"/>
  <c r="AA61" i="4" l="1"/>
  <c r="AA70" i="4"/>
  <c r="B9" i="35"/>
  <c r="M26" i="4" s="1"/>
  <c r="C8" i="35"/>
  <c r="B56" i="29"/>
  <c r="B30" i="29"/>
  <c r="B65" i="29"/>
  <c r="B96" i="29"/>
  <c r="K28" i="29"/>
  <c r="K25" i="29"/>
  <c r="B90" i="4"/>
  <c r="B89" i="4"/>
  <c r="B90" i="29" l="1"/>
  <c r="B89" i="29"/>
  <c r="D69" i="4"/>
  <c r="D70" i="29" s="1"/>
  <c r="D70" i="4"/>
  <c r="D71" i="29" s="1"/>
  <c r="D71" i="4"/>
  <c r="D72" i="29" s="1"/>
  <c r="D68" i="4"/>
  <c r="D69" i="29" s="1"/>
  <c r="D61" i="4"/>
  <c r="G60" i="4" s="1"/>
  <c r="D62" i="4"/>
  <c r="D63" i="4"/>
  <c r="D60" i="4"/>
  <c r="P31" i="12"/>
  <c r="P19" i="12"/>
  <c r="D55" i="12"/>
  <c r="D43" i="12"/>
  <c r="D31" i="12"/>
  <c r="P7" i="12"/>
  <c r="D19" i="12"/>
  <c r="D7" i="12"/>
  <c r="D63" i="29" l="1"/>
  <c r="D62" i="29"/>
  <c r="G69" i="29"/>
  <c r="D61" i="29"/>
  <c r="D60" i="29"/>
  <c r="T282" i="34" l="1"/>
  <c r="P6" i="12" s="1"/>
  <c r="T283" i="34"/>
  <c r="P18" i="12" s="1"/>
  <c r="T284" i="34"/>
  <c r="P30" i="12" s="1"/>
  <c r="T272" i="34"/>
  <c r="D6" i="12" s="1"/>
  <c r="T273" i="34"/>
  <c r="T274" i="34"/>
  <c r="D30" i="12" s="1"/>
  <c r="T275" i="34"/>
  <c r="D42" i="12" s="1"/>
  <c r="D18" i="12" l="1"/>
  <c r="L74" i="13" l="1"/>
  <c r="E71" i="4" s="1"/>
  <c r="F71" i="4" s="1"/>
  <c r="L72" i="13"/>
  <c r="E69" i="4" s="1"/>
  <c r="F69" i="4" s="1"/>
  <c r="F70" i="29" s="1"/>
  <c r="L73" i="13"/>
  <c r="E70" i="4" s="1"/>
  <c r="F70" i="4" s="1"/>
  <c r="E72" i="29" l="1"/>
  <c r="E71" i="29"/>
  <c r="E70" i="29"/>
  <c r="F72" i="29" l="1"/>
  <c r="F71" i="29"/>
  <c r="Q32" i="12" l="1"/>
  <c r="Q31" i="12"/>
  <c r="Q20" i="12"/>
  <c r="Q19" i="12"/>
  <c r="Q8" i="12"/>
  <c r="Q7" i="12"/>
  <c r="E56" i="12"/>
  <c r="E55" i="12"/>
  <c r="E44" i="12"/>
  <c r="E43" i="12"/>
  <c r="E32" i="12"/>
  <c r="E31" i="12"/>
  <c r="E20" i="12"/>
  <c r="E19" i="12"/>
  <c r="E8" i="12"/>
  <c r="E7" i="12"/>
  <c r="S18" i="12" l="1"/>
  <c r="U18" i="12" s="1"/>
  <c r="V18" i="12" s="1"/>
  <c r="G54" i="12"/>
  <c r="I54" i="12" s="1"/>
  <c r="K54" i="12" s="1"/>
  <c r="G30" i="12"/>
  <c r="I30" i="12" s="1"/>
  <c r="K30" i="12" s="1"/>
  <c r="S30" i="12"/>
  <c r="U30" i="12" s="1"/>
  <c r="W30" i="12" s="1"/>
  <c r="S6" i="12"/>
  <c r="U6" i="12" s="1"/>
  <c r="V6" i="12" s="1"/>
  <c r="G42" i="12"/>
  <c r="I42" i="12" s="1"/>
  <c r="K42" i="12" s="1"/>
  <c r="G18" i="12"/>
  <c r="I18" i="12" s="1"/>
  <c r="J18" i="12" s="1"/>
  <c r="G7" i="12"/>
  <c r="I7" i="12" s="1"/>
  <c r="K7" i="12" s="1"/>
  <c r="G19" i="12"/>
  <c r="I19" i="12" s="1"/>
  <c r="J19" i="12" s="1"/>
  <c r="G31" i="12"/>
  <c r="I31" i="12" s="1"/>
  <c r="K31" i="12" s="1"/>
  <c r="G43" i="12"/>
  <c r="I43" i="12" s="1"/>
  <c r="J43" i="12" s="1"/>
  <c r="G55" i="12"/>
  <c r="I55" i="12" s="1"/>
  <c r="K55" i="12" s="1"/>
  <c r="S7" i="12"/>
  <c r="U7" i="12" s="1"/>
  <c r="V7" i="12" s="1"/>
  <c r="S19" i="12"/>
  <c r="U19" i="12" s="1"/>
  <c r="W19" i="12" s="1"/>
  <c r="S31" i="12"/>
  <c r="U31" i="12" s="1"/>
  <c r="V31" i="12" s="1"/>
  <c r="W18" i="12" l="1"/>
  <c r="J30" i="12"/>
  <c r="J54" i="12"/>
  <c r="V19" i="12"/>
  <c r="J42" i="12"/>
  <c r="J7" i="12"/>
  <c r="V30" i="12"/>
  <c r="J31" i="12"/>
  <c r="J55" i="12"/>
  <c r="K18" i="12"/>
  <c r="W31" i="12"/>
  <c r="K19" i="12"/>
  <c r="K43" i="12"/>
  <c r="W7" i="12"/>
  <c r="W6" i="12"/>
  <c r="S33" i="12" l="1"/>
  <c r="U33" i="12" s="1"/>
  <c r="W33" i="12" s="1"/>
  <c r="G45" i="12"/>
  <c r="I45" i="12" s="1"/>
  <c r="J45" i="12" s="1"/>
  <c r="S8" i="12"/>
  <c r="U8" i="12" s="1"/>
  <c r="V8" i="12" s="1"/>
  <c r="S9" i="12"/>
  <c r="U9" i="12" s="1"/>
  <c r="V9" i="12" s="1"/>
  <c r="S32" i="12"/>
  <c r="U32" i="12" s="1"/>
  <c r="V32" i="12" s="1"/>
  <c r="G56" i="12"/>
  <c r="I56" i="12" s="1"/>
  <c r="J56" i="12" s="1"/>
  <c r="S20" i="12"/>
  <c r="U20" i="12" s="1"/>
  <c r="W20" i="12" s="1"/>
  <c r="G57" i="12"/>
  <c r="I57" i="12" s="1"/>
  <c r="S21" i="12" l="1"/>
  <c r="U21" i="12" s="1"/>
  <c r="W21" i="12" s="1"/>
  <c r="W23" i="12" s="1"/>
  <c r="G33" i="12"/>
  <c r="I33" i="12" s="1"/>
  <c r="K33" i="12" s="1"/>
  <c r="G21" i="12"/>
  <c r="I21" i="12" s="1"/>
  <c r="K21" i="12" s="1"/>
  <c r="V33" i="12"/>
  <c r="V35" i="12" s="1"/>
  <c r="V36" i="12" s="1"/>
  <c r="K45" i="12"/>
  <c r="V20" i="12"/>
  <c r="W8" i="12"/>
  <c r="K56" i="12"/>
  <c r="W9" i="12"/>
  <c r="W32" i="12"/>
  <c r="W35" i="12" s="1"/>
  <c r="K57" i="12"/>
  <c r="J57" i="12"/>
  <c r="J59" i="12" s="1"/>
  <c r="J60" i="12" s="1"/>
  <c r="V11" i="12"/>
  <c r="V12" i="12" s="1"/>
  <c r="A5" i="13"/>
  <c r="A6" i="13"/>
  <c r="A4" i="13"/>
  <c r="A6" i="4" l="1"/>
  <c r="A6" i="29" s="1"/>
  <c r="A5" i="4"/>
  <c r="A5" i="29" s="1"/>
  <c r="J33" i="12"/>
  <c r="K59" i="12"/>
  <c r="J61" i="12" s="1"/>
  <c r="V21" i="12"/>
  <c r="V23" i="12" s="1"/>
  <c r="V24" i="12" s="1"/>
  <c r="V25" i="12" s="1"/>
  <c r="J21" i="12"/>
  <c r="W11" i="12"/>
  <c r="V13" i="12" s="1"/>
  <c r="A4" i="4"/>
  <c r="A4" i="29" s="1"/>
  <c r="V37" i="12"/>
  <c r="W38" i="12" s="1"/>
  <c r="V38" i="12" l="1"/>
  <c r="V39" i="12" s="1"/>
  <c r="W284" i="34" s="1"/>
  <c r="J62" i="12"/>
  <c r="J63" i="12" s="1"/>
  <c r="W281" i="34" s="1"/>
  <c r="X281" i="34" s="1"/>
  <c r="K62" i="12"/>
  <c r="V26" i="12"/>
  <c r="V27" i="12" s="1"/>
  <c r="W283" i="34" s="1"/>
  <c r="W26" i="12"/>
  <c r="V14" i="12"/>
  <c r="V15" i="12" s="1"/>
  <c r="W282" i="34" s="1"/>
  <c r="W14" i="12"/>
  <c r="X282" i="34" l="1"/>
  <c r="I69" i="4"/>
  <c r="I70" i="29" s="1"/>
  <c r="I68" i="4"/>
  <c r="X283" i="34"/>
  <c r="I70" i="4"/>
  <c r="H70" i="4" s="1"/>
  <c r="X284" i="34"/>
  <c r="I71" i="4"/>
  <c r="L70" i="4" l="1"/>
  <c r="Z70" i="4" s="1"/>
  <c r="L69" i="4"/>
  <c r="Z69" i="4" s="1"/>
  <c r="H70" i="29"/>
  <c r="H69" i="4"/>
  <c r="I71" i="29"/>
  <c r="H71" i="29" s="1"/>
  <c r="H71" i="4"/>
  <c r="L71" i="4"/>
  <c r="Z71" i="4" s="1"/>
  <c r="I72" i="29"/>
  <c r="H72" i="29" s="1"/>
  <c r="H68" i="4"/>
  <c r="I69" i="29"/>
  <c r="H69" i="29" s="1"/>
  <c r="K28" i="4"/>
  <c r="K25" i="4"/>
  <c r="B20" i="13"/>
  <c r="B19" i="13"/>
  <c r="J70" i="4" l="1"/>
  <c r="J69" i="4"/>
  <c r="J71" i="4"/>
  <c r="K26" i="29" l="1"/>
  <c r="K27" i="29"/>
  <c r="K27" i="4"/>
  <c r="AC29" i="4" s="1"/>
  <c r="K26" i="4"/>
  <c r="D20" i="4"/>
  <c r="Z20" i="4" s="1"/>
  <c r="D19" i="4"/>
  <c r="Z19" i="4" s="1"/>
  <c r="D5" i="4"/>
  <c r="D6" i="4"/>
  <c r="D8" i="4"/>
  <c r="D9" i="4"/>
  <c r="D10" i="4"/>
  <c r="D11" i="29"/>
  <c r="D4" i="4"/>
  <c r="G6" i="12"/>
  <c r="I6" i="12" s="1"/>
  <c r="B98" i="4"/>
  <c r="G108" i="4"/>
  <c r="N19" i="4" l="1"/>
  <c r="D9" i="29"/>
  <c r="D4" i="29"/>
  <c r="D20" i="29"/>
  <c r="D6" i="29"/>
  <c r="D8" i="29"/>
  <c r="D10" i="29"/>
  <c r="D5" i="29"/>
  <c r="J28" i="4"/>
  <c r="K6" i="12"/>
  <c r="J6" i="12"/>
  <c r="I28" i="29" l="1"/>
  <c r="J28" i="29"/>
  <c r="J26" i="4"/>
  <c r="I26" i="29" l="1"/>
  <c r="J26" i="29"/>
  <c r="J27" i="4"/>
  <c r="I27" i="29" l="1"/>
  <c r="J27" i="29"/>
  <c r="G44" i="12" l="1"/>
  <c r="I44" i="12" s="1"/>
  <c r="J44" i="12" s="1"/>
  <c r="J47" i="12" s="1"/>
  <c r="J48" i="12" s="1"/>
  <c r="E61" i="4"/>
  <c r="E61" i="29" s="1"/>
  <c r="G32" i="12"/>
  <c r="I32" i="12" s="1"/>
  <c r="J32" i="12" s="1"/>
  <c r="J35" i="12" s="1"/>
  <c r="J36" i="12" s="1"/>
  <c r="E63" i="4"/>
  <c r="E63" i="29" s="1"/>
  <c r="G20" i="12"/>
  <c r="I20" i="12" s="1"/>
  <c r="K20" i="12" s="1"/>
  <c r="K23" i="12" s="1"/>
  <c r="E62" i="4"/>
  <c r="F63" i="4" l="1"/>
  <c r="F62" i="4"/>
  <c r="F61" i="4"/>
  <c r="E60" i="4"/>
  <c r="K44" i="12"/>
  <c r="K47" i="12" s="1"/>
  <c r="J49" i="12" s="1"/>
  <c r="K32" i="12"/>
  <c r="K35" i="12" s="1"/>
  <c r="J37" i="12" s="1"/>
  <c r="J20" i="12"/>
  <c r="J23" i="12" s="1"/>
  <c r="J24" i="12" s="1"/>
  <c r="J25" i="12" s="1"/>
  <c r="E62" i="29"/>
  <c r="F63" i="29" l="1"/>
  <c r="F60" i="4"/>
  <c r="J50" i="12"/>
  <c r="J51" i="12" s="1"/>
  <c r="K50" i="12"/>
  <c r="J38" i="12"/>
  <c r="J39" i="12" s="1"/>
  <c r="K38" i="12"/>
  <c r="J26" i="12"/>
  <c r="J27" i="12" s="1"/>
  <c r="K26" i="12"/>
  <c r="E60" i="29"/>
  <c r="F61" i="29"/>
  <c r="F62" i="29"/>
  <c r="G60" i="29" l="1"/>
  <c r="F60" i="29"/>
  <c r="W274" i="34"/>
  <c r="W273" i="34"/>
  <c r="W275" i="34"/>
  <c r="D9" i="12"/>
  <c r="G9" i="12" s="1"/>
  <c r="I9" i="12" s="1"/>
  <c r="X275" i="34" l="1"/>
  <c r="I63" i="4"/>
  <c r="X273" i="34"/>
  <c r="I61" i="4"/>
  <c r="H61" i="4" s="1"/>
  <c r="X274" i="34"/>
  <c r="I62" i="4"/>
  <c r="K9" i="12"/>
  <c r="J9" i="12"/>
  <c r="H63" i="4" l="1"/>
  <c r="L63" i="4"/>
  <c r="Z63" i="4" s="1"/>
  <c r="J63" i="4" s="1"/>
  <c r="H62" i="4"/>
  <c r="L61" i="4"/>
  <c r="Z61" i="4" s="1"/>
  <c r="J61" i="4" s="1"/>
  <c r="L62" i="4"/>
  <c r="Z62" i="4" s="1"/>
  <c r="J62" i="4" s="1"/>
  <c r="I61" i="29"/>
  <c r="H61" i="29" s="1"/>
  <c r="I62" i="29"/>
  <c r="H62" i="29" s="1"/>
  <c r="I63" i="29"/>
  <c r="H63" i="29" s="1"/>
  <c r="D8" i="12"/>
  <c r="G8" i="12" s="1"/>
  <c r="I8" i="12" s="1"/>
  <c r="J8" i="12" l="1"/>
  <c r="J11" i="12" s="1"/>
  <c r="J12" i="12" s="1"/>
  <c r="K8" i="12"/>
  <c r="K11" i="12" s="1"/>
  <c r="L71" i="13"/>
  <c r="E68" i="4" s="1"/>
  <c r="E69" i="29" l="1"/>
  <c r="F68" i="4"/>
  <c r="L68" i="4" s="1"/>
  <c r="J13" i="12"/>
  <c r="J14" i="12" s="1"/>
  <c r="J15" i="12" s="1"/>
  <c r="W272" i="34" s="1"/>
  <c r="G68" i="4"/>
  <c r="Z68" i="4" l="1"/>
  <c r="AA68" i="4" s="1"/>
  <c r="AA69" i="4" s="1"/>
  <c r="N68" i="4" s="1"/>
  <c r="X272" i="34"/>
  <c r="I60" i="4"/>
  <c r="K14" i="12"/>
  <c r="F69" i="29"/>
  <c r="H60" i="4" l="1"/>
  <c r="L60" i="4"/>
  <c r="Z60" i="4" s="1"/>
  <c r="J68" i="4"/>
  <c r="I60" i="29"/>
  <c r="H60" i="29" s="1"/>
  <c r="AA60" i="4" l="1"/>
  <c r="AB60" i="4" s="1"/>
  <c r="N60" i="4" l="1"/>
  <c r="J60" i="4"/>
  <c r="AA59" i="4" s="1"/>
  <c r="J25" i="4" l="1"/>
  <c r="I25" i="29"/>
  <c r="M25" i="4" l="1"/>
  <c r="J25" i="29"/>
  <c r="L38" i="4" l="1"/>
  <c r="Z38" i="4" s="1"/>
  <c r="K38" i="4" s="1"/>
  <c r="L43" i="4" l="1"/>
  <c r="Z43" i="4" s="1"/>
  <c r="K43" i="4" s="1"/>
  <c r="S205" i="12" l="1"/>
  <c r="U205" i="12" s="1"/>
  <c r="L41" i="4"/>
  <c r="Z41" i="4" s="1"/>
  <c r="K41" i="4" s="1"/>
  <c r="L42" i="4"/>
  <c r="Z42" i="4" s="1"/>
  <c r="K42" i="4" s="1"/>
  <c r="L44" i="4"/>
  <c r="Z44" i="4" s="1"/>
  <c r="K44" i="4" s="1"/>
  <c r="L40" i="4" l="1"/>
  <c r="Z40" i="4" s="1"/>
  <c r="K40" i="4" s="1"/>
  <c r="W205" i="12"/>
  <c r="V205" i="12"/>
  <c r="L39" i="4" l="1"/>
  <c r="Z39" i="4" s="1"/>
  <c r="K39" i="4" s="1"/>
  <c r="S206" i="12" l="1"/>
  <c r="U206" i="12" s="1"/>
  <c r="W206" i="12" l="1"/>
  <c r="W208" i="12" s="1"/>
  <c r="V206" i="12"/>
  <c r="V208" i="12" s="1"/>
  <c r="V209" i="12" s="1"/>
  <c r="V210" i="12" l="1"/>
  <c r="V211" i="12" s="1"/>
  <c r="V212" i="12" s="1"/>
  <c r="V213" i="12" s="1"/>
  <c r="N114" i="37" s="1"/>
  <c r="I50" i="4" l="1"/>
  <c r="J50" i="29" s="1"/>
  <c r="L50" i="4" l="1"/>
  <c r="Z50" i="4" s="1"/>
  <c r="N50" i="4" s="1"/>
  <c r="K50" i="4" l="1"/>
  <c r="L37" i="4" l="1"/>
  <c r="Z37" i="4" s="1"/>
  <c r="AA43" i="4" s="1"/>
  <c r="K37" i="4" l="1"/>
  <c r="D217" i="12" l="1"/>
  <c r="G217" i="12" s="1"/>
  <c r="I217" i="12" s="1"/>
  <c r="C215" i="12"/>
  <c r="D219" i="12"/>
  <c r="G219" i="12" s="1"/>
  <c r="I219" i="12" s="1"/>
  <c r="D218" i="12"/>
  <c r="G218" i="12" s="1"/>
  <c r="I218" i="12" s="1"/>
  <c r="J218" i="12" l="1"/>
  <c r="K218" i="12"/>
  <c r="K219" i="12"/>
  <c r="J219" i="12"/>
  <c r="J217" i="12"/>
  <c r="K217" i="12"/>
  <c r="K221" i="12" l="1"/>
  <c r="J221" i="12"/>
  <c r="J222" i="12" s="1"/>
  <c r="J223" i="12" l="1"/>
  <c r="J224" i="12" s="1"/>
  <c r="J225" i="12" s="1"/>
  <c r="N36" i="4" l="1"/>
  <c r="O36" i="4" s="1"/>
  <c r="K106" i="4" s="1"/>
  <c r="B83" i="4" l="1"/>
  <c r="M27" i="4" l="1"/>
  <c r="H2" i="13" l="1"/>
  <c r="H1" i="43"/>
  <c r="A2" i="4" l="1"/>
  <c r="A2" i="29" s="1"/>
  <c r="B102" i="13"/>
  <c r="B93" i="29" l="1"/>
  <c r="B9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PC-PK</author>
  </authors>
  <commentList>
    <comment ref="D22" authorId="0" shapeId="0" xr:uid="{C461E1FA-3933-46F6-848E-65F0C7512CB4}">
      <text>
        <r>
          <rPr>
            <b/>
            <sz val="9"/>
            <color indexed="81"/>
            <rFont val="Tahoma"/>
            <family val="2"/>
          </rPr>
          <t>PC-PK:</t>
        </r>
        <r>
          <rPr>
            <sz val="9"/>
            <color indexed="81"/>
            <rFont val="Tahoma"/>
            <family val="2"/>
          </rPr>
          <t xml:space="preserve">
CONTOH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PC-Sapras</author>
  </authors>
  <commentList>
    <comment ref="N137" authorId="0" shapeId="0" xr:uid="{7A311F94-BC7C-45E3-BC38-C8FC897B90C5}">
      <text>
        <r>
          <rPr>
            <b/>
            <sz val="16"/>
            <color indexed="81"/>
            <rFont val="Tahoma"/>
            <family val="2"/>
          </rPr>
          <t>INPUT DISINI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New User</author>
    <author>ASUS E402WA</author>
    <author>PC-Sapras</author>
  </authors>
  <commentList>
    <comment ref="O26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PILIH :
"G" untuk instalasi ber grounding
"NG" instalasi yang tidak bergrounding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1" shapeId="0" xr:uid="{00000000-0006-0000-0100-000002000000}">
      <text>
        <r>
          <rPr>
            <sz val="10"/>
            <color indexed="81"/>
            <rFont val="Tahoma"/>
            <family val="2"/>
          </rPr>
          <t>BILA HASILNYA KELUAR, MAKA LAKUKAN PENGUKURAN "</t>
        </r>
        <r>
          <rPr>
            <b/>
            <sz val="10"/>
            <color indexed="81"/>
            <rFont val="Tahoma"/>
            <family val="2"/>
          </rPr>
          <t>NC</t>
        </r>
        <r>
          <rPr>
            <sz val="10"/>
            <color indexed="81"/>
            <rFont val="Tahoma"/>
            <family val="2"/>
          </rPr>
          <t>" DAN HASILNYA INPUT PADA KOLOM "</t>
        </r>
        <r>
          <rPr>
            <b/>
            <sz val="10"/>
            <color indexed="81"/>
            <rFont val="Tahoma"/>
            <family val="2"/>
          </rPr>
          <t>NC</t>
        </r>
        <r>
          <rPr>
            <sz val="10"/>
            <color indexed="81"/>
            <rFont val="Tahoma"/>
            <family val="2"/>
          </rPr>
          <t>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8" authorId="1" shapeId="0" xr:uid="{00000000-0006-0000-0100-000003000000}">
      <text>
        <r>
          <rPr>
            <b/>
            <sz val="11"/>
            <color indexed="81"/>
            <rFont val="Tahoma"/>
            <family val="2"/>
          </rPr>
          <t>INPUT NILAI "NC" DISINI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9" authorId="0" shapeId="0" xr:uid="{00000000-0006-0000-0100-000004000000}">
      <text>
        <r>
          <rPr>
            <b/>
            <sz val="14"/>
            <color indexed="81"/>
            <rFont val="Times New Roman"/>
            <family val="1"/>
          </rPr>
          <t xml:space="preserve">DIGANTI PULSE RATE BILA PENGUKURAN MENGGUNAKAN SPO2 / TIDAK ADA ELEKTRODA ECG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0" authorId="2" shapeId="0" xr:uid="{DFA2E518-4ED3-4DC9-B6B2-2D599B778619}">
      <text>
        <r>
          <rPr>
            <b/>
            <sz val="9"/>
            <color indexed="81"/>
            <rFont val="Segoe UI Black"/>
            <family val="2"/>
          </rPr>
          <t>SILAHKAN PILIH "-" BILA DI UUT TIDAK TERDAPAT RESPIRASI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3" authorId="2" shapeId="0" xr:uid="{DC967705-3172-41F3-BC59-DF42FACD7E61}">
      <text>
        <r>
          <rPr>
            <sz val="9"/>
            <color indexed="81"/>
            <rFont val="Tahoma"/>
            <family val="2"/>
          </rPr>
          <t xml:space="preserve">SILAHKAN DI HIDE
</t>
        </r>
      </text>
    </comment>
  </commentList>
</comments>
</file>

<file path=xl/sharedStrings.xml><?xml version="1.0" encoding="utf-8"?>
<sst xmlns="http://schemas.openxmlformats.org/spreadsheetml/2006/main" count="4471" uniqueCount="575">
  <si>
    <t>INPUT SERTIFIKAT STOPWATCH</t>
  </si>
  <si>
    <t>1. SN. 611Q02R</t>
  </si>
  <si>
    <t>DRIFT</t>
  </si>
  <si>
    <t>U95 STD</t>
  </si>
  <si>
    <t>2. SN. 510Q06R</t>
  </si>
  <si>
    <t>3. SN. 207Q01R</t>
  </si>
  <si>
    <t>Timer</t>
  </si>
  <si>
    <t>Tahun</t>
  </si>
  <si>
    <t>s</t>
  </si>
  <si>
    <t>No.</t>
  </si>
  <si>
    <t>-</t>
  </si>
  <si>
    <t xml:space="preserve">4. SN. 510Q061R </t>
  </si>
  <si>
    <t>5 SN. 001380</t>
  </si>
  <si>
    <t>6 SN. 001381</t>
  </si>
  <si>
    <t>7. SN. 001382</t>
  </si>
  <si>
    <t>8. SN. 001383</t>
  </si>
  <si>
    <t>9. SN. 001384</t>
  </si>
  <si>
    <t>10. SN. 001385</t>
  </si>
  <si>
    <t>11 SN. 001386</t>
  </si>
  <si>
    <t>12 SN. 001387</t>
  </si>
  <si>
    <t>13. SN. 001445</t>
  </si>
  <si>
    <t>14. SN. 001449</t>
  </si>
  <si>
    <t>15. SN. 001452</t>
  </si>
  <si>
    <t>16. SN. 005018</t>
  </si>
  <si>
    <t>No Urut Titik Ukur</t>
  </si>
  <si>
    <t>Waktu</t>
  </si>
  <si>
    <t>U95    STD</t>
  </si>
  <si>
    <t>I</t>
  </si>
  <si>
    <t>VII</t>
  </si>
  <si>
    <t>II</t>
  </si>
  <si>
    <t>VIII</t>
  </si>
  <si>
    <t>III</t>
  </si>
  <si>
    <t>IX</t>
  </si>
  <si>
    <t>IV</t>
  </si>
  <si>
    <t>X</t>
  </si>
  <si>
    <t>V</t>
  </si>
  <si>
    <t>XI</t>
  </si>
  <si>
    <t>VI</t>
  </si>
  <si>
    <t>KOREKSI</t>
  </si>
  <si>
    <t>1 Tahun</t>
  </si>
  <si>
    <t>INTERPOLASI KOREKSI</t>
  </si>
  <si>
    <t>INTERPOLASI DRIFT</t>
  </si>
  <si>
    <t>Setting Alat</t>
  </si>
  <si>
    <t>Rata-rata standar</t>
  </si>
  <si>
    <t>Interpolasi Koreksi</t>
  </si>
  <si>
    <t>Rata-rata Terkoreksi</t>
  </si>
  <si>
    <t>STDEV</t>
  </si>
  <si>
    <t>Kesalahan</t>
  </si>
  <si>
    <t>Kesalahan Relatif (%)</t>
  </si>
  <si>
    <t>Koreksi</t>
  </si>
  <si>
    <t>Koreksi Relatif (%)</t>
  </si>
  <si>
    <t>Interpolasi U95</t>
  </si>
  <si>
    <t>Daya Baca UUT</t>
  </si>
  <si>
    <t>Interpolasi Drift</t>
  </si>
  <si>
    <t>Tahun Kalibrasi</t>
  </si>
  <si>
    <t xml:space="preserve">Stopwatch, Merek : Casio, Model : HS - 3, SN : 611Q02R </t>
  </si>
  <si>
    <t>Hasil pengujian waktu Pengisian tertelusur ke Satuan Internasional ( SI ) melalui PT KALIMAN</t>
  </si>
  <si>
    <t xml:space="preserve">Stopwatch, Merek : Casio, Model : HS - 80TW, SN : 510Q06R </t>
  </si>
  <si>
    <t>Hasil pengujian waktu Pengisian tertelusur ke Satuan Internasional ( SI ) melalui PPM LIPI</t>
  </si>
  <si>
    <t xml:space="preserve">Stopwatch, Merek : Casio, Model : HS - 80TW, SN :510Q061R </t>
  </si>
  <si>
    <t>Stopwatch, Merek : EXTECH, Model : 365535, SN :001380</t>
  </si>
  <si>
    <t>Stopwatch, Merek : EXTECH, Model : 365535, SN :001381</t>
  </si>
  <si>
    <t>Stopwatch, Merek : EXTECH, Model : 365535, SN :001382</t>
  </si>
  <si>
    <t>Stopwatch, Merek : EXTECH, Model : 365535, SN :001383</t>
  </si>
  <si>
    <t>Stopwatch, Merek : EXTECH, Model : 365535, SN :001384</t>
  </si>
  <si>
    <t>Stopwatch, Merek : EXTECH, Model : 365535, SN :001385</t>
  </si>
  <si>
    <t>Stopwatch, Merek : EXTECH, Model : 365535, SN :001386</t>
  </si>
  <si>
    <t>Stopwatch, Merek : EXTECH, Model : 365535, SN :001387</t>
  </si>
  <si>
    <t>Stopwatch, Merek : EXTECH, Model : 365535, SN :001445</t>
  </si>
  <si>
    <t>Stopwatch, Merek : EXTECH, Model : 365535, SN :001449</t>
  </si>
  <si>
    <t>Stopwatch, Merek : EXTECH, Model : 365535, SN :001452</t>
  </si>
  <si>
    <t>Stopwatch, Merek : EXTECH, Model : 365535, SN :005018</t>
  </si>
  <si>
    <t>INPUT SERTIFIKAT THERMOHYGROMETER</t>
  </si>
  <si>
    <t>KOREKSI KIMO THERMOHYGROMETER 15062873</t>
  </si>
  <si>
    <t>Suhu</t>
  </si>
  <si>
    <t>Kelembaban</t>
  </si>
  <si>
    <t>Tekanan</t>
  </si>
  <si>
    <r>
      <rPr>
        <b/>
        <sz val="11"/>
        <rFont val="Calibri"/>
        <family val="2"/>
      </rPr>
      <t>°</t>
    </r>
    <r>
      <rPr>
        <b/>
        <i/>
        <sz val="11"/>
        <rFont val="Times New Roman"/>
        <family val="1"/>
      </rPr>
      <t>C</t>
    </r>
  </si>
  <si>
    <t>%RH</t>
  </si>
  <si>
    <t>hPa</t>
  </si>
  <si>
    <t>KOREKSI KIMO THERMOHYGROMETER 15062874</t>
  </si>
  <si>
    <t>U95</t>
  </si>
  <si>
    <t>KOREKSI KIMO THERMOHYGROMETER 14082463</t>
  </si>
  <si>
    <t>KOREKSI KIMO THERMOHYGROMETER 15062872</t>
  </si>
  <si>
    <t>KOREKSI KIMO THERMOHYGROMETER 15062875</t>
  </si>
  <si>
    <t>KOREKSI GREISINGER 34903046</t>
  </si>
  <si>
    <t>KOREKSI GREISINGER 34903053</t>
  </si>
  <si>
    <t>KOREKSI GREISINGER 34903051</t>
  </si>
  <si>
    <t>KOREKSI GREISINGER 34904091</t>
  </si>
  <si>
    <t>KOREKSI Sekonic HE-21.000669</t>
  </si>
  <si>
    <t>KOREKSI Sekonic HE-21.000670</t>
  </si>
  <si>
    <t>KOREKSI EXTECH A.100586</t>
  </si>
  <si>
    <t>KOREKSI EXTECH A.100605</t>
  </si>
  <si>
    <t>KOREKSI EXTECH A.100609</t>
  </si>
  <si>
    <t>KOREKSI EXTECH A.100611</t>
  </si>
  <si>
    <t>KOREKSI EXTECH A.100616</t>
  </si>
  <si>
    <t>KOREKSI EXTECH A.100617</t>
  </si>
  <si>
    <t>KOREKSI EXTECH A.100618</t>
  </si>
  <si>
    <t>KOREKSI EXTECH A.100615</t>
  </si>
  <si>
    <t>No</t>
  </si>
  <si>
    <t>No urut alat</t>
  </si>
  <si>
    <t>KOREKSI THERMOHYGROMETER</t>
  </si>
  <si>
    <r>
      <rPr>
        <b/>
        <sz val="11"/>
        <rFont val="Times New Roman"/>
        <family val="1"/>
      </rPr>
      <t>°</t>
    </r>
    <r>
      <rPr>
        <b/>
        <i/>
        <sz val="11"/>
        <rFont val="Times New Roman"/>
        <family val="1"/>
      </rPr>
      <t>C</t>
    </r>
  </si>
  <si>
    <t>HASIL</t>
  </si>
  <si>
    <t>INTERPOLASI KOREKSI SUHU</t>
  </si>
  <si>
    <t>INTERPOLASI KOREKSI KELEMBABAN</t>
  </si>
  <si>
    <t>INTERPOLASI KOREKSI TEKANAN</t>
  </si>
  <si>
    <t>Konversi TEXT</t>
  </si>
  <si>
    <t xml:space="preserve">Thermohygrolight, Merek : KIMO, Model : KH-210-AO, SN : 15062873 </t>
  </si>
  <si>
    <t xml:space="preserve"> °C</t>
  </si>
  <si>
    <t xml:space="preserve">Thermohygrolight, Merek : KIMO, Model : KH-210-AO, SN : 15062874 </t>
  </si>
  <si>
    <t xml:space="preserve"> %RH</t>
  </si>
  <si>
    <t>Thermohygrolight, Merek : KIMO, Model : KH-210-AO, SN : 14082463</t>
  </si>
  <si>
    <t xml:space="preserve"> hPa</t>
  </si>
  <si>
    <t xml:space="preserve">Thermohygrolight, Merek : KIMO, Model : KH-210-AO, SN : 15062872 </t>
  </si>
  <si>
    <t xml:space="preserve">( </t>
  </si>
  <si>
    <t xml:space="preserve"> ± </t>
  </si>
  <si>
    <t xml:space="preserve"> )</t>
  </si>
  <si>
    <t xml:space="preserve">Thermohygrolight, Merek : KIMO, Model : KH-210-AO, SN : 15062875 </t>
  </si>
  <si>
    <t>Thermohygrolight, Merek : Greisinger, Model : GFTB 200, SN : 34903046</t>
  </si>
  <si>
    <t>Thermohygrolight, Merek : Greisinger, Model : GFTB 200, SN : 34903053</t>
  </si>
  <si>
    <t>Thermohygrolight, Merek : Greisinger, Model : GFTB 200, SN : 34903051</t>
  </si>
  <si>
    <t>Thermohygrolight, Merek : Greisinger, Model : GFTB 200, SN : 34904091</t>
  </si>
  <si>
    <t>Thermohygrolight, Merek : Sekonic, Model : ST-50A, SN : HE-21.000669</t>
  </si>
  <si>
    <t>Thermohygrolight, Merek : Sekonic, Model : ST-50A, SN : HE-21.000670</t>
  </si>
  <si>
    <t>Thermohygrolight, Merek : EXTECH, Model : SD700, SN : A.100586</t>
  </si>
  <si>
    <t>Thermohygrolight, Merek : EXTECH, Model : SD700, SN : A.100605</t>
  </si>
  <si>
    <t>Thermohygrolight, Merek : EXTECH, Model : SD700, SN : A.100609</t>
  </si>
  <si>
    <t>Thermohygrolight, Merek : EXTECH, Model : SD700, SN : A.100611</t>
  </si>
  <si>
    <t>Thermohygrolight, Merek : EXTECH, Model : SD700, SN : A.100616</t>
  </si>
  <si>
    <t>Thermohygrolight, Merek : EXTECH, Model : SD700, SN : A.100617</t>
  </si>
  <si>
    <t>Thermohygrolight, Merek : EXTECH, Model : SD700, SN : A.100618</t>
  </si>
  <si>
    <t>Thermohygrolight, Merek : EXTECH, Model : SD700, SN : A.100615</t>
  </si>
  <si>
    <t>III.</t>
  </si>
  <si>
    <t>Pembacaan Standar</t>
  </si>
  <si>
    <t>Pembacaan terkoreksi</t>
  </si>
  <si>
    <t>Hasil</t>
  </si>
  <si>
    <t>Tegangan jala-jala listrik</t>
  </si>
  <si>
    <t>INPUT DATA SERTIFIKAT ESA</t>
  </si>
  <si>
    <t>Parameter</t>
  </si>
  <si>
    <t>Hasil Ukur</t>
  </si>
  <si>
    <t>KOREKSI ESA</t>
  </si>
  <si>
    <t>Setting VAC</t>
  </si>
  <si>
    <t>Driff</t>
  </si>
  <si>
    <t>Tahanan isolasi kabel catu daya</t>
  </si>
  <si>
    <t>( V )</t>
  </si>
  <si>
    <t xml:space="preserve"> </t>
  </si>
  <si>
    <t>Resistansi pembumian protektif</t>
  </si>
  <si>
    <t>Current Leakage</t>
  </si>
  <si>
    <t>Arus bocor</t>
  </si>
  <si>
    <t>( uA )</t>
  </si>
  <si>
    <t xml:space="preserve">Resistansi pembumian protektif </t>
  </si>
  <si>
    <t>Main-PE</t>
  </si>
  <si>
    <r>
      <rPr>
        <b/>
        <i/>
        <sz val="11"/>
        <rFont val="Times New Roman"/>
        <family val="1"/>
      </rPr>
      <t>( M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</si>
  <si>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Resistance</t>
  </si>
  <si>
    <r>
      <rPr>
        <b/>
        <i/>
        <sz val="11"/>
        <rFont val="Times New Roman"/>
        <family val="1"/>
      </rPr>
      <t xml:space="preserve">( 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</si>
  <si>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vi</t>
  </si>
  <si>
    <t>ui</t>
  </si>
  <si>
    <t>ci</t>
  </si>
  <si>
    <t>uici</t>
  </si>
  <si>
    <t>(uici)^2</t>
  </si>
  <si>
    <t>(uici)^4/vi</t>
  </si>
  <si>
    <t xml:space="preserve">1. Repeatability </t>
  </si>
  <si>
    <t>Volt</t>
  </si>
  <si>
    <t>Arus bocor bagian yang diaplikasikan</t>
  </si>
  <si>
    <t>G</t>
  </si>
  <si>
    <t>Jumlah</t>
  </si>
  <si>
    <t>NG</t>
  </si>
  <si>
    <t>Ketidakpastian baku gabungan, Uc</t>
  </si>
  <si>
    <t>Derajat kebebasan efektif, veff</t>
  </si>
  <si>
    <t>Faktor cakupan</t>
  </si>
  <si>
    <t>Ketidakpastian bentangan, U = k.Uc</t>
  </si>
  <si>
    <t>NC</t>
  </si>
  <si>
    <t>Electrical Safety Analyzer, Merek : Fluke, Model : ESA 615, SN : 2853077</t>
  </si>
  <si>
    <t>Keterangan</t>
  </si>
  <si>
    <t>Resolusi</t>
  </si>
  <si>
    <t>Ω</t>
  </si>
  <si>
    <t>Electrical Safety Analyzer, Merek : Fluke, Model : ESA 615, SN : 3148908</t>
  </si>
  <si>
    <t>Electrical Safety Analyzer, Merek : Fluke, Model : ESA 615, SN : 3699030</t>
  </si>
  <si>
    <t>Electrical Safety Analyzer, Merek : Fluke, Model : ESA 615, SN : 4669058</t>
  </si>
  <si>
    <t>Electrical Safety Analyzer, Merek : Fluke, Model : ESA 615, SN : 4670010</t>
  </si>
  <si>
    <t>Catu daya menggunakan baterai</t>
  </si>
  <si>
    <t>Alat tidak boleh digunakan pada ruangan yang tidak dilengkapi instalasi grounding</t>
  </si>
  <si>
    <t>Electrical Safety Analyzer 11</t>
  </si>
  <si>
    <t>Di ruangan tidak terdapat instalasi grounding</t>
  </si>
  <si>
    <t>Electrical Safety Analyzer 12</t>
  </si>
  <si>
    <t xml:space="preserve">Nomor Sertifikat / No. Surat Keterangan : 70 / ......  / ...... - ...... / E - ........ </t>
  </si>
  <si>
    <t>Merek</t>
  </si>
  <si>
    <t>:</t>
  </si>
  <si>
    <t>................................................................</t>
  </si>
  <si>
    <t>Model/Tipe</t>
  </si>
  <si>
    <t>No. Seri</t>
  </si>
  <si>
    <t>Tanggal Penerimaan Alat</t>
  </si>
  <si>
    <t>Tanggal Kalibrasi</t>
  </si>
  <si>
    <t>Tempat Kalibrasi</t>
  </si>
  <si>
    <t>Nama Ruang</t>
  </si>
  <si>
    <t>Metode Kerja</t>
  </si>
  <si>
    <t>MK.087-19</t>
  </si>
  <si>
    <t xml:space="preserve">I.     </t>
  </si>
  <si>
    <t>Kondisi Ruang</t>
  </si>
  <si>
    <t>AWAL</t>
  </si>
  <si>
    <t>AKHIR</t>
  </si>
  <si>
    <t xml:space="preserve">1. Suhu </t>
  </si>
  <si>
    <t xml:space="preserve">: </t>
  </si>
  <si>
    <t>°C</t>
  </si>
  <si>
    <t>2. Kelembaban</t>
  </si>
  <si>
    <t>3. Tegangan Jala-jala</t>
  </si>
  <si>
    <t xml:space="preserve">II.     </t>
  </si>
  <si>
    <t>Pemeriksaan Kondisi Fisik dan Fungsi Alat</t>
  </si>
  <si>
    <t>Skor</t>
  </si>
  <si>
    <t>1. Fisik</t>
  </si>
  <si>
    <t>: Baik / Tidak Baik</t>
  </si>
  <si>
    <t>(Pilih salah satu dan coret yang tidak perlu)</t>
  </si>
  <si>
    <t>2. Fungsi</t>
  </si>
  <si>
    <t xml:space="preserve">Hasil Pengujian Keselamatan Listrik </t>
  </si>
  <si>
    <t xml:space="preserve"> Ambang Batas yang Diijinkan</t>
  </si>
  <si>
    <t>Resistansi Isolasi</t>
  </si>
  <si>
    <t>MΩ</t>
  </si>
  <si>
    <t>&gt; 2</t>
  </si>
  <si>
    <t>Resistansi Pembumian Protektif (kabel dapat dilepas)*</t>
  </si>
  <si>
    <t>≤ 0.2</t>
  </si>
  <si>
    <t>Resistansi Pembumian Protektif (kabel tidak dapat dilepas)*</t>
  </si>
  <si>
    <t>≤ 0.3</t>
  </si>
  <si>
    <t>Arus bocor peralatan untuk peralatan elektromedik kelas I**</t>
  </si>
  <si>
    <t>µA</t>
  </si>
  <si>
    <t>≤ 500</t>
  </si>
  <si>
    <t>Arus bocor peralatan untuk peralatan elektromedik kelas II**</t>
  </si>
  <si>
    <t>≤ 100</t>
  </si>
  <si>
    <t>Arus bocor peralatan yang diaplikasikan</t>
  </si>
  <si>
    <t>≤ 50</t>
  </si>
  <si>
    <t>*</t>
  </si>
  <si>
    <t>pilih salah satu</t>
  </si>
  <si>
    <t>**</t>
  </si>
  <si>
    <t>IV.</t>
  </si>
  <si>
    <t xml:space="preserve">Pengujian Kinerja </t>
  </si>
  <si>
    <t>a. Kalibrasi Akurasi Energi</t>
  </si>
  <si>
    <t>Setting Pada Alat</t>
  </si>
  <si>
    <t xml:space="preserve"> Pembacaan Standar</t>
  </si>
  <si>
    <t>Toleransi</t>
  </si>
  <si>
    <t>Energi ( J )</t>
  </si>
  <si>
    <t>± 15%</t>
  </si>
  <si>
    <t>* maximal keluar 2</t>
  </si>
  <si>
    <t>b. Kalibrasi Energi Maksimum 10 kali Pengisian</t>
  </si>
  <si>
    <t>200 J</t>
  </si>
  <si>
    <t>* Tidak ada yang keluar = hijau</t>
  </si>
  <si>
    <t>c. Waktu Pengisian</t>
  </si>
  <si>
    <t>Setting pada Alat</t>
  </si>
  <si>
    <t>Waktu Charging (s)</t>
  </si>
  <si>
    <t>300 J</t>
  </si>
  <si>
    <t>± 15s</t>
  </si>
  <si>
    <t>d. Kalibrasi Heart Rate</t>
  </si>
  <si>
    <t>Setting            Pada Standar</t>
  </si>
  <si>
    <t xml:space="preserve"> Pembacaan Pada Alat</t>
  </si>
  <si>
    <t>Frekuensi Heart Rate  (BPM)</t>
  </si>
  <si>
    <t>± 5 bpm</t>
  </si>
  <si>
    <t>* maximal keluar 1</t>
  </si>
  <si>
    <t>Dewasa</t>
  </si>
  <si>
    <t>Anak</t>
  </si>
  <si>
    <t>Bayi</t>
  </si>
  <si>
    <t>Respirasi       (BrPM)</t>
  </si>
  <si>
    <t>±  5 BrPM</t>
  </si>
  <si>
    <t>V.</t>
  </si>
  <si>
    <t>1. ..............................................................................................</t>
  </si>
  <si>
    <t>2. ..............................................................................................</t>
  </si>
  <si>
    <t>3. ..............................................................................................</t>
  </si>
  <si>
    <t>4. ..............................................................................................</t>
  </si>
  <si>
    <t>VI.</t>
  </si>
  <si>
    <t>Alat Yang Digunakan</t>
  </si>
  <si>
    <t>□  1. Defibrillator Analyzer, Merek : Fluke, Model : Impulse 7000 DP (1837053) / (3732537)</t>
  </si>
  <si>
    <t>□  1. Defibrillator Analyzer, Merek : Fluke, Model : Impulse 6000 D (3100070) / (4766663) / (4796071)</t>
  </si>
  <si>
    <t>□  2. Stopwatch, Merek : Casio , Model : HS - 3 / HS - 80TW, SN : (611Q02R) / (510Q06R) / (207Q01R) / (001380) / (001381) / (001382)</t>
  </si>
  <si>
    <t xml:space="preserve"> / (001383) / (001384) / (001385) / (001386) / (001387) / (001445) / (001449) / (001452) / (005018)</t>
  </si>
  <si>
    <t>□  3. Multiparameter Simulator, Merek : Fluke, Model : PS410 (21033) ; PS420 (1826055) / (1827060) ; MPS450 (184633) / (184635)</t>
  </si>
  <si>
    <t>□  3. Vital Signs Simulator, Merek : Fluke, Model : Prosim8 (3217028) / (3188428)</t>
  </si>
  <si>
    <t>□  3. Vital Signs Simulator, Merek : Fluke, Model : Prosim4 (-------) / (-------) / (-------)</t>
  </si>
  <si>
    <t>□  3. Vital Signs Simulator, Merek : RIGEL Model : UNi-SiM (05J-0804) / (11L-0293)</t>
  </si>
  <si>
    <t>□  7. Thermohygrometer, Merek : KIMO, KH-210-AO (14082463) / (15062872) /(15062873) / (15062874) / (15062875)</t>
  </si>
  <si>
    <t>□  7. Thermohygrometer, Merek : SEKONIC, ST-50A (HE 21-000669) / (HE 21-000670)</t>
  </si>
  <si>
    <t>□  7. Thermohygrobarometer, Merek : GHM - GREISINGER, Model : GFTB.200 (34903053) / (34904091) / (34903051) / (34903046)</t>
  </si>
  <si>
    <t>VII.</t>
  </si>
  <si>
    <t>Petugas Kalibrasi</t>
  </si>
  <si>
    <t>.................................</t>
  </si>
  <si>
    <t>Tanggal</t>
  </si>
  <si>
    <t>Revisi</t>
  </si>
  <si>
    <t>Pelaksana</t>
  </si>
  <si>
    <t>Penanggung jawab</t>
  </si>
  <si>
    <t>Awal</t>
  </si>
  <si>
    <t>Akhir</t>
  </si>
  <si>
    <t>Rev 2 : 17 Mei 2021</t>
  </si>
  <si>
    <t>23 / XI - 34 / E  - 001.34 DL</t>
  </si>
  <si>
    <t>Philips</t>
  </si>
  <si>
    <t>xxx</t>
  </si>
  <si>
    <t>x1</t>
  </si>
  <si>
    <t>x2</t>
  </si>
  <si>
    <t>x3</t>
  </si>
  <si>
    <t>Baik</t>
  </si>
  <si>
    <t xml:space="preserve">Hasil Pengukuran Keselamatan Listrik </t>
  </si>
  <si>
    <t>OL</t>
  </si>
  <si>
    <t>M Ω</t>
  </si>
  <si>
    <t>Ω</t>
  </si>
  <si>
    <t>Terukur Rata-Rata</t>
  </si>
  <si>
    <t>Rata-Rata Terkoreksi</t>
  </si>
  <si>
    <t>Rata-Rata Standar</t>
  </si>
  <si>
    <t>Rata - Rata Terkoreksi</t>
  </si>
  <si>
    <t>Setting Standar</t>
  </si>
  <si>
    <t>Pembacaan Alat</t>
  </si>
  <si>
    <t>Terukur Rata-Rata Alat</t>
  </si>
  <si>
    <t>Heart Rate (BPM)</t>
  </si>
  <si>
    <t>Keterangan :</t>
  </si>
  <si>
    <t>Ketidakpastian Pengukuran Energi dilaporkan pada tingkat kepercayaan 95 % dengan faktor cakupan k = 2</t>
  </si>
  <si>
    <t>Ketidakpastian Waktu Pengisian dilaporkan pada tingkat kepercayaan 95 % dengan faktor cakupan k = 2</t>
  </si>
  <si>
    <t>Ketidakpastian Pengukuran Kinerja Heart Rate dilaporkan pada tingkat kepercayaan 95 % dengan faktor cakupan k = 2</t>
  </si>
  <si>
    <t>Ketidakpastian Pengukuran Kinerja Respirasi dilaporkan pada tingkat kepercayaan 95 % dengan faktor cakupan k = 2</t>
  </si>
  <si>
    <t/>
  </si>
  <si>
    <t>Alat Yang Digunakan :</t>
  </si>
  <si>
    <t>1. Pengukuran Akurasi Energi dan Energi Maksimum 10 kali Pengisian</t>
  </si>
  <si>
    <t>Defibrillator Analyzer, Merek : Fluke, Model : Impulse 7000 D, SN : 1837053</t>
  </si>
  <si>
    <t>2. Waktu Pengisian</t>
  </si>
  <si>
    <t>3. Pengukuran ECG:</t>
  </si>
  <si>
    <t>Multiparameter Simulator, Merek : RIGEL , Model : PatSim200, SN : 11L-0293</t>
  </si>
  <si>
    <t>Kesimpulan</t>
  </si>
  <si>
    <t>VIII.</t>
  </si>
  <si>
    <t>Muhammad Iqbal Saiful Rahman</t>
  </si>
  <si>
    <t>IX.</t>
  </si>
  <si>
    <t>Tanggal Pembuatan laporan</t>
  </si>
  <si>
    <t>26 September 2019</t>
  </si>
  <si>
    <t>Vital Sign Simulator, Merek : Fluke Biomedical, Model : Prosim 8, SN : 3188428</t>
  </si>
  <si>
    <t>Vital Sign Simulator, Merek : Fluke Biomedical, Model : Prosim 8, SN : 3217028</t>
  </si>
  <si>
    <t>tertelusur ke Satuan Internasional ( SI ) melalui Caltek PTE LTD</t>
  </si>
  <si>
    <t>ECG Simulator</t>
  </si>
  <si>
    <t>PS410</t>
  </si>
  <si>
    <t>PS420 (1827055)</t>
  </si>
  <si>
    <t>PS420 (1827060)</t>
  </si>
  <si>
    <t xml:space="preserve"> KOREKSI ECG SIMULATOR</t>
  </si>
  <si>
    <t>Caltek</t>
  </si>
  <si>
    <t>Setting Heart Rate</t>
  </si>
  <si>
    <t>( BPM )</t>
  </si>
  <si>
    <t>of</t>
  </si>
  <si>
    <t>reading</t>
  </si>
  <si>
    <t>Setting Amplitude</t>
  </si>
  <si>
    <r>
      <t xml:space="preserve">( </t>
    </r>
    <r>
      <rPr>
        <b/>
        <sz val="10"/>
        <rFont val="Calibri"/>
        <family val="2"/>
      </rPr>
      <t>m</t>
    </r>
    <r>
      <rPr>
        <b/>
        <sz val="10"/>
        <rFont val="Arial"/>
        <family val="2"/>
      </rPr>
      <t>V )</t>
    </r>
  </si>
  <si>
    <t>mv</t>
  </si>
  <si>
    <t>coreksi</t>
  </si>
  <si>
    <t>Setting Square</t>
  </si>
  <si>
    <t>( Hz )</t>
  </si>
  <si>
    <t>xx</t>
  </si>
  <si>
    <t>Setting Sine</t>
  </si>
  <si>
    <t>Setting Respiration</t>
  </si>
  <si>
    <t>( BrPM )</t>
  </si>
  <si>
    <t>MPS450 (186433)</t>
  </si>
  <si>
    <t>MPS450 (186435)</t>
  </si>
  <si>
    <t>Prosim 8 (3217028)</t>
  </si>
  <si>
    <t>XX</t>
  </si>
  <si>
    <t>Prosim 8 (3188428)</t>
  </si>
  <si>
    <t>RIGEL (05J-0804)***</t>
  </si>
  <si>
    <t>RIGEL (45K-1036)***</t>
  </si>
  <si>
    <t>RIGEL (45K-1059)</t>
  </si>
  <si>
    <t>RIGEL  PatSim200, SN : 15L-0684</t>
  </si>
  <si>
    <t>RIGEL PatSim200, SN : 11L-0293</t>
  </si>
  <si>
    <t>RIGEL 1</t>
  </si>
  <si>
    <t>RIGEL  2</t>
  </si>
  <si>
    <t>RIGEL 3</t>
  </si>
  <si>
    <t>RIGEL 4</t>
  </si>
  <si>
    <t>RIGEL  5</t>
  </si>
  <si>
    <t>RIGEL 6</t>
  </si>
  <si>
    <t>RIGEL 7</t>
  </si>
  <si>
    <t>RIGEL  8</t>
  </si>
  <si>
    <t>RIGEL 9</t>
  </si>
  <si>
    <t>RIGEL 10</t>
  </si>
  <si>
    <t>RIGEL  11</t>
  </si>
  <si>
    <t>RIGEL 12</t>
  </si>
  <si>
    <t>HEART RATE</t>
  </si>
  <si>
    <t>Setting Standar
(BPM)</t>
  </si>
  <si>
    <t>Rata-rata Pembacaan</t>
  </si>
  <si>
    <t>Rata-rata Pembacaan Terkoreksi</t>
  </si>
  <si>
    <t>Koreksi 
(%)</t>
  </si>
  <si>
    <t xml:space="preserve">U95 </t>
  </si>
  <si>
    <t>U95 
(%)</t>
  </si>
  <si>
    <t>RESPIRASI</t>
  </si>
  <si>
    <t>Setting Standar
(BrPM)</t>
  </si>
  <si>
    <t>Multiparameter Simulator, Merek : Fluke Biomedical, Model : PS 410, SN : 21033</t>
  </si>
  <si>
    <t>Multiparameter Simulator, Merek : Fluke Biomedical, Model : PS 420, SN : 1826055</t>
  </si>
  <si>
    <t>Multiparameter Simulator, Merek : Fluke Biomedical, Model : PS 420, SN : 1827060</t>
  </si>
  <si>
    <t>Multiparameter Simulator, Merek : Fluke Biomedical, Model : MPS 450, SN : 184633</t>
  </si>
  <si>
    <t>Multiparameter Simulator, Merek : Fluke Biomedical, Model : MPS 450, SN : 184635</t>
  </si>
  <si>
    <t>Vital Sign Simulator, Merek : RIGEL, Model : UNI-SiM, SN : 05J-0804</t>
  </si>
  <si>
    <t>Vital Sign Simulator, Merek : RIGEL, Model : UNI-SiM, SN : 45K-1036</t>
  </si>
  <si>
    <t>Vital Sign Simulator, Merek : RIGEL, Model : UNI-SiM, SN : 45K-1059</t>
  </si>
  <si>
    <t>Multiparameter Simulator, Merek : RIGEL , Model : PatSim200, SN : 15L-0684</t>
  </si>
  <si>
    <t>Vital Sign Simulator, Merek : RIGEL1</t>
  </si>
  <si>
    <t>Vital Sign Simulator, Merek : RIGEL2</t>
  </si>
  <si>
    <t>Vital Sign Simulator, Merek : RIGEL3</t>
  </si>
  <si>
    <t>Vital Sign Simulator, Merek : RIGEL4</t>
  </si>
  <si>
    <t>Vital Sign Simulator, Merek : RIGEL5</t>
  </si>
  <si>
    <t>Vital Sign Simulator, Merek : RIGEL6</t>
  </si>
  <si>
    <t>Vital Sign Simulator, Merek : RIGEL7</t>
  </si>
  <si>
    <t>Vital Sign Simulator, Merek : RIGEL8</t>
  </si>
  <si>
    <t>Vital Sign Simulator, Merek : RIGEL9</t>
  </si>
  <si>
    <t>Vital Sign Simulator, Merek : RIGEL10</t>
  </si>
  <si>
    <t>Vital Sign Simulator, Merek : RIGEL11</t>
  </si>
  <si>
    <t>Vital Sign Simulator, Merek : RIGEL12</t>
  </si>
  <si>
    <t xml:space="preserve">Hasil kalibrasi Heart Rate </t>
  </si>
  <si>
    <t xml:space="preserve">Hasil kalibrasi Respirasi </t>
  </si>
  <si>
    <t>KL.UB - 087-19 / REV : 0</t>
  </si>
  <si>
    <t>UNCERTAINTY BUDGET</t>
  </si>
  <si>
    <t>ECG</t>
  </si>
  <si>
    <t>Hz</t>
  </si>
  <si>
    <t>ECG Resp</t>
  </si>
  <si>
    <t>BrPM</t>
  </si>
  <si>
    <t>Komponen</t>
  </si>
  <si>
    <t>Satuan</t>
  </si>
  <si>
    <t>Distribusi</t>
  </si>
  <si>
    <t>U</t>
  </si>
  <si>
    <t>Pembagi</t>
  </si>
  <si>
    <t>bpm</t>
  </si>
  <si>
    <t>normal</t>
  </si>
  <si>
    <t>2. Daya baca UUT</t>
  </si>
  <si>
    <t>rect.</t>
  </si>
  <si>
    <t xml:space="preserve">3. Drift standar </t>
  </si>
  <si>
    <t>4. Sertifikat Standar</t>
  </si>
  <si>
    <r>
      <t>Uc</t>
    </r>
    <r>
      <rPr>
        <sz val="11"/>
        <rFont val="Times New Roman"/>
        <family val="1"/>
      </rPr>
      <t xml:space="preserve"> = </t>
    </r>
    <r>
      <rPr>
        <sz val="11"/>
        <rFont val="Symbol"/>
        <family val="1"/>
        <charset val="2"/>
      </rPr>
      <t>Ö</t>
    </r>
    <r>
      <rPr>
        <sz val="11"/>
        <rFont val="Times New Roman"/>
        <family val="1"/>
      </rPr>
      <t xml:space="preserve"> [</t>
    </r>
    <r>
      <rPr>
        <sz val="11"/>
        <rFont val="Symbol"/>
        <family val="1"/>
        <charset val="2"/>
      </rPr>
      <t>S</t>
    </r>
    <r>
      <rPr>
        <sz val="11"/>
        <rFont val="Times New Roman"/>
        <family val="1"/>
      </rPr>
      <t>(u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c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)²]</t>
    </r>
  </si>
  <si>
    <r>
      <t>n</t>
    </r>
    <r>
      <rPr>
        <vertAlign val="subscript"/>
        <sz val="11"/>
        <rFont val="Times New Roman"/>
        <family val="1"/>
      </rPr>
      <t>eff</t>
    </r>
    <r>
      <rPr>
        <sz val="11"/>
        <rFont val="Times New Roman"/>
        <family val="1"/>
      </rPr>
      <t xml:space="preserve"> = u</t>
    </r>
    <r>
      <rPr>
        <vertAlign val="subscript"/>
        <sz val="11"/>
        <rFont val="Times New Roman"/>
        <family val="1"/>
      </rPr>
      <t>c</t>
    </r>
    <r>
      <rPr>
        <vertAlign val="superscript"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/ [</t>
    </r>
    <r>
      <rPr>
        <sz val="11"/>
        <rFont val="Symbol"/>
        <family val="1"/>
        <charset val="2"/>
      </rPr>
      <t>S</t>
    </r>
    <r>
      <rPr>
        <sz val="11"/>
        <rFont val="Times New Roman"/>
        <family val="1"/>
      </rPr>
      <t>(u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 xml:space="preserve"> c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</t>
    </r>
    <r>
      <rPr>
        <vertAlign val="superscript"/>
        <sz val="11"/>
        <rFont val="Times New Roman"/>
        <family val="1"/>
      </rPr>
      <t xml:space="preserve"> 4</t>
    </r>
    <r>
      <rPr>
        <sz val="11"/>
        <rFont val="Times New Roman"/>
        <family val="1"/>
      </rPr>
      <t>/</t>
    </r>
    <r>
      <rPr>
        <sz val="11"/>
        <rFont val="Symbol"/>
        <family val="1"/>
        <charset val="2"/>
      </rPr>
      <t>n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]</t>
    </r>
  </si>
  <si>
    <t>k</t>
  </si>
  <si>
    <t>U = k. Uc</t>
  </si>
  <si>
    <t>%</t>
  </si>
  <si>
    <t xml:space="preserve">Sistole </t>
  </si>
  <si>
    <t>mmHg</t>
  </si>
  <si>
    <t>Energi</t>
  </si>
  <si>
    <t>Joule</t>
  </si>
  <si>
    <t>1. Pengukuran Berulang</t>
  </si>
  <si>
    <t>2. Resolusi</t>
  </si>
  <si>
    <t>Energi 10x</t>
  </si>
  <si>
    <t>Waktu Pengisian</t>
  </si>
  <si>
    <t xml:space="preserve">2. Drift standar </t>
  </si>
  <si>
    <t>3. Sertifikat Standar</t>
  </si>
  <si>
    <t>Alat yang dikalibrasi dalam batas toleransi dan dinyatakan LAIK PAKAI, dimana hasil atau skor akhir sama dengan atau melampaui 70 % berdasarkan Keputusan Direktur Jenderal Pelayanan Kesehatan No : HK.02.02/V/0412/2020</t>
  </si>
  <si>
    <t>Alat yang dikalibrasi melebihi batas toleransi dan dinyatakan TIDAK LAIK PAKAI, dimana hasil atau skor akhir dibawah 70 % berdasarkan Keputusan Direktur Jenderal Pelayanan Kesehatan No : HK.02.02/V/0412/2020</t>
  </si>
  <si>
    <t>Resistansi Pembumian Protektif (kabel dapat dilepas)</t>
  </si>
  <si>
    <t>Resistansi Pembumian Protektif (kabel tidak dapat dilepas)</t>
  </si>
  <si>
    <t>Tidak Baik</t>
  </si>
  <si>
    <t>Arus bocor peralatan untuk peralatan elektromedik kelas I</t>
  </si>
  <si>
    <t>Arus bocor peralatan untuk peralatan elektromedik kelas II</t>
  </si>
  <si>
    <t>d. Kalibrasi Pulse Rate</t>
  </si>
  <si>
    <t>Hasil pengujian Keselamatan Listrik tertelusur ke Satuan Internasional ( SI ) melalui PT. CALTEK PTE LTD</t>
  </si>
  <si>
    <t>Hasil pengujian Keselamatan Listrik tertelusur ke Satuan Internasional ( SI ) melalui PT. Kaliman (LK-032-IDN)</t>
  </si>
  <si>
    <t>Pulse Rate (BPM)</t>
  </si>
  <si>
    <t>Hasil kalibrasi Waktu Pengisian tertelusur ke Satuan Internasional melalui PUSKIM - LIPI</t>
  </si>
  <si>
    <t>Hasil kalibrasi Waktu Pengisian tertelusur ke Satuan Internasional melalui PT. KALIMAN (LK-032-IDN)</t>
  </si>
  <si>
    <t>Penyelia</t>
  </si>
  <si>
    <t>Achmad Fauzan Adzim</t>
  </si>
  <si>
    <t>Choirul Huda</t>
  </si>
  <si>
    <t>Donny Martha</t>
  </si>
  <si>
    <t>Fatimah Novrianisa</t>
  </si>
  <si>
    <t>Fikry Faradinna</t>
  </si>
  <si>
    <t>Gusti Arya Dinata</t>
  </si>
  <si>
    <t>Hamdan Syarif</t>
  </si>
  <si>
    <t>Hary Ernanto</t>
  </si>
  <si>
    <t>Isra Mahensa</t>
  </si>
  <si>
    <t>Muhammad Arrizal Septiawan</t>
  </si>
  <si>
    <t>Muhammad Irfan Husnuzhzhan</t>
  </si>
  <si>
    <t>Muhammad Zaenuri Sugiasmoro</t>
  </si>
  <si>
    <t>Rangga Setya Hantoko</t>
  </si>
  <si>
    <t>Septia Khairunnisa</t>
  </si>
  <si>
    <t>Taufik Priawan</t>
  </si>
  <si>
    <t>Venna Filosofia</t>
  </si>
  <si>
    <t>Wardimanul Abrar</t>
  </si>
  <si>
    <t>A</t>
  </si>
  <si>
    <t>B</t>
  </si>
  <si>
    <t>C</t>
  </si>
  <si>
    <t>D</t>
  </si>
  <si>
    <t>E</t>
  </si>
  <si>
    <t>F</t>
  </si>
  <si>
    <t>Setting 
Alat</t>
  </si>
  <si>
    <t xml:space="preserve">Koreksi </t>
  </si>
  <si>
    <t>Koreksi Relatif 
(%)</t>
  </si>
  <si>
    <t>Toleransi
(%)</t>
  </si>
  <si>
    <t>Ketidakpastian Pengukuran 
(%)</t>
  </si>
  <si>
    <t>C + U95 (%)</t>
  </si>
  <si>
    <t>Setting Alat 
( Joule )</t>
  </si>
  <si>
    <t xml:space="preserve">Toleransi
</t>
  </si>
  <si>
    <t xml:space="preserve">C </t>
  </si>
  <si>
    <t>Ketidakpastian               Pengukuran</t>
  </si>
  <si>
    <t xml:space="preserve">Koreksi + U95 </t>
  </si>
  <si>
    <t>ü</t>
  </si>
  <si>
    <t>û</t>
  </si>
  <si>
    <t>Respirasi (BrPM)</t>
  </si>
  <si>
    <t>TOTAL SKOR</t>
  </si>
  <si>
    <t>Nama</t>
  </si>
  <si>
    <t>Paraf</t>
  </si>
  <si>
    <t>Dibuat Oleh</t>
  </si>
  <si>
    <t>Defibrillator Analyzer, Merek : Fluke, Model : Impulse 7000 D, SN : 3732537</t>
  </si>
  <si>
    <t>Defibrillator Analyzer, Merek : Fluke, Model : Impulse 6000 D, SN : 3100070</t>
  </si>
  <si>
    <t>KOREKSI DEFIBRILLATOR ANALYZER</t>
  </si>
  <si>
    <t>Setting Energi</t>
  </si>
  <si>
    <t>( Joule )</t>
  </si>
  <si>
    <t>ECG Normal Wave</t>
  </si>
  <si>
    <t>Defibrillator Analyzer, Merek : Fluke, Model : Impulse 6000 D, SN : 4766663</t>
  </si>
  <si>
    <t>Defibrillator Analyzer, Merek : Fluke, Model : Impulse 6000 D, SN : 4796071</t>
  </si>
  <si>
    <t>Impulse 6000 DP ( 5030040 )</t>
  </si>
  <si>
    <t>Impulse 7000 DP ( KOSONG )</t>
  </si>
  <si>
    <t>koreksi</t>
  </si>
  <si>
    <t>10 X Pengisian</t>
  </si>
  <si>
    <t>Drift</t>
  </si>
  <si>
    <t>Hasil kalibrasi Akurasi dan Energi Maksimum tertelusurke Satuan Internasional melalui CALTEK PTE LTD</t>
  </si>
  <si>
    <t>Defibrillator Analyzer, Merek : Fluke, Model : Impulse 6000 D, SN : 5030040</t>
  </si>
  <si>
    <t>1. Suhu</t>
  </si>
  <si>
    <t>Menyetujui,</t>
  </si>
  <si>
    <t>Kepala Instalasi Laboratorium</t>
  </si>
  <si>
    <t>Pengujian dan Kalibrasi</t>
  </si>
  <si>
    <t>Choirul Huda, S.Tr.Kes</t>
  </si>
  <si>
    <t>NIP 198008062010121001</t>
  </si>
  <si>
    <t>Halaman 3 dari 3 halaman</t>
  </si>
  <si>
    <t>SERTIFIKAT PENGUJIAN</t>
  </si>
  <si>
    <t xml:space="preserve">                                                                 </t>
  </si>
  <si>
    <t xml:space="preserve">Nama Alat            : </t>
  </si>
  <si>
    <t>Dental Unit</t>
  </si>
  <si>
    <t xml:space="preserve">Nomor Order           : </t>
  </si>
  <si>
    <t>Model / Tipe</t>
  </si>
  <si>
    <t>Nomor Seri</t>
  </si>
  <si>
    <t>Kapasitas</t>
  </si>
  <si>
    <t>Nama Pemilik      :</t>
  </si>
  <si>
    <t xml:space="preserve">Identitas Pemilik     : </t>
  </si>
  <si>
    <t>Alamat Pemilik</t>
  </si>
  <si>
    <t>Jalan ABC</t>
  </si>
  <si>
    <t>Laik Pakai, disarankan untuk dikalibrasi ulang pada tanggal…......</t>
  </si>
  <si>
    <t>Banjarbaru,</t>
  </si>
  <si>
    <t>Kepala Loka Pengamanan</t>
  </si>
  <si>
    <t>Fasilitas Kesehatan Banjarbaru</t>
  </si>
  <si>
    <t>Yuni Irmawati, SKM., MA</t>
  </si>
  <si>
    <t>NIP 197806222002122001</t>
  </si>
  <si>
    <t>NOMOR ORDER</t>
  </si>
  <si>
    <t>KUNCI KOP SERTIFIKAT</t>
  </si>
  <si>
    <t>PENENTU KOP SERTIFIKAT</t>
  </si>
  <si>
    <t>BAHAN</t>
  </si>
  <si>
    <t>SERTIFIKAT KALIBRASI</t>
  </si>
  <si>
    <t>BAHAN RUANGAN &amp; PENANGGUNG JAWAB</t>
  </si>
  <si>
    <t>NAMA RUANGAN PADA INPUT DATA</t>
  </si>
  <si>
    <t>Laboratorium Kalibrasi LPFK Banjarbaru</t>
  </si>
  <si>
    <t>MENAMBAH 1 TAHUN SEBELUMNYA</t>
  </si>
  <si>
    <t>MERUBAH DARI ANGKA KE HURUF</t>
  </si>
  <si>
    <t>HASIL KALIBRASI</t>
  </si>
  <si>
    <t>BAHAN GABUNGAN</t>
  </si>
  <si>
    <t xml:space="preserve">Laik Pakai, disarankan untuk dikalibrasi ulang pada tanggal </t>
  </si>
  <si>
    <t xml:space="preserve">Laik Pakai, disarankan untuk diuji ulang pada tanggal </t>
  </si>
  <si>
    <t>Tegangan U 95</t>
  </si>
  <si>
    <t xml:space="preserve"> ) </t>
  </si>
  <si>
    <t>Electrical Safety Analyzer, Merek : Fluke, Model : ESA 620, SN : 1837056</t>
  </si>
  <si>
    <t>Hasil pengukuran keselamatan listrik tertelusur ke Satuan Internasional ( SI ) melalui PT. Kaliman</t>
  </si>
  <si>
    <t>Electrical Safety Analyzer, Merek : Fluke, Model : ESA 620, SN : 1834020</t>
  </si>
  <si>
    <t>Electrical Safety Analyzer, Merek : Fluke, Model : ESA 615, SN : 2853078</t>
  </si>
  <si>
    <t>Electrical Safety Analyzer, Merek : Fluke, Model : ESA 615, SN : 3148907</t>
  </si>
  <si>
    <t>Electrical Safety Analyzer, Merek : Fluke, Model : ESA 615, SN : 5838068</t>
  </si>
  <si>
    <t>≥ 2</t>
  </si>
  <si>
    <t>M Ω</t>
  </si>
  <si>
    <t>Input NC</t>
  </si>
  <si>
    <t xml:space="preserve">≤ </t>
  </si>
  <si>
    <t>Tidak dilakukan pengukuran kelistrikan dikarenakan alat tidak boleh di matikan</t>
  </si>
  <si>
    <t>Terkoreksi</t>
  </si>
  <si>
    <t>Tidak terdapat grounding di ruangan</t>
  </si>
  <si>
    <t>Kelas I</t>
  </si>
  <si>
    <t>Alat tidak boleh digunakan pada instalasi tanpa dilengkapi grounding</t>
  </si>
  <si>
    <t>Arus Bocor</t>
  </si>
  <si>
    <t>Instalasi</t>
  </si>
  <si>
    <t xml:space="preserve"> (kabel dapat dilepas)</t>
  </si>
  <si>
    <t>(kabel tidak dapat dilepas)</t>
  </si>
  <si>
    <t>Nomor Sertifikat : 16 /</t>
  </si>
  <si>
    <t xml:space="preserve">Nomor Surat Keterangan : 16 / </t>
  </si>
  <si>
    <t>e. Kalibrasi Respirasi</t>
  </si>
  <si>
    <t>□  4. Electrical Safety Analyzer, Merek : Fluke, Model : ESA 620 (1837056) / (1834020)</t>
  </si>
  <si>
    <t>□  4. Electrical Safety Analyzer, Merek : Fluke, Model : ESA 615 (2853077) / (2853078) / (3148907) / (3148908) / (3699030)</t>
  </si>
  <si>
    <t>4. Pengukuran Keselamatan Kelistrikan :</t>
  </si>
  <si>
    <t>5. Pengukuran Suhu &amp; Kelembaban :</t>
  </si>
  <si>
    <t>LEMBAR KERJA KALIBRASI DEFIBRILLATOR WITH ECG</t>
  </si>
  <si>
    <t>INPUT DATA KALIBRASI DEFIBRILLATOR WITH ECG</t>
  </si>
  <si>
    <t>HASIL KALIBRASI DEFIBRILLATOR WITH 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</si>
</sst>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0.0"/>
    <numFmt numFmtId="165" formatCode="0.000"/>
    <numFmt numFmtId="166" formatCode="0.0000"/>
    <numFmt numFmtId="167" formatCode="0.00000"/>
    <numFmt numFmtId="168" formatCode="0\ &quot;µA&quot;"/>
    <numFmt numFmtId="169" formatCode="0.00000000"/>
    <numFmt numFmtId="170" formatCode="0.000000000"/>
    <numFmt numFmtId="171" formatCode="@\ * &quot; : &quot;"/>
    <numFmt numFmtId="172" formatCode="[$-421]dd\ mmmm\ yyyy;@"/>
    <numFmt numFmtId="173" formatCode="&quot;±&quot;\ 0.0"/>
    <numFmt numFmtId="174" formatCode="\ \≤\ 0.0\ \Ω"/>
    <numFmt numFmtId="175" formatCode="0\ &quot;BPM&quot;"/>
    <numFmt numFmtId="176" formatCode="[$-C09]d\ mmmm\ yyyy;@"/>
    <numFmt numFmtId="177" formatCode="0.0\ \Ω"/>
    <numFmt numFmtId="178" formatCode="0\ \µ\A"/>
  </numFmts>
  <fonts count="14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i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  <charset val="2"/>
    </font>
    <font>
      <sz val="12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  <font>
      <b/>
      <i/>
      <u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4"/>
      <name val="Calibri"/>
      <family val="2"/>
      <scheme val="minor"/>
    </font>
    <font>
      <sz val="13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  <font>
      <b/>
      <sz val="20"/>
      <name val="Times New Roman"/>
      <family val="1"/>
    </font>
    <font>
      <sz val="20"/>
      <name val="Calibri"/>
      <family val="2"/>
      <scheme val="minor"/>
    </font>
    <font>
      <b/>
      <u/>
      <sz val="14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u/>
      <sz val="11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i/>
      <u/>
      <sz val="11"/>
      <name val="Arial"/>
      <family val="2"/>
    </font>
    <font>
      <sz val="11"/>
      <name val="Wingdings"/>
      <charset val="2"/>
    </font>
    <font>
      <sz val="8"/>
      <name val="Calibri"/>
      <family val="2"/>
      <scheme val="minor"/>
    </font>
    <font>
      <b/>
      <sz val="22"/>
      <name val="Arial"/>
      <family val="2"/>
    </font>
    <font>
      <sz val="8"/>
      <name val="Arial"/>
      <family val="2"/>
    </font>
    <font>
      <sz val="12"/>
      <color indexed="8"/>
      <name val="Calibri"/>
      <family val="2"/>
      <scheme val="minor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14"/>
      <color indexed="8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sz val="10"/>
      <color theme="0"/>
      <name val="Times New Roman"/>
      <family val="1"/>
    </font>
    <font>
      <sz val="8"/>
      <color theme="0"/>
      <name val="Times New Roman"/>
      <family val="1"/>
    </font>
    <font>
      <b/>
      <sz val="8"/>
      <color theme="0"/>
      <name val="Times New Roman"/>
      <family val="1"/>
    </font>
    <font>
      <sz val="10"/>
      <name val="Calibri"/>
      <family val="2"/>
    </font>
    <font>
      <b/>
      <sz val="16"/>
      <name val="Times New Roman"/>
      <family val="1"/>
    </font>
    <font>
      <sz val="9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36"/>
      <name val="Arial"/>
      <family val="2"/>
    </font>
    <font>
      <sz val="28"/>
      <name val="Arial"/>
      <family val="2"/>
    </font>
    <font>
      <b/>
      <sz val="10"/>
      <name val="Calibri"/>
      <family val="2"/>
    </font>
    <font>
      <b/>
      <sz val="2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9"/>
      <name val="Times New Roman"/>
      <family val="1"/>
    </font>
    <font>
      <sz val="11"/>
      <color theme="0"/>
      <name val="Times New Roman"/>
      <family val="1"/>
    </font>
    <font>
      <sz val="10"/>
      <color theme="1"/>
      <name val="Times New Roman"/>
      <family val="1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9"/>
      <name val="Calibri"/>
      <family val="2"/>
      <scheme val="minor"/>
    </font>
    <font>
      <sz val="10"/>
      <color theme="0" tint="-0.34998626667073579"/>
      <name val="Times New Roman"/>
      <family val="1"/>
    </font>
    <font>
      <sz val="11"/>
      <color theme="0" tint="-0.34998626667073579"/>
      <name val="Arial"/>
      <family val="2"/>
    </font>
    <font>
      <b/>
      <sz val="11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i/>
      <u/>
      <sz val="8"/>
      <name val="Arial"/>
      <family val="2"/>
    </font>
    <font>
      <i/>
      <sz val="8"/>
      <name val="Arial"/>
      <family val="2"/>
    </font>
    <font>
      <b/>
      <sz val="10"/>
      <color theme="0"/>
      <name val="Arial"/>
      <family val="2"/>
    </font>
    <font>
      <b/>
      <i/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Symbol"/>
      <family val="1"/>
      <charset val="2"/>
    </font>
    <font>
      <sz val="12"/>
      <color theme="0"/>
      <name val="Times New Roman"/>
      <family val="1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name val="Wingdings"/>
      <charset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6"/>
      <color indexed="81"/>
      <name val="Tahoma"/>
      <family val="2"/>
    </font>
    <font>
      <sz val="10"/>
      <color theme="0" tint="-0.249977111117893"/>
      <name val="Arial"/>
      <family val="2"/>
    </font>
    <font>
      <i/>
      <sz val="9"/>
      <name val="Calibri"/>
      <family val="2"/>
      <scheme val="minor"/>
    </font>
    <font>
      <sz val="5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Wingdings"/>
      <charset val="2"/>
    </font>
    <font>
      <sz val="48"/>
      <name val="Arial"/>
      <family val="2"/>
    </font>
    <font>
      <sz val="48"/>
      <name val="Times New Roman"/>
      <family val="1"/>
    </font>
    <font>
      <i/>
      <sz val="8"/>
      <name val="Calibri"/>
      <family val="2"/>
      <scheme val="minor"/>
    </font>
    <font>
      <b/>
      <sz val="9"/>
      <color indexed="81"/>
      <name val="Segoe UI Black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u/>
      <sz val="24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5" tint="-0.249977111117893"/>
      <name val="Arial"/>
      <family val="2"/>
    </font>
    <font>
      <sz val="11"/>
      <color theme="1"/>
      <name val="Times New Roman"/>
      <family val="1"/>
    </font>
    <font>
      <sz val="11"/>
      <color theme="5" tint="-0.249977111117893"/>
      <name val="Times New Roman"/>
      <family val="1"/>
    </font>
    <font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+Mn-Ea"/>
      <charset val="1"/>
    </font>
    <font>
      <sz val="11"/>
      <color theme="1"/>
      <name val="Wingdings"/>
      <charset val="2"/>
    </font>
    <font>
      <sz val="10"/>
      <color theme="1"/>
      <name val="Wingdings"/>
      <charset val="2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u/>
      <sz val="18"/>
      <color rgb="FFFF0000"/>
      <name val="Arial"/>
      <family val="2"/>
    </font>
    <font>
      <sz val="12"/>
      <name val="Calibri"/>
      <family val="2"/>
    </font>
    <font>
      <b/>
      <i/>
      <sz val="18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u/>
      <sz val="10"/>
      <color rgb="FFFF0000"/>
      <name val="Arial"/>
      <family val="2"/>
    </font>
    <font>
      <sz val="11"/>
      <color theme="1"/>
      <name val="Calibri"/>
      <family val="2"/>
    </font>
    <font>
      <b/>
      <sz val="12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4" fillId="0" borderId="0"/>
    <xf numFmtId="0" fontId="113" fillId="0" borderId="0"/>
    <xf numFmtId="0" fontId="5" fillId="0" borderId="0"/>
    <xf numFmtId="0" fontId="5" fillId="0" borderId="0"/>
  </cellStyleXfs>
  <cellXfs count="2358">
    <xf numFmtId="0" fontId="0" fillId="0" borderId="0" xfId="0"/>
    <xf numFmtId="0" fontId="10" fillId="0" borderId="0" xfId="2" applyFont="1" applyAlignment="1">
      <alignment horizontal="right"/>
    </xf>
    <xf numFmtId="0" fontId="10" fillId="0" borderId="0" xfId="2" applyFont="1" applyAlignment="1">
      <alignment horizontal="center"/>
    </xf>
    <xf numFmtId="0" fontId="9" fillId="0" borderId="0" xfId="2" applyFont="1"/>
    <xf numFmtId="0" fontId="8" fillId="0" borderId="0" xfId="2" applyFont="1"/>
    <xf numFmtId="0" fontId="16" fillId="0" borderId="6" xfId="1" applyFont="1" applyBorder="1"/>
    <xf numFmtId="0" fontId="13" fillId="0" borderId="0" xfId="1" applyFont="1"/>
    <xf numFmtId="2" fontId="13" fillId="0" borderId="0" xfId="1" applyNumberFormat="1" applyFont="1"/>
    <xf numFmtId="0" fontId="8" fillId="0" borderId="0" xfId="2" applyFont="1" applyProtection="1">
      <protection locked="0"/>
    </xf>
    <xf numFmtId="0" fontId="5" fillId="0" borderId="0" xfId="0" applyFont="1"/>
    <xf numFmtId="0" fontId="20" fillId="0" borderId="0" xfId="0" applyFont="1" applyAlignment="1">
      <alignment horizontal="center" vertical="center"/>
    </xf>
    <xf numFmtId="164" fontId="9" fillId="0" borderId="0" xfId="0" applyNumberFormat="1" applyFont="1"/>
    <xf numFmtId="0" fontId="16" fillId="0" borderId="22" xfId="1" applyFont="1" applyBorder="1"/>
    <xf numFmtId="0" fontId="13" fillId="0" borderId="21" xfId="1" applyFont="1" applyBorder="1"/>
    <xf numFmtId="2" fontId="13" fillId="0" borderId="21" xfId="1" applyNumberFormat="1" applyFont="1" applyBorder="1"/>
    <xf numFmtId="0" fontId="9" fillId="0" borderId="21" xfId="1" applyFont="1" applyBorder="1"/>
    <xf numFmtId="2" fontId="13" fillId="0" borderId="21" xfId="1" applyNumberFormat="1" applyFont="1" applyBorder="1" applyAlignment="1">
      <alignment horizontal="center"/>
    </xf>
    <xf numFmtId="0" fontId="24" fillId="0" borderId="0" xfId="2" applyFont="1"/>
    <xf numFmtId="2" fontId="25" fillId="0" borderId="0" xfId="0" applyNumberFormat="1" applyFont="1" applyAlignment="1">
      <alignment horizontal="center"/>
    </xf>
    <xf numFmtId="165" fontId="25" fillId="0" borderId="0" xfId="0" applyNumberFormat="1" applyFont="1" applyAlignment="1">
      <alignment horizontal="center"/>
    </xf>
    <xf numFmtId="0" fontId="25" fillId="0" borderId="0" xfId="2" applyFont="1" applyProtection="1">
      <protection locked="0"/>
    </xf>
    <xf numFmtId="165" fontId="25" fillId="0" borderId="0" xfId="0" applyNumberFormat="1" applyFont="1" applyAlignment="1" applyProtection="1">
      <alignment horizontal="center" vertical="center"/>
      <protection locked="0"/>
    </xf>
    <xf numFmtId="165" fontId="25" fillId="0" borderId="0" xfId="2" applyNumberFormat="1" applyFont="1" applyAlignment="1" applyProtection="1">
      <alignment horizontal="center"/>
      <protection locked="0"/>
    </xf>
    <xf numFmtId="0" fontId="8" fillId="0" borderId="0" xfId="2" quotePrefix="1" applyFont="1"/>
    <xf numFmtId="0" fontId="28" fillId="0" borderId="0" xfId="2" applyFont="1" applyAlignment="1">
      <alignment horizontal="center"/>
    </xf>
    <xf numFmtId="0" fontId="29" fillId="0" borderId="0" xfId="2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2" fontId="8" fillId="0" borderId="0" xfId="2" applyNumberFormat="1" applyFont="1"/>
    <xf numFmtId="164" fontId="8" fillId="0" borderId="0" xfId="2" applyNumberFormat="1" applyFont="1"/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2" fontId="8" fillId="0" borderId="0" xfId="2" applyNumberFormat="1" applyFont="1" applyAlignment="1">
      <alignment vertical="center"/>
    </xf>
    <xf numFmtId="164" fontId="8" fillId="0" borderId="0" xfId="2" applyNumberFormat="1" applyFont="1" applyAlignment="1">
      <alignment vertical="center"/>
    </xf>
    <xf numFmtId="0" fontId="5" fillId="0" borderId="0" xfId="2"/>
    <xf numFmtId="0" fontId="30" fillId="0" borderId="0" xfId="2" applyFont="1"/>
    <xf numFmtId="0" fontId="35" fillId="0" borderId="0" xfId="2" applyFont="1"/>
    <xf numFmtId="0" fontId="35" fillId="0" borderId="0" xfId="0" applyFont="1"/>
    <xf numFmtId="0" fontId="30" fillId="0" borderId="0" xfId="0" applyFont="1"/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right"/>
    </xf>
    <xf numFmtId="164" fontId="30" fillId="0" borderId="0" xfId="0" applyNumberFormat="1" applyFont="1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 applyProtection="1">
      <alignment horizontal="left"/>
      <protection locked="0"/>
    </xf>
    <xf numFmtId="0" fontId="35" fillId="0" borderId="0" xfId="2" applyFont="1" applyProtection="1">
      <protection locked="0"/>
    </xf>
    <xf numFmtId="0" fontId="5" fillId="0" borderId="0" xfId="2" applyAlignment="1">
      <alignment horizontal="right"/>
    </xf>
    <xf numFmtId="0" fontId="30" fillId="0" borderId="2" xfId="2" quotePrefix="1" applyFont="1" applyBorder="1" applyAlignment="1">
      <alignment horizontal="center" vertical="center"/>
    </xf>
    <xf numFmtId="0" fontId="30" fillId="0" borderId="0" xfId="0" applyFont="1" applyProtection="1">
      <protection locked="0"/>
    </xf>
    <xf numFmtId="0" fontId="30" fillId="0" borderId="0" xfId="0" applyFont="1" applyAlignment="1" applyProtection="1">
      <alignment horizontal="left"/>
      <protection locked="0"/>
    </xf>
    <xf numFmtId="0" fontId="30" fillId="0" borderId="0" xfId="0" applyFont="1" applyAlignment="1">
      <alignment horizontal="left"/>
    </xf>
    <xf numFmtId="0" fontId="30" fillId="0" borderId="0" xfId="2" applyFont="1" applyAlignment="1">
      <alignment horizontal="right"/>
    </xf>
    <xf numFmtId="0" fontId="30" fillId="0" borderId="7" xfId="2" applyFont="1" applyBorder="1"/>
    <xf numFmtId="0" fontId="30" fillId="0" borderId="5" xfId="2" applyFont="1" applyBorder="1"/>
    <xf numFmtId="0" fontId="30" fillId="0" borderId="12" xfId="2" applyFont="1" applyBorder="1"/>
    <xf numFmtId="0" fontId="30" fillId="0" borderId="2" xfId="2" quotePrefix="1" applyFont="1" applyBorder="1" applyAlignment="1">
      <alignment horizontal="center"/>
    </xf>
    <xf numFmtId="0" fontId="30" fillId="0" borderId="12" xfId="0" applyFont="1" applyBorder="1" applyAlignment="1">
      <alignment horizontal="left" vertical="center"/>
    </xf>
    <xf numFmtId="0" fontId="30" fillId="0" borderId="0" xfId="2" quotePrefix="1" applyFont="1" applyAlignment="1">
      <alignment horizontal="center"/>
    </xf>
    <xf numFmtId="0" fontId="30" fillId="0" borderId="0" xfId="2" applyFont="1" applyAlignment="1">
      <alignment horizontal="right" vertical="center"/>
    </xf>
    <xf numFmtId="164" fontId="30" fillId="0" borderId="0" xfId="2" applyNumberFormat="1" applyFont="1" applyAlignment="1">
      <alignment horizontal="left" vertical="center"/>
    </xf>
    <xf numFmtId="0" fontId="30" fillId="0" borderId="0" xfId="0" applyFont="1" applyAlignment="1">
      <alignment horizontal="center" vertical="top" wrapText="1"/>
    </xf>
    <xf numFmtId="2" fontId="30" fillId="0" borderId="0" xfId="0" applyNumberFormat="1" applyFont="1" applyAlignment="1">
      <alignment horizontal="center"/>
    </xf>
    <xf numFmtId="165" fontId="30" fillId="0" borderId="0" xfId="2" applyNumberFormat="1" applyFont="1" applyAlignment="1">
      <alignment horizontal="center"/>
    </xf>
    <xf numFmtId="0" fontId="42" fillId="0" borderId="0" xfId="0" applyFont="1"/>
    <xf numFmtId="0" fontId="15" fillId="0" borderId="0" xfId="1" applyFont="1" applyAlignment="1">
      <alignment horizontal="center"/>
    </xf>
    <xf numFmtId="0" fontId="9" fillId="0" borderId="0" xfId="1" applyFont="1"/>
    <xf numFmtId="2" fontId="13" fillId="0" borderId="0" xfId="1" applyNumberFormat="1" applyFont="1" applyAlignment="1">
      <alignment horizontal="center"/>
    </xf>
    <xf numFmtId="0" fontId="15" fillId="0" borderId="4" xfId="1" applyFont="1" applyBorder="1"/>
    <xf numFmtId="0" fontId="14" fillId="0" borderId="5" xfId="1" applyBorder="1"/>
    <xf numFmtId="1" fontId="14" fillId="0" borderId="5" xfId="1" applyNumberFormat="1" applyBorder="1"/>
    <xf numFmtId="0" fontId="15" fillId="0" borderId="12" xfId="1" applyFont="1" applyBorder="1" applyAlignment="1">
      <alignment horizontal="center"/>
    </xf>
    <xf numFmtId="0" fontId="16" fillId="0" borderId="4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2" fontId="16" fillId="0" borderId="5" xfId="1" applyNumberFormat="1" applyFont="1" applyBorder="1" applyAlignment="1">
      <alignment horizontal="center"/>
    </xf>
    <xf numFmtId="0" fontId="16" fillId="0" borderId="24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1" fontId="8" fillId="0" borderId="3" xfId="1" applyNumberFormat="1" applyFont="1" applyBorder="1" applyAlignment="1">
      <alignment horizontal="center"/>
    </xf>
    <xf numFmtId="11" fontId="8" fillId="0" borderId="19" xfId="1" applyNumberFormat="1" applyFont="1" applyBorder="1" applyAlignment="1">
      <alignment horizontal="center"/>
    </xf>
    <xf numFmtId="0" fontId="8" fillId="0" borderId="4" xfId="1" applyFont="1" applyBorder="1" applyAlignment="1">
      <alignment horizontal="left"/>
    </xf>
    <xf numFmtId="0" fontId="8" fillId="0" borderId="5" xfId="1" applyFont="1" applyBorder="1" applyAlignment="1">
      <alignment horizontal="center"/>
    </xf>
    <xf numFmtId="2" fontId="8" fillId="0" borderId="32" xfId="1" applyNumberFormat="1" applyFont="1" applyBorder="1" applyAlignment="1">
      <alignment horizontal="center"/>
    </xf>
    <xf numFmtId="166" fontId="8" fillId="0" borderId="5" xfId="1" applyNumberFormat="1" applyFont="1" applyBorder="1" applyAlignment="1">
      <alignment horizontal="center"/>
    </xf>
    <xf numFmtId="11" fontId="8" fillId="0" borderId="2" xfId="1" applyNumberFormat="1" applyFont="1" applyBorder="1" applyAlignment="1">
      <alignment horizontal="center"/>
    </xf>
    <xf numFmtId="11" fontId="8" fillId="0" borderId="24" xfId="1" applyNumberFormat="1" applyFont="1" applyBorder="1" applyAlignment="1">
      <alignment horizontal="center"/>
    </xf>
    <xf numFmtId="2" fontId="8" fillId="0" borderId="2" xfId="1" applyNumberFormat="1" applyFont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11" fontId="8" fillId="0" borderId="14" xfId="1" applyNumberFormat="1" applyFont="1" applyBorder="1" applyAlignment="1">
      <alignment horizontal="center"/>
    </xf>
    <xf numFmtId="0" fontId="8" fillId="0" borderId="1" xfId="1" applyFont="1" applyBorder="1"/>
    <xf numFmtId="2" fontId="8" fillId="0" borderId="10" xfId="1" applyNumberFormat="1" applyFont="1" applyBorder="1" applyAlignment="1">
      <alignment horizontal="center"/>
    </xf>
    <xf numFmtId="11" fontId="8" fillId="0" borderId="8" xfId="1" applyNumberFormat="1" applyFont="1" applyBorder="1" applyAlignment="1">
      <alignment horizontal="center"/>
    </xf>
    <xf numFmtId="11" fontId="8" fillId="0" borderId="25" xfId="1" applyNumberFormat="1" applyFont="1" applyBorder="1" applyAlignment="1">
      <alignment horizontal="center"/>
    </xf>
    <xf numFmtId="0" fontId="16" fillId="0" borderId="4" xfId="1" applyFont="1" applyBorder="1"/>
    <xf numFmtId="0" fontId="13" fillId="0" borderId="5" xfId="1" applyFont="1" applyBorder="1"/>
    <xf numFmtId="2" fontId="13" fillId="0" borderId="5" xfId="1" applyNumberFormat="1" applyFont="1" applyBorder="1"/>
    <xf numFmtId="0" fontId="17" fillId="0" borderId="5" xfId="1" applyFont="1" applyBorder="1"/>
    <xf numFmtId="167" fontId="9" fillId="0" borderId="7" xfId="1" applyNumberFormat="1" applyFont="1" applyBorder="1" applyAlignment="1">
      <alignment horizontal="center"/>
    </xf>
    <xf numFmtId="0" fontId="9" fillId="0" borderId="24" xfId="1" applyFont="1" applyBorder="1"/>
    <xf numFmtId="11" fontId="9" fillId="0" borderId="8" xfId="1" applyNumberFormat="1" applyFont="1" applyBorder="1" applyAlignment="1">
      <alignment horizontal="center"/>
    </xf>
    <xf numFmtId="0" fontId="9" fillId="0" borderId="19" xfId="1" applyFont="1" applyBorder="1"/>
    <xf numFmtId="0" fontId="9" fillId="0" borderId="5" xfId="1" applyFont="1" applyBorder="1"/>
    <xf numFmtId="165" fontId="19" fillId="0" borderId="7" xfId="1" applyNumberFormat="1" applyFont="1" applyBorder="1" applyAlignment="1">
      <alignment horizontal="center"/>
    </xf>
    <xf numFmtId="0" fontId="16" fillId="0" borderId="9" xfId="1" applyFont="1" applyBorder="1"/>
    <xf numFmtId="0" fontId="13" fillId="0" borderId="10" xfId="1" applyFont="1" applyBorder="1"/>
    <xf numFmtId="2" fontId="13" fillId="0" borderId="10" xfId="1" applyNumberFormat="1" applyFont="1" applyBorder="1"/>
    <xf numFmtId="0" fontId="9" fillId="0" borderId="10" xfId="1" applyFont="1" applyBorder="1"/>
    <xf numFmtId="165" fontId="13" fillId="0" borderId="59" xfId="1" applyNumberFormat="1" applyFont="1" applyBorder="1" applyAlignment="1">
      <alignment horizontal="center"/>
    </xf>
    <xf numFmtId="164" fontId="30" fillId="0" borderId="2" xfId="0" applyNumberFormat="1" applyFont="1" applyBorder="1" applyAlignment="1">
      <alignment horizontal="center"/>
    </xf>
    <xf numFmtId="0" fontId="42" fillId="0" borderId="0" xfId="2" applyFont="1" applyAlignment="1">
      <alignment horizontal="center" vertical="center"/>
    </xf>
    <xf numFmtId="0" fontId="32" fillId="0" borderId="0" xfId="2" applyFont="1" applyAlignment="1">
      <alignment vertical="center"/>
    </xf>
    <xf numFmtId="0" fontId="43" fillId="0" borderId="0" xfId="0" applyFont="1" applyAlignment="1">
      <alignment horizontal="right"/>
    </xf>
    <xf numFmtId="0" fontId="20" fillId="0" borderId="2" xfId="0" applyFont="1" applyBorder="1" applyAlignment="1">
      <alignment horizontal="center" vertical="center"/>
    </xf>
    <xf numFmtId="0" fontId="30" fillId="0" borderId="5" xfId="0" applyFont="1" applyBorder="1" applyAlignment="1">
      <alignment horizontal="right" vertical="center"/>
    </xf>
    <xf numFmtId="0" fontId="16" fillId="0" borderId="4" xfId="4" applyFont="1" applyBorder="1" applyAlignment="1">
      <alignment horizontal="center" vertical="center"/>
    </xf>
    <xf numFmtId="0" fontId="5" fillId="0" borderId="0" xfId="4"/>
    <xf numFmtId="0" fontId="20" fillId="0" borderId="2" xfId="4" applyFont="1" applyBorder="1" applyAlignment="1">
      <alignment horizontal="center" vertical="center"/>
    </xf>
    <xf numFmtId="0" fontId="5" fillId="0" borderId="1" xfId="4" applyBorder="1" applyAlignment="1">
      <alignment horizontal="center"/>
    </xf>
    <xf numFmtId="0" fontId="5" fillId="0" borderId="2" xfId="4" applyBorder="1" applyAlignment="1">
      <alignment horizontal="center"/>
    </xf>
    <xf numFmtId="2" fontId="5" fillId="0" borderId="2" xfId="4" applyNumberFormat="1" applyBorder="1" applyAlignment="1">
      <alignment horizontal="center"/>
    </xf>
    <xf numFmtId="0" fontId="5" fillId="0" borderId="14" xfId="4" applyBorder="1" applyAlignment="1">
      <alignment horizontal="center"/>
    </xf>
    <xf numFmtId="0" fontId="5" fillId="0" borderId="17" xfId="4" applyBorder="1" applyAlignment="1">
      <alignment horizontal="center"/>
    </xf>
    <xf numFmtId="166" fontId="13" fillId="0" borderId="0" xfId="1" applyNumberFormat="1" applyFont="1" applyAlignment="1">
      <alignment horizontal="center"/>
    </xf>
    <xf numFmtId="165" fontId="13" fillId="0" borderId="0" xfId="1" applyNumberFormat="1" applyFont="1" applyAlignment="1">
      <alignment horizontal="center"/>
    </xf>
    <xf numFmtId="164" fontId="30" fillId="0" borderId="2" xfId="0" applyNumberFormat="1" applyFont="1" applyBorder="1" applyAlignment="1">
      <alignment horizontal="center" vertical="center" wrapText="1"/>
    </xf>
    <xf numFmtId="164" fontId="30" fillId="0" borderId="2" xfId="0" applyNumberFormat="1" applyFont="1" applyBorder="1" applyAlignment="1">
      <alignment horizontal="center" vertical="center"/>
    </xf>
    <xf numFmtId="2" fontId="30" fillId="0" borderId="2" xfId="0" applyNumberFormat="1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164" fontId="30" fillId="0" borderId="0" xfId="2" applyNumberFormat="1" applyFont="1" applyAlignment="1">
      <alignment horizontal="center" vertical="center"/>
    </xf>
    <xf numFmtId="2" fontId="30" fillId="0" borderId="0" xfId="2" applyNumberFormat="1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2" fontId="5" fillId="0" borderId="0" xfId="2" applyNumberFormat="1" applyAlignment="1">
      <alignment horizontal="center" vertical="center"/>
    </xf>
    <xf numFmtId="0" fontId="35" fillId="0" borderId="0" xfId="0" applyFont="1" applyAlignment="1">
      <alignment horizontal="center"/>
    </xf>
    <xf numFmtId="0" fontId="30" fillId="0" borderId="0" xfId="0" applyFont="1" applyAlignment="1">
      <alignment horizontal="center" vertical="top"/>
    </xf>
    <xf numFmtId="0" fontId="15" fillId="0" borderId="0" xfId="0" applyFont="1"/>
    <xf numFmtId="0" fontId="5" fillId="0" borderId="0" xfId="0" applyFont="1" applyAlignment="1">
      <alignment horizontal="left"/>
    </xf>
    <xf numFmtId="0" fontId="8" fillId="0" borderId="2" xfId="2" applyFont="1" applyBorder="1"/>
    <xf numFmtId="0" fontId="30" fillId="0" borderId="0" xfId="0" applyFont="1" applyAlignment="1">
      <alignment horizontal="center" vertical="center"/>
    </xf>
    <xf numFmtId="9" fontId="37" fillId="0" borderId="0" xfId="0" quotePrefix="1" applyNumberFormat="1" applyFont="1" applyAlignment="1">
      <alignment vertical="center"/>
    </xf>
    <xf numFmtId="0" fontId="35" fillId="0" borderId="0" xfId="0" applyFont="1" applyAlignment="1">
      <alignment horizontal="left"/>
    </xf>
    <xf numFmtId="0" fontId="8" fillId="0" borderId="2" xfId="4" applyFont="1" applyBorder="1" applyAlignment="1">
      <alignment horizontal="center"/>
    </xf>
    <xf numFmtId="0" fontId="15" fillId="0" borderId="4" xfId="4" applyFont="1" applyBorder="1"/>
    <xf numFmtId="0" fontId="5" fillId="0" borderId="5" xfId="4" applyBorder="1"/>
    <xf numFmtId="164" fontId="5" fillId="0" borderId="5" xfId="4" applyNumberFormat="1" applyBorder="1"/>
    <xf numFmtId="0" fontId="15" fillId="0" borderId="12" xfId="4" applyFont="1" applyBorder="1" applyAlignment="1">
      <alignment horizontal="center"/>
    </xf>
    <xf numFmtId="2" fontId="14" fillId="0" borderId="5" xfId="1" applyNumberFormat="1" applyBorder="1"/>
    <xf numFmtId="0" fontId="15" fillId="0" borderId="0" xfId="1" applyFont="1"/>
    <xf numFmtId="0" fontId="14" fillId="0" borderId="0" xfId="1"/>
    <xf numFmtId="0" fontId="14" fillId="0" borderId="19" xfId="1" applyBorder="1"/>
    <xf numFmtId="0" fontId="8" fillId="0" borderId="0" xfId="1" applyFont="1" applyAlignment="1">
      <alignment horizontal="center"/>
    </xf>
    <xf numFmtId="2" fontId="8" fillId="0" borderId="0" xfId="1" applyNumberFormat="1" applyFont="1" applyAlignment="1">
      <alignment horizontal="center"/>
    </xf>
    <xf numFmtId="166" fontId="8" fillId="0" borderId="0" xfId="1" applyNumberFormat="1" applyFont="1" applyAlignment="1">
      <alignment horizontal="center"/>
    </xf>
    <xf numFmtId="0" fontId="7" fillId="0" borderId="0" xfId="1" applyFont="1"/>
    <xf numFmtId="2" fontId="7" fillId="0" borderId="0" xfId="1" applyNumberFormat="1" applyFont="1"/>
    <xf numFmtId="0" fontId="18" fillId="0" borderId="0" xfId="1" applyFont="1"/>
    <xf numFmtId="0" fontId="15" fillId="0" borderId="19" xfId="1" applyFont="1" applyBorder="1"/>
    <xf numFmtId="0" fontId="15" fillId="0" borderId="21" xfId="1" applyFont="1" applyBorder="1"/>
    <xf numFmtId="0" fontId="15" fillId="0" borderId="23" xfId="1" applyFont="1" applyBorder="1"/>
    <xf numFmtId="0" fontId="15" fillId="0" borderId="0" xfId="4" applyFont="1"/>
    <xf numFmtId="1" fontId="5" fillId="0" borderId="5" xfId="4" applyNumberFormat="1" applyBorder="1"/>
    <xf numFmtId="0" fontId="15" fillId="0" borderId="22" xfId="1" applyFont="1" applyBorder="1"/>
    <xf numFmtId="2" fontId="8" fillId="0" borderId="0" xfId="2" applyNumberFormat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164" fontId="8" fillId="7" borderId="2" xfId="2" applyNumberFormat="1" applyFont="1" applyFill="1" applyBorder="1" applyAlignment="1" applyProtection="1">
      <alignment horizontal="center"/>
      <protection locked="0"/>
    </xf>
    <xf numFmtId="0" fontId="15" fillId="0" borderId="0" xfId="2" applyFont="1" applyAlignment="1">
      <alignment vertical="center"/>
    </xf>
    <xf numFmtId="0" fontId="5" fillId="0" borderId="0" xfId="5"/>
    <xf numFmtId="0" fontId="5" fillId="0" borderId="0" xfId="5" applyProtection="1">
      <protection locked="0"/>
    </xf>
    <xf numFmtId="0" fontId="8" fillId="9" borderId="24" xfId="5" applyFont="1" applyFill="1" applyBorder="1" applyAlignment="1" applyProtection="1">
      <alignment horizontal="center" vertical="center"/>
      <protection locked="0"/>
    </xf>
    <xf numFmtId="0" fontId="8" fillId="9" borderId="17" xfId="5" applyFont="1" applyFill="1" applyBorder="1" applyAlignment="1" applyProtection="1">
      <alignment horizontal="center" vertical="center"/>
      <protection locked="0"/>
    </xf>
    <xf numFmtId="0" fontId="8" fillId="9" borderId="15" xfId="5" applyFont="1" applyFill="1" applyBorder="1" applyAlignment="1" applyProtection="1">
      <alignment horizontal="center" vertical="center"/>
      <protection locked="0"/>
    </xf>
    <xf numFmtId="0" fontId="8" fillId="9" borderId="7" xfId="5" applyFont="1" applyFill="1" applyBorder="1" applyAlignment="1" applyProtection="1">
      <alignment vertical="center"/>
      <protection locked="0"/>
    </xf>
    <xf numFmtId="0" fontId="8" fillId="9" borderId="12" xfId="5" applyFont="1" applyFill="1" applyBorder="1" applyAlignment="1" applyProtection="1">
      <alignment vertical="center"/>
      <protection locked="0"/>
    </xf>
    <xf numFmtId="0" fontId="8" fillId="9" borderId="5" xfId="5" applyFont="1" applyFill="1" applyBorder="1" applyAlignment="1" applyProtection="1">
      <alignment vertical="center"/>
      <protection locked="0"/>
    </xf>
    <xf numFmtId="0" fontId="8" fillId="9" borderId="5" xfId="5" applyFont="1" applyFill="1" applyBorder="1" applyAlignment="1" applyProtection="1">
      <alignment horizontal="center" vertical="center"/>
      <protection locked="0"/>
    </xf>
    <xf numFmtId="0" fontId="8" fillId="9" borderId="4" xfId="5" applyFont="1" applyFill="1" applyBorder="1" applyAlignment="1" applyProtection="1">
      <alignment horizontal="left" vertical="center"/>
      <protection locked="0"/>
    </xf>
    <xf numFmtId="0" fontId="8" fillId="9" borderId="14" xfId="5" applyFont="1" applyFill="1" applyBorder="1" applyAlignment="1" applyProtection="1">
      <alignment horizontal="center" vertical="center"/>
      <protection locked="0"/>
    </xf>
    <xf numFmtId="0" fontId="8" fillId="9" borderId="1" xfId="5" applyFont="1" applyFill="1" applyBorder="1" applyAlignment="1" applyProtection="1">
      <alignment horizontal="center" vertical="center"/>
      <protection locked="0"/>
    </xf>
    <xf numFmtId="0" fontId="8" fillId="9" borderId="4" xfId="5" applyFont="1" applyFill="1" applyBorder="1" applyAlignment="1" applyProtection="1">
      <alignment vertical="center"/>
      <protection locked="0"/>
    </xf>
    <xf numFmtId="0" fontId="8" fillId="9" borderId="39" xfId="5" applyFont="1" applyFill="1" applyBorder="1" applyAlignment="1" applyProtection="1">
      <alignment horizontal="center" vertical="center"/>
      <protection locked="0"/>
    </xf>
    <xf numFmtId="0" fontId="8" fillId="9" borderId="41" xfId="5" applyFont="1" applyFill="1" applyBorder="1" applyAlignment="1" applyProtection="1">
      <alignment horizontal="center" vertical="center"/>
      <protection locked="0"/>
    </xf>
    <xf numFmtId="2" fontId="8" fillId="3" borderId="23" xfId="4" applyNumberFormat="1" applyFont="1" applyFill="1" applyBorder="1" applyAlignment="1">
      <alignment horizontal="center"/>
    </xf>
    <xf numFmtId="0" fontId="8" fillId="3" borderId="23" xfId="5" applyFont="1" applyFill="1" applyBorder="1"/>
    <xf numFmtId="0" fontId="8" fillId="3" borderId="21" xfId="5" applyFont="1" applyFill="1" applyBorder="1"/>
    <xf numFmtId="164" fontId="11" fillId="3" borderId="64" xfId="5" applyNumberFormat="1" applyFont="1" applyFill="1" applyBorder="1" applyAlignment="1">
      <alignment horizontal="center"/>
    </xf>
    <xf numFmtId="164" fontId="11" fillId="3" borderId="16" xfId="5" applyNumberFormat="1" applyFont="1" applyFill="1" applyBorder="1" applyAlignment="1">
      <alignment horizontal="center"/>
    </xf>
    <xf numFmtId="164" fontId="11" fillId="3" borderId="63" xfId="5" applyNumberFormat="1" applyFont="1" applyFill="1" applyBorder="1" applyAlignment="1">
      <alignment horizontal="center"/>
    </xf>
    <xf numFmtId="0" fontId="11" fillId="3" borderId="15" xfId="5" applyFont="1" applyFill="1" applyBorder="1" applyAlignment="1">
      <alignment horizontal="center" vertical="center"/>
    </xf>
    <xf numFmtId="165" fontId="8" fillId="3" borderId="21" xfId="5" applyNumberFormat="1" applyFont="1" applyFill="1" applyBorder="1" applyAlignment="1">
      <alignment horizontal="center"/>
    </xf>
    <xf numFmtId="2" fontId="16" fillId="3" borderId="19" xfId="4" applyNumberFormat="1" applyFont="1" applyFill="1" applyBorder="1" applyAlignment="1">
      <alignment horizontal="center"/>
    </xf>
    <xf numFmtId="0" fontId="8" fillId="3" borderId="19" xfId="5" applyFont="1" applyFill="1" applyBorder="1"/>
    <xf numFmtId="0" fontId="8" fillId="3" borderId="0" xfId="5" applyFont="1" applyFill="1"/>
    <xf numFmtId="164" fontId="11" fillId="3" borderId="14" xfId="5" applyNumberFormat="1" applyFont="1" applyFill="1" applyBorder="1" applyAlignment="1">
      <alignment horizontal="center"/>
    </xf>
    <xf numFmtId="164" fontId="11" fillId="3" borderId="2" xfId="5" applyNumberFormat="1" applyFont="1" applyFill="1" applyBorder="1" applyAlignment="1">
      <alignment horizontal="center"/>
    </xf>
    <xf numFmtId="164" fontId="11" fillId="3" borderId="1" xfId="5" applyNumberFormat="1" applyFont="1" applyFill="1" applyBorder="1" applyAlignment="1">
      <alignment horizontal="center" vertical="center"/>
    </xf>
    <xf numFmtId="0" fontId="52" fillId="3" borderId="0" xfId="5" applyFont="1" applyFill="1" applyAlignment="1">
      <alignment vertical="center"/>
    </xf>
    <xf numFmtId="0" fontId="8" fillId="3" borderId="19" xfId="4" applyFont="1" applyFill="1" applyBorder="1"/>
    <xf numFmtId="164" fontId="11" fillId="3" borderId="39" xfId="5" applyNumberFormat="1" applyFont="1" applyFill="1" applyBorder="1" applyAlignment="1">
      <alignment horizontal="center"/>
    </xf>
    <xf numFmtId="164" fontId="11" fillId="3" borderId="42" xfId="5" applyNumberFormat="1" applyFont="1" applyFill="1" applyBorder="1" applyAlignment="1">
      <alignment horizontal="center"/>
    </xf>
    <xf numFmtId="0" fontId="11" fillId="3" borderId="40" xfId="5" applyFont="1" applyFill="1" applyBorder="1" applyAlignment="1">
      <alignment horizontal="center" vertical="center"/>
    </xf>
    <xf numFmtId="0" fontId="11" fillId="3" borderId="41" xfId="5" applyFont="1" applyFill="1" applyBorder="1" applyAlignment="1">
      <alignment horizontal="center" vertical="center"/>
    </xf>
    <xf numFmtId="166" fontId="13" fillId="3" borderId="19" xfId="4" applyNumberFormat="1" applyFont="1" applyFill="1" applyBorder="1" applyAlignment="1">
      <alignment horizontal="center"/>
    </xf>
    <xf numFmtId="0" fontId="13" fillId="3" borderId="19" xfId="4" applyFont="1" applyFill="1" applyBorder="1"/>
    <xf numFmtId="0" fontId="13" fillId="3" borderId="0" xfId="4" applyFont="1" applyFill="1"/>
    <xf numFmtId="0" fontId="9" fillId="3" borderId="0" xfId="4" applyFont="1" applyFill="1"/>
    <xf numFmtId="0" fontId="11" fillId="3" borderId="0" xfId="4" applyFont="1" applyFill="1" applyAlignment="1">
      <alignment vertical="center"/>
    </xf>
    <xf numFmtId="165" fontId="19" fillId="3" borderId="19" xfId="4" applyNumberFormat="1" applyFont="1" applyFill="1" applyBorder="1" applyAlignment="1">
      <alignment horizontal="center"/>
    </xf>
    <xf numFmtId="2" fontId="27" fillId="0" borderId="2" xfId="5" applyNumberFormat="1" applyFont="1" applyBorder="1" applyAlignment="1">
      <alignment horizontal="center" vertical="center"/>
    </xf>
    <xf numFmtId="0" fontId="8" fillId="3" borderId="2" xfId="5" applyFont="1" applyFill="1" applyBorder="1"/>
    <xf numFmtId="0" fontId="8" fillId="3" borderId="6" xfId="5" applyFont="1" applyFill="1" applyBorder="1"/>
    <xf numFmtId="11" fontId="8" fillId="3" borderId="19" xfId="4" applyNumberFormat="1" applyFont="1" applyFill="1" applyBorder="1" applyAlignment="1">
      <alignment horizontal="center"/>
    </xf>
    <xf numFmtId="0" fontId="27" fillId="0" borderId="2" xfId="5" applyFont="1" applyBorder="1" applyAlignment="1">
      <alignment vertical="center"/>
    </xf>
    <xf numFmtId="0" fontId="9" fillId="3" borderId="2" xfId="4" applyFont="1" applyFill="1" applyBorder="1" applyAlignment="1">
      <alignment horizontal="center" vertical="center"/>
    </xf>
    <xf numFmtId="164" fontId="8" fillId="3" borderId="17" xfId="5" applyNumberFormat="1" applyFont="1" applyFill="1" applyBorder="1" applyAlignment="1">
      <alignment horizontal="center" vertical="center"/>
    </xf>
    <xf numFmtId="164" fontId="8" fillId="3" borderId="16" xfId="5" applyNumberFormat="1" applyFont="1" applyFill="1" applyBorder="1" applyAlignment="1">
      <alignment horizontal="center" vertical="center"/>
    </xf>
    <xf numFmtId="164" fontId="8" fillId="3" borderId="15" xfId="5" applyNumberFormat="1" applyFont="1" applyFill="1" applyBorder="1" applyAlignment="1">
      <alignment horizontal="center" vertical="center"/>
    </xf>
    <xf numFmtId="167" fontId="9" fillId="3" borderId="19" xfId="4" applyNumberFormat="1" applyFont="1" applyFill="1" applyBorder="1" applyAlignment="1">
      <alignment horizontal="center"/>
    </xf>
    <xf numFmtId="164" fontId="8" fillId="3" borderId="14" xfId="5" applyNumberFormat="1" applyFont="1" applyFill="1" applyBorder="1" applyAlignment="1">
      <alignment horizontal="center" vertical="center"/>
    </xf>
    <xf numFmtId="164" fontId="8" fillId="3" borderId="2" xfId="5" applyNumberFormat="1" applyFont="1" applyFill="1" applyBorder="1" applyAlignment="1">
      <alignment horizontal="center" vertical="center"/>
    </xf>
    <xf numFmtId="164" fontId="8" fillId="3" borderId="1" xfId="5" applyNumberFormat="1" applyFont="1" applyFill="1" applyBorder="1" applyAlignment="1">
      <alignment horizontal="center" vertical="center"/>
    </xf>
    <xf numFmtId="0" fontId="7" fillId="3" borderId="19" xfId="4" applyFont="1" applyFill="1" applyBorder="1"/>
    <xf numFmtId="166" fontId="8" fillId="3" borderId="19" xfId="4" applyNumberFormat="1" applyFont="1" applyFill="1" applyBorder="1" applyAlignment="1">
      <alignment horizontal="center"/>
    </xf>
    <xf numFmtId="0" fontId="8" fillId="3" borderId="0" xfId="4" applyFont="1" applyFill="1" applyAlignment="1">
      <alignment horizontal="center"/>
    </xf>
    <xf numFmtId="166" fontId="8" fillId="3" borderId="0" xfId="4" applyNumberFormat="1" applyFont="1" applyFill="1" applyAlignment="1">
      <alignment horizontal="center"/>
    </xf>
    <xf numFmtId="164" fontId="53" fillId="3" borderId="17" xfId="4" applyNumberFormat="1" applyFont="1" applyFill="1" applyBorder="1" applyAlignment="1">
      <alignment horizontal="center"/>
    </xf>
    <xf numFmtId="164" fontId="53" fillId="3" borderId="16" xfId="5" applyNumberFormat="1" applyFont="1" applyFill="1" applyBorder="1" applyAlignment="1">
      <alignment horizontal="center"/>
    </xf>
    <xf numFmtId="1" fontId="53" fillId="3" borderId="15" xfId="5" applyNumberFormat="1" applyFont="1" applyFill="1" applyBorder="1" applyAlignment="1">
      <alignment horizontal="center"/>
    </xf>
    <xf numFmtId="164" fontId="53" fillId="3" borderId="14" xfId="4" applyNumberFormat="1" applyFont="1" applyFill="1" applyBorder="1" applyAlignment="1">
      <alignment horizontal="center"/>
    </xf>
    <xf numFmtId="164" fontId="53" fillId="3" borderId="2" xfId="5" applyNumberFormat="1" applyFont="1" applyFill="1" applyBorder="1" applyAlignment="1">
      <alignment horizontal="center"/>
    </xf>
    <xf numFmtId="1" fontId="53" fillId="3" borderId="1" xfId="5" applyNumberFormat="1" applyFont="1" applyFill="1" applyBorder="1" applyAlignment="1">
      <alignment horizontal="center"/>
    </xf>
    <xf numFmtId="0" fontId="8" fillId="0" borderId="19" xfId="5" applyFont="1" applyBorder="1"/>
    <xf numFmtId="0" fontId="52" fillId="3" borderId="2" xfId="5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center" vertical="center"/>
    </xf>
    <xf numFmtId="0" fontId="16" fillId="3" borderId="1" xfId="4" applyFont="1" applyFill="1" applyBorder="1" applyAlignment="1">
      <alignment horizontal="center" vertical="center"/>
    </xf>
    <xf numFmtId="0" fontId="52" fillId="3" borderId="1" xfId="5" applyFont="1" applyFill="1" applyBorder="1" applyAlignment="1">
      <alignment horizontal="center" vertical="center"/>
    </xf>
    <xf numFmtId="0" fontId="11" fillId="3" borderId="41" xfId="4" applyFont="1" applyFill="1" applyBorder="1" applyAlignment="1">
      <alignment horizontal="center" vertical="center"/>
    </xf>
    <xf numFmtId="0" fontId="11" fillId="3" borderId="29" xfId="4" applyFont="1" applyFill="1" applyBorder="1" applyAlignment="1">
      <alignment horizontal="left" vertical="center" wrapText="1"/>
    </xf>
    <xf numFmtId="0" fontId="8" fillId="3" borderId="0" xfId="5" applyFont="1" applyFill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0" borderId="0" xfId="5" applyFont="1"/>
    <xf numFmtId="0" fontId="8" fillId="0" borderId="6" xfId="5" applyFont="1" applyBorder="1" applyAlignment="1">
      <alignment horizontal="center" vertical="center"/>
    </xf>
    <xf numFmtId="2" fontId="8" fillId="9" borderId="2" xfId="5" applyNumberFormat="1" applyFont="1" applyFill="1" applyBorder="1" applyAlignment="1">
      <alignment horizontal="center" vertical="center"/>
    </xf>
    <xf numFmtId="0" fontId="8" fillId="9" borderId="2" xfId="5" applyFont="1" applyFill="1" applyBorder="1" applyAlignment="1">
      <alignment horizontal="center" vertical="center"/>
    </xf>
    <xf numFmtId="2" fontId="8" fillId="3" borderId="25" xfId="5" applyNumberFormat="1" applyFont="1" applyFill="1" applyBorder="1" applyAlignment="1">
      <alignment horizontal="center" vertical="center"/>
    </xf>
    <xf numFmtId="2" fontId="8" fillId="3" borderId="8" xfId="5" applyNumberFormat="1" applyFont="1" applyFill="1" applyBorder="1" applyAlignment="1">
      <alignment horizontal="center" vertical="center"/>
    </xf>
    <xf numFmtId="0" fontId="8" fillId="3" borderId="3" xfId="5" applyFont="1" applyFill="1" applyBorder="1" applyAlignment="1">
      <alignment horizontal="center" vertical="center"/>
    </xf>
    <xf numFmtId="0" fontId="8" fillId="3" borderId="6" xfId="5" applyFont="1" applyFill="1" applyBorder="1" applyAlignment="1">
      <alignment horizontal="center" vertical="center"/>
    </xf>
    <xf numFmtId="0" fontId="8" fillId="3" borderId="58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5" fillId="0" borderId="19" xfId="5" applyBorder="1"/>
    <xf numFmtId="164" fontId="54" fillId="6" borderId="14" xfId="5" applyNumberFormat="1" applyFont="1" applyFill="1" applyBorder="1" applyAlignment="1">
      <alignment horizontal="center" vertical="center"/>
    </xf>
    <xf numFmtId="0" fontId="8" fillId="6" borderId="2" xfId="5" applyFont="1" applyFill="1" applyBorder="1" applyAlignment="1">
      <alignment horizontal="center" vertical="center"/>
    </xf>
    <xf numFmtId="164" fontId="7" fillId="6" borderId="14" xfId="5" applyNumberFormat="1" applyFont="1" applyFill="1" applyBorder="1" applyAlignment="1">
      <alignment horizontal="center" vertical="center"/>
    </xf>
    <xf numFmtId="0" fontId="7" fillId="6" borderId="14" xfId="5" applyFont="1" applyFill="1" applyBorder="1" applyAlignment="1">
      <alignment horizontal="center"/>
    </xf>
    <xf numFmtId="0" fontId="8" fillId="6" borderId="2" xfId="5" applyFont="1" applyFill="1" applyBorder="1" applyAlignment="1">
      <alignment horizontal="center"/>
    </xf>
    <xf numFmtId="0" fontId="7" fillId="6" borderId="14" xfId="5" applyFont="1" applyFill="1" applyBorder="1" applyAlignment="1">
      <alignment horizontal="center" vertical="center"/>
    </xf>
    <xf numFmtId="2" fontId="8" fillId="9" borderId="2" xfId="5" applyNumberFormat="1" applyFont="1" applyFill="1" applyBorder="1" applyAlignment="1">
      <alignment horizontal="center"/>
    </xf>
    <xf numFmtId="2" fontId="8" fillId="3" borderId="2" xfId="5" applyNumberFormat="1" applyFont="1" applyFill="1" applyBorder="1" applyAlignment="1">
      <alignment horizontal="center"/>
    </xf>
    <xf numFmtId="0" fontId="8" fillId="3" borderId="2" xfId="5" applyFont="1" applyFill="1" applyBorder="1" applyAlignment="1">
      <alignment horizontal="center" vertical="center"/>
    </xf>
    <xf numFmtId="2" fontId="8" fillId="3" borderId="19" xfId="5" applyNumberFormat="1" applyFont="1" applyFill="1" applyBorder="1" applyAlignment="1">
      <alignment horizontal="center"/>
    </xf>
    <xf numFmtId="2" fontId="8" fillId="3" borderId="13" xfId="5" applyNumberFormat="1" applyFont="1" applyFill="1" applyBorder="1" applyAlignment="1">
      <alignment horizontal="center"/>
    </xf>
    <xf numFmtId="0" fontId="52" fillId="9" borderId="2" xfId="5" applyFont="1" applyFill="1" applyBorder="1" applyAlignment="1">
      <alignment horizontal="center" vertical="center"/>
    </xf>
    <xf numFmtId="0" fontId="16" fillId="9" borderId="2" xfId="4" applyFont="1" applyFill="1" applyBorder="1" applyAlignment="1">
      <alignment horizontal="center" vertical="center"/>
    </xf>
    <xf numFmtId="0" fontId="11" fillId="3" borderId="29" xfId="4" applyFont="1" applyFill="1" applyBorder="1" applyAlignment="1">
      <alignment horizontal="center" vertical="center"/>
    </xf>
    <xf numFmtId="0" fontId="11" fillId="3" borderId="29" xfId="4" applyFont="1" applyFill="1" applyBorder="1" applyAlignment="1">
      <alignment vertical="center"/>
    </xf>
    <xf numFmtId="0" fontId="8" fillId="4" borderId="23" xfId="5" applyFont="1" applyFill="1" applyBorder="1" applyProtection="1">
      <protection locked="0"/>
    </xf>
    <xf numFmtId="0" fontId="8" fillId="4" borderId="21" xfId="5" applyFont="1" applyFill="1" applyBorder="1" applyProtection="1">
      <protection locked="0"/>
    </xf>
    <xf numFmtId="0" fontId="8" fillId="4" borderId="22" xfId="5" applyFont="1" applyFill="1" applyBorder="1" applyProtection="1">
      <protection locked="0"/>
    </xf>
    <xf numFmtId="0" fontId="5" fillId="0" borderId="23" xfId="5" applyBorder="1" applyProtection="1">
      <protection locked="0"/>
    </xf>
    <xf numFmtId="0" fontId="5" fillId="0" borderId="21" xfId="5" applyBorder="1" applyProtection="1">
      <protection locked="0"/>
    </xf>
    <xf numFmtId="2" fontId="5" fillId="10" borderId="17" xfId="5" applyNumberFormat="1" applyFill="1" applyBorder="1" applyAlignment="1" applyProtection="1">
      <alignment horizontal="center"/>
      <protection locked="0"/>
    </xf>
    <xf numFmtId="0" fontId="5" fillId="11" borderId="16" xfId="5" quotePrefix="1" applyFill="1" applyBorder="1" applyAlignment="1" applyProtection="1">
      <alignment horizontal="center"/>
      <protection locked="0"/>
    </xf>
    <xf numFmtId="164" fontId="5" fillId="11" borderId="16" xfId="5" applyNumberFormat="1" applyFill="1" applyBorder="1" applyAlignment="1" applyProtection="1">
      <alignment horizontal="center"/>
      <protection locked="0"/>
    </xf>
    <xf numFmtId="164" fontId="5" fillId="11" borderId="46" xfId="5" applyNumberFormat="1" applyFill="1" applyBorder="1" applyAlignment="1" applyProtection="1">
      <alignment horizontal="center"/>
      <protection locked="0"/>
    </xf>
    <xf numFmtId="0" fontId="5" fillId="0" borderId="22" xfId="5" applyBorder="1" applyProtection="1">
      <protection locked="0"/>
    </xf>
    <xf numFmtId="0" fontId="5" fillId="0" borderId="19" xfId="5" applyBorder="1" applyProtection="1">
      <protection locked="0"/>
    </xf>
    <xf numFmtId="2" fontId="5" fillId="10" borderId="14" xfId="5" applyNumberFormat="1" applyFill="1" applyBorder="1" applyAlignment="1" applyProtection="1">
      <alignment horizontal="center"/>
      <protection locked="0"/>
    </xf>
    <xf numFmtId="0" fontId="5" fillId="11" borderId="2" xfId="5" quotePrefix="1" applyFill="1" applyBorder="1" applyAlignment="1" applyProtection="1">
      <alignment horizontal="center"/>
      <protection locked="0"/>
    </xf>
    <xf numFmtId="164" fontId="5" fillId="11" borderId="2" xfId="5" applyNumberFormat="1" applyFill="1" applyBorder="1" applyAlignment="1" applyProtection="1">
      <alignment horizontal="center"/>
      <protection locked="0"/>
    </xf>
    <xf numFmtId="164" fontId="5" fillId="11" borderId="4" xfId="5" applyNumberFormat="1" applyFill="1" applyBorder="1" applyAlignment="1" applyProtection="1">
      <alignment horizontal="center"/>
      <protection locked="0"/>
    </xf>
    <xf numFmtId="0" fontId="5" fillId="0" borderId="6" xfId="5" applyBorder="1" applyProtection="1">
      <protection locked="0"/>
    </xf>
    <xf numFmtId="165" fontId="5" fillId="11" borderId="2" xfId="5" applyNumberFormat="1" applyFill="1" applyBorder="1" applyAlignment="1" applyProtection="1">
      <alignment horizontal="center" vertical="center"/>
      <protection locked="0"/>
    </xf>
    <xf numFmtId="164" fontId="5" fillId="11" borderId="2" xfId="5" applyNumberFormat="1" applyFill="1" applyBorder="1" applyAlignment="1" applyProtection="1">
      <alignment horizontal="center" vertical="center"/>
      <protection locked="0"/>
    </xf>
    <xf numFmtId="164" fontId="5" fillId="11" borderId="1" xfId="5" applyNumberFormat="1" applyFill="1" applyBorder="1" applyAlignment="1" applyProtection="1">
      <alignment horizontal="center" vertical="center"/>
      <protection locked="0"/>
    </xf>
    <xf numFmtId="2" fontId="5" fillId="10" borderId="20" xfId="5" applyNumberFormat="1" applyFill="1" applyBorder="1" applyAlignment="1" applyProtection="1">
      <alignment horizontal="center"/>
      <protection locked="0"/>
    </xf>
    <xf numFmtId="165" fontId="5" fillId="11" borderId="18" xfId="5" applyNumberFormat="1" applyFill="1" applyBorder="1" applyAlignment="1" applyProtection="1">
      <alignment horizontal="center" vertical="center"/>
      <protection locked="0"/>
    </xf>
    <xf numFmtId="164" fontId="5" fillId="11" borderId="18" xfId="5" applyNumberFormat="1" applyFill="1" applyBorder="1" applyAlignment="1" applyProtection="1">
      <alignment horizontal="center" vertical="center"/>
      <protection locked="0"/>
    </xf>
    <xf numFmtId="164" fontId="5" fillId="11" borderId="40" xfId="5" applyNumberFormat="1" applyFill="1" applyBorder="1" applyAlignment="1" applyProtection="1">
      <alignment horizontal="center" vertical="center"/>
      <protection locked="0"/>
    </xf>
    <xf numFmtId="164" fontId="15" fillId="11" borderId="17" xfId="5" applyNumberFormat="1" applyFont="1" applyFill="1" applyBorder="1" applyAlignment="1" applyProtection="1">
      <alignment horizontal="center" vertical="center"/>
      <protection locked="0"/>
    </xf>
    <xf numFmtId="0" fontId="15" fillId="10" borderId="15" xfId="5" applyFont="1" applyFill="1" applyBorder="1" applyAlignment="1" applyProtection="1">
      <alignment horizontal="center" vertical="center"/>
      <protection locked="0"/>
    </xf>
    <xf numFmtId="0" fontId="20" fillId="10" borderId="61" xfId="5" applyFont="1" applyFill="1" applyBorder="1" applyAlignment="1" applyProtection="1">
      <alignment horizontal="center" vertical="center"/>
      <protection locked="0"/>
    </xf>
    <xf numFmtId="0" fontId="20" fillId="11" borderId="61" xfId="5" quotePrefix="1" applyFont="1" applyFill="1" applyBorder="1" applyAlignment="1" applyProtection="1">
      <alignment horizontal="center" vertical="center"/>
      <protection locked="0"/>
    </xf>
    <xf numFmtId="0" fontId="20" fillId="11" borderId="61" xfId="5" applyFont="1" applyFill="1" applyBorder="1" applyAlignment="1" applyProtection="1">
      <alignment horizontal="center" vertical="center"/>
      <protection locked="0"/>
    </xf>
    <xf numFmtId="164" fontId="15" fillId="11" borderId="39" xfId="5" applyNumberFormat="1" applyFont="1" applyFill="1" applyBorder="1" applyAlignment="1" applyProtection="1">
      <alignment horizontal="center" vertical="center"/>
      <protection locked="0"/>
    </xf>
    <xf numFmtId="0" fontId="15" fillId="10" borderId="41" xfId="5" applyFont="1" applyFill="1" applyBorder="1" applyAlignment="1" applyProtection="1">
      <alignment horizontal="center" vertical="center"/>
      <protection locked="0"/>
    </xf>
    <xf numFmtId="0" fontId="5" fillId="0" borderId="29" xfId="5" applyBorder="1" applyProtection="1">
      <protection locked="0"/>
    </xf>
    <xf numFmtId="2" fontId="5" fillId="3" borderId="0" xfId="5" applyNumberFormat="1" applyFill="1" applyAlignment="1" applyProtection="1">
      <alignment horizontal="center"/>
      <protection locked="0"/>
    </xf>
    <xf numFmtId="0" fontId="5" fillId="3" borderId="0" xfId="5" quotePrefix="1" applyFill="1" applyAlignment="1" applyProtection="1">
      <alignment horizontal="center"/>
      <protection locked="0"/>
    </xf>
    <xf numFmtId="164" fontId="5" fillId="3" borderId="0" xfId="5" applyNumberFormat="1" applyFill="1" applyAlignment="1" applyProtection="1">
      <alignment horizontal="center"/>
      <protection locked="0"/>
    </xf>
    <xf numFmtId="0" fontId="5" fillId="3" borderId="0" xfId="5" applyFill="1" applyProtection="1">
      <protection locked="0"/>
    </xf>
    <xf numFmtId="0" fontId="5" fillId="3" borderId="6" xfId="5" applyFill="1" applyBorder="1" applyAlignment="1" applyProtection="1">
      <alignment horizontal="center" vertical="center"/>
      <protection locked="0"/>
    </xf>
    <xf numFmtId="1" fontId="5" fillId="11" borderId="46" xfId="5" applyNumberFormat="1" applyFill="1" applyBorder="1" applyAlignment="1" applyProtection="1">
      <alignment horizontal="center"/>
      <protection locked="0"/>
    </xf>
    <xf numFmtId="164" fontId="5" fillId="11" borderId="46" xfId="5" applyNumberFormat="1" applyFill="1" applyBorder="1" applyAlignment="1" applyProtection="1">
      <alignment horizontal="center" vertical="center"/>
      <protection locked="0"/>
    </xf>
    <xf numFmtId="1" fontId="5" fillId="11" borderId="4" xfId="5" applyNumberFormat="1" applyFill="1" applyBorder="1" applyAlignment="1" applyProtection="1">
      <alignment horizontal="center"/>
      <protection locked="0"/>
    </xf>
    <xf numFmtId="1" fontId="5" fillId="11" borderId="1" xfId="5" applyNumberFormat="1" applyFill="1" applyBorder="1" applyAlignment="1" applyProtection="1">
      <alignment horizontal="center" vertical="center"/>
      <protection locked="0"/>
    </xf>
    <xf numFmtId="1" fontId="5" fillId="11" borderId="40" xfId="5" applyNumberFormat="1" applyFill="1" applyBorder="1" applyAlignment="1" applyProtection="1">
      <alignment horizontal="center" vertical="center"/>
      <protection locked="0"/>
    </xf>
    <xf numFmtId="164" fontId="5" fillId="11" borderId="63" xfId="5" applyNumberFormat="1" applyFill="1" applyBorder="1" applyAlignment="1" applyProtection="1">
      <alignment horizontal="center" vertical="center"/>
      <protection locked="0"/>
    </xf>
    <xf numFmtId="165" fontId="5" fillId="3" borderId="0" xfId="5" applyNumberFormat="1" applyFill="1" applyAlignment="1" applyProtection="1">
      <alignment horizontal="center"/>
      <protection locked="0"/>
    </xf>
    <xf numFmtId="0" fontId="15" fillId="11" borderId="17" xfId="5" applyFont="1" applyFill="1" applyBorder="1" applyAlignment="1" applyProtection="1">
      <alignment horizontal="center" vertical="center"/>
      <protection locked="0"/>
    </xf>
    <xf numFmtId="0" fontId="15" fillId="11" borderId="39" xfId="5" applyFont="1" applyFill="1" applyBorder="1" applyAlignment="1" applyProtection="1">
      <alignment horizontal="center" vertical="center"/>
      <protection locked="0"/>
    </xf>
    <xf numFmtId="0" fontId="5" fillId="11" borderId="0" xfId="5" applyFill="1" applyAlignment="1" applyProtection="1">
      <alignment horizontal="center"/>
      <protection locked="0"/>
    </xf>
    <xf numFmtId="2" fontId="5" fillId="10" borderId="2" xfId="5" applyNumberFormat="1" applyFill="1" applyBorder="1" applyAlignment="1" applyProtection="1">
      <alignment horizontal="center"/>
      <protection locked="0"/>
    </xf>
    <xf numFmtId="164" fontId="5" fillId="11" borderId="2" xfId="5" quotePrefix="1" applyNumberFormat="1" applyFill="1" applyBorder="1" applyAlignment="1" applyProtection="1">
      <alignment horizontal="center"/>
      <protection locked="0"/>
    </xf>
    <xf numFmtId="0" fontId="5" fillId="0" borderId="2" xfId="5" applyBorder="1" applyProtection="1">
      <protection locked="0"/>
    </xf>
    <xf numFmtId="0" fontId="15" fillId="11" borderId="2" xfId="5" applyFont="1" applyFill="1" applyBorder="1" applyAlignment="1" applyProtection="1">
      <alignment horizontal="center" vertical="center"/>
      <protection locked="0"/>
    </xf>
    <xf numFmtId="0" fontId="15" fillId="10" borderId="2" xfId="5" applyFont="1" applyFill="1" applyBorder="1" applyAlignment="1" applyProtection="1">
      <alignment horizontal="center" vertical="center"/>
      <protection locked="0"/>
    </xf>
    <xf numFmtId="0" fontId="20" fillId="10" borderId="2" xfId="5" applyFont="1" applyFill="1" applyBorder="1" applyAlignment="1" applyProtection="1">
      <alignment horizontal="center" vertical="center"/>
      <protection locked="0"/>
    </xf>
    <xf numFmtId="0" fontId="20" fillId="11" borderId="2" xfId="5" applyFont="1" applyFill="1" applyBorder="1" applyAlignment="1" applyProtection="1">
      <alignment horizontal="center" vertical="center"/>
      <protection locked="0"/>
    </xf>
    <xf numFmtId="164" fontId="15" fillId="11" borderId="2" xfId="5" applyNumberFormat="1" applyFont="1" applyFill="1" applyBorder="1" applyAlignment="1" applyProtection="1">
      <alignment horizontal="center" vertical="center"/>
      <protection locked="0"/>
    </xf>
    <xf numFmtId="0" fontId="5" fillId="0" borderId="6" xfId="4" applyBorder="1"/>
    <xf numFmtId="0" fontId="5" fillId="0" borderId="19" xfId="4" applyBorder="1"/>
    <xf numFmtId="0" fontId="5" fillId="3" borderId="0" xfId="4" applyFill="1"/>
    <xf numFmtId="2" fontId="57" fillId="3" borderId="0" xfId="4" applyNumberFormat="1" applyFont="1" applyFill="1" applyAlignment="1">
      <alignment horizontal="center" vertical="center"/>
    </xf>
    <xf numFmtId="0" fontId="56" fillId="3" borderId="0" xfId="4" applyFont="1" applyFill="1"/>
    <xf numFmtId="0" fontId="7" fillId="3" borderId="0" xfId="4" applyFont="1" applyFill="1"/>
    <xf numFmtId="0" fontId="7" fillId="0" borderId="0" xfId="4" applyFont="1"/>
    <xf numFmtId="0" fontId="59" fillId="3" borderId="0" xfId="4" applyFont="1" applyFill="1" applyAlignment="1">
      <alignment horizontal="center" vertical="center"/>
    </xf>
    <xf numFmtId="2" fontId="59" fillId="3" borderId="0" xfId="4" applyNumberFormat="1" applyFont="1" applyFill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5" fillId="3" borderId="6" xfId="4" applyFill="1" applyBorder="1"/>
    <xf numFmtId="0" fontId="51" fillId="0" borderId="0" xfId="0" applyFont="1" applyProtection="1">
      <protection locked="0"/>
    </xf>
    <xf numFmtId="0" fontId="8" fillId="0" borderId="2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1" fontId="8" fillId="7" borderId="0" xfId="2" applyNumberFormat="1" applyFont="1" applyFill="1" applyAlignment="1">
      <alignment horizontal="center"/>
    </xf>
    <xf numFmtId="0" fontId="8" fillId="0" borderId="0" xfId="2" applyFont="1" applyAlignment="1">
      <alignment horizontal="right"/>
    </xf>
    <xf numFmtId="2" fontId="8" fillId="0" borderId="0" xfId="2" applyNumberFormat="1" applyFont="1" applyAlignment="1">
      <alignment horizontal="center"/>
    </xf>
    <xf numFmtId="0" fontId="35" fillId="0" borderId="2" xfId="0" applyFont="1" applyBorder="1" applyAlignment="1">
      <alignment horizontal="center" vertical="center"/>
    </xf>
    <xf numFmtId="2" fontId="30" fillId="0" borderId="2" xfId="0" applyNumberFormat="1" applyFont="1" applyBorder="1"/>
    <xf numFmtId="0" fontId="5" fillId="0" borderId="0" xfId="2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30" fillId="0" borderId="0" xfId="2" applyFont="1" applyAlignment="1" applyProtection="1">
      <alignment horizontal="left" vertical="center"/>
      <protection locked="0"/>
    </xf>
    <xf numFmtId="0" fontId="35" fillId="0" borderId="0" xfId="2" applyFont="1" applyAlignment="1" applyProtection="1">
      <alignment horizontal="center" vertical="center"/>
      <protection locked="0"/>
    </xf>
    <xf numFmtId="0" fontId="30" fillId="0" borderId="0" xfId="2" applyFont="1" applyAlignment="1" applyProtection="1">
      <alignment horizontal="center" vertical="center"/>
      <protection locked="0"/>
    </xf>
    <xf numFmtId="2" fontId="30" fillId="0" borderId="0" xfId="2" applyNumberFormat="1" applyFont="1" applyAlignment="1" applyProtection="1">
      <alignment horizontal="center" vertical="center"/>
      <protection locked="0"/>
    </xf>
    <xf numFmtId="0" fontId="30" fillId="0" borderId="0" xfId="2" applyFont="1" applyAlignment="1" applyProtection="1">
      <alignment vertical="center"/>
      <protection locked="0"/>
    </xf>
    <xf numFmtId="0" fontId="8" fillId="0" borderId="0" xfId="2" applyFont="1" applyAlignment="1">
      <alignment vertical="top"/>
    </xf>
    <xf numFmtId="2" fontId="8" fillId="0" borderId="0" xfId="2" applyNumberFormat="1" applyFont="1" applyAlignment="1">
      <alignment vertical="top"/>
    </xf>
    <xf numFmtId="164" fontId="8" fillId="0" borderId="0" xfId="2" applyNumberFormat="1" applyFont="1" applyAlignment="1">
      <alignment vertical="top"/>
    </xf>
    <xf numFmtId="0" fontId="8" fillId="0" borderId="0" xfId="2" applyFont="1" applyAlignment="1">
      <alignment horizontal="center" vertical="top"/>
    </xf>
    <xf numFmtId="0" fontId="42" fillId="0" borderId="0" xfId="0" applyFont="1" applyAlignment="1">
      <alignment vertical="top"/>
    </xf>
    <xf numFmtId="0" fontId="24" fillId="0" borderId="0" xfId="2" applyFont="1" applyAlignment="1">
      <alignment vertical="top"/>
    </xf>
    <xf numFmtId="1" fontId="30" fillId="0" borderId="0" xfId="2" applyNumberFormat="1" applyFont="1" applyAlignment="1">
      <alignment vertical="top"/>
    </xf>
    <xf numFmtId="0" fontId="27" fillId="0" borderId="0" xfId="2" applyFont="1" applyAlignment="1">
      <alignment horizontal="center" vertical="top" wrapText="1"/>
    </xf>
    <xf numFmtId="2" fontId="8" fillId="0" borderId="0" xfId="2" applyNumberFormat="1" applyFont="1" applyAlignment="1">
      <alignment horizontal="center" vertical="top"/>
    </xf>
    <xf numFmtId="0" fontId="32" fillId="0" borderId="0" xfId="2" applyFont="1" applyAlignment="1">
      <alignment vertical="top"/>
    </xf>
    <xf numFmtId="0" fontId="9" fillId="0" borderId="0" xfId="2" applyFont="1" applyAlignment="1">
      <alignment vertical="top"/>
    </xf>
    <xf numFmtId="0" fontId="70" fillId="0" borderId="0" xfId="6"/>
    <xf numFmtId="0" fontId="72" fillId="0" borderId="0" xfId="6" applyFont="1"/>
    <xf numFmtId="0" fontId="15" fillId="0" borderId="0" xfId="6" applyFont="1"/>
    <xf numFmtId="0" fontId="5" fillId="0" borderId="0" xfId="6" applyFont="1"/>
    <xf numFmtId="0" fontId="70" fillId="0" borderId="72" xfId="6" applyBorder="1" applyAlignment="1">
      <alignment horizontal="center"/>
    </xf>
    <xf numFmtId="165" fontId="70" fillId="0" borderId="72" xfId="6" applyNumberFormat="1" applyBorder="1"/>
    <xf numFmtId="0" fontId="70" fillId="0" borderId="72" xfId="6" applyBorder="1"/>
    <xf numFmtId="0" fontId="77" fillId="0" borderId="4" xfId="6" applyFont="1" applyBorder="1" applyAlignment="1" applyProtection="1">
      <alignment vertical="center"/>
      <protection locked="0"/>
    </xf>
    <xf numFmtId="0" fontId="45" fillId="3" borderId="9" xfId="6" applyFont="1" applyFill="1" applyBorder="1"/>
    <xf numFmtId="0" fontId="45" fillId="0" borderId="10" xfId="6" applyFont="1" applyBorder="1"/>
    <xf numFmtId="0" fontId="45" fillId="0" borderId="5" xfId="6" applyFont="1" applyBorder="1"/>
    <xf numFmtId="0" fontId="45" fillId="0" borderId="24" xfId="6" applyFont="1" applyBorder="1"/>
    <xf numFmtId="0" fontId="45" fillId="0" borderId="75" xfId="6" applyFont="1" applyBorder="1"/>
    <xf numFmtId="0" fontId="45" fillId="0" borderId="62" xfId="6" applyFont="1" applyBorder="1"/>
    <xf numFmtId="0" fontId="45" fillId="0" borderId="76" xfId="6" applyFont="1" applyBorder="1"/>
    <xf numFmtId="0" fontId="45" fillId="0" borderId="17" xfId="6" applyFont="1" applyBorder="1"/>
    <xf numFmtId="0" fontId="20" fillId="0" borderId="0" xfId="0" applyFont="1" applyAlignment="1">
      <alignment horizontal="center" vertical="center" wrapText="1"/>
    </xf>
    <xf numFmtId="0" fontId="16" fillId="0" borderId="0" xfId="4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9" fillId="0" borderId="0" xfId="4" applyFont="1" applyAlignment="1" applyProtection="1">
      <alignment horizontal="center" vertical="center"/>
      <protection hidden="1"/>
    </xf>
    <xf numFmtId="169" fontId="80" fillId="3" borderId="24" xfId="1" applyNumberFormat="1" applyFont="1" applyFill="1" applyBorder="1"/>
    <xf numFmtId="2" fontId="81" fillId="8" borderId="3" xfId="1" applyNumberFormat="1" applyFont="1" applyFill="1" applyBorder="1" applyAlignment="1">
      <alignment horizontal="center"/>
    </xf>
    <xf numFmtId="2" fontId="81" fillId="8" borderId="31" xfId="1" applyNumberFormat="1" applyFont="1" applyFill="1" applyBorder="1" applyAlignment="1">
      <alignment horizontal="center"/>
    </xf>
    <xf numFmtId="2" fontId="81" fillId="8" borderId="2" xfId="1" applyNumberFormat="1" applyFont="1" applyFill="1" applyBorder="1" applyAlignment="1">
      <alignment horizontal="center"/>
    </xf>
    <xf numFmtId="2" fontId="81" fillId="8" borderId="18" xfId="1" applyNumberFormat="1" applyFont="1" applyFill="1" applyBorder="1" applyAlignment="1">
      <alignment horizontal="center"/>
    </xf>
    <xf numFmtId="2" fontId="8" fillId="8" borderId="3" xfId="1" applyNumberFormat="1" applyFont="1" applyFill="1" applyBorder="1" applyAlignment="1">
      <alignment horizontal="center"/>
    </xf>
    <xf numFmtId="2" fontId="8" fillId="8" borderId="31" xfId="1" applyNumberFormat="1" applyFont="1" applyFill="1" applyBorder="1" applyAlignment="1">
      <alignment horizontal="center"/>
    </xf>
    <xf numFmtId="2" fontId="8" fillId="8" borderId="2" xfId="1" applyNumberFormat="1" applyFont="1" applyFill="1" applyBorder="1" applyAlignment="1">
      <alignment horizontal="center"/>
    </xf>
    <xf numFmtId="2" fontId="8" fillId="8" borderId="18" xfId="1" applyNumberFormat="1" applyFont="1" applyFill="1" applyBorder="1" applyAlignment="1">
      <alignment horizontal="center"/>
    </xf>
    <xf numFmtId="0" fontId="5" fillId="0" borderId="0" xfId="1" applyFont="1"/>
    <xf numFmtId="0" fontId="8" fillId="0" borderId="4" xfId="1" applyFont="1" applyBorder="1"/>
    <xf numFmtId="0" fontId="8" fillId="0" borderId="12" xfId="1" applyFont="1" applyBorder="1" applyAlignment="1">
      <alignment horizontal="center"/>
    </xf>
    <xf numFmtId="0" fontId="0" fillId="0" borderId="2" xfId="0" applyBorder="1"/>
    <xf numFmtId="166" fontId="13" fillId="8" borderId="11" xfId="1" applyNumberFormat="1" applyFont="1" applyFill="1" applyBorder="1" applyAlignment="1">
      <alignment horizontal="center"/>
    </xf>
    <xf numFmtId="0" fontId="43" fillId="0" borderId="37" xfId="6" applyFont="1" applyBorder="1"/>
    <xf numFmtId="0" fontId="43" fillId="0" borderId="66" xfId="6" applyFont="1" applyBorder="1" applyAlignment="1">
      <alignment horizontal="center" vertical="center"/>
    </xf>
    <xf numFmtId="0" fontId="43" fillId="0" borderId="68" xfId="6" applyFont="1" applyBorder="1" applyAlignment="1">
      <alignment horizontal="center" vertical="center"/>
    </xf>
    <xf numFmtId="0" fontId="5" fillId="13" borderId="0" xfId="6" applyFont="1" applyFill="1"/>
    <xf numFmtId="0" fontId="40" fillId="8" borderId="41" xfId="0" applyFont="1" applyFill="1" applyBorder="1" applyAlignment="1">
      <alignment horizontal="center" vertical="top" wrapText="1"/>
    </xf>
    <xf numFmtId="0" fontId="40" fillId="8" borderId="42" xfId="0" applyFont="1" applyFill="1" applyBorder="1" applyAlignment="1">
      <alignment horizontal="center" vertical="top" wrapText="1"/>
    </xf>
    <xf numFmtId="0" fontId="40" fillId="8" borderId="42" xfId="2" applyFont="1" applyFill="1" applyBorder="1" applyAlignment="1">
      <alignment horizontal="center" vertical="top" wrapText="1"/>
    </xf>
    <xf numFmtId="0" fontId="40" fillId="8" borderId="39" xfId="0" applyFont="1" applyFill="1" applyBorder="1" applyAlignment="1">
      <alignment horizontal="center" vertical="top" wrapText="1"/>
    </xf>
    <xf numFmtId="0" fontId="62" fillId="8" borderId="1" xfId="6" applyFont="1" applyFill="1" applyBorder="1" applyAlignment="1">
      <alignment horizontal="center" vertical="center"/>
    </xf>
    <xf numFmtId="0" fontId="62" fillId="8" borderId="2" xfId="6" applyFont="1" applyFill="1" applyBorder="1" applyAlignment="1">
      <alignment horizontal="center" vertical="center"/>
    </xf>
    <xf numFmtId="2" fontId="62" fillId="8" borderId="2" xfId="6" applyNumberFormat="1" applyFont="1" applyFill="1" applyBorder="1" applyAlignment="1">
      <alignment horizontal="center" vertical="center"/>
    </xf>
    <xf numFmtId="164" fontId="62" fillId="8" borderId="2" xfId="6" applyNumberFormat="1" applyFont="1" applyFill="1" applyBorder="1" applyAlignment="1">
      <alignment horizontal="center" vertical="center"/>
    </xf>
    <xf numFmtId="0" fontId="62" fillId="8" borderId="15" xfId="6" applyFont="1" applyFill="1" applyBorder="1" applyAlignment="1">
      <alignment horizontal="center" vertical="center"/>
    </xf>
    <xf numFmtId="0" fontId="62" fillId="8" borderId="16" xfId="6" applyFont="1" applyFill="1" applyBorder="1" applyAlignment="1">
      <alignment horizontal="center" vertical="center"/>
    </xf>
    <xf numFmtId="2" fontId="62" fillId="8" borderId="16" xfId="6" applyNumberFormat="1" applyFont="1" applyFill="1" applyBorder="1" applyAlignment="1">
      <alignment horizontal="center" vertical="center"/>
    </xf>
    <xf numFmtId="164" fontId="62" fillId="8" borderId="16" xfId="6" applyNumberFormat="1" applyFont="1" applyFill="1" applyBorder="1" applyAlignment="1">
      <alignment horizontal="center" vertical="center"/>
    </xf>
    <xf numFmtId="0" fontId="62" fillId="8" borderId="1" xfId="0" applyFont="1" applyFill="1" applyBorder="1" applyAlignment="1">
      <alignment horizontal="center"/>
    </xf>
    <xf numFmtId="0" fontId="62" fillId="8" borderId="2" xfId="0" applyFont="1" applyFill="1" applyBorder="1" applyAlignment="1">
      <alignment horizontal="center"/>
    </xf>
    <xf numFmtId="2" fontId="62" fillId="8" borderId="2" xfId="0" applyNumberFormat="1" applyFont="1" applyFill="1" applyBorder="1" applyAlignment="1">
      <alignment horizontal="center"/>
    </xf>
    <xf numFmtId="0" fontId="62" fillId="8" borderId="15" xfId="0" applyFont="1" applyFill="1" applyBorder="1" applyAlignment="1">
      <alignment horizontal="center"/>
    </xf>
    <xf numFmtId="0" fontId="62" fillId="8" borderId="16" xfId="0" applyFont="1" applyFill="1" applyBorder="1" applyAlignment="1">
      <alignment horizontal="center"/>
    </xf>
    <xf numFmtId="2" fontId="62" fillId="8" borderId="16" xfId="0" applyNumberFormat="1" applyFont="1" applyFill="1" applyBorder="1" applyAlignment="1">
      <alignment horizontal="center"/>
    </xf>
    <xf numFmtId="164" fontId="62" fillId="8" borderId="14" xfId="6" applyNumberFormat="1" applyFont="1" applyFill="1" applyBorder="1" applyAlignment="1">
      <alignment horizontal="center" vertical="center"/>
    </xf>
    <xf numFmtId="164" fontId="62" fillId="8" borderId="17" xfId="6" applyNumberFormat="1" applyFont="1" applyFill="1" applyBorder="1" applyAlignment="1">
      <alignment horizontal="center" vertical="center"/>
    </xf>
    <xf numFmtId="164" fontId="5" fillId="0" borderId="0" xfId="6" applyNumberFormat="1" applyFont="1"/>
    <xf numFmtId="164" fontId="40" fillId="8" borderId="42" xfId="0" applyNumberFormat="1" applyFont="1" applyFill="1" applyBorder="1" applyAlignment="1">
      <alignment horizontal="center" vertical="top" wrapText="1"/>
    </xf>
    <xf numFmtId="164" fontId="40" fillId="8" borderId="39" xfId="0" applyNumberFormat="1" applyFont="1" applyFill="1" applyBorder="1" applyAlignment="1">
      <alignment horizontal="center" vertical="top" wrapText="1"/>
    </xf>
    <xf numFmtId="164" fontId="62" fillId="8" borderId="2" xfId="0" applyNumberFormat="1" applyFont="1" applyFill="1" applyBorder="1" applyAlignment="1">
      <alignment horizontal="center"/>
    </xf>
    <xf numFmtId="164" fontId="62" fillId="8" borderId="16" xfId="0" applyNumberFormat="1" applyFont="1" applyFill="1" applyBorder="1" applyAlignment="1">
      <alignment horizontal="center"/>
    </xf>
    <xf numFmtId="0" fontId="45" fillId="3" borderId="5" xfId="4" applyFont="1" applyFill="1" applyBorder="1" applyAlignment="1" applyProtection="1">
      <alignment horizontal="center" vertical="center"/>
      <protection locked="0"/>
    </xf>
    <xf numFmtId="0" fontId="45" fillId="3" borderId="5" xfId="4" applyFont="1" applyFill="1" applyBorder="1" applyAlignment="1" applyProtection="1">
      <alignment vertical="center"/>
      <protection locked="0"/>
    </xf>
    <xf numFmtId="0" fontId="45" fillId="3" borderId="12" xfId="4" applyFont="1" applyFill="1" applyBorder="1" applyAlignment="1" applyProtection="1">
      <alignment vertical="center"/>
      <protection locked="0"/>
    </xf>
    <xf numFmtId="0" fontId="45" fillId="3" borderId="2" xfId="4" applyFont="1" applyFill="1" applyBorder="1" applyAlignment="1" applyProtection="1">
      <alignment horizontal="center" vertical="center"/>
      <protection locked="0"/>
    </xf>
    <xf numFmtId="0" fontId="45" fillId="3" borderId="14" xfId="4" applyFont="1" applyFill="1" applyBorder="1" applyAlignment="1" applyProtection="1">
      <alignment horizontal="center" vertical="center"/>
      <protection locked="0"/>
    </xf>
    <xf numFmtId="0" fontId="45" fillId="3" borderId="73" xfId="4" applyFont="1" applyFill="1" applyBorder="1" applyAlignment="1" applyProtection="1">
      <alignment horizontal="center" vertical="center"/>
      <protection locked="0"/>
    </xf>
    <xf numFmtId="0" fontId="45" fillId="0" borderId="59" xfId="6" applyFont="1" applyBorder="1"/>
    <xf numFmtId="0" fontId="45" fillId="3" borderId="74" xfId="4" applyFont="1" applyFill="1" applyBorder="1" applyAlignment="1" applyProtection="1">
      <alignment horizontal="center" vertical="center"/>
      <protection locked="0"/>
    </xf>
    <xf numFmtId="0" fontId="45" fillId="3" borderId="57" xfId="4" applyFont="1" applyFill="1" applyBorder="1" applyAlignment="1" applyProtection="1">
      <alignment horizontal="center" vertical="center"/>
      <protection locked="0"/>
    </xf>
    <xf numFmtId="0" fontId="45" fillId="3" borderId="37" xfId="4" applyFont="1" applyFill="1" applyBorder="1" applyAlignment="1" applyProtection="1">
      <alignment horizontal="center" vertical="center"/>
      <protection locked="0"/>
    </xf>
    <xf numFmtId="0" fontId="40" fillId="0" borderId="39" xfId="6" applyFont="1" applyBorder="1" applyAlignment="1">
      <alignment horizontal="center" vertical="center"/>
    </xf>
    <xf numFmtId="0" fontId="45" fillId="0" borderId="0" xfId="6" applyFont="1"/>
    <xf numFmtId="0" fontId="43" fillId="0" borderId="51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2" fontId="43" fillId="0" borderId="51" xfId="0" applyNumberFormat="1" applyFont="1" applyBorder="1" applyAlignment="1">
      <alignment horizontal="center" vertical="center"/>
    </xf>
    <xf numFmtId="2" fontId="43" fillId="0" borderId="14" xfId="0" applyNumberFormat="1" applyFont="1" applyBorder="1" applyAlignment="1">
      <alignment horizontal="center" vertical="center"/>
    </xf>
    <xf numFmtId="0" fontId="43" fillId="0" borderId="52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2" fontId="43" fillId="10" borderId="2" xfId="0" applyNumberFormat="1" applyFont="1" applyFill="1" applyBorder="1" applyAlignment="1">
      <alignment horizontal="center" vertical="center"/>
    </xf>
    <xf numFmtId="0" fontId="43" fillId="10" borderId="37" xfId="6" applyFont="1" applyFill="1" applyBorder="1" applyAlignment="1">
      <alignment horizontal="center" vertical="center"/>
    </xf>
    <xf numFmtId="0" fontId="83" fillId="8" borderId="72" xfId="6" applyFont="1" applyFill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0" fillId="0" borderId="5" xfId="0" applyBorder="1"/>
    <xf numFmtId="0" fontId="0" fillId="0" borderId="12" xfId="0" applyBorder="1"/>
    <xf numFmtId="2" fontId="8" fillId="13" borderId="3" xfId="1" applyNumberFormat="1" applyFont="1" applyFill="1" applyBorder="1" applyAlignment="1">
      <alignment horizontal="center"/>
    </xf>
    <xf numFmtId="2" fontId="8" fillId="13" borderId="31" xfId="1" applyNumberFormat="1" applyFont="1" applyFill="1" applyBorder="1" applyAlignment="1">
      <alignment horizontal="center"/>
    </xf>
    <xf numFmtId="2" fontId="8" fillId="13" borderId="2" xfId="1" applyNumberFormat="1" applyFont="1" applyFill="1" applyBorder="1" applyAlignment="1">
      <alignment horizontal="center"/>
    </xf>
    <xf numFmtId="2" fontId="8" fillId="13" borderId="18" xfId="1" applyNumberFormat="1" applyFont="1" applyFill="1" applyBorder="1" applyAlignment="1">
      <alignment horizontal="center"/>
    </xf>
    <xf numFmtId="166" fontId="13" fillId="13" borderId="11" xfId="1" applyNumberFormat="1" applyFont="1" applyFill="1" applyBorder="1" applyAlignment="1">
      <alignment horizontal="center"/>
    </xf>
    <xf numFmtId="0" fontId="50" fillId="1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6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5" fillId="0" borderId="0" xfId="0" applyFont="1" applyAlignment="1">
      <alignment horizontal="left"/>
    </xf>
    <xf numFmtId="0" fontId="85" fillId="0" borderId="0" xfId="4" applyFont="1" applyAlignment="1">
      <alignment horizontal="left"/>
    </xf>
    <xf numFmtId="166" fontId="0" fillId="0" borderId="0" xfId="0" applyNumberFormat="1" applyAlignment="1">
      <alignment horizontal="center"/>
    </xf>
    <xf numFmtId="0" fontId="82" fillId="0" borderId="0" xfId="4" applyFont="1" applyAlignment="1">
      <alignment horizontal="left"/>
    </xf>
    <xf numFmtId="2" fontId="8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45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45" fillId="0" borderId="0" xfId="0" applyFont="1"/>
    <xf numFmtId="0" fontId="53" fillId="3" borderId="8" xfId="0" applyFont="1" applyFill="1" applyBorder="1" applyAlignment="1" applyProtection="1">
      <alignment horizontal="left" vertical="top"/>
      <protection hidden="1"/>
    </xf>
    <xf numFmtId="0" fontId="53" fillId="3" borderId="9" xfId="0" quotePrefix="1" applyFont="1" applyFill="1" applyBorder="1" applyAlignment="1" applyProtection="1">
      <alignment vertical="center"/>
      <protection locked="0"/>
    </xf>
    <xf numFmtId="0" fontId="53" fillId="3" borderId="7" xfId="0" applyFont="1" applyFill="1" applyBorder="1" applyAlignment="1" applyProtection="1">
      <alignment horizontal="left" vertical="top"/>
      <protection hidden="1"/>
    </xf>
    <xf numFmtId="0" fontId="53" fillId="3" borderId="60" xfId="0" quotePrefix="1" applyFont="1" applyFill="1" applyBorder="1" applyAlignment="1" applyProtection="1">
      <alignment vertical="center"/>
      <protection locked="0"/>
    </xf>
    <xf numFmtId="0" fontId="53" fillId="0" borderId="0" xfId="2" applyFont="1"/>
    <xf numFmtId="0" fontId="78" fillId="0" borderId="5" xfId="0" applyFont="1" applyBorder="1" applyAlignment="1">
      <alignment horizontal="right"/>
    </xf>
    <xf numFmtId="0" fontId="43" fillId="0" borderId="7" xfId="2" applyFont="1" applyBorder="1" applyAlignment="1">
      <alignment vertical="center"/>
    </xf>
    <xf numFmtId="0" fontId="43" fillId="0" borderId="0" xfId="2" applyFont="1" applyProtection="1">
      <protection locked="0"/>
    </xf>
    <xf numFmtId="0" fontId="53" fillId="0" borderId="0" xfId="0" applyFont="1"/>
    <xf numFmtId="0" fontId="83" fillId="0" borderId="31" xfId="2" applyFont="1" applyBorder="1" applyAlignment="1">
      <alignment horizontal="center" vertical="center" wrapText="1"/>
    </xf>
    <xf numFmtId="0" fontId="83" fillId="0" borderId="31" xfId="2" applyFont="1" applyBorder="1" applyAlignment="1">
      <alignment horizontal="center" vertical="center"/>
    </xf>
    <xf numFmtId="0" fontId="83" fillId="3" borderId="2" xfId="0" applyFont="1" applyFill="1" applyBorder="1" applyAlignment="1">
      <alignment horizontal="center"/>
    </xf>
    <xf numFmtId="0" fontId="83" fillId="0" borderId="2" xfId="2" applyFont="1" applyBorder="1" applyAlignment="1">
      <alignment horizontal="center"/>
    </xf>
    <xf numFmtId="0" fontId="83" fillId="0" borderId="2" xfId="2" applyFont="1" applyBorder="1" applyAlignment="1">
      <alignment horizontal="center" vertical="center" wrapText="1"/>
    </xf>
    <xf numFmtId="0" fontId="53" fillId="0" borderId="0" xfId="0" applyFont="1" applyAlignment="1" applyProtection="1">
      <alignment horizontal="left"/>
      <protection locked="0"/>
    </xf>
    <xf numFmtId="0" fontId="43" fillId="0" borderId="2" xfId="2" applyFont="1" applyBorder="1" applyAlignment="1">
      <alignment horizontal="center"/>
    </xf>
    <xf numFmtId="0" fontId="11" fillId="0" borderId="2" xfId="2" applyFont="1" applyBorder="1" applyAlignment="1">
      <alignment horizontal="center"/>
    </xf>
    <xf numFmtId="0" fontId="40" fillId="0" borderId="2" xfId="2" applyFont="1" applyBorder="1" applyAlignment="1">
      <alignment horizontal="center" vertical="center" wrapText="1"/>
    </xf>
    <xf numFmtId="0" fontId="87" fillId="0" borderId="0" xfId="0" applyFont="1" applyAlignment="1">
      <alignment vertical="center"/>
    </xf>
    <xf numFmtId="0" fontId="87" fillId="0" borderId="0" xfId="2" applyFont="1"/>
    <xf numFmtId="0" fontId="89" fillId="0" borderId="0" xfId="2" applyFont="1"/>
    <xf numFmtId="0" fontId="86" fillId="0" borderId="0" xfId="2" applyFont="1"/>
    <xf numFmtId="0" fontId="30" fillId="0" borderId="7" xfId="2" applyFont="1" applyBorder="1" applyAlignment="1">
      <alignment horizontal="left" vertical="center"/>
    </xf>
    <xf numFmtId="0" fontId="30" fillId="0" borderId="5" xfId="2" applyFont="1" applyBorder="1" applyAlignment="1">
      <alignment horizontal="left" vertical="center"/>
    </xf>
    <xf numFmtId="0" fontId="63" fillId="0" borderId="0" xfId="2" applyFont="1" applyProtection="1">
      <protection locked="0"/>
    </xf>
    <xf numFmtId="0" fontId="35" fillId="0" borderId="8" xfId="0" applyFont="1" applyBorder="1" applyAlignment="1">
      <alignment vertical="center"/>
    </xf>
    <xf numFmtId="0" fontId="35" fillId="0" borderId="8" xfId="2" applyFont="1" applyBorder="1" applyAlignment="1">
      <alignment horizontal="center" vertical="center"/>
    </xf>
    <xf numFmtId="2" fontId="30" fillId="0" borderId="8" xfId="0" applyNumberFormat="1" applyFont="1" applyBorder="1" applyAlignment="1">
      <alignment horizontal="center"/>
    </xf>
    <xf numFmtId="0" fontId="41" fillId="0" borderId="0" xfId="0" applyFont="1" applyAlignment="1">
      <alignment vertical="center" wrapText="1"/>
    </xf>
    <xf numFmtId="164" fontId="91" fillId="0" borderId="0" xfId="2" applyNumberFormat="1" applyFont="1" applyAlignment="1">
      <alignment horizontal="left" vertical="center"/>
    </xf>
    <xf numFmtId="0" fontId="34" fillId="0" borderId="0" xfId="2" applyFont="1"/>
    <xf numFmtId="0" fontId="39" fillId="0" borderId="0" xfId="2" applyFont="1"/>
    <xf numFmtId="0" fontId="87" fillId="0" borderId="0" xfId="0" applyFont="1" applyAlignment="1">
      <alignment horizontal="center" vertical="center"/>
    </xf>
    <xf numFmtId="0" fontId="88" fillId="0" borderId="0" xfId="0" applyFont="1" applyAlignment="1">
      <alignment horizontal="center"/>
    </xf>
    <xf numFmtId="0" fontId="88" fillId="0" borderId="0" xfId="0" applyFont="1" applyAlignment="1">
      <alignment horizontal="center" vertical="center"/>
    </xf>
    <xf numFmtId="0" fontId="56" fillId="0" borderId="0" xfId="1" applyFont="1"/>
    <xf numFmtId="0" fontId="94" fillId="0" borderId="0" xfId="1" applyFont="1"/>
    <xf numFmtId="0" fontId="92" fillId="0" borderId="0" xfId="4" applyFont="1"/>
    <xf numFmtId="0" fontId="56" fillId="0" borderId="0" xfId="4" applyFont="1"/>
    <xf numFmtId="1" fontId="56" fillId="0" borderId="0" xfId="4" applyNumberFormat="1" applyFont="1"/>
    <xf numFmtId="0" fontId="92" fillId="0" borderId="0" xfId="4" applyFont="1" applyAlignment="1">
      <alignment horizontal="center"/>
    </xf>
    <xf numFmtId="0" fontId="93" fillId="0" borderId="0" xfId="1" applyFont="1"/>
    <xf numFmtId="166" fontId="13" fillId="13" borderId="7" xfId="1" applyNumberFormat="1" applyFont="1" applyFill="1" applyBorder="1" applyAlignment="1">
      <alignment horizontal="center"/>
    </xf>
    <xf numFmtId="0" fontId="94" fillId="3" borderId="0" xfId="1" applyFont="1" applyFill="1"/>
    <xf numFmtId="2" fontId="94" fillId="3" borderId="0" xfId="1" applyNumberFormat="1" applyFont="1" applyFill="1"/>
    <xf numFmtId="0" fontId="95" fillId="3" borderId="0" xfId="1" applyFont="1" applyFill="1"/>
    <xf numFmtId="11" fontId="80" fillId="3" borderId="0" xfId="1" applyNumberFormat="1" applyFont="1" applyFill="1" applyAlignment="1">
      <alignment horizontal="center"/>
    </xf>
    <xf numFmtId="0" fontId="80" fillId="3" borderId="0" xfId="1" applyFont="1" applyFill="1"/>
    <xf numFmtId="165" fontId="96" fillId="3" borderId="0" xfId="1" applyNumberFormat="1" applyFont="1" applyFill="1" applyAlignment="1">
      <alignment horizontal="center"/>
    </xf>
    <xf numFmtId="166" fontId="94" fillId="3" borderId="0" xfId="1" applyNumberFormat="1" applyFont="1" applyFill="1" applyAlignment="1">
      <alignment horizontal="center"/>
    </xf>
    <xf numFmtId="0" fontId="92" fillId="3" borderId="0" xfId="4" applyFont="1" applyFill="1" applyAlignment="1">
      <alignment horizontal="center"/>
    </xf>
    <xf numFmtId="0" fontId="56" fillId="3" borderId="0" xfId="1" applyFont="1" applyFill="1"/>
    <xf numFmtId="0" fontId="40" fillId="0" borderId="2" xfId="0" applyFont="1" applyBorder="1" applyAlignment="1">
      <alignment horizontal="center" vertical="top"/>
    </xf>
    <xf numFmtId="0" fontId="40" fillId="0" borderId="2" xfId="2" applyFont="1" applyBorder="1" applyAlignment="1">
      <alignment horizontal="center" vertical="top"/>
    </xf>
    <xf numFmtId="0" fontId="97" fillId="3" borderId="2" xfId="0" applyFont="1" applyFill="1" applyBorder="1" applyAlignment="1" applyProtection="1">
      <alignment horizontal="center"/>
      <protection locked="0"/>
    </xf>
    <xf numFmtId="0" fontId="45" fillId="3" borderId="2" xfId="0" applyFont="1" applyFill="1" applyBorder="1" applyAlignment="1">
      <alignment horizontal="left"/>
    </xf>
    <xf numFmtId="0" fontId="40" fillId="3" borderId="2" xfId="0" applyFont="1" applyFill="1" applyBorder="1" applyAlignment="1">
      <alignment horizontal="center"/>
    </xf>
    <xf numFmtId="164" fontId="45" fillId="0" borderId="2" xfId="2" applyNumberFormat="1" applyFont="1" applyBorder="1" applyAlignment="1">
      <alignment horizontal="center" vertical="center"/>
    </xf>
    <xf numFmtId="2" fontId="45" fillId="0" borderId="2" xfId="2" applyNumberFormat="1" applyFont="1" applyBorder="1" applyAlignment="1">
      <alignment horizontal="center" vertical="center"/>
    </xf>
    <xf numFmtId="0" fontId="98" fillId="3" borderId="2" xfId="0" applyFont="1" applyFill="1" applyBorder="1" applyAlignment="1">
      <alignment horizontal="center"/>
    </xf>
    <xf numFmtId="0" fontId="24" fillId="0" borderId="0" xfId="0" applyFont="1" applyAlignment="1">
      <alignment vertical="center"/>
    </xf>
    <xf numFmtId="0" fontId="24" fillId="0" borderId="0" xfId="2" applyFont="1" applyAlignment="1" applyProtection="1">
      <alignment vertical="center"/>
      <protection locked="0"/>
    </xf>
    <xf numFmtId="0" fontId="24" fillId="6" borderId="2" xfId="0" applyFont="1" applyFill="1" applyBorder="1" applyAlignment="1">
      <alignment vertical="center"/>
    </xf>
    <xf numFmtId="0" fontId="45" fillId="3" borderId="2" xfId="0" applyFont="1" applyFill="1" applyBorder="1" applyAlignment="1">
      <alignment horizontal="left" vertical="center"/>
    </xf>
    <xf numFmtId="0" fontId="40" fillId="3" borderId="2" xfId="0" applyFont="1" applyFill="1" applyBorder="1" applyAlignment="1">
      <alignment horizontal="center" vertical="center"/>
    </xf>
    <xf numFmtId="164" fontId="45" fillId="0" borderId="2" xfId="0" applyNumberFormat="1" applyFont="1" applyBorder="1" applyAlignment="1">
      <alignment horizontal="center" vertical="center" wrapText="1"/>
    </xf>
    <xf numFmtId="164" fontId="45" fillId="0" borderId="3" xfId="0" applyNumberFormat="1" applyFont="1" applyBorder="1" applyAlignment="1">
      <alignment vertical="center" wrapText="1"/>
    </xf>
    <xf numFmtId="0" fontId="45" fillId="0" borderId="5" xfId="0" applyFont="1" applyBorder="1" applyAlignment="1">
      <alignment horizontal="right" vertical="center"/>
    </xf>
    <xf numFmtId="164" fontId="45" fillId="0" borderId="12" xfId="0" applyNumberFormat="1" applyFont="1" applyBorder="1" applyAlignment="1">
      <alignment horizontal="left" vertical="center"/>
    </xf>
    <xf numFmtId="0" fontId="99" fillId="0" borderId="0" xfId="2" applyFont="1" applyAlignment="1">
      <alignment horizontal="center" vertical="center"/>
    </xf>
    <xf numFmtId="0" fontId="45" fillId="0" borderId="0" xfId="2" applyFont="1" applyAlignment="1">
      <alignment vertical="center"/>
    </xf>
    <xf numFmtId="0" fontId="53" fillId="0" borderId="0" xfId="2" applyFont="1" applyAlignment="1">
      <alignment horizontal="center" vertical="center"/>
    </xf>
    <xf numFmtId="0" fontId="53" fillId="0" borderId="2" xfId="2" applyFont="1" applyBorder="1"/>
    <xf numFmtId="1" fontId="53" fillId="5" borderId="2" xfId="2" applyNumberFormat="1" applyFont="1" applyFill="1" applyBorder="1" applyAlignment="1">
      <alignment horizontal="center"/>
    </xf>
    <xf numFmtId="0" fontId="53" fillId="0" borderId="2" xfId="2" applyFont="1" applyBorder="1" applyAlignment="1">
      <alignment horizontal="center"/>
    </xf>
    <xf numFmtId="164" fontId="53" fillId="0" borderId="0" xfId="2" applyNumberFormat="1" applyFont="1"/>
    <xf numFmtId="2" fontId="53" fillId="0" borderId="0" xfId="2" applyNumberFormat="1" applyFont="1"/>
    <xf numFmtId="0" fontId="53" fillId="0" borderId="0" xfId="2" applyFont="1" applyAlignment="1">
      <alignment vertical="center"/>
    </xf>
    <xf numFmtId="164" fontId="53" fillId="0" borderId="0" xfId="2" applyNumberFormat="1" applyFont="1" applyAlignment="1">
      <alignment horizontal="center" vertical="center"/>
    </xf>
    <xf numFmtId="164" fontId="45" fillId="0" borderId="18" xfId="0" applyNumberFormat="1" applyFont="1" applyBorder="1" applyAlignment="1">
      <alignment vertical="center" wrapText="1"/>
    </xf>
    <xf numFmtId="2" fontId="53" fillId="0" borderId="0" xfId="2" applyNumberFormat="1" applyFont="1" applyAlignment="1">
      <alignment vertical="center"/>
    </xf>
    <xf numFmtId="164" fontId="53" fillId="0" borderId="0" xfId="2" applyNumberFormat="1" applyFont="1" applyAlignment="1">
      <alignment vertical="center"/>
    </xf>
    <xf numFmtId="2" fontId="30" fillId="0" borderId="0" xfId="0" applyNumberFormat="1" applyFont="1"/>
    <xf numFmtId="0" fontId="62" fillId="2" borderId="3" xfId="0" applyFont="1" applyFill="1" applyBorder="1" applyAlignment="1">
      <alignment vertical="center"/>
    </xf>
    <xf numFmtId="0" fontId="100" fillId="3" borderId="2" xfId="0" applyFont="1" applyFill="1" applyBorder="1" applyAlignment="1" applyProtection="1">
      <alignment horizontal="center"/>
      <protection locked="0"/>
    </xf>
    <xf numFmtId="164" fontId="101" fillId="3" borderId="2" xfId="0" applyNumberFormat="1" applyFont="1" applyFill="1" applyBorder="1" applyAlignment="1" applyProtection="1">
      <alignment horizontal="center" vertical="center"/>
      <protection locked="0"/>
    </xf>
    <xf numFmtId="164" fontId="62" fillId="0" borderId="2" xfId="0" applyNumberFormat="1" applyFont="1" applyBorder="1" applyAlignment="1">
      <alignment horizontal="center"/>
    </xf>
    <xf numFmtId="164" fontId="62" fillId="0" borderId="2" xfId="0" applyNumberFormat="1" applyFont="1" applyBorder="1" applyAlignment="1">
      <alignment horizontal="center" vertical="center"/>
    </xf>
    <xf numFmtId="2" fontId="62" fillId="0" borderId="2" xfId="0" applyNumberFormat="1" applyFont="1" applyBorder="1" applyAlignment="1">
      <alignment horizontal="center" vertical="center"/>
    </xf>
    <xf numFmtId="0" fontId="62" fillId="2" borderId="18" xfId="0" applyFont="1" applyFill="1" applyBorder="1" applyAlignment="1">
      <alignment vertical="center"/>
    </xf>
    <xf numFmtId="0" fontId="45" fillId="2" borderId="3" xfId="0" applyFont="1" applyFill="1" applyBorder="1" applyAlignment="1">
      <alignment vertical="center"/>
    </xf>
    <xf numFmtId="0" fontId="45" fillId="0" borderId="3" xfId="0" applyFont="1" applyBorder="1" applyAlignment="1">
      <alignment vertical="center" wrapText="1"/>
    </xf>
    <xf numFmtId="164" fontId="45" fillId="0" borderId="7" xfId="0" applyNumberFormat="1" applyFont="1" applyBorder="1" applyAlignment="1">
      <alignment horizontal="center" vertical="center"/>
    </xf>
    <xf numFmtId="165" fontId="45" fillId="0" borderId="2" xfId="0" applyNumberFormat="1" applyFont="1" applyBorder="1" applyAlignment="1">
      <alignment vertical="center" wrapText="1"/>
    </xf>
    <xf numFmtId="1" fontId="11" fillId="3" borderId="3" xfId="2" applyNumberFormat="1" applyFont="1" applyFill="1" applyBorder="1" applyAlignment="1">
      <alignment vertical="center"/>
    </xf>
    <xf numFmtId="0" fontId="45" fillId="2" borderId="18" xfId="0" applyFont="1" applyFill="1" applyBorder="1" applyAlignment="1">
      <alignment vertical="center"/>
    </xf>
    <xf numFmtId="0" fontId="45" fillId="0" borderId="18" xfId="0" applyFont="1" applyBorder="1" applyAlignment="1">
      <alignment vertical="center" wrapText="1"/>
    </xf>
    <xf numFmtId="1" fontId="11" fillId="3" borderId="18" xfId="2" applyNumberFormat="1" applyFont="1" applyFill="1" applyBorder="1" applyAlignment="1">
      <alignment vertical="center"/>
    </xf>
    <xf numFmtId="1" fontId="8" fillId="5" borderId="0" xfId="2" applyNumberFormat="1" applyFont="1" applyFill="1" applyAlignment="1">
      <alignment horizontal="center"/>
    </xf>
    <xf numFmtId="0" fontId="80" fillId="3" borderId="19" xfId="1" applyFont="1" applyFill="1" applyBorder="1"/>
    <xf numFmtId="0" fontId="32" fillId="0" borderId="0" xfId="2" applyFont="1" applyAlignment="1">
      <alignment horizontal="center" vertical="center"/>
    </xf>
    <xf numFmtId="1" fontId="8" fillId="6" borderId="0" xfId="2" applyNumberFormat="1" applyFont="1" applyFill="1" applyAlignment="1">
      <alignment horizontal="center"/>
    </xf>
    <xf numFmtId="0" fontId="23" fillId="0" borderId="0" xfId="0" applyFont="1" applyAlignment="1">
      <alignment vertical="center"/>
    </xf>
    <xf numFmtId="0" fontId="15" fillId="0" borderId="26" xfId="4" applyFont="1" applyBorder="1"/>
    <xf numFmtId="0" fontId="5" fillId="0" borderId="27" xfId="4" applyBorder="1"/>
    <xf numFmtId="164" fontId="5" fillId="0" borderId="27" xfId="4" applyNumberFormat="1" applyBorder="1"/>
    <xf numFmtId="0" fontId="15" fillId="0" borderId="28" xfId="4" applyFont="1" applyBorder="1" applyAlignment="1">
      <alignment horizontal="center"/>
    </xf>
    <xf numFmtId="0" fontId="14" fillId="0" borderId="29" xfId="1" applyBorder="1"/>
    <xf numFmtId="0" fontId="14" fillId="0" borderId="30" xfId="1" applyBorder="1"/>
    <xf numFmtId="0" fontId="15" fillId="0" borderId="23" xfId="1" applyFont="1" applyBorder="1" applyAlignment="1">
      <alignment horizontal="center"/>
    </xf>
    <xf numFmtId="0" fontId="15" fillId="0" borderId="26" xfId="1" applyFont="1" applyBorder="1"/>
    <xf numFmtId="0" fontId="5" fillId="0" borderId="29" xfId="1" applyFont="1" applyBorder="1"/>
    <xf numFmtId="0" fontId="15" fillId="0" borderId="6" xfId="1" applyFont="1" applyBorder="1"/>
    <xf numFmtId="166" fontId="13" fillId="8" borderId="61" xfId="1" applyNumberFormat="1" applyFont="1" applyFill="1" applyBorder="1" applyAlignment="1">
      <alignment horizontal="center"/>
    </xf>
    <xf numFmtId="165" fontId="13" fillId="0" borderId="23" xfId="1" applyNumberFormat="1" applyFont="1" applyBorder="1" applyAlignment="1">
      <alignment horizontal="center"/>
    </xf>
    <xf numFmtId="0" fontId="93" fillId="3" borderId="6" xfId="1" applyFont="1" applyFill="1" applyBorder="1"/>
    <xf numFmtId="169" fontId="80" fillId="3" borderId="19" xfId="1" applyNumberFormat="1" applyFont="1" applyFill="1" applyBorder="1"/>
    <xf numFmtId="166" fontId="13" fillId="13" borderId="61" xfId="1" applyNumberFormat="1" applyFont="1" applyFill="1" applyBorder="1" applyAlignment="1">
      <alignment horizontal="center"/>
    </xf>
    <xf numFmtId="0" fontId="0" fillId="0" borderId="19" xfId="0" applyBorder="1"/>
    <xf numFmtId="0" fontId="15" fillId="0" borderId="24" xfId="4" applyFont="1" applyBorder="1" applyAlignment="1">
      <alignment horizontal="center"/>
    </xf>
    <xf numFmtId="0" fontId="56" fillId="0" borderId="19" xfId="1" applyFont="1" applyBorder="1"/>
    <xf numFmtId="0" fontId="92" fillId="0" borderId="19" xfId="4" applyFont="1" applyBorder="1" applyAlignment="1">
      <alignment horizontal="center"/>
    </xf>
    <xf numFmtId="0" fontId="93" fillId="0" borderId="6" xfId="1" applyFont="1" applyBorder="1"/>
    <xf numFmtId="0" fontId="92" fillId="0" borderId="6" xfId="4" applyFont="1" applyBorder="1"/>
    <xf numFmtId="0" fontId="51" fillId="0" borderId="2" xfId="4" applyFont="1" applyBorder="1" applyAlignment="1">
      <alignment horizontal="center" vertical="center"/>
    </xf>
    <xf numFmtId="172" fontId="5" fillId="0" borderId="2" xfId="4" applyNumberFormat="1" applyBorder="1" applyAlignment="1">
      <alignment horizontal="center" vertical="center"/>
    </xf>
    <xf numFmtId="0" fontId="69" fillId="0" borderId="2" xfId="4" applyFont="1" applyBorder="1" applyAlignment="1">
      <alignment horizontal="center" vertical="center"/>
    </xf>
    <xf numFmtId="0" fontId="5" fillId="0" borderId="2" xfId="4" applyBorder="1"/>
    <xf numFmtId="172" fontId="51" fillId="0" borderId="2" xfId="4" applyNumberFormat="1" applyFont="1" applyBorder="1" applyAlignment="1">
      <alignment horizontal="center" vertical="center"/>
    </xf>
    <xf numFmtId="0" fontId="5" fillId="3" borderId="0" xfId="4" quotePrefix="1" applyFill="1" applyAlignment="1">
      <alignment horizontal="center" vertical="center" wrapText="1"/>
    </xf>
    <xf numFmtId="0" fontId="5" fillId="3" borderId="2" xfId="4" applyFill="1" applyBorder="1" applyAlignment="1">
      <alignment horizontal="center" vertical="center"/>
    </xf>
    <xf numFmtId="0" fontId="51" fillId="0" borderId="2" xfId="4" applyFont="1" applyBorder="1" applyAlignment="1">
      <alignment horizontal="center" vertical="center" wrapText="1"/>
    </xf>
    <xf numFmtId="0" fontId="103" fillId="0" borderId="0" xfId="4" applyFont="1"/>
    <xf numFmtId="2" fontId="104" fillId="0" borderId="8" xfId="0" applyNumberFormat="1" applyFont="1" applyBorder="1" applyAlignment="1">
      <alignment horizontal="left"/>
    </xf>
    <xf numFmtId="0" fontId="30" fillId="0" borderId="2" xfId="0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/>
    </xf>
    <xf numFmtId="1" fontId="105" fillId="0" borderId="2" xfId="0" applyNumberFormat="1" applyFont="1" applyBorder="1" applyAlignment="1">
      <alignment horizontal="center"/>
    </xf>
    <xf numFmtId="0" fontId="35" fillId="0" borderId="33" xfId="2" applyFont="1" applyBorder="1" applyAlignment="1">
      <alignment vertical="top"/>
    </xf>
    <xf numFmtId="0" fontId="35" fillId="0" borderId="32" xfId="2" applyFont="1" applyBorder="1" applyAlignment="1">
      <alignment vertical="top"/>
    </xf>
    <xf numFmtId="0" fontId="35" fillId="0" borderId="11" xfId="2" applyFont="1" applyBorder="1" applyAlignment="1">
      <alignment vertical="top"/>
    </xf>
    <xf numFmtId="0" fontId="35" fillId="0" borderId="10" xfId="2" applyFont="1" applyBorder="1" applyAlignment="1">
      <alignment vertical="top"/>
    </xf>
    <xf numFmtId="0" fontId="35" fillId="0" borderId="7" xfId="2" applyFont="1" applyBorder="1" applyAlignment="1">
      <alignment horizontal="center" vertical="center"/>
    </xf>
    <xf numFmtId="0" fontId="30" fillId="0" borderId="7" xfId="2" applyFont="1" applyBorder="1" applyAlignment="1">
      <alignment horizontal="center" vertical="center"/>
    </xf>
    <xf numFmtId="0" fontId="30" fillId="0" borderId="0" xfId="2" applyFont="1" applyAlignment="1">
      <alignment horizontal="center" vertical="center" wrapText="1"/>
    </xf>
    <xf numFmtId="0" fontId="30" fillId="0" borderId="0" xfId="0" applyFont="1" applyAlignment="1" applyProtection="1">
      <alignment horizontal="center" vertical="center"/>
      <protection locked="0"/>
    </xf>
    <xf numFmtId="0" fontId="5" fillId="15" borderId="0" xfId="4" applyFill="1"/>
    <xf numFmtId="0" fontId="5" fillId="6" borderId="0" xfId="4" applyFill="1"/>
    <xf numFmtId="0" fontId="5" fillId="0" borderId="1" xfId="4" applyBorder="1" applyAlignment="1">
      <alignment horizontal="center" vertical="center"/>
    </xf>
    <xf numFmtId="0" fontId="5" fillId="0" borderId="2" xfId="4" applyBorder="1" applyAlignment="1">
      <alignment horizontal="center" vertical="center"/>
    </xf>
    <xf numFmtId="164" fontId="5" fillId="0" borderId="2" xfId="4" applyNumberFormat="1" applyBorder="1" applyAlignment="1">
      <alignment horizontal="center" vertical="center"/>
    </xf>
    <xf numFmtId="0" fontId="5" fillId="0" borderId="14" xfId="4" applyBorder="1" applyAlignment="1">
      <alignment horizontal="center" vertical="center"/>
    </xf>
    <xf numFmtId="2" fontId="5" fillId="0" borderId="2" xfId="4" applyNumberFormat="1" applyBorder="1" applyAlignment="1">
      <alignment horizontal="center" vertical="center"/>
    </xf>
    <xf numFmtId="0" fontId="5" fillId="0" borderId="16" xfId="4" applyBorder="1" applyAlignment="1">
      <alignment horizontal="center" vertical="center"/>
    </xf>
    <xf numFmtId="2" fontId="5" fillId="0" borderId="16" xfId="4" applyNumberFormat="1" applyBorder="1" applyAlignment="1">
      <alignment horizontal="center" vertical="center"/>
    </xf>
    <xf numFmtId="0" fontId="5" fillId="0" borderId="15" xfId="4" applyBorder="1" applyAlignment="1">
      <alignment horizontal="center" vertical="center"/>
    </xf>
    <xf numFmtId="0" fontId="11" fillId="3" borderId="44" xfId="4" applyFont="1" applyFill="1" applyBorder="1" applyAlignment="1">
      <alignment horizontal="center" vertical="center" wrapText="1"/>
    </xf>
    <xf numFmtId="0" fontId="11" fillId="3" borderId="45" xfId="4" applyFont="1" applyFill="1" applyBorder="1" applyAlignment="1">
      <alignment horizontal="center" vertical="center" wrapText="1"/>
    </xf>
    <xf numFmtId="0" fontId="5" fillId="0" borderId="3" xfId="4" applyBorder="1"/>
    <xf numFmtId="0" fontId="5" fillId="0" borderId="25" xfId="4" applyBorder="1"/>
    <xf numFmtId="0" fontId="5" fillId="0" borderId="18" xfId="4" applyBorder="1"/>
    <xf numFmtId="0" fontId="5" fillId="0" borderId="20" xfId="4" applyBorder="1"/>
    <xf numFmtId="164" fontId="45" fillId="0" borderId="1" xfId="4" applyNumberFormat="1" applyFont="1" applyBorder="1" applyAlignment="1">
      <alignment horizontal="center"/>
    </xf>
    <xf numFmtId="164" fontId="45" fillId="0" borderId="2" xfId="4" applyNumberFormat="1" applyFont="1" applyBorder="1" applyAlignment="1">
      <alignment horizontal="center"/>
    </xf>
    <xf numFmtId="2" fontId="45" fillId="0" borderId="2" xfId="4" applyNumberFormat="1" applyFont="1" applyBorder="1" applyAlignment="1">
      <alignment horizontal="center"/>
    </xf>
    <xf numFmtId="2" fontId="45" fillId="0" borderId="14" xfId="4" applyNumberFormat="1" applyFont="1" applyBorder="1" applyAlignment="1">
      <alignment horizontal="center"/>
    </xf>
    <xf numFmtId="165" fontId="5" fillId="0" borderId="0" xfId="4" applyNumberFormat="1"/>
    <xf numFmtId="0" fontId="45" fillId="0" borderId="1" xfId="4" applyFont="1" applyBorder="1"/>
    <xf numFmtId="0" fontId="45" fillId="0" borderId="2" xfId="4" applyFont="1" applyBorder="1"/>
    <xf numFmtId="0" fontId="45" fillId="0" borderId="14" xfId="4" applyFont="1" applyBorder="1"/>
    <xf numFmtId="164" fontId="45" fillId="0" borderId="15" xfId="4" applyNumberFormat="1" applyFont="1" applyBorder="1" applyAlignment="1">
      <alignment horizontal="center"/>
    </xf>
    <xf numFmtId="164" fontId="45" fillId="0" borderId="16" xfId="4" applyNumberFormat="1" applyFont="1" applyBorder="1" applyAlignment="1">
      <alignment horizontal="center"/>
    </xf>
    <xf numFmtId="2" fontId="45" fillId="0" borderId="16" xfId="4" applyNumberFormat="1" applyFont="1" applyBorder="1" applyAlignment="1">
      <alignment horizontal="center"/>
    </xf>
    <xf numFmtId="0" fontId="5" fillId="0" borderId="72" xfId="4" applyBorder="1"/>
    <xf numFmtId="0" fontId="40" fillId="3" borderId="79" xfId="4" applyFont="1" applyFill="1" applyBorder="1" applyAlignment="1">
      <alignment horizontal="center" vertical="center" wrapText="1"/>
    </xf>
    <xf numFmtId="0" fontId="40" fillId="3" borderId="80" xfId="4" applyFont="1" applyFill="1" applyBorder="1" applyAlignment="1">
      <alignment horizontal="center" vertical="center" wrapText="1"/>
    </xf>
    <xf numFmtId="0" fontId="11" fillId="3" borderId="80" xfId="4" applyFont="1" applyFill="1" applyBorder="1" applyAlignment="1">
      <alignment horizontal="center" vertical="center" wrapText="1"/>
    </xf>
    <xf numFmtId="0" fontId="11" fillId="3" borderId="80" xfId="2" applyFont="1" applyFill="1" applyBorder="1" applyAlignment="1">
      <alignment horizontal="center" vertical="center" wrapText="1"/>
    </xf>
    <xf numFmtId="0" fontId="5" fillId="0" borderId="80" xfId="4" applyBorder="1"/>
    <xf numFmtId="0" fontId="7" fillId="3" borderId="80" xfId="4" applyFont="1" applyFill="1" applyBorder="1" applyAlignment="1">
      <alignment horizontal="center" vertical="center" wrapText="1"/>
    </xf>
    <xf numFmtId="0" fontId="7" fillId="3" borderId="81" xfId="4" applyFont="1" applyFill="1" applyBorder="1" applyAlignment="1">
      <alignment horizontal="center" vertical="center" wrapText="1"/>
    </xf>
    <xf numFmtId="1" fontId="45" fillId="3" borderId="40" xfId="4" applyNumberFormat="1" applyFont="1" applyFill="1" applyBorder="1" applyAlignment="1">
      <alignment horizontal="center" vertical="center"/>
    </xf>
    <xf numFmtId="164" fontId="45" fillId="3" borderId="18" xfId="4" applyNumberFormat="1" applyFont="1" applyFill="1" applyBorder="1" applyAlignment="1">
      <alignment horizontal="center" vertical="center"/>
    </xf>
    <xf numFmtId="2" fontId="45" fillId="0" borderId="18" xfId="4" applyNumberFormat="1" applyFont="1" applyBorder="1" applyAlignment="1">
      <alignment horizontal="center"/>
    </xf>
    <xf numFmtId="2" fontId="45" fillId="3" borderId="18" xfId="4" applyNumberFormat="1" applyFont="1" applyFill="1" applyBorder="1" applyAlignment="1">
      <alignment horizontal="center" vertical="center"/>
    </xf>
    <xf numFmtId="164" fontId="45" fillId="0" borderId="18" xfId="4" applyNumberFormat="1" applyFont="1" applyBorder="1" applyAlignment="1">
      <alignment horizontal="center" vertical="center"/>
    </xf>
    <xf numFmtId="2" fontId="45" fillId="3" borderId="18" xfId="4" applyNumberFormat="1" applyFont="1" applyFill="1" applyBorder="1" applyAlignment="1">
      <alignment horizontal="center"/>
    </xf>
    <xf numFmtId="0" fontId="45" fillId="0" borderId="18" xfId="4" applyFont="1" applyBorder="1" applyAlignment="1">
      <alignment horizontal="center"/>
    </xf>
    <xf numFmtId="164" fontId="53" fillId="3" borderId="18" xfId="4" applyNumberFormat="1" applyFont="1" applyFill="1" applyBorder="1" applyAlignment="1">
      <alignment horizontal="center" vertical="center"/>
    </xf>
    <xf numFmtId="165" fontId="53" fillId="3" borderId="18" xfId="4" applyNumberFormat="1" applyFont="1" applyFill="1" applyBorder="1" applyAlignment="1">
      <alignment horizontal="center" vertical="center"/>
    </xf>
    <xf numFmtId="164" fontId="53" fillId="3" borderId="20" xfId="4" applyNumberFormat="1" applyFont="1" applyFill="1" applyBorder="1" applyAlignment="1">
      <alignment horizontal="center" vertical="center"/>
    </xf>
    <xf numFmtId="164" fontId="45" fillId="3" borderId="2" xfId="4" applyNumberFormat="1" applyFont="1" applyFill="1" applyBorder="1" applyAlignment="1">
      <alignment horizontal="center" vertical="center"/>
    </xf>
    <xf numFmtId="2" fontId="45" fillId="3" borderId="2" xfId="4" applyNumberFormat="1" applyFont="1" applyFill="1" applyBorder="1" applyAlignment="1">
      <alignment horizontal="center" vertical="center"/>
    </xf>
    <xf numFmtId="164" fontId="45" fillId="0" borderId="2" xfId="4" applyNumberFormat="1" applyFont="1" applyBorder="1" applyAlignment="1">
      <alignment horizontal="center" vertical="center"/>
    </xf>
    <xf numFmtId="0" fontId="45" fillId="0" borderId="2" xfId="4" applyFont="1" applyBorder="1" applyAlignment="1">
      <alignment horizontal="center"/>
    </xf>
    <xf numFmtId="164" fontId="53" fillId="3" borderId="2" xfId="4" applyNumberFormat="1" applyFont="1" applyFill="1" applyBorder="1" applyAlignment="1">
      <alignment horizontal="center" vertical="center"/>
    </xf>
    <xf numFmtId="164" fontId="53" fillId="3" borderId="14" xfId="4" applyNumberFormat="1" applyFont="1" applyFill="1" applyBorder="1" applyAlignment="1">
      <alignment horizontal="center" vertical="center"/>
    </xf>
    <xf numFmtId="1" fontId="45" fillId="3" borderId="43" xfId="4" applyNumberFormat="1" applyFont="1" applyFill="1" applyBorder="1" applyAlignment="1">
      <alignment horizontal="center" vertical="center"/>
    </xf>
    <xf numFmtId="164" fontId="45" fillId="3" borderId="31" xfId="4" applyNumberFormat="1" applyFont="1" applyFill="1" applyBorder="1" applyAlignment="1">
      <alignment horizontal="center" vertical="center"/>
    </xf>
    <xf numFmtId="1" fontId="45" fillId="3" borderId="15" xfId="4" applyNumberFormat="1" applyFont="1" applyFill="1" applyBorder="1" applyAlignment="1">
      <alignment horizontal="center" vertical="center"/>
    </xf>
    <xf numFmtId="164" fontId="45" fillId="3" borderId="16" xfId="4" applyNumberFormat="1" applyFont="1" applyFill="1" applyBorder="1" applyAlignment="1">
      <alignment horizontal="center" vertical="center"/>
    </xf>
    <xf numFmtId="2" fontId="45" fillId="3" borderId="16" xfId="4" applyNumberFormat="1" applyFont="1" applyFill="1" applyBorder="1" applyAlignment="1">
      <alignment horizontal="center" vertical="center"/>
    </xf>
    <xf numFmtId="164" fontId="45" fillId="0" borderId="16" xfId="4" applyNumberFormat="1" applyFont="1" applyBorder="1" applyAlignment="1">
      <alignment horizontal="center" vertical="center"/>
    </xf>
    <xf numFmtId="2" fontId="45" fillId="3" borderId="16" xfId="4" applyNumberFormat="1" applyFont="1" applyFill="1" applyBorder="1" applyAlignment="1">
      <alignment horizontal="center"/>
    </xf>
    <xf numFmtId="0" fontId="45" fillId="0" borderId="16" xfId="4" applyFont="1" applyBorder="1" applyAlignment="1">
      <alignment horizontal="center"/>
    </xf>
    <xf numFmtId="164" fontId="53" fillId="3" borderId="16" xfId="4" applyNumberFormat="1" applyFont="1" applyFill="1" applyBorder="1" applyAlignment="1">
      <alignment horizontal="center" vertical="center"/>
    </xf>
    <xf numFmtId="165" fontId="53" fillId="3" borderId="16" xfId="4" applyNumberFormat="1" applyFont="1" applyFill="1" applyBorder="1" applyAlignment="1">
      <alignment horizontal="center" vertical="center"/>
    </xf>
    <xf numFmtId="164" fontId="53" fillId="3" borderId="17" xfId="4" applyNumberFormat="1" applyFont="1" applyFill="1" applyBorder="1" applyAlignment="1">
      <alignment horizontal="center" vertical="center"/>
    </xf>
    <xf numFmtId="0" fontId="26" fillId="3" borderId="47" xfId="4" applyFont="1" applyFill="1" applyBorder="1" applyAlignment="1">
      <alignment vertical="center"/>
    </xf>
    <xf numFmtId="0" fontId="26" fillId="3" borderId="48" xfId="4" applyFont="1" applyFill="1" applyBorder="1" applyAlignment="1">
      <alignment vertical="center"/>
    </xf>
    <xf numFmtId="0" fontId="26" fillId="3" borderId="65" xfId="4" applyFont="1" applyFill="1" applyBorder="1" applyAlignment="1">
      <alignment vertical="center"/>
    </xf>
    <xf numFmtId="0" fontId="9" fillId="3" borderId="10" xfId="4" applyFont="1" applyFill="1" applyBorder="1" applyAlignment="1">
      <alignment vertical="center"/>
    </xf>
    <xf numFmtId="0" fontId="5" fillId="0" borderId="7" xfId="4" applyBorder="1" applyAlignment="1">
      <alignment horizontal="center" vertical="center"/>
    </xf>
    <xf numFmtId="1" fontId="8" fillId="3" borderId="20" xfId="4" applyNumberFormat="1" applyFont="1" applyFill="1" applyBorder="1" applyAlignment="1">
      <alignment horizontal="center" vertical="center"/>
    </xf>
    <xf numFmtId="0" fontId="60" fillId="0" borderId="4" xfId="4" applyFont="1" applyBorder="1" applyAlignment="1">
      <alignment horizontal="center" vertical="center"/>
    </xf>
    <xf numFmtId="0" fontId="5" fillId="3" borderId="5" xfId="4" applyFill="1" applyBorder="1"/>
    <xf numFmtId="0" fontId="60" fillId="0" borderId="5" xfId="4" applyFont="1" applyBorder="1"/>
    <xf numFmtId="0" fontId="60" fillId="0" borderId="24" xfId="4" applyFont="1" applyBorder="1"/>
    <xf numFmtId="0" fontId="9" fillId="3" borderId="5" xfId="4" applyFont="1" applyFill="1" applyBorder="1" applyAlignment="1">
      <alignment vertical="center"/>
    </xf>
    <xf numFmtId="1" fontId="8" fillId="3" borderId="14" xfId="4" applyNumberFormat="1" applyFont="1" applyFill="1" applyBorder="1" applyAlignment="1">
      <alignment horizontal="center" vertical="center"/>
    </xf>
    <xf numFmtId="0" fontId="9" fillId="3" borderId="32" xfId="4" applyFont="1" applyFill="1" applyBorder="1" applyAlignment="1">
      <alignment vertical="center"/>
    </xf>
    <xf numFmtId="0" fontId="16" fillId="0" borderId="4" xfId="4" applyFont="1" applyBorder="1" applyAlignment="1">
      <alignment horizontal="center"/>
    </xf>
    <xf numFmtId="0" fontId="16" fillId="0" borderId="2" xfId="4" applyFont="1" applyBorder="1" applyAlignment="1">
      <alignment horizontal="center"/>
    </xf>
    <xf numFmtId="0" fontId="16" fillId="0" borderId="5" xfId="4" applyFont="1" applyBorder="1" applyAlignment="1">
      <alignment horizontal="center"/>
    </xf>
    <xf numFmtId="2" fontId="16" fillId="0" borderId="5" xfId="4" applyNumberFormat="1" applyFont="1" applyBorder="1" applyAlignment="1">
      <alignment horizontal="center"/>
    </xf>
    <xf numFmtId="0" fontId="16" fillId="0" borderId="24" xfId="4" applyFont="1" applyBorder="1" applyAlignment="1">
      <alignment horizontal="center"/>
    </xf>
    <xf numFmtId="0" fontId="8" fillId="0" borderId="1" xfId="4" applyFont="1" applyBorder="1" applyAlignment="1">
      <alignment horizontal="left"/>
    </xf>
    <xf numFmtId="0" fontId="8" fillId="0" borderId="0" xfId="4" applyFont="1" applyAlignment="1">
      <alignment horizontal="center"/>
    </xf>
    <xf numFmtId="2" fontId="8" fillId="0" borderId="3" xfId="4" applyNumberFormat="1" applyFont="1" applyBorder="1" applyAlignment="1">
      <alignment horizontal="center"/>
    </xf>
    <xf numFmtId="2" fontId="8" fillId="0" borderId="0" xfId="4" applyNumberFormat="1" applyFont="1" applyAlignment="1">
      <alignment horizontal="center"/>
    </xf>
    <xf numFmtId="166" fontId="8" fillId="0" borderId="0" xfId="4" applyNumberFormat="1" applyFont="1" applyAlignment="1">
      <alignment horizontal="center"/>
    </xf>
    <xf numFmtId="0" fontId="8" fillId="0" borderId="3" xfId="4" applyFont="1" applyBorder="1" applyAlignment="1">
      <alignment horizontal="center"/>
    </xf>
    <xf numFmtId="11" fontId="8" fillId="0" borderId="3" xfId="4" applyNumberFormat="1" applyFont="1" applyBorder="1" applyAlignment="1">
      <alignment horizontal="center"/>
    </xf>
    <xf numFmtId="11" fontId="8" fillId="0" borderId="19" xfId="4" applyNumberFormat="1" applyFont="1" applyBorder="1" applyAlignment="1">
      <alignment horizontal="center"/>
    </xf>
    <xf numFmtId="0" fontId="8" fillId="0" borderId="4" xfId="4" applyFont="1" applyBorder="1" applyAlignment="1">
      <alignment horizontal="left"/>
    </xf>
    <xf numFmtId="0" fontId="8" fillId="0" borderId="5" xfId="4" applyFont="1" applyBorder="1" applyAlignment="1">
      <alignment horizontal="center"/>
    </xf>
    <xf numFmtId="2" fontId="8" fillId="0" borderId="32" xfId="4" applyNumberFormat="1" applyFont="1" applyBorder="1" applyAlignment="1">
      <alignment horizontal="center"/>
    </xf>
    <xf numFmtId="166" fontId="8" fillId="0" borderId="5" xfId="4" applyNumberFormat="1" applyFont="1" applyBorder="1" applyAlignment="1">
      <alignment horizontal="center"/>
    </xf>
    <xf numFmtId="11" fontId="8" fillId="0" borderId="2" xfId="4" applyNumberFormat="1" applyFont="1" applyBorder="1" applyAlignment="1">
      <alignment horizontal="center"/>
    </xf>
    <xf numFmtId="11" fontId="8" fillId="0" borderId="24" xfId="4" applyNumberFormat="1" applyFont="1" applyBorder="1" applyAlignment="1">
      <alignment horizontal="center"/>
    </xf>
    <xf numFmtId="2" fontId="8" fillId="0" borderId="2" xfId="4" applyNumberFormat="1" applyFont="1" applyBorder="1" applyAlignment="1">
      <alignment horizontal="center"/>
    </xf>
    <xf numFmtId="166" fontId="8" fillId="0" borderId="2" xfId="4" applyNumberFormat="1" applyFont="1" applyBorder="1" applyAlignment="1">
      <alignment horizontal="center"/>
    </xf>
    <xf numFmtId="11" fontId="8" fillId="0" borderId="14" xfId="4" applyNumberFormat="1" applyFont="1" applyBorder="1" applyAlignment="1">
      <alignment horizontal="center"/>
    </xf>
    <xf numFmtId="0" fontId="8" fillId="0" borderId="1" xfId="4" applyFont="1" applyBorder="1"/>
    <xf numFmtId="2" fontId="8" fillId="0" borderId="18" xfId="4" applyNumberFormat="1" applyFont="1" applyBorder="1" applyAlignment="1">
      <alignment horizontal="center"/>
    </xf>
    <xf numFmtId="2" fontId="8" fillId="0" borderId="10" xfId="4" applyNumberFormat="1" applyFont="1" applyBorder="1" applyAlignment="1">
      <alignment horizontal="center"/>
    </xf>
    <xf numFmtId="0" fontId="16" fillId="0" borderId="6" xfId="4" applyFont="1" applyBorder="1"/>
    <xf numFmtId="2" fontId="7" fillId="0" borderId="0" xfId="4" applyNumberFormat="1" applyFont="1"/>
    <xf numFmtId="11" fontId="8" fillId="0" borderId="8" xfId="4" applyNumberFormat="1" applyFont="1" applyBorder="1" applyAlignment="1">
      <alignment horizontal="center"/>
    </xf>
    <xf numFmtId="11" fontId="8" fillId="0" borderId="25" xfId="4" applyNumberFormat="1" applyFont="1" applyBorder="1" applyAlignment="1">
      <alignment horizontal="center"/>
    </xf>
    <xf numFmtId="0" fontId="16" fillId="0" borderId="4" xfId="4" applyFont="1" applyBorder="1"/>
    <xf numFmtId="0" fontId="13" fillId="0" borderId="5" xfId="4" applyFont="1" applyBorder="1"/>
    <xf numFmtId="2" fontId="13" fillId="0" borderId="5" xfId="4" applyNumberFormat="1" applyFont="1" applyBorder="1"/>
    <xf numFmtId="0" fontId="17" fillId="0" borderId="5" xfId="4" applyFont="1" applyBorder="1"/>
    <xf numFmtId="167" fontId="9" fillId="0" borderId="7" xfId="4" applyNumberFormat="1" applyFont="1" applyBorder="1" applyAlignment="1">
      <alignment horizontal="center"/>
    </xf>
    <xf numFmtId="0" fontId="9" fillId="0" borderId="24" xfId="4" applyFont="1" applyBorder="1"/>
    <xf numFmtId="0" fontId="13" fillId="0" borderId="0" xfId="4" applyFont="1"/>
    <xf numFmtId="2" fontId="13" fillId="0" borderId="0" xfId="4" applyNumberFormat="1" applyFont="1"/>
    <xf numFmtId="0" fontId="18" fillId="0" borderId="0" xfId="4" applyFont="1"/>
    <xf numFmtId="11" fontId="9" fillId="0" borderId="8" xfId="4" applyNumberFormat="1" applyFont="1" applyBorder="1" applyAlignment="1">
      <alignment horizontal="center"/>
    </xf>
    <xf numFmtId="0" fontId="9" fillId="0" borderId="19" xfId="4" applyFont="1" applyBorder="1"/>
    <xf numFmtId="0" fontId="9" fillId="0" borderId="5" xfId="4" applyFont="1" applyBorder="1"/>
    <xf numFmtId="165" fontId="19" fillId="0" borderId="7" xfId="4" applyNumberFormat="1" applyFont="1" applyBorder="1" applyAlignment="1">
      <alignment horizontal="center"/>
    </xf>
    <xf numFmtId="0" fontId="16" fillId="0" borderId="9" xfId="4" applyFont="1" applyBorder="1"/>
    <xf numFmtId="0" fontId="13" fillId="0" borderId="10" xfId="4" applyFont="1" applyBorder="1"/>
    <xf numFmtId="2" fontId="13" fillId="0" borderId="10" xfId="4" applyNumberFormat="1" applyFont="1" applyBorder="1"/>
    <xf numFmtId="0" fontId="9" fillId="0" borderId="10" xfId="4" applyFont="1" applyBorder="1"/>
    <xf numFmtId="166" fontId="13" fillId="0" borderId="11" xfId="4" applyNumberFormat="1" applyFont="1" applyBorder="1" applyAlignment="1">
      <alignment horizontal="center"/>
    </xf>
    <xf numFmtId="165" fontId="13" fillId="0" borderId="59" xfId="4" applyNumberFormat="1" applyFont="1" applyBorder="1" applyAlignment="1">
      <alignment horizontal="center"/>
    </xf>
    <xf numFmtId="0" fontId="15" fillId="16" borderId="4" xfId="4" applyFont="1" applyFill="1" applyBorder="1"/>
    <xf numFmtId="0" fontId="16" fillId="0" borderId="22" xfId="4" applyFont="1" applyBorder="1"/>
    <xf numFmtId="0" fontId="13" fillId="0" borderId="21" xfId="4" applyFont="1" applyBorder="1"/>
    <xf numFmtId="2" fontId="13" fillId="0" borderId="21" xfId="4" applyNumberFormat="1" applyFont="1" applyBorder="1"/>
    <xf numFmtId="0" fontId="9" fillId="0" borderId="21" xfId="4" applyFont="1" applyBorder="1"/>
    <xf numFmtId="1" fontId="5" fillId="6" borderId="21" xfId="4" applyNumberFormat="1" applyFill="1" applyBorder="1" applyAlignment="1">
      <alignment horizontal="center"/>
    </xf>
    <xf numFmtId="0" fontId="5" fillId="0" borderId="21" xfId="4" applyBorder="1"/>
    <xf numFmtId="0" fontId="9" fillId="0" borderId="0" xfId="4" applyFont="1"/>
    <xf numFmtId="2" fontId="13" fillId="0" borderId="0" xfId="4" applyNumberFormat="1" applyFont="1" applyAlignment="1">
      <alignment horizontal="center"/>
    </xf>
    <xf numFmtId="0" fontId="15" fillId="0" borderId="0" xfId="4" applyFont="1" applyAlignment="1">
      <alignment horizontal="center"/>
    </xf>
    <xf numFmtId="1" fontId="5" fillId="6" borderId="0" xfId="4" applyNumberFormat="1" applyFill="1" applyAlignment="1">
      <alignment horizontal="center"/>
    </xf>
    <xf numFmtId="0" fontId="5" fillId="6" borderId="0" xfId="4" applyFill="1" applyAlignment="1">
      <alignment horizontal="center"/>
    </xf>
    <xf numFmtId="0" fontId="5" fillId="6" borderId="19" xfId="4" applyFill="1" applyBorder="1" applyAlignment="1">
      <alignment horizontal="center"/>
    </xf>
    <xf numFmtId="0" fontId="5" fillId="6" borderId="21" xfId="4" applyFill="1" applyBorder="1" applyAlignment="1">
      <alignment horizontal="center"/>
    </xf>
    <xf numFmtId="165" fontId="13" fillId="0" borderId="10" xfId="4" applyNumberFormat="1" applyFont="1" applyBorder="1" applyAlignment="1">
      <alignment horizontal="center"/>
    </xf>
    <xf numFmtId="11" fontId="8" fillId="0" borderId="0" xfId="4" applyNumberFormat="1" applyFont="1" applyAlignment="1">
      <alignment horizontal="center"/>
    </xf>
    <xf numFmtId="11" fontId="8" fillId="0" borderId="5" xfId="4" applyNumberFormat="1" applyFont="1" applyBorder="1" applyAlignment="1">
      <alignment horizontal="center"/>
    </xf>
    <xf numFmtId="11" fontId="8" fillId="0" borderId="7" xfId="4" applyNumberFormat="1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/>
    </xf>
    <xf numFmtId="0" fontId="0" fillId="0" borderId="6" xfId="0" applyBorder="1"/>
    <xf numFmtId="2" fontId="8" fillId="6" borderId="3" xfId="4" applyNumberFormat="1" applyFont="1" applyFill="1" applyBorder="1" applyAlignment="1">
      <alignment horizontal="center"/>
    </xf>
    <xf numFmtId="2" fontId="8" fillId="6" borderId="31" xfId="4" applyNumberFormat="1" applyFont="1" applyFill="1" applyBorder="1" applyAlignment="1">
      <alignment horizontal="center"/>
    </xf>
    <xf numFmtId="2" fontId="8" fillId="6" borderId="2" xfId="4" applyNumberFormat="1" applyFont="1" applyFill="1" applyBorder="1" applyAlignment="1">
      <alignment horizontal="center"/>
    </xf>
    <xf numFmtId="2" fontId="8" fillId="6" borderId="18" xfId="4" applyNumberFormat="1" applyFont="1" applyFill="1" applyBorder="1" applyAlignment="1">
      <alignment horizontal="center"/>
    </xf>
    <xf numFmtId="0" fontId="35" fillId="0" borderId="0" xfId="2" applyFont="1" applyAlignment="1">
      <alignment vertical="top" wrapText="1"/>
    </xf>
    <xf numFmtId="2" fontId="8" fillId="0" borderId="0" xfId="2" applyNumberFormat="1" applyFont="1" applyAlignment="1">
      <alignment horizontal="center" vertical="center" wrapText="1"/>
    </xf>
    <xf numFmtId="0" fontId="10" fillId="0" borderId="2" xfId="2" applyFont="1" applyBorder="1" applyAlignment="1">
      <alignment horizontal="center"/>
    </xf>
    <xf numFmtId="164" fontId="8" fillId="0" borderId="0" xfId="2" applyNumberFormat="1" applyFont="1" applyAlignment="1">
      <alignment horizontal="center" vertical="top"/>
    </xf>
    <xf numFmtId="0" fontId="8" fillId="0" borderId="2" xfId="2" applyFont="1" applyBorder="1" applyAlignment="1">
      <alignment horizontal="center" vertical="center"/>
    </xf>
    <xf numFmtId="2" fontId="30" fillId="0" borderId="0" xfId="0" applyNumberFormat="1" applyFont="1" applyAlignment="1">
      <alignment vertical="center"/>
    </xf>
    <xf numFmtId="0" fontId="8" fillId="0" borderId="0" xfId="2" applyFont="1" applyAlignment="1">
      <alignment horizontal="right" vertical="center"/>
    </xf>
    <xf numFmtId="0" fontId="16" fillId="3" borderId="0" xfId="4" applyFont="1" applyFill="1"/>
    <xf numFmtId="0" fontId="16" fillId="3" borderId="0" xfId="4" applyFont="1" applyFill="1" applyAlignment="1">
      <alignment vertical="center"/>
    </xf>
    <xf numFmtId="0" fontId="16" fillId="3" borderId="2" xfId="4" applyFont="1" applyFill="1" applyBorder="1" applyAlignment="1">
      <alignment horizontal="center" vertical="center"/>
    </xf>
    <xf numFmtId="0" fontId="16" fillId="3" borderId="0" xfId="4" applyFont="1" applyFill="1" applyAlignment="1">
      <alignment horizontal="center" vertical="center"/>
    </xf>
    <xf numFmtId="0" fontId="110" fillId="3" borderId="0" xfId="4" applyFont="1" applyFill="1" applyAlignment="1">
      <alignment vertical="center"/>
    </xf>
    <xf numFmtId="0" fontId="16" fillId="17" borderId="31" xfId="4" applyFont="1" applyFill="1" applyBorder="1" applyAlignment="1">
      <alignment horizontal="center" vertical="center"/>
    </xf>
    <xf numFmtId="0" fontId="16" fillId="17" borderId="2" xfId="4" applyFont="1" applyFill="1" applyBorder="1" applyAlignment="1">
      <alignment horizontal="center" vertical="center"/>
    </xf>
    <xf numFmtId="0" fontId="11" fillId="3" borderId="0" xfId="4" applyFont="1" applyFill="1" applyAlignment="1">
      <alignment horizontal="center" vertical="center" wrapText="1"/>
    </xf>
    <xf numFmtId="0" fontId="11" fillId="3" borderId="2" xfId="4" applyFont="1" applyFill="1" applyBorder="1" applyAlignment="1">
      <alignment horizontal="center" vertical="center" wrapText="1"/>
    </xf>
    <xf numFmtId="0" fontId="11" fillId="3" borderId="0" xfId="4" applyFont="1" applyFill="1" applyAlignment="1">
      <alignment vertical="center" wrapText="1"/>
    </xf>
    <xf numFmtId="0" fontId="11" fillId="0" borderId="0" xfId="4" applyFont="1" applyAlignment="1">
      <alignment horizontal="center" vertical="center"/>
    </xf>
    <xf numFmtId="2" fontId="11" fillId="0" borderId="0" xfId="4" applyNumberFormat="1" applyFont="1" applyAlignment="1">
      <alignment horizontal="center" vertical="center"/>
    </xf>
    <xf numFmtId="2" fontId="111" fillId="0" borderId="8" xfId="0" applyNumberFormat="1" applyFont="1" applyBorder="1" applyAlignment="1">
      <alignment horizontal="left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0" fontId="8" fillId="3" borderId="0" xfId="0" applyFont="1" applyFill="1"/>
    <xf numFmtId="0" fontId="5" fillId="3" borderId="0" xfId="0" applyFont="1" applyFill="1"/>
    <xf numFmtId="0" fontId="0" fillId="0" borderId="29" xfId="0" applyBorder="1"/>
    <xf numFmtId="0" fontId="12" fillId="3" borderId="0" xfId="0" applyFont="1" applyFill="1" applyAlignment="1">
      <alignment vertical="center"/>
    </xf>
    <xf numFmtId="0" fontId="109" fillId="3" borderId="31" xfId="0" applyFont="1" applyFill="1" applyBorder="1" applyAlignment="1">
      <alignment vertical="center"/>
    </xf>
    <xf numFmtId="0" fontId="0" fillId="3" borderId="0" xfId="0" applyFill="1"/>
    <xf numFmtId="0" fontId="20" fillId="3" borderId="0" xfId="0" applyFont="1" applyFill="1" applyAlignment="1">
      <alignment vertical="center"/>
    </xf>
    <xf numFmtId="0" fontId="20" fillId="3" borderId="0" xfId="0" applyFont="1" applyFill="1" applyAlignment="1">
      <alignment vertical="center" wrapText="1"/>
    </xf>
    <xf numFmtId="0" fontId="109" fillId="3" borderId="0" xfId="0" applyFont="1" applyFill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109" fillId="3" borderId="3" xfId="0" applyFont="1" applyFill="1" applyBorder="1" applyAlignment="1">
      <alignment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6" fillId="11" borderId="12" xfId="4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0" fillId="3" borderId="0" xfId="0" quotePrefix="1" applyFont="1" applyFill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" fontId="5" fillId="11" borderId="12" xfId="0" applyNumberFormat="1" applyFont="1" applyFill="1" applyBorder="1" applyAlignment="1">
      <alignment horizontal="center" vertical="center"/>
    </xf>
    <xf numFmtId="165" fontId="5" fillId="11" borderId="2" xfId="0" quotePrefix="1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 vertical="center"/>
    </xf>
    <xf numFmtId="165" fontId="5" fillId="11" borderId="2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1" fontId="5" fillId="11" borderId="2" xfId="0" applyNumberFormat="1" applyFont="1" applyFill="1" applyBorder="1" applyAlignment="1">
      <alignment horizontal="center" vertical="center"/>
    </xf>
    <xf numFmtId="2" fontId="5" fillId="3" borderId="14" xfId="0" applyNumberFormat="1" applyFon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5" fillId="3" borderId="0" xfId="0" quotePrefix="1" applyNumberFormat="1" applyFont="1" applyFill="1" applyAlignment="1">
      <alignment horizontal="center" vertical="center"/>
    </xf>
    <xf numFmtId="2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 vertical="center"/>
    </xf>
    <xf numFmtId="2" fontId="5" fillId="11" borderId="2" xfId="0" quotePrefix="1" applyNumberFormat="1" applyFont="1" applyFill="1" applyBorder="1" applyAlignment="1">
      <alignment horizontal="center" vertical="center"/>
    </xf>
    <xf numFmtId="2" fontId="0" fillId="11" borderId="2" xfId="0" applyNumberFormat="1" applyFill="1" applyBorder="1" applyAlignment="1">
      <alignment horizontal="center" vertical="center"/>
    </xf>
    <xf numFmtId="0" fontId="109" fillId="3" borderId="0" xfId="0" applyFont="1" applyFill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vertical="center"/>
    </xf>
    <xf numFmtId="0" fontId="0" fillId="3" borderId="32" xfId="0" applyFill="1" applyBorder="1"/>
    <xf numFmtId="0" fontId="0" fillId="3" borderId="19" xfId="0" applyFill="1" applyBorder="1"/>
    <xf numFmtId="0" fontId="8" fillId="0" borderId="6" xfId="0" applyFont="1" applyBorder="1"/>
    <xf numFmtId="0" fontId="8" fillId="0" borderId="0" xfId="0" applyFont="1"/>
    <xf numFmtId="0" fontId="8" fillId="0" borderId="19" xfId="0" applyFont="1" applyBorder="1"/>
    <xf numFmtId="0" fontId="20" fillId="11" borderId="2" xfId="0" quotePrefix="1" applyFont="1" applyFill="1" applyBorder="1" applyAlignment="1">
      <alignment horizontal="center" vertical="center"/>
    </xf>
    <xf numFmtId="1" fontId="5" fillId="11" borderId="6" xfId="0" applyNumberFormat="1" applyFont="1" applyFill="1" applyBorder="1" applyAlignment="1">
      <alignment horizontal="center" vertical="center"/>
    </xf>
    <xf numFmtId="1" fontId="5" fillId="11" borderId="0" xfId="0" applyNumberFormat="1" applyFont="1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5" fillId="11" borderId="0" xfId="0" quotePrefix="1" applyNumberFormat="1" applyFont="1" applyFill="1" applyAlignment="1">
      <alignment horizontal="center" vertical="center"/>
    </xf>
    <xf numFmtId="165" fontId="5" fillId="11" borderId="0" xfId="0" quotePrefix="1" applyNumberFormat="1" applyFont="1" applyFill="1" applyAlignment="1">
      <alignment horizontal="center" vertical="center"/>
    </xf>
    <xf numFmtId="0" fontId="52" fillId="17" borderId="39" xfId="0" applyFont="1" applyFill="1" applyBorder="1" applyAlignment="1">
      <alignment horizontal="center" vertical="center" wrapText="1"/>
    </xf>
    <xf numFmtId="0" fontId="52" fillId="17" borderId="14" xfId="0" applyFont="1" applyFill="1" applyBorder="1" applyAlignment="1">
      <alignment horizontal="center" vertical="center" wrapText="1"/>
    </xf>
    <xf numFmtId="0" fontId="52" fillId="17" borderId="3" xfId="0" applyFont="1" applyFill="1" applyBorder="1" applyAlignment="1">
      <alignment horizontal="center" vertical="center"/>
    </xf>
    <xf numFmtId="0" fontId="52" fillId="17" borderId="70" xfId="0" applyFont="1" applyFill="1" applyBorder="1" applyAlignment="1">
      <alignment horizontal="center" vertical="center" wrapText="1"/>
    </xf>
    <xf numFmtId="0" fontId="52" fillId="17" borderId="2" xfId="0" applyFont="1" applyFill="1" applyBorder="1" applyAlignment="1">
      <alignment horizontal="center" vertical="center"/>
    </xf>
    <xf numFmtId="0" fontId="11" fillId="17" borderId="42" xfId="0" applyFont="1" applyFill="1" applyBorder="1" applyAlignment="1">
      <alignment horizontal="center" vertical="center" wrapText="1"/>
    </xf>
    <xf numFmtId="2" fontId="8" fillId="17" borderId="42" xfId="0" applyNumberFormat="1" applyFont="1" applyFill="1" applyBorder="1" applyAlignment="1">
      <alignment horizontal="center" vertical="center"/>
    </xf>
    <xf numFmtId="2" fontId="8" fillId="17" borderId="39" xfId="0" applyNumberFormat="1" applyFont="1" applyFill="1" applyBorder="1" applyAlignment="1">
      <alignment horizontal="center" vertical="center"/>
    </xf>
    <xf numFmtId="2" fontId="8" fillId="17" borderId="18" xfId="0" applyNumberFormat="1" applyFont="1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2" fontId="8" fillId="17" borderId="2" xfId="0" applyNumberFormat="1" applyFont="1" applyFill="1" applyBorder="1" applyAlignment="1">
      <alignment horizontal="center" vertical="center"/>
    </xf>
    <xf numFmtId="2" fontId="8" fillId="17" borderId="14" xfId="0" applyNumberFormat="1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/>
    </xf>
    <xf numFmtId="2" fontId="8" fillId="17" borderId="20" xfId="0" applyNumberFormat="1" applyFont="1" applyFill="1" applyBorder="1" applyAlignment="1">
      <alignment horizontal="center" vertical="center"/>
    </xf>
    <xf numFmtId="0" fontId="8" fillId="17" borderId="58" xfId="0" applyFont="1" applyFill="1" applyBorder="1" applyAlignment="1">
      <alignment horizontal="center" vertical="center" wrapText="1"/>
    </xf>
    <xf numFmtId="0" fontId="11" fillId="17" borderId="18" xfId="0" applyFont="1" applyFill="1" applyBorder="1" applyAlignment="1">
      <alignment horizontal="center" vertical="center" wrapText="1"/>
    </xf>
    <xf numFmtId="0" fontId="11" fillId="17" borderId="63" xfId="0" applyFont="1" applyFill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64" xfId="0" applyNumberFormat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 wrapText="1"/>
    </xf>
    <xf numFmtId="0" fontId="0" fillId="18" borderId="39" xfId="0" applyFill="1" applyBorder="1" applyAlignment="1">
      <alignment vertical="center" wrapText="1"/>
    </xf>
    <xf numFmtId="0" fontId="0" fillId="18" borderId="14" xfId="0" applyFill="1" applyBorder="1" applyAlignment="1">
      <alignment vertical="center" wrapText="1"/>
    </xf>
    <xf numFmtId="2" fontId="0" fillId="0" borderId="21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8" fillId="17" borderId="3" xfId="0" applyNumberFormat="1" applyFont="1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 wrapText="1"/>
    </xf>
    <xf numFmtId="2" fontId="8" fillId="17" borderId="31" xfId="0" applyNumberFormat="1" applyFont="1" applyFill="1" applyBorder="1" applyAlignment="1">
      <alignment horizontal="center" vertical="center"/>
    </xf>
    <xf numFmtId="0" fontId="0" fillId="18" borderId="70" xfId="0" applyFill="1" applyBorder="1" applyAlignment="1">
      <alignment horizontal="center" vertical="center" wrapText="1"/>
    </xf>
    <xf numFmtId="1" fontId="8" fillId="0" borderId="42" xfId="0" applyNumberFormat="1" applyFont="1" applyBorder="1" applyAlignment="1">
      <alignment horizontal="center" vertical="center"/>
    </xf>
    <xf numFmtId="0" fontId="0" fillId="0" borderId="39" xfId="0" applyBorder="1"/>
    <xf numFmtId="1" fontId="8" fillId="0" borderId="2" xfId="0" applyNumberFormat="1" applyFont="1" applyBorder="1" applyAlignment="1">
      <alignment horizontal="center" vertical="center"/>
    </xf>
    <xf numFmtId="0" fontId="0" fillId="0" borderId="14" xfId="0" applyBorder="1"/>
    <xf numFmtId="1" fontId="8" fillId="0" borderId="16" xfId="0" applyNumberFormat="1" applyFont="1" applyBorder="1" applyAlignment="1">
      <alignment horizontal="center" vertical="center"/>
    </xf>
    <xf numFmtId="0" fontId="0" fillId="0" borderId="17" xfId="0" applyBorder="1"/>
    <xf numFmtId="2" fontId="8" fillId="3" borderId="42" xfId="0" applyNumberFormat="1" applyFont="1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 wrapText="1"/>
    </xf>
    <xf numFmtId="2" fontId="8" fillId="3" borderId="2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2" fontId="8" fillId="3" borderId="16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0" borderId="64" xfId="0" applyNumberForma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0" fontId="0" fillId="11" borderId="0" xfId="0" applyFill="1"/>
    <xf numFmtId="0" fontId="52" fillId="3" borderId="2" xfId="0" applyFont="1" applyFill="1" applyBorder="1" applyAlignment="1">
      <alignment horizontal="center" vertical="center"/>
    </xf>
    <xf numFmtId="0" fontId="52" fillId="3" borderId="2" xfId="0" applyFont="1" applyFill="1" applyBorder="1" applyAlignment="1">
      <alignment vertical="center"/>
    </xf>
    <xf numFmtId="0" fontId="54" fillId="0" borderId="2" xfId="0" applyFont="1" applyBorder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2" fontId="8" fillId="3" borderId="6" xfId="0" applyNumberFormat="1" applyFont="1" applyFill="1" applyBorder="1" applyAlignment="1">
      <alignment horizontal="center" vertical="center"/>
    </xf>
    <xf numFmtId="0" fontId="8" fillId="3" borderId="6" xfId="0" applyFont="1" applyFill="1" applyBorder="1"/>
    <xf numFmtId="0" fontId="11" fillId="3" borderId="0" xfId="0" applyFont="1" applyFill="1" applyAlignment="1">
      <alignment horizontal="center"/>
    </xf>
    <xf numFmtId="2" fontId="11" fillId="3" borderId="0" xfId="0" applyNumberFormat="1" applyFont="1" applyFill="1" applyAlignment="1">
      <alignment horizontal="center"/>
    </xf>
    <xf numFmtId="0" fontId="11" fillId="3" borderId="1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165" fontId="8" fillId="0" borderId="0" xfId="0" applyNumberFormat="1" applyFont="1"/>
    <xf numFmtId="0" fontId="40" fillId="3" borderId="79" xfId="0" applyFont="1" applyFill="1" applyBorder="1" applyAlignment="1">
      <alignment horizontal="center" vertical="center" wrapText="1"/>
    </xf>
    <xf numFmtId="0" fontId="40" fillId="3" borderId="80" xfId="0" applyFont="1" applyFill="1" applyBorder="1" applyAlignment="1">
      <alignment horizontal="center" vertical="center" wrapText="1"/>
    </xf>
    <xf numFmtId="0" fontId="11" fillId="3" borderId="80" xfId="0" applyFont="1" applyFill="1" applyBorder="1" applyAlignment="1">
      <alignment horizontal="center" vertical="center" wrapText="1"/>
    </xf>
    <xf numFmtId="0" fontId="11" fillId="3" borderId="81" xfId="0" applyFont="1" applyFill="1" applyBorder="1" applyAlignment="1">
      <alignment horizontal="center" vertical="center" wrapText="1"/>
    </xf>
    <xf numFmtId="0" fontId="26" fillId="6" borderId="47" xfId="0" applyFont="1" applyFill="1" applyBorder="1" applyAlignment="1">
      <alignment vertical="center"/>
    </xf>
    <xf numFmtId="0" fontId="26" fillId="6" borderId="48" xfId="0" applyFont="1" applyFill="1" applyBorder="1" applyAlignment="1">
      <alignment vertical="center"/>
    </xf>
    <xf numFmtId="0" fontId="26" fillId="3" borderId="65" xfId="0" applyFont="1" applyFill="1" applyBorder="1" applyAlignment="1">
      <alignment vertical="center"/>
    </xf>
    <xf numFmtId="1" fontId="8" fillId="3" borderId="20" xfId="0" applyNumberFormat="1" applyFont="1" applyFill="1" applyBorder="1" applyAlignment="1">
      <alignment horizontal="center" vertical="center"/>
    </xf>
    <xf numFmtId="0" fontId="60" fillId="0" borderId="4" xfId="0" applyFont="1" applyBorder="1" applyAlignment="1">
      <alignment horizontal="center" vertical="center"/>
    </xf>
    <xf numFmtId="0" fontId="60" fillId="0" borderId="5" xfId="0" applyFont="1" applyBorder="1" applyAlignment="1">
      <alignment horizontal="center" vertical="center"/>
    </xf>
    <xf numFmtId="0" fontId="5" fillId="3" borderId="5" xfId="0" applyFont="1" applyFill="1" applyBorder="1"/>
    <xf numFmtId="0" fontId="60" fillId="0" borderId="5" xfId="0" applyFont="1" applyBorder="1"/>
    <xf numFmtId="0" fontId="60" fillId="0" borderId="24" xfId="0" applyFont="1" applyBorder="1"/>
    <xf numFmtId="1" fontId="8" fillId="3" borderId="14" xfId="0" applyNumberFormat="1" applyFont="1" applyFill="1" applyBorder="1" applyAlignment="1">
      <alignment horizontal="center" vertical="center"/>
    </xf>
    <xf numFmtId="0" fontId="30" fillId="3" borderId="0" xfId="0" applyFont="1" applyFill="1" applyAlignment="1" applyProtection="1">
      <alignment horizontal="left" vertical="center"/>
      <protection locked="0"/>
    </xf>
    <xf numFmtId="0" fontId="60" fillId="0" borderId="32" xfId="0" applyFont="1" applyBorder="1"/>
    <xf numFmtId="0" fontId="60" fillId="0" borderId="83" xfId="0" applyFont="1" applyBorder="1"/>
    <xf numFmtId="0" fontId="0" fillId="3" borderId="0" xfId="0" applyFill="1" applyAlignment="1">
      <alignment horizontal="center" vertical="center"/>
    </xf>
    <xf numFmtId="0" fontId="25" fillId="3" borderId="0" xfId="0" quotePrefix="1" applyFont="1" applyFill="1" applyAlignment="1" applyProtection="1">
      <alignment horizontal="left"/>
      <protection locked="0"/>
    </xf>
    <xf numFmtId="1" fontId="43" fillId="6" borderId="79" xfId="0" applyNumberFormat="1" applyFont="1" applyFill="1" applyBorder="1" applyAlignment="1">
      <alignment horizontal="center" vertical="center"/>
    </xf>
    <xf numFmtId="2" fontId="43" fillId="6" borderId="80" xfId="0" applyNumberFormat="1" applyFont="1" applyFill="1" applyBorder="1" applyAlignment="1">
      <alignment horizontal="center" vertical="center"/>
    </xf>
    <xf numFmtId="2" fontId="43" fillId="3" borderId="80" xfId="0" applyNumberFormat="1" applyFont="1" applyFill="1" applyBorder="1" applyAlignment="1">
      <alignment horizontal="center" vertical="center"/>
    </xf>
    <xf numFmtId="2" fontId="43" fillId="3" borderId="80" xfId="0" applyNumberFormat="1" applyFont="1" applyFill="1" applyBorder="1" applyAlignment="1">
      <alignment horizontal="center"/>
    </xf>
    <xf numFmtId="0" fontId="43" fillId="3" borderId="80" xfId="0" applyFont="1" applyFill="1" applyBorder="1" applyAlignment="1">
      <alignment horizontal="center" vertical="center"/>
    </xf>
    <xf numFmtId="2" fontId="43" fillId="0" borderId="21" xfId="0" applyNumberFormat="1" applyFont="1" applyBorder="1" applyAlignment="1">
      <alignment horizontal="center" vertical="center"/>
    </xf>
    <xf numFmtId="2" fontId="43" fillId="0" borderId="80" xfId="0" applyNumberFormat="1" applyFont="1" applyBorder="1" applyAlignment="1">
      <alignment horizontal="center" vertical="center"/>
    </xf>
    <xf numFmtId="165" fontId="43" fillId="0" borderId="8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3" borderId="10" xfId="0" applyFont="1" applyFill="1" applyBorder="1" applyAlignment="1">
      <alignment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vertical="center"/>
    </xf>
    <xf numFmtId="0" fontId="5" fillId="3" borderId="0" xfId="0" applyFont="1" applyFill="1" applyAlignment="1" applyProtection="1">
      <alignment horizontal="left" vertical="center"/>
      <protection locked="0"/>
    </xf>
    <xf numFmtId="165" fontId="8" fillId="3" borderId="2" xfId="0" applyNumberFormat="1" applyFont="1" applyFill="1" applyBorder="1" applyAlignment="1">
      <alignment horizontal="center" vertical="center"/>
    </xf>
    <xf numFmtId="0" fontId="45" fillId="0" borderId="0" xfId="0" applyFont="1" applyProtection="1">
      <protection locked="0"/>
    </xf>
    <xf numFmtId="0" fontId="97" fillId="0" borderId="0" xfId="0" applyFont="1" applyProtection="1">
      <protection locked="0"/>
    </xf>
    <xf numFmtId="2" fontId="8" fillId="6" borderId="0" xfId="2" applyNumberFormat="1" applyFont="1" applyFill="1" applyAlignment="1">
      <alignment horizontal="center"/>
    </xf>
    <xf numFmtId="0" fontId="8" fillId="0" borderId="12" xfId="2" applyFont="1" applyBorder="1"/>
    <xf numFmtId="1" fontId="8" fillId="3" borderId="0" xfId="2" applyNumberFormat="1" applyFont="1" applyFill="1" applyAlignment="1">
      <alignment horizontal="center"/>
    </xf>
    <xf numFmtId="2" fontId="8" fillId="0" borderId="0" xfId="2" applyNumberFormat="1" applyFont="1" applyAlignment="1">
      <alignment vertical="center" wrapText="1"/>
    </xf>
    <xf numFmtId="2" fontId="8" fillId="0" borderId="8" xfId="2" applyNumberFormat="1" applyFont="1" applyBorder="1" applyAlignment="1">
      <alignment vertical="center" wrapText="1"/>
    </xf>
    <xf numFmtId="1" fontId="43" fillId="0" borderId="51" xfId="0" applyNumberFormat="1" applyFont="1" applyBorder="1" applyAlignment="1">
      <alignment horizontal="center" vertical="center"/>
    </xf>
    <xf numFmtId="1" fontId="43" fillId="0" borderId="52" xfId="0" applyNumberFormat="1" applyFont="1" applyBorder="1" applyAlignment="1">
      <alignment horizontal="center" vertical="center"/>
    </xf>
    <xf numFmtId="0" fontId="9" fillId="0" borderId="0" xfId="0" applyFont="1"/>
    <xf numFmtId="0" fontId="71" fillId="0" borderId="0" xfId="6" applyFont="1" applyAlignment="1">
      <alignment horizontal="center" vertical="center"/>
    </xf>
    <xf numFmtId="0" fontId="55" fillId="0" borderId="0" xfId="4" applyFont="1" applyAlignment="1">
      <alignment horizontal="left" vertical="center"/>
    </xf>
    <xf numFmtId="0" fontId="12" fillId="0" borderId="0" xfId="4" applyFont="1" applyAlignment="1">
      <alignment horizontal="center"/>
    </xf>
    <xf numFmtId="0" fontId="16" fillId="0" borderId="2" xfId="4" applyFont="1" applyBorder="1" applyAlignment="1">
      <alignment horizontal="center" vertical="center"/>
    </xf>
    <xf numFmtId="166" fontId="5" fillId="0" borderId="2" xfId="4" applyNumberFormat="1" applyBorder="1" applyAlignment="1">
      <alignment horizontal="center" vertical="center"/>
    </xf>
    <xf numFmtId="0" fontId="5" fillId="6" borderId="2" xfId="4" applyFill="1" applyBorder="1" applyAlignment="1">
      <alignment horizontal="center" vertical="center"/>
    </xf>
    <xf numFmtId="165" fontId="5" fillId="0" borderId="2" xfId="4" applyNumberFormat="1" applyBorder="1" applyAlignment="1">
      <alignment horizontal="center" vertical="center"/>
    </xf>
    <xf numFmtId="0" fontId="5" fillId="6" borderId="2" xfId="4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5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7"/>
    <xf numFmtId="0" fontId="72" fillId="0" borderId="0" xfId="7" applyFont="1"/>
    <xf numFmtId="0" fontId="15" fillId="0" borderId="0" xfId="7" applyFont="1"/>
    <xf numFmtId="0" fontId="20" fillId="0" borderId="2" xfId="7" applyFont="1" applyBorder="1" applyAlignment="1">
      <alignment horizontal="center" vertical="center"/>
    </xf>
    <xf numFmtId="0" fontId="20" fillId="0" borderId="18" xfId="7" applyFont="1" applyBorder="1" applyAlignment="1">
      <alignment horizontal="center" vertical="center"/>
    </xf>
    <xf numFmtId="0" fontId="5" fillId="0" borderId="2" xfId="7" applyBorder="1" applyAlignment="1">
      <alignment horizontal="center" vertical="center"/>
    </xf>
    <xf numFmtId="165" fontId="5" fillId="0" borderId="2" xfId="7" applyNumberFormat="1" applyBorder="1" applyAlignment="1">
      <alignment horizontal="center" vertical="center"/>
    </xf>
    <xf numFmtId="2" fontId="5" fillId="0" borderId="2" xfId="7" applyNumberFormat="1" applyBorder="1" applyAlignment="1">
      <alignment horizontal="center"/>
    </xf>
    <xf numFmtId="2" fontId="5" fillId="0" borderId="2" xfId="7" applyNumberFormat="1" applyBorder="1" applyAlignment="1">
      <alignment horizontal="center" vertical="center"/>
    </xf>
    <xf numFmtId="0" fontId="15" fillId="0" borderId="2" xfId="7" applyFont="1" applyBorder="1" applyAlignment="1">
      <alignment horizontal="center" vertical="center"/>
    </xf>
    <xf numFmtId="0" fontId="20" fillId="0" borderId="2" xfId="7" applyFont="1" applyBorder="1" applyAlignment="1">
      <alignment vertical="center"/>
    </xf>
    <xf numFmtId="0" fontId="20" fillId="0" borderId="2" xfId="7" applyFont="1" applyBorder="1" applyAlignment="1">
      <alignment vertical="center" wrapText="1"/>
    </xf>
    <xf numFmtId="0" fontId="15" fillId="0" borderId="2" xfId="7" applyFont="1" applyBorder="1" applyAlignment="1">
      <alignment horizontal="center"/>
    </xf>
    <xf numFmtId="0" fontId="5" fillId="0" borderId="2" xfId="7" applyBorder="1" applyAlignment="1">
      <alignment horizontal="center" vertical="center" wrapText="1"/>
    </xf>
    <xf numFmtId="166" fontId="5" fillId="0" borderId="2" xfId="7" applyNumberFormat="1" applyBorder="1" applyAlignment="1">
      <alignment horizontal="center" vertical="center"/>
    </xf>
    <xf numFmtId="166" fontId="5" fillId="0" borderId="2" xfId="7" applyNumberFormat="1" applyBorder="1" applyAlignment="1">
      <alignment horizontal="center"/>
    </xf>
    <xf numFmtId="0" fontId="20" fillId="0" borderId="2" xfId="0" applyFont="1" applyBorder="1" applyAlignment="1">
      <alignment horizontal="center" vertical="center" wrapText="1"/>
    </xf>
    <xf numFmtId="0" fontId="5" fillId="0" borderId="2" xfId="7" applyBorder="1" applyAlignment="1">
      <alignment horizontal="center"/>
    </xf>
    <xf numFmtId="0" fontId="5" fillId="0" borderId="2" xfId="7" applyBorder="1"/>
    <xf numFmtId="0" fontId="20" fillId="0" borderId="2" xfId="7" applyFont="1" applyBorder="1" applyAlignment="1">
      <alignment horizontal="center" vertical="center" wrapText="1"/>
    </xf>
    <xf numFmtId="0" fontId="74" fillId="0" borderId="0" xfId="7" applyFont="1" applyAlignment="1">
      <alignment vertical="center"/>
    </xf>
    <xf numFmtId="0" fontId="44" fillId="0" borderId="0" xfId="7" applyFont="1"/>
    <xf numFmtId="0" fontId="20" fillId="0" borderId="7" xfId="7" applyFont="1" applyBorder="1" applyAlignment="1">
      <alignment horizontal="center" vertical="center"/>
    </xf>
    <xf numFmtId="0" fontId="20" fillId="0" borderId="12" xfId="7" applyFont="1" applyBorder="1" applyAlignment="1">
      <alignment horizontal="center" vertical="center"/>
    </xf>
    <xf numFmtId="0" fontId="75" fillId="0" borderId="0" xfId="7" applyFont="1"/>
    <xf numFmtId="0" fontId="76" fillId="0" borderId="0" xfId="7" applyFont="1"/>
    <xf numFmtId="0" fontId="5" fillId="8" borderId="2" xfId="7" applyFill="1" applyBorder="1" applyAlignment="1">
      <alignment horizontal="center" vertical="center"/>
    </xf>
    <xf numFmtId="0" fontId="56" fillId="0" borderId="12" xfId="6" applyFont="1" applyBorder="1"/>
    <xf numFmtId="0" fontId="69" fillId="3" borderId="0" xfId="2" applyFont="1" applyFill="1" applyProtection="1">
      <protection locked="0"/>
    </xf>
    <xf numFmtId="0" fontId="5" fillId="3" borderId="0" xfId="4" applyFill="1" applyProtection="1">
      <protection locked="0"/>
    </xf>
    <xf numFmtId="164" fontId="15" fillId="11" borderId="14" xfId="0" applyNumberFormat="1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 vertical="center"/>
    </xf>
    <xf numFmtId="164" fontId="5" fillId="11" borderId="2" xfId="0" applyNumberFormat="1" applyFont="1" applyFill="1" applyBorder="1" applyAlignment="1">
      <alignment horizontal="center" vertical="center"/>
    </xf>
    <xf numFmtId="2" fontId="5" fillId="10" borderId="14" xfId="0" applyNumberFormat="1" applyFont="1" applyFill="1" applyBorder="1" applyAlignment="1">
      <alignment horizontal="center"/>
    </xf>
    <xf numFmtId="164" fontId="0" fillId="11" borderId="40" xfId="0" applyNumberFormat="1" applyFill="1" applyBorder="1" applyAlignment="1">
      <alignment horizontal="center" vertical="center"/>
    </xf>
    <xf numFmtId="164" fontId="5" fillId="11" borderId="18" xfId="0" quotePrefix="1" applyNumberFormat="1" applyFont="1" applyFill="1" applyBorder="1" applyAlignment="1">
      <alignment horizontal="center" vertical="center"/>
    </xf>
    <xf numFmtId="0" fontId="15" fillId="10" borderId="15" xfId="0" applyFont="1" applyFill="1" applyBorder="1" applyAlignment="1">
      <alignment horizontal="center" vertical="center"/>
    </xf>
    <xf numFmtId="164" fontId="15" fillId="11" borderId="17" xfId="0" applyNumberFormat="1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5" fillId="11" borderId="2" xfId="0" quotePrefix="1" applyNumberFormat="1" applyFont="1" applyFill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/>
    </xf>
    <xf numFmtId="164" fontId="5" fillId="11" borderId="2" xfId="0" quotePrefix="1" applyNumberFormat="1" applyFont="1" applyFill="1" applyBorder="1" applyAlignment="1">
      <alignment horizontal="center"/>
    </xf>
    <xf numFmtId="0" fontId="5" fillId="11" borderId="2" xfId="0" quotePrefix="1" applyFont="1" applyFill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164" fontId="0" fillId="11" borderId="16" xfId="0" applyNumberFormat="1" applyFill="1" applyBorder="1" applyAlignment="1">
      <alignment horizontal="center"/>
    </xf>
    <xf numFmtId="0" fontId="5" fillId="11" borderId="16" xfId="0" quotePrefix="1" applyFont="1" applyFill="1" applyBorder="1" applyAlignment="1">
      <alignment horizontal="center"/>
    </xf>
    <xf numFmtId="2" fontId="5" fillId="10" borderId="17" xfId="0" applyNumberFormat="1" applyFont="1" applyFill="1" applyBorder="1" applyAlignment="1">
      <alignment horizontal="center"/>
    </xf>
    <xf numFmtId="0" fontId="0" fillId="0" borderId="21" xfId="0" applyBorder="1"/>
    <xf numFmtId="164" fontId="0" fillId="11" borderId="46" xfId="0" applyNumberFormat="1" applyFill="1" applyBorder="1" applyAlignment="1">
      <alignment horizontal="center"/>
    </xf>
    <xf numFmtId="164" fontId="5" fillId="11" borderId="16" xfId="0" quotePrefix="1" applyNumberFormat="1" applyFont="1" applyFill="1" applyBorder="1" applyAlignment="1">
      <alignment horizontal="center"/>
    </xf>
    <xf numFmtId="0" fontId="0" fillId="0" borderId="48" xfId="0" applyBorder="1"/>
    <xf numFmtId="0" fontId="15" fillId="11" borderId="14" xfId="0" applyFont="1" applyFill="1" applyBorder="1" applyAlignment="1">
      <alignment horizontal="center" vertical="center"/>
    </xf>
    <xf numFmtId="0" fontId="20" fillId="11" borderId="61" xfId="0" applyFont="1" applyFill="1" applyBorder="1" applyAlignment="1">
      <alignment horizontal="center" vertical="center"/>
    </xf>
    <xf numFmtId="0" fontId="20" fillId="10" borderId="61" xfId="0" applyFont="1" applyFill="1" applyBorder="1" applyAlignment="1">
      <alignment horizontal="center" vertical="center"/>
    </xf>
    <xf numFmtId="164" fontId="5" fillId="11" borderId="18" xfId="0" applyNumberFormat="1" applyFont="1" applyFill="1" applyBorder="1" applyAlignment="1">
      <alignment horizontal="center" vertical="center"/>
    </xf>
    <xf numFmtId="2" fontId="5" fillId="10" borderId="20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64" fontId="0" fillId="11" borderId="18" xfId="0" applyNumberForma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1" fontId="0" fillId="11" borderId="40" xfId="0" applyNumberFormat="1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1" fontId="0" fillId="11" borderId="4" xfId="0" applyNumberFormat="1" applyFill="1" applyBorder="1" applyAlignment="1">
      <alignment horizontal="center"/>
    </xf>
    <xf numFmtId="1" fontId="0" fillId="11" borderId="46" xfId="0" applyNumberFormat="1" applyFill="1" applyBorder="1" applyAlignment="1">
      <alignment horizontal="center"/>
    </xf>
    <xf numFmtId="164" fontId="5" fillId="11" borderId="46" xfId="0" quotePrefix="1" applyNumberFormat="1" applyFont="1" applyFill="1" applyBorder="1" applyAlignment="1">
      <alignment horizontal="center"/>
    </xf>
    <xf numFmtId="0" fontId="20" fillId="11" borderId="61" xfId="0" quotePrefix="1" applyFont="1" applyFill="1" applyBorder="1" applyAlignment="1">
      <alignment horizontal="center" vertical="center"/>
    </xf>
    <xf numFmtId="165" fontId="5" fillId="11" borderId="18" xfId="0" applyNumberFormat="1" applyFont="1" applyFill="1" applyBorder="1" applyAlignment="1">
      <alignment horizontal="center" vertical="center"/>
    </xf>
    <xf numFmtId="164" fontId="5" fillId="11" borderId="63" xfId="0" applyNumberFormat="1" applyFont="1" applyFill="1" applyBorder="1" applyAlignment="1">
      <alignment horizontal="center" vertical="center"/>
    </xf>
    <xf numFmtId="1" fontId="5" fillId="11" borderId="40" xfId="0" applyNumberFormat="1" applyFont="1" applyFill="1" applyBorder="1" applyAlignment="1">
      <alignment horizontal="center" vertical="center"/>
    </xf>
    <xf numFmtId="1" fontId="5" fillId="11" borderId="4" xfId="0" applyNumberFormat="1" applyFont="1" applyFill="1" applyBorder="1" applyAlignment="1">
      <alignment horizontal="center"/>
    </xf>
    <xf numFmtId="1" fontId="5" fillId="11" borderId="46" xfId="0" applyNumberFormat="1" applyFont="1" applyFill="1" applyBorder="1" applyAlignment="1">
      <alignment horizontal="center"/>
    </xf>
    <xf numFmtId="164" fontId="5" fillId="11" borderId="46" xfId="0" applyNumberFormat="1" applyFont="1" applyFill="1" applyBorder="1" applyAlignment="1">
      <alignment horizontal="center" vertical="center"/>
    </xf>
    <xf numFmtId="164" fontId="5" fillId="11" borderId="46" xfId="0" applyNumberFormat="1" applyFont="1" applyFill="1" applyBorder="1" applyAlignment="1">
      <alignment horizontal="center"/>
    </xf>
    <xf numFmtId="164" fontId="5" fillId="11" borderId="16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quotePrefix="1" applyFont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0" fontId="8" fillId="4" borderId="22" xfId="0" applyFont="1" applyFill="1" applyBorder="1"/>
    <xf numFmtId="0" fontId="52" fillId="10" borderId="2" xfId="0" applyFont="1" applyFill="1" applyBorder="1" applyAlignment="1">
      <alignment horizontal="center" vertical="center"/>
    </xf>
    <xf numFmtId="0" fontId="16" fillId="10" borderId="2" xfId="4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64" fontId="7" fillId="6" borderId="14" xfId="0" applyNumberFormat="1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2" fontId="8" fillId="10" borderId="2" xfId="0" applyNumberFormat="1" applyFont="1" applyFill="1" applyBorder="1" applyAlignment="1">
      <alignment horizontal="center" vertical="center"/>
    </xf>
    <xf numFmtId="2" fontId="8" fillId="10" borderId="14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/>
    </xf>
    <xf numFmtId="2" fontId="8" fillId="10" borderId="2" xfId="0" applyNumberFormat="1" applyFont="1" applyFill="1" applyBorder="1" applyAlignment="1">
      <alignment horizontal="center"/>
    </xf>
    <xf numFmtId="2" fontId="8" fillId="10" borderId="14" xfId="0" applyNumberFormat="1" applyFont="1" applyFill="1" applyBorder="1" applyAlignment="1">
      <alignment horizontal="center"/>
    </xf>
    <xf numFmtId="164" fontId="15" fillId="6" borderId="14" xfId="0" applyNumberFormat="1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/>
    </xf>
    <xf numFmtId="164" fontId="15" fillId="6" borderId="17" xfId="0" applyNumberFormat="1" applyFont="1" applyFill="1" applyBorder="1" applyAlignment="1">
      <alignment horizontal="center"/>
    </xf>
    <xf numFmtId="0" fontId="8" fillId="10" borderId="16" xfId="0" applyFont="1" applyFill="1" applyBorder="1" applyAlignment="1">
      <alignment horizontal="center" vertical="center"/>
    </xf>
    <xf numFmtId="2" fontId="8" fillId="10" borderId="16" xfId="0" applyNumberFormat="1" applyFont="1" applyFill="1" applyBorder="1" applyAlignment="1">
      <alignment horizontal="center"/>
    </xf>
    <xf numFmtId="0" fontId="8" fillId="0" borderId="21" xfId="0" applyFont="1" applyBorder="1"/>
    <xf numFmtId="2" fontId="8" fillId="10" borderId="17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2" fontId="8" fillId="3" borderId="13" xfId="0" applyNumberFormat="1" applyFont="1" applyFill="1" applyBorder="1" applyAlignment="1">
      <alignment horizontal="center"/>
    </xf>
    <xf numFmtId="2" fontId="8" fillId="3" borderId="19" xfId="0" applyNumberFormat="1" applyFont="1" applyFill="1" applyBorder="1" applyAlignment="1">
      <alignment horizontal="center"/>
    </xf>
    <xf numFmtId="2" fontId="8" fillId="3" borderId="3" xfId="0" applyNumberFormat="1" applyFont="1" applyFill="1" applyBorder="1" applyAlignment="1">
      <alignment horizontal="center"/>
    </xf>
    <xf numFmtId="2" fontId="8" fillId="3" borderId="25" xfId="0" applyNumberFormat="1" applyFont="1" applyFill="1" applyBorder="1" applyAlignment="1">
      <alignment horizontal="center"/>
    </xf>
    <xf numFmtId="0" fontId="8" fillId="10" borderId="42" xfId="0" applyFont="1" applyFill="1" applyBorder="1" applyAlignment="1">
      <alignment horizontal="center" vertical="center"/>
    </xf>
    <xf numFmtId="2" fontId="8" fillId="10" borderId="42" xfId="0" applyNumberFormat="1" applyFont="1" applyFill="1" applyBorder="1" applyAlignment="1">
      <alignment horizontal="center"/>
    </xf>
    <xf numFmtId="0" fontId="8" fillId="0" borderId="29" xfId="0" applyFont="1" applyBorder="1"/>
    <xf numFmtId="2" fontId="8" fillId="10" borderId="39" xfId="0" applyNumberFormat="1" applyFont="1" applyFill="1" applyBorder="1" applyAlignment="1">
      <alignment horizontal="center"/>
    </xf>
    <xf numFmtId="164" fontId="54" fillId="6" borderId="14" xfId="0" applyNumberFormat="1" applyFont="1" applyFill="1" applyBorder="1" applyAlignment="1">
      <alignment horizontal="center" vertical="center"/>
    </xf>
    <xf numFmtId="2" fontId="8" fillId="10" borderId="16" xfId="0" applyNumberFormat="1" applyFont="1" applyFill="1" applyBorder="1" applyAlignment="1">
      <alignment horizontal="center" vertical="center"/>
    </xf>
    <xf numFmtId="2" fontId="8" fillId="10" borderId="17" xfId="0" applyNumberFormat="1" applyFont="1" applyFill="1" applyBorder="1" applyAlignment="1">
      <alignment horizontal="center" vertical="center"/>
    </xf>
    <xf numFmtId="2" fontId="8" fillId="3" borderId="8" xfId="0" applyNumberFormat="1" applyFont="1" applyFill="1" applyBorder="1" applyAlignment="1">
      <alignment horizontal="center" vertical="center"/>
    </xf>
    <xf numFmtId="2" fontId="8" fillId="3" borderId="25" xfId="0" applyNumberFormat="1" applyFont="1" applyFill="1" applyBorder="1" applyAlignment="1">
      <alignment horizontal="center" vertical="center"/>
    </xf>
    <xf numFmtId="2" fontId="8" fillId="10" borderId="42" xfId="0" applyNumberFormat="1" applyFont="1" applyFill="1" applyBorder="1" applyAlignment="1">
      <alignment horizontal="center" vertical="center"/>
    </xf>
    <xf numFmtId="2" fontId="8" fillId="10" borderId="39" xfId="0" applyNumberFormat="1" applyFont="1" applyFill="1" applyBorder="1" applyAlignment="1">
      <alignment horizontal="center" vertical="center"/>
    </xf>
    <xf numFmtId="164" fontId="7" fillId="6" borderId="14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164" fontId="8" fillId="3" borderId="14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/>
    </xf>
    <xf numFmtId="164" fontId="8" fillId="11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164" fontId="8" fillId="3" borderId="14" xfId="4" applyNumberFormat="1" applyFont="1" applyFill="1" applyBorder="1" applyAlignment="1">
      <alignment horizontal="center"/>
    </xf>
    <xf numFmtId="166" fontId="8" fillId="3" borderId="6" xfId="4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164" fontId="0" fillId="11" borderId="16" xfId="0" applyNumberFormat="1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8" fillId="3" borderId="17" xfId="4" applyNumberFormat="1" applyFont="1" applyFill="1" applyBorder="1" applyAlignment="1">
      <alignment horizontal="center"/>
    </xf>
    <xf numFmtId="0" fontId="0" fillId="11" borderId="42" xfId="0" applyFill="1" applyBorder="1"/>
    <xf numFmtId="0" fontId="0" fillId="11" borderId="39" xfId="0" applyFill="1" applyBorder="1"/>
    <xf numFmtId="164" fontId="8" fillId="3" borderId="15" xfId="0" applyNumberFormat="1" applyFont="1" applyFill="1" applyBorder="1" applyAlignment="1">
      <alignment horizontal="center" vertical="center"/>
    </xf>
    <xf numFmtId="164" fontId="8" fillId="3" borderId="16" xfId="0" applyNumberFormat="1" applyFont="1" applyFill="1" applyBorder="1" applyAlignment="1">
      <alignment horizontal="center" vertical="center"/>
    </xf>
    <xf numFmtId="164" fontId="8" fillId="3" borderId="17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0" fontId="0" fillId="11" borderId="14" xfId="0" applyFill="1" applyBorder="1"/>
    <xf numFmtId="0" fontId="0" fillId="11" borderId="16" xfId="0" applyFill="1" applyBorder="1"/>
    <xf numFmtId="0" fontId="0" fillId="11" borderId="17" xfId="0" applyFill="1" applyBorder="1"/>
    <xf numFmtId="166" fontId="13" fillId="3" borderId="0" xfId="4" applyNumberFormat="1" applyFont="1" applyFill="1" applyAlignment="1">
      <alignment horizontal="center"/>
    </xf>
    <xf numFmtId="0" fontId="11" fillId="3" borderId="41" xfId="0" applyFont="1" applyFill="1" applyBorder="1" applyAlignment="1">
      <alignment horizontal="center" vertical="center"/>
    </xf>
    <xf numFmtId="164" fontId="11" fillId="3" borderId="42" xfId="0" applyNumberFormat="1" applyFont="1" applyFill="1" applyBorder="1" applyAlignment="1">
      <alignment horizontal="center"/>
    </xf>
    <xf numFmtId="164" fontId="11" fillId="3" borderId="39" xfId="0" applyNumberFormat="1" applyFont="1" applyFill="1" applyBorder="1" applyAlignment="1">
      <alignment horizontal="center"/>
    </xf>
    <xf numFmtId="0" fontId="52" fillId="3" borderId="0" xfId="0" applyFont="1" applyFill="1" applyAlignment="1">
      <alignment vertical="center"/>
    </xf>
    <xf numFmtId="0" fontId="11" fillId="3" borderId="40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/>
    </xf>
    <xf numFmtId="164" fontId="11" fillId="3" borderId="14" xfId="0" applyNumberFormat="1" applyFont="1" applyFill="1" applyBorder="1" applyAlignment="1">
      <alignment horizontal="center"/>
    </xf>
    <xf numFmtId="164" fontId="11" fillId="3" borderId="63" xfId="0" applyNumberFormat="1" applyFont="1" applyFill="1" applyBorder="1" applyAlignment="1">
      <alignment horizontal="center"/>
    </xf>
    <xf numFmtId="164" fontId="11" fillId="3" borderId="16" xfId="0" applyNumberFormat="1" applyFont="1" applyFill="1" applyBorder="1" applyAlignment="1">
      <alignment horizontal="center"/>
    </xf>
    <xf numFmtId="164" fontId="11" fillId="3" borderId="64" xfId="0" applyNumberFormat="1" applyFont="1" applyFill="1" applyBorder="1" applyAlignment="1">
      <alignment horizontal="center"/>
    </xf>
    <xf numFmtId="165" fontId="8" fillId="3" borderId="21" xfId="0" applyNumberFormat="1" applyFont="1" applyFill="1" applyBorder="1" applyAlignment="1">
      <alignment horizontal="center"/>
    </xf>
    <xf numFmtId="0" fontId="8" fillId="3" borderId="21" xfId="0" applyFont="1" applyFill="1" applyBorder="1"/>
    <xf numFmtId="2" fontId="8" fillId="3" borderId="21" xfId="4" applyNumberFormat="1" applyFont="1" applyFill="1" applyBorder="1" applyAlignment="1">
      <alignment horizontal="center"/>
    </xf>
    <xf numFmtId="0" fontId="0" fillId="0" borderId="23" xfId="0" applyBorder="1"/>
    <xf numFmtId="0" fontId="8" fillId="10" borderId="4" xfId="0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0" fontId="8" fillId="10" borderId="7" xfId="0" applyFont="1" applyFill="1" applyBorder="1" applyAlignment="1">
      <alignment vertical="center"/>
    </xf>
    <xf numFmtId="0" fontId="8" fillId="10" borderId="41" xfId="0" applyFont="1" applyFill="1" applyBorder="1" applyAlignment="1">
      <alignment horizontal="center" vertical="center"/>
    </xf>
    <xf numFmtId="0" fontId="8" fillId="10" borderId="39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27" fillId="0" borderId="14" xfId="0" applyFont="1" applyBorder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39" fillId="0" borderId="14" xfId="0" applyFont="1" applyBorder="1" applyAlignment="1">
      <alignment horizontal="left" vertical="center"/>
    </xf>
    <xf numFmtId="0" fontId="8" fillId="3" borderId="15" xfId="0" applyFont="1" applyFill="1" applyBorder="1"/>
    <xf numFmtId="2" fontId="27" fillId="0" borderId="16" xfId="0" applyNumberFormat="1" applyFont="1" applyBorder="1" applyAlignment="1">
      <alignment horizontal="center" vertical="center"/>
    </xf>
    <xf numFmtId="2" fontId="27" fillId="0" borderId="17" xfId="0" applyNumberFormat="1" applyFont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vertical="center"/>
    </xf>
    <xf numFmtId="0" fontId="8" fillId="10" borderId="34" xfId="0" applyFont="1" applyFill="1" applyBorder="1" applyAlignment="1">
      <alignment vertical="center"/>
    </xf>
    <xf numFmtId="0" fontId="8" fillId="10" borderId="33" xfId="0" applyFont="1" applyFill="1" applyBorder="1" applyAlignment="1">
      <alignment vertical="center"/>
    </xf>
    <xf numFmtId="0" fontId="8" fillId="10" borderId="60" xfId="0" applyFont="1" applyFill="1" applyBorder="1" applyAlignment="1">
      <alignment horizontal="left" vertical="center"/>
    </xf>
    <xf numFmtId="0" fontId="8" fillId="10" borderId="15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164" fontId="30" fillId="0" borderId="0" xfId="0" applyNumberFormat="1" applyFont="1" applyAlignment="1">
      <alignment horizontal="center"/>
    </xf>
    <xf numFmtId="0" fontId="30" fillId="0" borderId="2" xfId="0" applyFont="1" applyBorder="1" applyAlignment="1">
      <alignment horizontal="center" vertical="center" wrapText="1"/>
    </xf>
    <xf numFmtId="0" fontId="35" fillId="0" borderId="7" xfId="2" applyFont="1" applyBorder="1" applyAlignment="1">
      <alignment horizontal="center" vertical="top"/>
    </xf>
    <xf numFmtId="0" fontId="106" fillId="0" borderId="0" xfId="2" applyFont="1" applyAlignment="1">
      <alignment horizontal="center" vertical="top" wrapText="1"/>
    </xf>
    <xf numFmtId="0" fontId="69" fillId="0" borderId="0" xfId="0" applyFont="1" applyAlignment="1">
      <alignment horizontal="center" vertical="center"/>
    </xf>
    <xf numFmtId="0" fontId="30" fillId="0" borderId="0" xfId="2" applyFont="1" applyAlignment="1">
      <alignment vertical="center"/>
    </xf>
    <xf numFmtId="164" fontId="30" fillId="0" borderId="12" xfId="0" applyNumberFormat="1" applyFont="1" applyBorder="1" applyAlignment="1">
      <alignment horizontal="left" vertical="center"/>
    </xf>
    <xf numFmtId="164" fontId="30" fillId="0" borderId="0" xfId="0" applyNumberFormat="1" applyFont="1" applyAlignment="1">
      <alignment vertical="center" wrapText="1"/>
    </xf>
    <xf numFmtId="0" fontId="35" fillId="3" borderId="2" xfId="0" applyFont="1" applyFill="1" applyBorder="1" applyAlignment="1">
      <alignment horizontal="center" vertical="center"/>
    </xf>
    <xf numFmtId="0" fontId="5" fillId="0" borderId="0" xfId="2" applyAlignment="1">
      <alignment vertical="top"/>
    </xf>
    <xf numFmtId="164" fontId="30" fillId="0" borderId="0" xfId="0" applyNumberFormat="1" applyFont="1" applyAlignment="1">
      <alignment horizontal="center" vertical="center" wrapText="1"/>
    </xf>
    <xf numFmtId="0" fontId="30" fillId="0" borderId="0" xfId="0" applyFont="1" applyAlignment="1">
      <alignment horizontal="left" vertical="center"/>
    </xf>
    <xf numFmtId="0" fontId="35" fillId="0" borderId="0" xfId="2" applyFont="1" applyAlignment="1">
      <alignment vertical="center"/>
    </xf>
    <xf numFmtId="164" fontId="30" fillId="0" borderId="0" xfId="2" applyNumberFormat="1" applyFont="1" applyAlignment="1">
      <alignment vertical="center"/>
    </xf>
    <xf numFmtId="1" fontId="30" fillId="0" borderId="0" xfId="2" applyNumberFormat="1" applyFont="1"/>
    <xf numFmtId="164" fontId="30" fillId="0" borderId="7" xfId="2" applyNumberFormat="1" applyFont="1" applyBorder="1" applyAlignment="1">
      <alignment horizontal="right" vertical="center"/>
    </xf>
    <xf numFmtId="164" fontId="46" fillId="2" borderId="12" xfId="0" applyNumberFormat="1" applyFont="1" applyFill="1" applyBorder="1" applyAlignment="1">
      <alignment vertical="center"/>
    </xf>
    <xf numFmtId="165" fontId="30" fillId="0" borderId="7" xfId="2" applyNumberFormat="1" applyFont="1" applyBorder="1" applyAlignment="1">
      <alignment horizontal="right" vertical="center"/>
    </xf>
    <xf numFmtId="0" fontId="30" fillId="0" borderId="0" xfId="2" quotePrefix="1" applyFont="1" applyAlignment="1">
      <alignment horizontal="center" vertical="center"/>
    </xf>
    <xf numFmtId="0" fontId="30" fillId="0" borderId="0" xfId="2" applyFont="1" applyAlignment="1">
      <alignment horizontal="left" vertical="center"/>
    </xf>
    <xf numFmtId="164" fontId="30" fillId="0" borderId="0" xfId="2" applyNumberFormat="1" applyFont="1" applyAlignment="1">
      <alignment horizontal="right" vertical="center"/>
    </xf>
    <xf numFmtId="164" fontId="46" fillId="2" borderId="0" xfId="0" applyNumberFormat="1" applyFont="1" applyFill="1" applyAlignment="1">
      <alignment vertical="center"/>
    </xf>
    <xf numFmtId="0" fontId="47" fillId="0" borderId="0" xfId="2" applyFont="1" applyAlignment="1">
      <alignment horizontal="center" vertical="center"/>
    </xf>
    <xf numFmtId="164" fontId="5" fillId="0" borderId="0" xfId="2" applyNumberForma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42" fillId="0" borderId="0" xfId="2" applyFont="1" applyAlignment="1">
      <alignment horizontal="left" vertical="center"/>
    </xf>
    <xf numFmtId="1" fontId="30" fillId="0" borderId="0" xfId="0" applyNumberFormat="1" applyFont="1" applyAlignment="1">
      <alignment horizontal="center" vertical="center" wrapText="1"/>
    </xf>
    <xf numFmtId="173" fontId="30" fillId="0" borderId="0" xfId="0" applyNumberFormat="1" applyFont="1" applyAlignment="1">
      <alignment horizontal="center"/>
    </xf>
    <xf numFmtId="1" fontId="30" fillId="0" borderId="2" xfId="0" applyNumberFormat="1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/>
    </xf>
    <xf numFmtId="0" fontId="35" fillId="0" borderId="2" xfId="2" applyFont="1" applyBorder="1" applyAlignment="1">
      <alignment horizontal="center" vertical="top" wrapText="1"/>
    </xf>
    <xf numFmtId="0" fontId="35" fillId="0" borderId="2" xfId="0" applyFont="1" applyBorder="1" applyAlignment="1">
      <alignment horizontal="center" vertical="top" wrapText="1"/>
    </xf>
    <xf numFmtId="0" fontId="106" fillId="0" borderId="2" xfId="2" applyFont="1" applyBorder="1" applyAlignment="1">
      <alignment horizontal="center" vertical="top" wrapText="1"/>
    </xf>
    <xf numFmtId="0" fontId="106" fillId="0" borderId="0" xfId="2" applyFont="1" applyAlignment="1">
      <alignment vertical="top" wrapText="1"/>
    </xf>
    <xf numFmtId="0" fontId="107" fillId="0" borderId="0" xfId="2" applyFont="1" applyAlignment="1">
      <alignment vertical="top"/>
    </xf>
    <xf numFmtId="0" fontId="30" fillId="0" borderId="2" xfId="2" applyFont="1" applyBorder="1" applyAlignment="1">
      <alignment horizontal="center" vertical="center" wrapText="1"/>
    </xf>
    <xf numFmtId="0" fontId="69" fillId="0" borderId="2" xfId="0" applyFont="1" applyBorder="1" applyAlignment="1">
      <alignment horizontal="center" vertical="center"/>
    </xf>
    <xf numFmtId="2" fontId="107" fillId="0" borderId="0" xfId="2" applyNumberFormat="1" applyFont="1" applyAlignment="1">
      <alignment horizontal="left" vertical="center"/>
    </xf>
    <xf numFmtId="0" fontId="108" fillId="0" borderId="0" xfId="2" applyFont="1" applyAlignment="1">
      <alignment horizontal="center" vertical="center"/>
    </xf>
    <xf numFmtId="0" fontId="56" fillId="0" borderId="0" xfId="2" applyFont="1"/>
    <xf numFmtId="1" fontId="7" fillId="0" borderId="7" xfId="2" applyNumberFormat="1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164" fontId="30" fillId="0" borderId="7" xfId="0" applyNumberFormat="1" applyFont="1" applyBorder="1" applyAlignment="1">
      <alignment horizontal="center" vertical="center"/>
    </xf>
    <xf numFmtId="0" fontId="42" fillId="0" borderId="0" xfId="2" applyFont="1" applyAlignment="1">
      <alignment horizontal="center" vertical="top"/>
    </xf>
    <xf numFmtId="0" fontId="35" fillId="0" borderId="0" xfId="2" applyFont="1" applyAlignment="1" applyProtection="1">
      <alignment horizontal="left"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35" fillId="0" borderId="0" xfId="2" applyFont="1" applyAlignment="1" applyProtection="1">
      <alignment vertical="center"/>
      <protection locked="0"/>
    </xf>
    <xf numFmtId="0" fontId="5" fillId="0" borderId="0" xfId="2" applyAlignment="1" applyProtection="1">
      <alignment vertical="center"/>
      <protection locked="0"/>
    </xf>
    <xf numFmtId="0" fontId="24" fillId="0" borderId="0" xfId="2" applyFont="1" applyProtection="1">
      <protection locked="0"/>
    </xf>
    <xf numFmtId="0" fontId="30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30" fillId="0" borderId="0" xfId="0" applyFont="1" applyAlignment="1" applyProtection="1">
      <alignment vertical="center"/>
      <protection locked="0"/>
    </xf>
    <xf numFmtId="0" fontId="35" fillId="0" borderId="0" xfId="0" applyFont="1" applyAlignment="1" applyProtection="1">
      <alignment vertical="center"/>
      <protection locked="0"/>
    </xf>
    <xf numFmtId="0" fontId="15" fillId="0" borderId="2" xfId="2" applyFont="1" applyBorder="1" applyAlignment="1" applyProtection="1">
      <alignment horizontal="center"/>
      <protection locked="0"/>
    </xf>
    <xf numFmtId="171" fontId="5" fillId="0" borderId="7" xfId="0" applyNumberFormat="1" applyFont="1" applyBorder="1" applyProtection="1">
      <protection locked="0"/>
    </xf>
    <xf numFmtId="0" fontId="5" fillId="0" borderId="2" xfId="2" applyBorder="1" applyProtection="1">
      <protection locked="0"/>
    </xf>
    <xf numFmtId="0" fontId="5" fillId="0" borderId="0" xfId="10"/>
    <xf numFmtId="0" fontId="28" fillId="6" borderId="0" xfId="11" applyFont="1" applyFill="1" applyAlignment="1">
      <alignment horizontal="center"/>
    </xf>
    <xf numFmtId="0" fontId="5" fillId="0" borderId="0" xfId="10" applyProtection="1">
      <protection locked="0"/>
    </xf>
    <xf numFmtId="0" fontId="118" fillId="0" borderId="0" xfId="10" applyFont="1" applyAlignment="1">
      <alignment horizontal="center" vertical="center" wrapText="1"/>
    </xf>
    <xf numFmtId="0" fontId="15" fillId="0" borderId="0" xfId="10" applyFont="1" applyProtection="1">
      <protection locked="0"/>
    </xf>
    <xf numFmtId="0" fontId="13" fillId="0" borderId="7" xfId="10" applyFont="1" applyBorder="1" applyAlignment="1">
      <alignment horizontal="left" vertical="top" wrapText="1"/>
    </xf>
    <xf numFmtId="0" fontId="13" fillId="0" borderId="12" xfId="10" applyFont="1" applyBorder="1" applyAlignment="1">
      <alignment horizontal="left" vertical="top" wrapText="1"/>
    </xf>
    <xf numFmtId="0" fontId="5" fillId="0" borderId="0" xfId="10" applyAlignment="1">
      <alignment horizontal="left" vertical="top"/>
    </xf>
    <xf numFmtId="0" fontId="13" fillId="0" borderId="12" xfId="10" applyFont="1" applyBorder="1" applyAlignment="1">
      <alignment horizontal="left" vertical="top"/>
    </xf>
    <xf numFmtId="0" fontId="13" fillId="0" borderId="0" xfId="10" applyFont="1" applyAlignment="1">
      <alignment vertical="center" wrapText="1"/>
    </xf>
    <xf numFmtId="0" fontId="13" fillId="0" borderId="0" xfId="10" applyFont="1" applyAlignment="1">
      <alignment horizontal="center" vertical="center" wrapText="1"/>
    </xf>
    <xf numFmtId="0" fontId="120" fillId="0" borderId="0" xfId="10" applyFont="1"/>
    <xf numFmtId="0" fontId="13" fillId="0" borderId="0" xfId="10" applyFont="1" applyAlignment="1" applyProtection="1">
      <alignment horizontal="center" vertical="center" wrapText="1"/>
      <protection locked="0"/>
    </xf>
    <xf numFmtId="1" fontId="13" fillId="0" borderId="0" xfId="10" quotePrefix="1" applyNumberFormat="1" applyFont="1" applyAlignment="1" applyProtection="1">
      <alignment horizontal="left"/>
      <protection locked="0"/>
    </xf>
    <xf numFmtId="0" fontId="13" fillId="0" borderId="0" xfId="10" applyFont="1" applyProtection="1">
      <protection locked="0"/>
    </xf>
    <xf numFmtId="1" fontId="119" fillId="0" borderId="0" xfId="10" quotePrefix="1" applyNumberFormat="1" applyFont="1" applyProtection="1">
      <protection locked="0"/>
    </xf>
    <xf numFmtId="0" fontId="120" fillId="0" borderId="0" xfId="10" applyFont="1" applyProtection="1">
      <protection locked="0"/>
    </xf>
    <xf numFmtId="175" fontId="13" fillId="0" borderId="0" xfId="10" quotePrefix="1" applyNumberFormat="1" applyFont="1" applyAlignment="1" applyProtection="1">
      <alignment horizontal="left"/>
      <protection locked="0"/>
    </xf>
    <xf numFmtId="2" fontId="119" fillId="0" borderId="0" xfId="10" quotePrefix="1" applyNumberFormat="1" applyFont="1" applyProtection="1">
      <protection locked="0"/>
    </xf>
    <xf numFmtId="0" fontId="5" fillId="0" borderId="0" xfId="10" applyAlignment="1">
      <alignment vertical="top" wrapText="1"/>
    </xf>
    <xf numFmtId="0" fontId="13" fillId="0" borderId="7" xfId="10" applyFont="1" applyBorder="1" applyAlignment="1">
      <alignment vertical="top"/>
    </xf>
    <xf numFmtId="0" fontId="13" fillId="0" borderId="12" xfId="10" applyFont="1" applyBorder="1" applyAlignment="1" applyProtection="1">
      <alignment vertical="top" wrapText="1"/>
      <protection locked="0"/>
    </xf>
    <xf numFmtId="0" fontId="13" fillId="0" borderId="12" xfId="10" applyFont="1" applyBorder="1" applyAlignment="1" applyProtection="1">
      <alignment vertical="top"/>
      <protection locked="0"/>
    </xf>
    <xf numFmtId="0" fontId="26" fillId="0" borderId="0" xfId="10" applyFont="1" applyAlignment="1">
      <alignment vertical="top"/>
    </xf>
    <xf numFmtId="0" fontId="13" fillId="0" borderId="0" xfId="10" applyFont="1" applyAlignment="1" applyProtection="1">
      <alignment horizontal="center" vertical="top" wrapText="1"/>
      <protection locked="0"/>
    </xf>
    <xf numFmtId="0" fontId="118" fillId="0" borderId="0" xfId="10" applyFont="1" applyAlignment="1">
      <alignment wrapText="1"/>
    </xf>
    <xf numFmtId="0" fontId="116" fillId="0" borderId="0" xfId="10" applyFont="1" applyAlignment="1">
      <alignment horizontal="center"/>
    </xf>
    <xf numFmtId="0" fontId="50" fillId="0" borderId="0" xfId="10" applyFont="1"/>
    <xf numFmtId="0" fontId="13" fillId="0" borderId="0" xfId="10" applyFont="1" applyAlignment="1">
      <alignment horizontal="center" vertical="top" wrapText="1"/>
    </xf>
    <xf numFmtId="0" fontId="13" fillId="0" borderId="0" xfId="10" applyFont="1" applyAlignment="1">
      <alignment vertical="top" wrapText="1"/>
    </xf>
    <xf numFmtId="0" fontId="13" fillId="0" borderId="0" xfId="10" applyFont="1" applyAlignment="1">
      <alignment horizontal="justify" vertical="center" wrapText="1"/>
    </xf>
    <xf numFmtId="0" fontId="121" fillId="0" borderId="0" xfId="10" applyFont="1" applyAlignment="1">
      <alignment vertical="center"/>
    </xf>
    <xf numFmtId="0" fontId="5" fillId="0" borderId="36" xfId="10" applyBorder="1"/>
    <xf numFmtId="0" fontId="122" fillId="0" borderId="30" xfId="10" applyFont="1" applyBorder="1"/>
    <xf numFmtId="0" fontId="5" fillId="0" borderId="6" xfId="10" applyBorder="1"/>
    <xf numFmtId="0" fontId="5" fillId="0" borderId="19" xfId="10" applyBorder="1"/>
    <xf numFmtId="0" fontId="5" fillId="0" borderId="6" xfId="10" applyBorder="1" applyAlignment="1">
      <alignment wrapText="1"/>
    </xf>
    <xf numFmtId="0" fontId="5" fillId="0" borderId="19" xfId="10" applyBorder="1" applyAlignment="1">
      <alignment wrapText="1"/>
    </xf>
    <xf numFmtId="0" fontId="122" fillId="0" borderId="19" xfId="10" applyFont="1" applyBorder="1"/>
    <xf numFmtId="0" fontId="123" fillId="0" borderId="19" xfId="10" applyFont="1" applyBorder="1" applyAlignment="1">
      <alignment horizontal="left" wrapText="1"/>
    </xf>
    <xf numFmtId="0" fontId="5" fillId="0" borderId="0" xfId="10" applyAlignment="1">
      <alignment wrapText="1"/>
    </xf>
    <xf numFmtId="0" fontId="123" fillId="0" borderId="6" xfId="10" applyFont="1" applyBorder="1" applyAlignment="1">
      <alignment wrapText="1"/>
    </xf>
    <xf numFmtId="172" fontId="123" fillId="0" borderId="19" xfId="10" applyNumberFormat="1" applyFont="1" applyBorder="1" applyAlignment="1">
      <alignment horizontal="left"/>
    </xf>
    <xf numFmtId="172" fontId="5" fillId="0" borderId="19" xfId="10" applyNumberFormat="1" applyBorder="1"/>
    <xf numFmtId="0" fontId="124" fillId="0" borderId="19" xfId="10" applyFont="1" applyBorder="1" applyAlignment="1">
      <alignment horizontal="left" wrapText="1"/>
    </xf>
    <xf numFmtId="0" fontId="123" fillId="0" borderId="19" xfId="10" applyFont="1" applyBorder="1" applyAlignment="1">
      <alignment wrapText="1"/>
    </xf>
    <xf numFmtId="0" fontId="123" fillId="0" borderId="6" xfId="10" applyFont="1" applyBorder="1"/>
    <xf numFmtId="0" fontId="123" fillId="0" borderId="22" xfId="10" applyFont="1" applyBorder="1"/>
    <xf numFmtId="0" fontId="123" fillId="0" borderId="23" xfId="10" applyFont="1" applyBorder="1" applyAlignment="1">
      <alignment wrapText="1"/>
    </xf>
    <xf numFmtId="0" fontId="125" fillId="3" borderId="0" xfId="2" applyFont="1" applyFill="1" applyProtection="1">
      <protection locked="0"/>
    </xf>
    <xf numFmtId="0" fontId="69" fillId="3" borderId="0" xfId="0" applyFont="1" applyFill="1" applyAlignment="1" applyProtection="1">
      <alignment horizontal="left"/>
      <protection locked="0"/>
    </xf>
    <xf numFmtId="0" fontId="69" fillId="3" borderId="0" xfId="0" quotePrefix="1" applyFont="1" applyFill="1" applyAlignment="1" applyProtection="1">
      <alignment horizontal="left"/>
      <protection locked="0"/>
    </xf>
    <xf numFmtId="15" fontId="69" fillId="3" borderId="0" xfId="0" quotePrefix="1" applyNumberFormat="1" applyFont="1" applyFill="1" applyAlignment="1" applyProtection="1">
      <alignment horizontal="left"/>
      <protection locked="0"/>
    </xf>
    <xf numFmtId="0" fontId="51" fillId="3" borderId="0" xfId="2" applyFont="1" applyFill="1" applyProtection="1">
      <protection locked="0"/>
    </xf>
    <xf numFmtId="0" fontId="127" fillId="0" borderId="0" xfId="2" applyFont="1"/>
    <xf numFmtId="0" fontId="81" fillId="0" borderId="0" xfId="2" applyFont="1"/>
    <xf numFmtId="0" fontId="125" fillId="0" borderId="0" xfId="2" applyFont="1" applyProtection="1">
      <protection locked="0"/>
    </xf>
    <xf numFmtId="0" fontId="125" fillId="0" borderId="0" xfId="2" applyFont="1" applyAlignment="1" applyProtection="1">
      <alignment horizontal="right"/>
      <protection locked="0"/>
    </xf>
    <xf numFmtId="0" fontId="51" fillId="0" borderId="0" xfId="2" applyFont="1"/>
    <xf numFmtId="0" fontId="69" fillId="0" borderId="0" xfId="2" applyFont="1"/>
    <xf numFmtId="0" fontId="51" fillId="0" borderId="0" xfId="2" applyFont="1" applyAlignment="1">
      <alignment horizontal="right"/>
    </xf>
    <xf numFmtId="0" fontId="69" fillId="0" borderId="0" xfId="0" applyFont="1"/>
    <xf numFmtId="0" fontId="106" fillId="0" borderId="0" xfId="2" applyFont="1"/>
    <xf numFmtId="0" fontId="106" fillId="0" borderId="2" xfId="2" applyFont="1" applyBorder="1" applyAlignment="1">
      <alignment horizontal="center"/>
    </xf>
    <xf numFmtId="0" fontId="81" fillId="0" borderId="0" xfId="0" applyFont="1" applyAlignment="1">
      <alignment vertical="center"/>
    </xf>
    <xf numFmtId="164" fontId="69" fillId="3" borderId="12" xfId="2" applyNumberFormat="1" applyFont="1" applyFill="1" applyBorder="1" applyAlignment="1" applyProtection="1">
      <alignment vertical="center"/>
      <protection locked="0"/>
    </xf>
    <xf numFmtId="0" fontId="128" fillId="0" borderId="0" xfId="2" applyFont="1"/>
    <xf numFmtId="0" fontId="69" fillId="0" borderId="0" xfId="2" applyFont="1" applyProtection="1">
      <protection locked="0"/>
    </xf>
    <xf numFmtId="0" fontId="121" fillId="0" borderId="0" xfId="2" applyFont="1"/>
    <xf numFmtId="0" fontId="51" fillId="0" borderId="0" xfId="4" applyFont="1"/>
    <xf numFmtId="0" fontId="69" fillId="0" borderId="2" xfId="2" quotePrefix="1" applyFont="1" applyBorder="1" applyAlignment="1">
      <alignment horizontal="center" vertical="center"/>
    </xf>
    <xf numFmtId="0" fontId="69" fillId="0" borderId="7" xfId="2" applyFont="1" applyBorder="1" applyAlignment="1">
      <alignment vertical="center"/>
    </xf>
    <xf numFmtId="0" fontId="69" fillId="0" borderId="5" xfId="2" applyFont="1" applyBorder="1" applyAlignment="1">
      <alignment vertical="center"/>
    </xf>
    <xf numFmtId="0" fontId="51" fillId="0" borderId="5" xfId="2" applyFont="1" applyBorder="1" applyAlignment="1">
      <alignment vertical="center"/>
    </xf>
    <xf numFmtId="0" fontId="69" fillId="0" borderId="12" xfId="0" applyFont="1" applyBorder="1" applyAlignment="1">
      <alignment horizontal="left" vertical="center"/>
    </xf>
    <xf numFmtId="0" fontId="81" fillId="0" borderId="0" xfId="2" applyFont="1" applyAlignment="1">
      <alignment horizontal="left"/>
    </xf>
    <xf numFmtId="0" fontId="129" fillId="3" borderId="0" xfId="0" applyFont="1" applyFill="1" applyAlignment="1">
      <alignment vertical="center" wrapText="1"/>
    </xf>
    <xf numFmtId="0" fontId="50" fillId="0" borderId="0" xfId="2" applyFont="1" applyAlignment="1">
      <alignment vertical="center"/>
    </xf>
    <xf numFmtId="0" fontId="51" fillId="0" borderId="0" xfId="2" quotePrefix="1" applyFont="1" applyAlignment="1">
      <alignment horizontal="center"/>
    </xf>
    <xf numFmtId="164" fontId="51" fillId="0" borderId="0" xfId="2" applyNumberFormat="1" applyFont="1" applyAlignment="1">
      <alignment horizontal="center"/>
    </xf>
    <xf numFmtId="0" fontId="130" fillId="0" borderId="0" xfId="2" applyFont="1" applyAlignment="1">
      <alignment horizontal="center"/>
    </xf>
    <xf numFmtId="0" fontId="106" fillId="0" borderId="0" xfId="0" applyFont="1"/>
    <xf numFmtId="0" fontId="106" fillId="0" borderId="0" xfId="0" applyFont="1" applyAlignment="1">
      <alignment vertical="center"/>
    </xf>
    <xf numFmtId="2" fontId="69" fillId="0" borderId="0" xfId="0" applyNumberFormat="1" applyFont="1" applyAlignment="1">
      <alignment horizontal="center"/>
    </xf>
    <xf numFmtId="9" fontId="131" fillId="0" borderId="0" xfId="0" quotePrefix="1" applyNumberFormat="1" applyFont="1" applyAlignment="1">
      <alignment vertical="center"/>
    </xf>
    <xf numFmtId="165" fontId="69" fillId="0" borderId="0" xfId="2" applyNumberFormat="1" applyFont="1" applyAlignment="1">
      <alignment horizontal="center"/>
    </xf>
    <xf numFmtId="164" fontId="69" fillId="0" borderId="2" xfId="0" applyNumberFormat="1" applyFont="1" applyBorder="1" applyAlignment="1">
      <alignment horizontal="center" vertical="center"/>
    </xf>
    <xf numFmtId="164" fontId="69" fillId="0" borderId="2" xfId="0" applyNumberFormat="1" applyFont="1" applyBorder="1" applyAlignment="1">
      <alignment horizontal="center"/>
    </xf>
    <xf numFmtId="2" fontId="69" fillId="0" borderId="2" xfId="0" applyNumberFormat="1" applyFont="1" applyBorder="1" applyAlignment="1">
      <alignment horizontal="center"/>
    </xf>
    <xf numFmtId="0" fontId="69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/>
    </xf>
    <xf numFmtId="0" fontId="106" fillId="0" borderId="7" xfId="2" applyFont="1" applyBorder="1" applyAlignment="1">
      <alignment horizontal="center" vertical="center"/>
    </xf>
    <xf numFmtId="0" fontId="81" fillId="0" borderId="0" xfId="2" applyFont="1" applyAlignment="1">
      <alignment vertical="center"/>
    </xf>
    <xf numFmtId="0" fontId="69" fillId="0" borderId="7" xfId="2" applyFont="1" applyBorder="1" applyAlignment="1">
      <alignment horizontal="center" vertical="center"/>
    </xf>
    <xf numFmtId="2" fontId="69" fillId="0" borderId="2" xfId="0" applyNumberFormat="1" applyFont="1" applyBorder="1" applyAlignment="1">
      <alignment horizontal="center" vertical="center"/>
    </xf>
    <xf numFmtId="2" fontId="69" fillId="0" borderId="0" xfId="0" applyNumberFormat="1" applyFont="1" applyAlignment="1">
      <alignment horizontal="center" vertical="center"/>
    </xf>
    <xf numFmtId="165" fontId="69" fillId="0" borderId="0" xfId="2" applyNumberFormat="1" applyFont="1" applyAlignment="1">
      <alignment horizontal="center" vertical="center"/>
    </xf>
    <xf numFmtId="0" fontId="69" fillId="0" borderId="0" xfId="2" applyFont="1" applyAlignment="1">
      <alignment vertical="center"/>
    </xf>
    <xf numFmtId="0" fontId="123" fillId="0" borderId="0" xfId="2" applyFont="1"/>
    <xf numFmtId="0" fontId="106" fillId="0" borderId="2" xfId="0" applyFont="1" applyBorder="1" applyAlignment="1">
      <alignment horizontal="center"/>
    </xf>
    <xf numFmtId="164" fontId="69" fillId="0" borderId="2" xfId="0" applyNumberFormat="1" applyFont="1" applyBorder="1" applyAlignment="1">
      <alignment horizontal="center" vertical="center" wrapText="1"/>
    </xf>
    <xf numFmtId="0" fontId="106" fillId="0" borderId="11" xfId="0" applyFont="1" applyBorder="1" applyAlignment="1">
      <alignment horizontal="center"/>
    </xf>
    <xf numFmtId="0" fontId="69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top" wrapText="1"/>
    </xf>
    <xf numFmtId="164" fontId="69" fillId="0" borderId="0" xfId="0" applyNumberFormat="1" applyFont="1" applyProtection="1">
      <protection locked="0"/>
    </xf>
    <xf numFmtId="164" fontId="69" fillId="0" borderId="32" xfId="0" applyNumberFormat="1" applyFont="1" applyBorder="1" applyProtection="1">
      <protection locked="0"/>
    </xf>
    <xf numFmtId="0" fontId="98" fillId="0" borderId="0" xfId="0" applyFont="1" applyAlignment="1">
      <alignment horizontal="center" vertical="center"/>
    </xf>
    <xf numFmtId="0" fontId="120" fillId="0" borderId="0" xfId="0" applyFont="1"/>
    <xf numFmtId="0" fontId="128" fillId="0" borderId="0" xfId="2" applyFont="1" applyAlignment="1">
      <alignment vertical="center" wrapText="1"/>
    </xf>
    <xf numFmtId="164" fontId="69" fillId="0" borderId="2" xfId="2" applyNumberFormat="1" applyFont="1" applyBorder="1" applyAlignment="1">
      <alignment horizontal="center" vertical="center"/>
    </xf>
    <xf numFmtId="2" fontId="69" fillId="0" borderId="2" xfId="2" applyNumberFormat="1" applyFont="1" applyBorder="1" applyAlignment="1">
      <alignment horizontal="center" vertical="center"/>
    </xf>
    <xf numFmtId="1" fontId="69" fillId="3" borderId="0" xfId="0" applyNumberFormat="1" applyFont="1" applyFill="1" applyAlignment="1">
      <alignment horizontal="center" vertical="center"/>
    </xf>
    <xf numFmtId="164" fontId="69" fillId="0" borderId="0" xfId="2" applyNumberFormat="1" applyFont="1" applyAlignment="1">
      <alignment horizontal="center" vertical="center"/>
    </xf>
    <xf numFmtId="2" fontId="69" fillId="0" borderId="0" xfId="2" applyNumberFormat="1" applyFont="1" applyAlignment="1">
      <alignment horizontal="center" vertical="center"/>
    </xf>
    <xf numFmtId="0" fontId="128" fillId="0" borderId="0" xfId="2" applyFont="1" applyAlignment="1">
      <alignment vertical="center"/>
    </xf>
    <xf numFmtId="0" fontId="106" fillId="0" borderId="0" xfId="2" applyFont="1" applyAlignment="1">
      <alignment horizontal="left"/>
    </xf>
    <xf numFmtId="0" fontId="106" fillId="0" borderId="0" xfId="2" applyFont="1" applyAlignment="1">
      <alignment horizontal="center"/>
    </xf>
    <xf numFmtId="0" fontId="69" fillId="0" borderId="0" xfId="2" applyFont="1" applyAlignment="1">
      <alignment horizontal="center"/>
    </xf>
    <xf numFmtId="2" fontId="69" fillId="0" borderId="0" xfId="2" applyNumberFormat="1" applyFont="1" applyAlignment="1">
      <alignment horizontal="center"/>
    </xf>
    <xf numFmtId="0" fontId="69" fillId="0" borderId="0" xfId="0" applyFont="1" applyProtection="1">
      <protection locked="0"/>
    </xf>
    <xf numFmtId="165" fontId="123" fillId="0" borderId="0" xfId="2" applyNumberFormat="1" applyFont="1" applyAlignment="1">
      <alignment horizontal="center"/>
    </xf>
    <xf numFmtId="0" fontId="81" fillId="0" borderId="0" xfId="2" applyFont="1" applyProtection="1">
      <protection locked="0"/>
    </xf>
    <xf numFmtId="2" fontId="69" fillId="0" borderId="0" xfId="2" applyNumberFormat="1" applyFont="1" applyAlignment="1" applyProtection="1">
      <alignment horizontal="center"/>
      <protection locked="0"/>
    </xf>
    <xf numFmtId="0" fontId="69" fillId="3" borderId="0" xfId="0" quotePrefix="1" applyFont="1" applyFill="1" applyAlignment="1" applyProtection="1">
      <alignment vertical="center"/>
      <protection locked="0"/>
    </xf>
    <xf numFmtId="0" fontId="69" fillId="0" borderId="0" xfId="0" quotePrefix="1" applyFont="1" applyAlignment="1" applyProtection="1">
      <alignment horizontal="left"/>
      <protection locked="0"/>
    </xf>
    <xf numFmtId="0" fontId="106" fillId="3" borderId="0" xfId="2" applyFont="1" applyFill="1"/>
    <xf numFmtId="0" fontId="81" fillId="3" borderId="0" xfId="2" applyFont="1" applyFill="1"/>
    <xf numFmtId="0" fontId="69" fillId="3" borderId="0" xfId="2" applyFont="1" applyFill="1"/>
    <xf numFmtId="0" fontId="51" fillId="3" borderId="0" xfId="2" applyFont="1" applyFill="1"/>
    <xf numFmtId="0" fontId="69" fillId="0" borderId="0" xfId="0" applyFont="1" applyAlignment="1">
      <alignment horizontal="left"/>
    </xf>
    <xf numFmtId="0" fontId="81" fillId="0" borderId="0" xfId="2" applyFont="1" applyAlignment="1">
      <alignment wrapText="1"/>
    </xf>
    <xf numFmtId="0" fontId="69" fillId="0" borderId="0" xfId="2" applyFont="1" applyAlignment="1" applyProtection="1">
      <alignment horizontal="left"/>
      <protection locked="0"/>
    </xf>
    <xf numFmtId="0" fontId="69" fillId="0" borderId="0" xfId="2" quotePrefix="1" applyFont="1" applyProtection="1">
      <protection locked="0"/>
    </xf>
    <xf numFmtId="0" fontId="51" fillId="0" borderId="0" xfId="0" applyFont="1"/>
    <xf numFmtId="0" fontId="123" fillId="12" borderId="0" xfId="4" applyFont="1" applyFill="1" applyProtection="1">
      <protection locked="0"/>
    </xf>
    <xf numFmtId="0" fontId="123" fillId="0" borderId="0" xfId="0" applyFont="1" applyProtection="1">
      <protection locked="0"/>
    </xf>
    <xf numFmtId="0" fontId="81" fillId="9" borderId="0" xfId="5" applyFont="1" applyFill="1" applyAlignment="1" applyProtection="1">
      <alignment vertical="center"/>
      <protection locked="0"/>
    </xf>
    <xf numFmtId="0" fontId="81" fillId="9" borderId="0" xfId="5" applyFont="1" applyFill="1" applyAlignment="1" applyProtection="1">
      <alignment horizontal="left" vertical="center"/>
      <protection locked="0"/>
    </xf>
    <xf numFmtId="0" fontId="65" fillId="3" borderId="2" xfId="0" applyFont="1" applyFill="1" applyBorder="1" applyAlignment="1">
      <alignment horizontal="center"/>
    </xf>
    <xf numFmtId="0" fontId="63" fillId="0" borderId="0" xfId="2" applyFont="1"/>
    <xf numFmtId="164" fontId="63" fillId="0" borderId="0" xfId="2" applyNumberFormat="1" applyFont="1" applyAlignment="1">
      <alignment horizontal="left" vertical="center"/>
    </xf>
    <xf numFmtId="0" fontId="64" fillId="0" borderId="0" xfId="2" applyFont="1"/>
    <xf numFmtId="164" fontId="63" fillId="0" borderId="7" xfId="2" applyNumberFormat="1" applyFont="1" applyBorder="1" applyAlignment="1">
      <alignment horizontal="right"/>
    </xf>
    <xf numFmtId="165" fontId="63" fillId="0" borderId="7" xfId="2" applyNumberFormat="1" applyFont="1" applyBorder="1" applyAlignment="1">
      <alignment horizontal="right"/>
    </xf>
    <xf numFmtId="164" fontId="63" fillId="0" borderId="2" xfId="0" applyNumberFormat="1" applyFont="1" applyBorder="1" applyAlignment="1">
      <alignment horizontal="center" vertical="center"/>
    </xf>
    <xf numFmtId="164" fontId="63" fillId="0" borderId="2" xfId="0" applyNumberFormat="1" applyFont="1" applyBorder="1" applyAlignment="1">
      <alignment horizontal="center" vertical="center" wrapText="1"/>
    </xf>
    <xf numFmtId="2" fontId="63" fillId="0" borderId="2" xfId="2" applyNumberFormat="1" applyFont="1" applyBorder="1" applyAlignment="1">
      <alignment horizontal="center" vertical="center" wrapText="1"/>
    </xf>
    <xf numFmtId="164" fontId="63" fillId="0" borderId="12" xfId="0" applyNumberFormat="1" applyFont="1" applyBorder="1" applyAlignment="1">
      <alignment horizontal="left" vertical="center"/>
    </xf>
    <xf numFmtId="164" fontId="63" fillId="0" borderId="12" xfId="0" applyNumberFormat="1" applyFont="1" applyBorder="1" applyAlignment="1">
      <alignment horizontal="left"/>
    </xf>
    <xf numFmtId="164" fontId="63" fillId="3" borderId="2" xfId="0" applyNumberFormat="1" applyFont="1" applyFill="1" applyBorder="1" applyAlignment="1">
      <alignment horizontal="center" vertical="center"/>
    </xf>
    <xf numFmtId="0" fontId="63" fillId="0" borderId="0" xfId="2" applyFont="1" applyAlignment="1" applyProtection="1">
      <alignment horizontal="left"/>
      <protection locked="0"/>
    </xf>
    <xf numFmtId="0" fontId="132" fillId="0" borderId="0" xfId="2" applyFont="1" applyAlignment="1">
      <alignment horizontal="center"/>
    </xf>
    <xf numFmtId="0" fontId="127" fillId="0" borderId="0" xfId="2" applyFont="1" applyAlignment="1">
      <alignment horizontal="center"/>
    </xf>
    <xf numFmtId="0" fontId="133" fillId="0" borderId="0" xfId="2" applyFont="1" applyAlignment="1">
      <alignment horizontal="center"/>
    </xf>
    <xf numFmtId="0" fontId="134" fillId="0" borderId="0" xfId="2" applyFont="1" applyAlignment="1">
      <alignment horizontal="center"/>
    </xf>
    <xf numFmtId="0" fontId="135" fillId="0" borderId="0" xfId="2" applyFont="1"/>
    <xf numFmtId="164" fontId="69" fillId="0" borderId="0" xfId="2" applyNumberFormat="1" applyFont="1" applyAlignment="1">
      <alignment horizontal="left"/>
    </xf>
    <xf numFmtId="0" fontId="81" fillId="0" borderId="0" xfId="2" quotePrefix="1" applyFont="1"/>
    <xf numFmtId="0" fontId="136" fillId="0" borderId="0" xfId="0" applyFont="1" applyAlignment="1">
      <alignment wrapText="1"/>
    </xf>
    <xf numFmtId="164" fontId="69" fillId="0" borderId="0" xfId="2" applyNumberFormat="1" applyFont="1" applyAlignment="1">
      <alignment horizontal="left" vertical="center"/>
    </xf>
    <xf numFmtId="164" fontId="69" fillId="0" borderId="0" xfId="2" applyNumberFormat="1" applyFont="1" applyAlignment="1">
      <alignment horizontal="center"/>
    </xf>
    <xf numFmtId="164" fontId="69" fillId="0" borderId="0" xfId="2" applyNumberFormat="1" applyFont="1"/>
    <xf numFmtId="0" fontId="129" fillId="0" borderId="0" xfId="2" applyFont="1"/>
    <xf numFmtId="0" fontId="81" fillId="0" borderId="0" xfId="2" applyFont="1" applyAlignment="1">
      <alignment vertical="top"/>
    </xf>
    <xf numFmtId="0" fontId="69" fillId="0" borderId="2" xfId="2" quotePrefix="1" applyFont="1" applyBorder="1" applyAlignment="1">
      <alignment horizontal="center"/>
    </xf>
    <xf numFmtId="0" fontId="51" fillId="0" borderId="5" xfId="0" applyFont="1" applyBorder="1" applyAlignment="1">
      <alignment horizontal="left"/>
    </xf>
    <xf numFmtId="0" fontId="51" fillId="0" borderId="12" xfId="0" applyFont="1" applyBorder="1" applyAlignment="1">
      <alignment horizontal="left"/>
    </xf>
    <xf numFmtId="0" fontId="69" fillId="0" borderId="12" xfId="0" applyFont="1" applyBorder="1" applyAlignment="1">
      <alignment horizontal="left"/>
    </xf>
    <xf numFmtId="0" fontId="135" fillId="0" borderId="0" xfId="2" applyFont="1" applyAlignment="1">
      <alignment horizontal="left"/>
    </xf>
    <xf numFmtId="1" fontId="69" fillId="0" borderId="2" xfId="0" applyNumberFormat="1" applyFont="1" applyBorder="1" applyAlignment="1">
      <alignment horizontal="center" vertical="center"/>
    </xf>
    <xf numFmtId="0" fontId="51" fillId="0" borderId="32" xfId="2" applyFont="1" applyBorder="1"/>
    <xf numFmtId="2" fontId="69" fillId="0" borderId="0" xfId="0" applyNumberFormat="1" applyFont="1" applyAlignment="1">
      <alignment horizontal="center" vertical="center" wrapText="1"/>
    </xf>
    <xf numFmtId="164" fontId="69" fillId="0" borderId="0" xfId="0" applyNumberFormat="1" applyFont="1" applyAlignment="1">
      <alignment horizontal="center"/>
    </xf>
    <xf numFmtId="0" fontId="69" fillId="0" borderId="0" xfId="0" applyFont="1" applyAlignment="1">
      <alignment horizontal="right"/>
    </xf>
    <xf numFmtId="0" fontId="137" fillId="0" borderId="0" xfId="2" applyFont="1" applyAlignment="1">
      <alignment horizontal="center" vertical="center"/>
    </xf>
    <xf numFmtId="0" fontId="69" fillId="0" borderId="7" xfId="0" applyFont="1" applyBorder="1" applyAlignment="1">
      <alignment horizontal="center" vertical="center" wrapText="1"/>
    </xf>
    <xf numFmtId="0" fontId="69" fillId="2" borderId="0" xfId="0" applyFont="1" applyFill="1" applyAlignment="1">
      <alignment horizontal="center" vertical="top" wrapText="1"/>
    </xf>
    <xf numFmtId="0" fontId="106" fillId="0" borderId="7" xfId="2" applyFont="1" applyBorder="1" applyAlignment="1">
      <alignment horizontal="center" vertical="top"/>
    </xf>
    <xf numFmtId="0" fontId="106" fillId="0" borderId="7" xfId="2" applyFont="1" applyBorder="1" applyAlignment="1">
      <alignment horizontal="center" vertical="top" wrapText="1"/>
    </xf>
    <xf numFmtId="165" fontId="106" fillId="0" borderId="2" xfId="0" applyNumberFormat="1" applyFont="1" applyBorder="1" applyAlignment="1">
      <alignment horizontal="center" vertical="top" wrapText="1"/>
    </xf>
    <xf numFmtId="165" fontId="106" fillId="0" borderId="8" xfId="0" applyNumberFormat="1" applyFont="1" applyBorder="1" applyAlignment="1">
      <alignment vertical="top" wrapText="1"/>
    </xf>
    <xf numFmtId="0" fontId="123" fillId="0" borderId="0" xfId="2" applyFont="1" applyAlignment="1">
      <alignment vertical="top"/>
    </xf>
    <xf numFmtId="0" fontId="106" fillId="0" borderId="0" xfId="2" applyFont="1" applyAlignment="1">
      <alignment vertical="top"/>
    </xf>
    <xf numFmtId="0" fontId="69" fillId="0" borderId="0" xfId="2" applyFont="1" applyAlignment="1">
      <alignment vertical="top"/>
    </xf>
    <xf numFmtId="0" fontId="69" fillId="0" borderId="7" xfId="2" applyFont="1" applyBorder="1" applyAlignment="1">
      <alignment horizontal="center" vertical="top" wrapText="1"/>
    </xf>
    <xf numFmtId="0" fontId="69" fillId="0" borderId="2" xfId="2" applyFont="1" applyBorder="1" applyAlignment="1">
      <alignment horizontal="center" vertical="top" wrapText="1"/>
    </xf>
    <xf numFmtId="165" fontId="69" fillId="0" borderId="2" xfId="0" applyNumberFormat="1" applyFont="1" applyBorder="1" applyAlignment="1">
      <alignment horizontal="center" vertical="center"/>
    </xf>
    <xf numFmtId="165" fontId="69" fillId="0" borderId="8" xfId="0" applyNumberFormat="1" applyFont="1" applyBorder="1" applyAlignment="1">
      <alignment vertical="center"/>
    </xf>
    <xf numFmtId="0" fontId="137" fillId="0" borderId="0" xfId="0" applyFont="1"/>
    <xf numFmtId="0" fontId="138" fillId="0" borderId="0" xfId="2" applyFont="1" applyAlignment="1">
      <alignment vertical="top"/>
    </xf>
    <xf numFmtId="0" fontId="69" fillId="2" borderId="2" xfId="0" applyFont="1" applyFill="1" applyBorder="1" applyAlignment="1">
      <alignment horizontal="center" vertical="center" wrapText="1"/>
    </xf>
    <xf numFmtId="0" fontId="69" fillId="0" borderId="5" xfId="0" applyFont="1" applyBorder="1" applyAlignment="1">
      <alignment horizontal="right" vertical="center"/>
    </xf>
    <xf numFmtId="2" fontId="81" fillId="0" borderId="0" xfId="2" applyNumberFormat="1" applyFont="1"/>
    <xf numFmtId="164" fontId="81" fillId="0" borderId="0" xfId="2" applyNumberFormat="1" applyFont="1"/>
    <xf numFmtId="164" fontId="69" fillId="0" borderId="0" xfId="0" applyNumberFormat="1" applyFont="1" applyAlignment="1">
      <alignment vertical="center" wrapText="1"/>
    </xf>
    <xf numFmtId="0" fontId="81" fillId="0" borderId="0" xfId="2" applyFont="1" applyAlignment="1">
      <alignment horizontal="center" vertical="center"/>
    </xf>
    <xf numFmtId="0" fontId="139" fillId="0" borderId="0" xfId="2" applyFont="1" applyAlignment="1">
      <alignment vertical="center"/>
    </xf>
    <xf numFmtId="2" fontId="81" fillId="0" borderId="0" xfId="2" applyNumberFormat="1" applyFont="1" applyAlignment="1">
      <alignment vertical="top"/>
    </xf>
    <xf numFmtId="164" fontId="81" fillId="0" borderId="0" xfId="2" applyNumberFormat="1" applyFont="1" applyAlignment="1">
      <alignment vertical="top"/>
    </xf>
    <xf numFmtId="0" fontId="106" fillId="3" borderId="2" xfId="0" applyFont="1" applyFill="1" applyBorder="1" applyAlignment="1">
      <alignment horizontal="center" vertical="center"/>
    </xf>
    <xf numFmtId="0" fontId="69" fillId="0" borderId="5" xfId="0" applyFont="1" applyBorder="1" applyAlignment="1">
      <alignment horizontal="right"/>
    </xf>
    <xf numFmtId="0" fontId="51" fillId="0" borderId="0" xfId="2" applyFont="1" applyAlignment="1">
      <alignment vertical="top"/>
    </xf>
    <xf numFmtId="0" fontId="81" fillId="0" borderId="0" xfId="2" applyFont="1" applyAlignment="1">
      <alignment horizontal="center" vertical="top"/>
    </xf>
    <xf numFmtId="164" fontId="69" fillId="0" borderId="0" xfId="0" applyNumberFormat="1" applyFont="1" applyAlignment="1">
      <alignment horizontal="center" vertical="center"/>
    </xf>
    <xf numFmtId="0" fontId="69" fillId="0" borderId="0" xfId="0" applyFont="1" applyAlignment="1">
      <alignment horizontal="right" vertical="center"/>
    </xf>
    <xf numFmtId="2" fontId="51" fillId="0" borderId="0" xfId="2" applyNumberFormat="1" applyFont="1" applyAlignment="1">
      <alignment horizontal="center" vertical="center"/>
    </xf>
    <xf numFmtId="2" fontId="81" fillId="0" borderId="0" xfId="2" applyNumberFormat="1" applyFont="1" applyAlignment="1">
      <alignment vertical="center"/>
    </xf>
    <xf numFmtId="164" fontId="81" fillId="0" borderId="0" xfId="2" applyNumberFormat="1" applyFont="1" applyAlignment="1">
      <alignment vertical="center"/>
    </xf>
    <xf numFmtId="0" fontId="106" fillId="0" borderId="0" xfId="2" applyFont="1" applyAlignment="1" applyProtection="1">
      <alignment horizontal="left"/>
      <protection locked="0"/>
    </xf>
    <xf numFmtId="0" fontId="106" fillId="0" borderId="0" xfId="2" applyFont="1" applyAlignment="1" applyProtection="1">
      <alignment horizontal="center"/>
      <protection locked="0"/>
    </xf>
    <xf numFmtId="0" fontId="69" fillId="0" borderId="0" xfId="2" applyFont="1" applyAlignment="1" applyProtection="1">
      <alignment horizontal="center"/>
      <protection locked="0"/>
    </xf>
    <xf numFmtId="1" fontId="81" fillId="0" borderId="0" xfId="2" applyNumberFormat="1" applyFont="1" applyAlignment="1">
      <alignment horizontal="center" vertical="center"/>
    </xf>
    <xf numFmtId="0" fontId="106" fillId="0" borderId="0" xfId="2" applyFont="1" applyProtection="1">
      <protection locked="0"/>
    </xf>
    <xf numFmtId="0" fontId="51" fillId="0" borderId="0" xfId="2" applyFont="1" applyProtection="1">
      <protection locked="0"/>
    </xf>
    <xf numFmtId="0" fontId="106" fillId="0" borderId="0" xfId="0" applyFont="1" applyProtection="1">
      <protection locked="0"/>
    </xf>
    <xf numFmtId="0" fontId="123" fillId="0" borderId="0" xfId="2" applyFont="1" applyProtection="1">
      <protection locked="0"/>
    </xf>
    <xf numFmtId="0" fontId="69" fillId="3" borderId="0" xfId="0" applyFont="1" applyFill="1" applyAlignment="1" applyProtection="1">
      <alignment vertical="center"/>
      <protection locked="0"/>
    </xf>
    <xf numFmtId="0" fontId="69" fillId="3" borderId="0" xfId="0" applyFont="1" applyFill="1" applyAlignment="1" applyProtection="1">
      <alignment horizontal="center" vertical="center"/>
      <protection locked="0"/>
    </xf>
    <xf numFmtId="0" fontId="106" fillId="3" borderId="0" xfId="2" applyFont="1" applyFill="1" applyAlignment="1" applyProtection="1">
      <alignment vertical="center"/>
      <protection locked="0"/>
    </xf>
    <xf numFmtId="0" fontId="69" fillId="3" borderId="0" xfId="2" applyFont="1" applyFill="1" applyAlignment="1" applyProtection="1">
      <alignment vertical="center"/>
      <protection locked="0"/>
    </xf>
    <xf numFmtId="0" fontId="77" fillId="0" borderId="0" xfId="0" applyFont="1" applyAlignment="1" applyProtection="1">
      <alignment horizontal="right"/>
      <protection locked="0"/>
    </xf>
    <xf numFmtId="2" fontId="30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0" fontId="59" fillId="3" borderId="0" xfId="4" applyFont="1" applyFill="1" applyAlignment="1">
      <alignment horizontal="center" vertical="center" wrapText="1"/>
    </xf>
    <xf numFmtId="0" fontId="55" fillId="3" borderId="0" xfId="4" applyFont="1" applyFill="1" applyAlignment="1" applyProtection="1">
      <alignment horizontal="center" vertical="center" wrapText="1"/>
      <protection locked="0"/>
    </xf>
    <xf numFmtId="0" fontId="20" fillId="0" borderId="7" xfId="4" applyFont="1" applyBorder="1" applyAlignment="1">
      <alignment horizontal="center" vertical="center"/>
    </xf>
    <xf numFmtId="0" fontId="20" fillId="0" borderId="2" xfId="4" applyFont="1" applyBorder="1" applyAlignment="1">
      <alignment horizontal="center" vertical="center"/>
    </xf>
    <xf numFmtId="0" fontId="20" fillId="0" borderId="44" xfId="4" applyFont="1" applyBorder="1" applyAlignment="1">
      <alignment horizontal="center" vertical="center"/>
    </xf>
    <xf numFmtId="0" fontId="20" fillId="0" borderId="3" xfId="4" applyFont="1" applyBorder="1" applyAlignment="1">
      <alignment horizontal="center" vertical="center"/>
    </xf>
    <xf numFmtId="0" fontId="20" fillId="0" borderId="18" xfId="4" applyFont="1" applyBorder="1" applyAlignment="1">
      <alignment horizontal="center" vertical="center"/>
    </xf>
    <xf numFmtId="0" fontId="20" fillId="0" borderId="45" xfId="4" applyFont="1" applyBorder="1" applyAlignment="1">
      <alignment horizontal="center" vertical="center" wrapText="1"/>
    </xf>
    <xf numFmtId="0" fontId="20" fillId="0" borderId="25" xfId="4" applyFont="1" applyBorder="1" applyAlignment="1">
      <alignment horizontal="center" vertical="center" wrapText="1"/>
    </xf>
    <xf numFmtId="0" fontId="20" fillId="0" borderId="20" xfId="4" applyFont="1" applyBorder="1" applyAlignment="1">
      <alignment horizontal="center" vertical="center" wrapText="1"/>
    </xf>
    <xf numFmtId="0" fontId="20" fillId="0" borderId="14" xfId="4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164" fontId="5" fillId="0" borderId="2" xfId="4" applyNumberFormat="1" applyBorder="1" applyAlignment="1">
      <alignment horizontal="center"/>
    </xf>
    <xf numFmtId="164" fontId="77" fillId="4" borderId="2" xfId="4" applyNumberFormat="1" applyFont="1" applyFill="1" applyBorder="1" applyAlignment="1">
      <alignment horizontal="center"/>
    </xf>
    <xf numFmtId="164" fontId="45" fillId="4" borderId="2" xfId="4" applyNumberFormat="1" applyFont="1" applyFill="1" applyBorder="1" applyAlignment="1">
      <alignment horizontal="center"/>
    </xf>
    <xf numFmtId="2" fontId="45" fillId="4" borderId="2" xfId="4" applyNumberFormat="1" applyFont="1" applyFill="1" applyBorder="1" applyAlignment="1">
      <alignment horizontal="center"/>
    </xf>
    <xf numFmtId="2" fontId="45" fillId="4" borderId="14" xfId="4" applyNumberFormat="1" applyFont="1" applyFill="1" applyBorder="1" applyAlignment="1">
      <alignment horizontal="center"/>
    </xf>
    <xf numFmtId="0" fontId="5" fillId="0" borderId="0" xfId="4" applyAlignment="1">
      <alignment horizontal="left"/>
    </xf>
    <xf numFmtId="0" fontId="50" fillId="19" borderId="0" xfId="4" applyFont="1" applyFill="1" applyAlignment="1" applyProtection="1">
      <alignment horizontal="left" vertical="center"/>
      <protection locked="0"/>
    </xf>
    <xf numFmtId="0" fontId="16" fillId="19" borderId="2" xfId="4" applyFont="1" applyFill="1" applyBorder="1" applyAlignment="1" applyProtection="1">
      <alignment horizontal="center"/>
      <protection locked="0"/>
    </xf>
    <xf numFmtId="0" fontId="16" fillId="19" borderId="0" xfId="4" applyFont="1" applyFill="1" applyAlignment="1" applyProtection="1">
      <alignment horizontal="left"/>
      <protection locked="0"/>
    </xf>
    <xf numFmtId="0" fontId="16" fillId="19" borderId="2" xfId="4" applyFont="1" applyFill="1" applyBorder="1" applyAlignment="1" applyProtection="1">
      <alignment horizontal="center" vertical="center"/>
      <protection locked="0"/>
    </xf>
    <xf numFmtId="0" fontId="20" fillId="19" borderId="2" xfId="4" applyFont="1" applyFill="1" applyBorder="1" applyAlignment="1" applyProtection="1">
      <alignment horizontal="center" vertical="center"/>
      <protection locked="0"/>
    </xf>
    <xf numFmtId="0" fontId="5" fillId="19" borderId="0" xfId="4" applyFill="1" applyAlignment="1" applyProtection="1">
      <alignment horizontal="left"/>
      <protection locked="0"/>
    </xf>
    <xf numFmtId="2" fontId="20" fillId="0" borderId="2" xfId="3" applyNumberFormat="1" applyFont="1" applyBorder="1" applyAlignment="1">
      <alignment horizontal="center" vertical="center"/>
    </xf>
    <xf numFmtId="2" fontId="20" fillId="0" borderId="2" xfId="3" quotePrefix="1" applyNumberFormat="1" applyFont="1" applyBorder="1" applyAlignment="1">
      <alignment horizontal="center" vertical="center"/>
    </xf>
    <xf numFmtId="1" fontId="5" fillId="19" borderId="2" xfId="4" applyNumberFormat="1" applyFill="1" applyBorder="1" applyAlignment="1" applyProtection="1">
      <alignment horizontal="center" vertical="center"/>
      <protection locked="0"/>
    </xf>
    <xf numFmtId="2" fontId="5" fillId="0" borderId="2" xfId="3" applyNumberFormat="1" applyBorder="1" applyAlignment="1">
      <alignment horizontal="center" vertical="center"/>
    </xf>
    <xf numFmtId="2" fontId="5" fillId="19" borderId="2" xfId="4" applyNumberFormat="1" applyFill="1" applyBorder="1" applyAlignment="1" applyProtection="1">
      <alignment horizontal="center"/>
      <protection locked="0"/>
    </xf>
    <xf numFmtId="2" fontId="21" fillId="19" borderId="2" xfId="4" applyNumberFormat="1" applyFont="1" applyFill="1" applyBorder="1" applyAlignment="1" applyProtection="1">
      <alignment horizontal="center" vertical="center"/>
      <protection locked="0"/>
    </xf>
    <xf numFmtId="2" fontId="5" fillId="0" borderId="2" xfId="3" applyNumberFormat="1" applyBorder="1"/>
    <xf numFmtId="2" fontId="5" fillId="0" borderId="2" xfId="3" quotePrefix="1" applyNumberFormat="1" applyBorder="1" applyAlignment="1">
      <alignment horizontal="center" vertical="center"/>
    </xf>
    <xf numFmtId="0" fontId="9" fillId="19" borderId="2" xfId="4" applyFont="1" applyFill="1" applyBorder="1" applyAlignment="1" applyProtection="1">
      <alignment horizontal="center" vertical="center"/>
      <protection locked="0"/>
    </xf>
    <xf numFmtId="2" fontId="5" fillId="19" borderId="2" xfId="4" applyNumberFormat="1" applyFill="1" applyBorder="1" applyAlignment="1" applyProtection="1">
      <alignment horizontal="center" vertical="center"/>
      <protection locked="0"/>
    </xf>
    <xf numFmtId="164" fontId="21" fillId="19" borderId="2" xfId="4" applyNumberFormat="1" applyFont="1" applyFill="1" applyBorder="1" applyAlignment="1" applyProtection="1">
      <alignment horizontal="center" vertical="center"/>
      <protection locked="0"/>
    </xf>
    <xf numFmtId="0" fontId="5" fillId="19" borderId="2" xfId="4" applyFill="1" applyBorder="1" applyAlignment="1" applyProtection="1">
      <alignment horizontal="center" vertical="center"/>
      <protection locked="0"/>
    </xf>
    <xf numFmtId="165" fontId="5" fillId="19" borderId="2" xfId="4" quotePrefix="1" applyNumberFormat="1" applyFill="1" applyBorder="1" applyAlignment="1" applyProtection="1">
      <alignment horizontal="center" vertical="center"/>
      <protection locked="0"/>
    </xf>
    <xf numFmtId="1" fontId="21" fillId="19" borderId="2" xfId="4" quotePrefix="1" applyNumberFormat="1" applyFont="1" applyFill="1" applyBorder="1" applyAlignment="1" applyProtection="1">
      <alignment horizontal="center" vertical="center"/>
      <protection locked="0"/>
    </xf>
    <xf numFmtId="0" fontId="21" fillId="19" borderId="2" xfId="4" quotePrefix="1" applyFont="1" applyFill="1" applyBorder="1" applyAlignment="1" applyProtection="1">
      <alignment horizontal="center" vertical="center"/>
      <protection locked="0"/>
    </xf>
    <xf numFmtId="0" fontId="21" fillId="19" borderId="2" xfId="4" applyFont="1" applyFill="1" applyBorder="1" applyAlignment="1" applyProtection="1">
      <alignment horizontal="center" vertical="center"/>
      <protection locked="0"/>
    </xf>
    <xf numFmtId="164" fontId="5" fillId="19" borderId="2" xfId="4" applyNumberFormat="1" applyFill="1" applyBorder="1" applyAlignment="1" applyProtection="1">
      <alignment horizontal="center" vertical="center"/>
      <protection locked="0"/>
    </xf>
    <xf numFmtId="2" fontId="5" fillId="19" borderId="2" xfId="4" quotePrefix="1" applyNumberFormat="1" applyFill="1" applyBorder="1" applyAlignment="1" applyProtection="1">
      <alignment horizontal="center" vertical="center"/>
      <protection locked="0"/>
    </xf>
    <xf numFmtId="165" fontId="5" fillId="0" borderId="2" xfId="3" applyNumberFormat="1" applyBorder="1"/>
    <xf numFmtId="165" fontId="5" fillId="0" borderId="2" xfId="3" applyNumberFormat="1" applyBorder="1" applyAlignment="1">
      <alignment horizontal="center" vertical="center"/>
    </xf>
    <xf numFmtId="0" fontId="64" fillId="19" borderId="0" xfId="4" applyFont="1" applyFill="1" applyAlignment="1" applyProtection="1">
      <alignment horizontal="left"/>
      <protection locked="0"/>
    </xf>
    <xf numFmtId="165" fontId="5" fillId="19" borderId="2" xfId="4" applyNumberFormat="1" applyFill="1" applyBorder="1" applyAlignment="1" applyProtection="1">
      <alignment horizontal="center" vertical="center"/>
      <protection locked="0"/>
    </xf>
    <xf numFmtId="166" fontId="5" fillId="19" borderId="2" xfId="4" applyNumberFormat="1" applyFill="1" applyBorder="1" applyAlignment="1" applyProtection="1">
      <alignment horizontal="center" vertical="center"/>
      <protection locked="0"/>
    </xf>
    <xf numFmtId="0" fontId="64" fillId="19" borderId="2" xfId="4" applyFont="1" applyFill="1" applyBorder="1" applyAlignment="1" applyProtection="1">
      <alignment horizontal="center" vertical="center"/>
      <protection locked="0"/>
    </xf>
    <xf numFmtId="0" fontId="5" fillId="3" borderId="6" xfId="4" applyFill="1" applyBorder="1" applyProtection="1">
      <protection locked="0"/>
    </xf>
    <xf numFmtId="0" fontId="5" fillId="3" borderId="0" xfId="4" applyFill="1" applyAlignment="1" applyProtection="1">
      <alignment horizontal="left"/>
      <protection locked="0"/>
    </xf>
    <xf numFmtId="0" fontId="5" fillId="3" borderId="19" xfId="4" applyFill="1" applyBorder="1" applyProtection="1">
      <protection locked="0"/>
    </xf>
    <xf numFmtId="0" fontId="5" fillId="3" borderId="0" xfId="4" applyFill="1" applyAlignment="1">
      <alignment horizontal="left"/>
    </xf>
    <xf numFmtId="0" fontId="15" fillId="19" borderId="0" xfId="4" applyFont="1" applyFill="1" applyAlignment="1" applyProtection="1">
      <alignment horizontal="left" vertical="center"/>
      <protection locked="0"/>
    </xf>
    <xf numFmtId="0" fontId="16" fillId="19" borderId="18" xfId="4" applyFont="1" applyFill="1" applyBorder="1" applyAlignment="1" applyProtection="1">
      <alignment horizontal="center"/>
      <protection locked="0"/>
    </xf>
    <xf numFmtId="0" fontId="16" fillId="19" borderId="18" xfId="4" applyFont="1" applyFill="1" applyBorder="1" applyAlignment="1" applyProtection="1">
      <alignment horizontal="center" vertical="center"/>
      <protection locked="0"/>
    </xf>
    <xf numFmtId="0" fontId="5" fillId="19" borderId="2" xfId="4" applyFill="1" applyBorder="1" applyAlignment="1" applyProtection="1">
      <alignment horizontal="right" vertical="center"/>
      <protection locked="0"/>
    </xf>
    <xf numFmtId="164" fontId="5" fillId="19" borderId="2" xfId="4" applyNumberFormat="1" applyFill="1" applyBorder="1" applyAlignment="1" applyProtection="1">
      <alignment horizontal="right" vertical="center"/>
      <protection locked="0"/>
    </xf>
    <xf numFmtId="165" fontId="5" fillId="0" borderId="2" xfId="3" quotePrefix="1" applyNumberFormat="1" applyBorder="1" applyAlignment="1">
      <alignment horizontal="center" vertical="center"/>
    </xf>
    <xf numFmtId="0" fontId="64" fillId="0" borderId="0" xfId="4" applyFont="1" applyAlignment="1">
      <alignment horizontal="left"/>
    </xf>
    <xf numFmtId="165" fontId="5" fillId="0" borderId="18" xfId="3" quotePrefix="1" applyNumberFormat="1" applyBorder="1" applyAlignment="1">
      <alignment horizontal="center" vertical="center"/>
    </xf>
    <xf numFmtId="0" fontId="55" fillId="3" borderId="6" xfId="4" applyFont="1" applyFill="1" applyBorder="1" applyAlignment="1" applyProtection="1">
      <alignment horizontal="center" vertical="center" wrapText="1"/>
      <protection locked="0"/>
    </xf>
    <xf numFmtId="0" fontId="5" fillId="3" borderId="0" xfId="4" applyFill="1" applyAlignment="1" applyProtection="1">
      <alignment horizontal="center" vertical="center"/>
      <protection locked="0"/>
    </xf>
    <xf numFmtId="165" fontId="5" fillId="3" borderId="0" xfId="4" applyNumberFormat="1" applyFill="1" applyAlignment="1" applyProtection="1">
      <alignment horizontal="center" vertical="center"/>
      <protection locked="0"/>
    </xf>
    <xf numFmtId="0" fontId="5" fillId="3" borderId="0" xfId="4" applyFill="1" applyAlignment="1" applyProtection="1">
      <alignment horizontal="right" vertical="center"/>
      <protection locked="0"/>
    </xf>
    <xf numFmtId="2" fontId="21" fillId="0" borderId="2" xfId="3" applyNumberFormat="1" applyFont="1" applyBorder="1" applyAlignment="1">
      <alignment horizontal="center" vertical="center"/>
    </xf>
    <xf numFmtId="0" fontId="5" fillId="0" borderId="0" xfId="4" applyAlignment="1">
      <alignment horizontal="center"/>
    </xf>
    <xf numFmtId="2" fontId="21" fillId="19" borderId="2" xfId="4" quotePrefix="1" applyNumberFormat="1" applyFont="1" applyFill="1" applyBorder="1" applyAlignment="1" applyProtection="1">
      <alignment horizontal="center" vertical="center"/>
      <protection locked="0"/>
    </xf>
    <xf numFmtId="164" fontId="5" fillId="19" borderId="2" xfId="4" quotePrefix="1" applyNumberFormat="1" applyFill="1" applyBorder="1" applyAlignment="1" applyProtection="1">
      <alignment horizontal="center" vertical="center"/>
      <protection locked="0"/>
    </xf>
    <xf numFmtId="0" fontId="5" fillId="19" borderId="2" xfId="4" quotePrefix="1" applyFill="1" applyBorder="1" applyAlignment="1" applyProtection="1">
      <alignment horizontal="center" vertical="center"/>
      <protection locked="0"/>
    </xf>
    <xf numFmtId="0" fontId="55" fillId="4" borderId="47" xfId="4" applyFont="1" applyFill="1" applyBorder="1" applyAlignment="1" applyProtection="1">
      <alignment horizontal="center" vertical="center" wrapText="1"/>
      <protection locked="0"/>
    </xf>
    <xf numFmtId="0" fontId="55" fillId="4" borderId="48" xfId="4" applyFont="1" applyFill="1" applyBorder="1" applyAlignment="1" applyProtection="1">
      <alignment horizontal="center" vertical="center" wrapText="1"/>
      <protection locked="0"/>
    </xf>
    <xf numFmtId="0" fontId="5" fillId="4" borderId="48" xfId="4" applyFill="1" applyBorder="1"/>
    <xf numFmtId="0" fontId="55" fillId="4" borderId="48" xfId="4" applyFont="1" applyFill="1" applyBorder="1" applyAlignment="1" applyProtection="1">
      <alignment horizontal="left" vertical="center" wrapText="1"/>
      <protection locked="0"/>
    </xf>
    <xf numFmtId="0" fontId="5" fillId="4" borderId="48" xfId="4" applyFill="1" applyBorder="1" applyProtection="1">
      <protection locked="0"/>
    </xf>
    <xf numFmtId="0" fontId="5" fillId="4" borderId="65" xfId="4" applyFill="1" applyBorder="1" applyProtection="1">
      <protection locked="0"/>
    </xf>
    <xf numFmtId="0" fontId="5" fillId="0" borderId="0" xfId="4" applyAlignment="1">
      <alignment horizontal="center" vertical="center"/>
    </xf>
    <xf numFmtId="0" fontId="142" fillId="3" borderId="0" xfId="4" applyFont="1" applyFill="1" applyAlignment="1">
      <alignment vertical="center"/>
    </xf>
    <xf numFmtId="0" fontId="143" fillId="3" borderId="68" xfId="7" applyFont="1" applyFill="1" applyBorder="1" applyAlignment="1">
      <alignment horizontal="center" vertical="center" wrapText="1"/>
    </xf>
    <xf numFmtId="0" fontId="143" fillId="3" borderId="37" xfId="7" applyFont="1" applyFill="1" applyBorder="1" applyAlignment="1">
      <alignment horizontal="center" vertical="center" wrapText="1"/>
    </xf>
    <xf numFmtId="0" fontId="20" fillId="3" borderId="4" xfId="7" applyFont="1" applyFill="1" applyBorder="1" applyAlignment="1">
      <alignment horizontal="center" vertical="center"/>
    </xf>
    <xf numFmtId="0" fontId="20" fillId="3" borderId="5" xfId="7" applyFont="1" applyFill="1" applyBorder="1" applyAlignment="1">
      <alignment horizontal="center" vertical="center"/>
    </xf>
    <xf numFmtId="0" fontId="20" fillId="3" borderId="24" xfId="7" applyFont="1" applyFill="1" applyBorder="1" applyAlignment="1">
      <alignment horizontal="center" vertical="center"/>
    </xf>
    <xf numFmtId="0" fontId="15" fillId="3" borderId="4" xfId="7" applyFont="1" applyFill="1" applyBorder="1" applyAlignment="1">
      <alignment horizontal="center" vertical="center"/>
    </xf>
    <xf numFmtId="0" fontId="15" fillId="3" borderId="5" xfId="7" applyFont="1" applyFill="1" applyBorder="1" applyAlignment="1">
      <alignment horizontal="center" vertical="center"/>
    </xf>
    <xf numFmtId="0" fontId="15" fillId="3" borderId="12" xfId="7" applyFont="1" applyFill="1" applyBorder="1" applyAlignment="1">
      <alignment horizontal="center" vertical="center"/>
    </xf>
    <xf numFmtId="0" fontId="5" fillId="3" borderId="7" xfId="7" applyFill="1" applyBorder="1" applyAlignment="1">
      <alignment horizontal="center" vertical="center"/>
    </xf>
    <xf numFmtId="0" fontId="5" fillId="3" borderId="14" xfId="7" applyFill="1" applyBorder="1" applyAlignment="1">
      <alignment horizontal="center" vertical="center"/>
    </xf>
    <xf numFmtId="0" fontId="5" fillId="3" borderId="29" xfId="4" applyFill="1" applyBorder="1"/>
    <xf numFmtId="0" fontId="40" fillId="20" borderId="78" xfId="4" applyFont="1" applyFill="1" applyBorder="1" applyAlignment="1">
      <alignment horizontal="center" vertical="center" wrapText="1"/>
    </xf>
    <xf numFmtId="0" fontId="40" fillId="20" borderId="44" xfId="4" applyFont="1" applyFill="1" applyBorder="1" applyAlignment="1">
      <alignment horizontal="center" vertical="center" wrapText="1"/>
    </xf>
    <xf numFmtId="0" fontId="15" fillId="20" borderId="45" xfId="4" applyFont="1" applyFill="1" applyBorder="1" applyAlignment="1">
      <alignment horizontal="center" vertical="center" wrapText="1"/>
    </xf>
    <xf numFmtId="0" fontId="5" fillId="3" borderId="4" xfId="7" applyFill="1" applyBorder="1" applyAlignment="1">
      <alignment horizontal="center" vertical="center"/>
    </xf>
    <xf numFmtId="2" fontId="11" fillId="20" borderId="1" xfId="4" applyNumberFormat="1" applyFont="1" applyFill="1" applyBorder="1" applyAlignment="1">
      <alignment horizontal="center" vertical="center"/>
    </xf>
    <xf numFmtId="0" fontId="11" fillId="20" borderId="2" xfId="4" applyFont="1" applyFill="1" applyBorder="1" applyAlignment="1">
      <alignment horizontal="center" vertical="center"/>
    </xf>
    <xf numFmtId="165" fontId="40" fillId="20" borderId="84" xfId="4" applyNumberFormat="1" applyFont="1" applyFill="1" applyBorder="1" applyAlignment="1">
      <alignment horizontal="center"/>
    </xf>
    <xf numFmtId="2" fontId="11" fillId="20" borderId="14" xfId="4" applyNumberFormat="1" applyFont="1" applyFill="1" applyBorder="1" applyAlignment="1">
      <alignment horizontal="center" vertical="center"/>
    </xf>
    <xf numFmtId="0" fontId="40" fillId="20" borderId="58" xfId="4" applyFont="1" applyFill="1" applyBorder="1" applyAlignment="1">
      <alignment horizontal="center" vertical="center" wrapText="1"/>
    </xf>
    <xf numFmtId="0" fontId="40" fillId="20" borderId="3" xfId="4" applyFont="1" applyFill="1" applyBorder="1" applyAlignment="1">
      <alignment horizontal="center" vertical="center" wrapText="1"/>
    </xf>
    <xf numFmtId="0" fontId="15" fillId="20" borderId="25" xfId="4" applyFont="1" applyFill="1" applyBorder="1" applyAlignment="1">
      <alignment horizontal="center" vertical="center" wrapText="1"/>
    </xf>
    <xf numFmtId="2" fontId="5" fillId="3" borderId="7" xfId="7" applyNumberFormat="1" applyFill="1" applyBorder="1" applyAlignment="1">
      <alignment horizontal="center" vertical="center"/>
    </xf>
    <xf numFmtId="0" fontId="40" fillId="20" borderId="82" xfId="4" applyFont="1" applyFill="1" applyBorder="1" applyAlignment="1">
      <alignment horizontal="center" vertical="center" wrapText="1"/>
    </xf>
    <xf numFmtId="0" fontId="15" fillId="20" borderId="64" xfId="4" applyFont="1" applyFill="1" applyBorder="1" applyAlignment="1">
      <alignment horizontal="center" vertical="center" wrapText="1"/>
    </xf>
    <xf numFmtId="164" fontId="64" fillId="3" borderId="41" xfId="4" applyNumberFormat="1" applyFont="1" applyFill="1" applyBorder="1" applyAlignment="1">
      <alignment horizontal="center" vertical="center" wrapText="1"/>
    </xf>
    <xf numFmtId="164" fontId="81" fillId="20" borderId="2" xfId="4" applyNumberFormat="1" applyFont="1" applyFill="1" applyBorder="1" applyAlignment="1">
      <alignment horizontal="center" vertical="center"/>
    </xf>
    <xf numFmtId="164" fontId="144" fillId="20" borderId="38" xfId="4" applyNumberFormat="1" applyFont="1" applyFill="1" applyBorder="1" applyAlignment="1">
      <alignment horizontal="center" vertical="center"/>
    </xf>
    <xf numFmtId="1" fontId="64" fillId="3" borderId="1" xfId="4" applyNumberFormat="1" applyFont="1" applyFill="1" applyBorder="1" applyAlignment="1">
      <alignment horizontal="center" vertical="center" wrapText="1"/>
    </xf>
    <xf numFmtId="0" fontId="81" fillId="20" borderId="2" xfId="4" applyFont="1" applyFill="1" applyBorder="1" applyAlignment="1">
      <alignment horizontal="center" vertical="center"/>
    </xf>
    <xf numFmtId="165" fontId="144" fillId="20" borderId="24" xfId="4" applyNumberFormat="1" applyFont="1" applyFill="1" applyBorder="1" applyAlignment="1">
      <alignment horizontal="center" vertical="center"/>
    </xf>
    <xf numFmtId="165" fontId="11" fillId="20" borderId="1" xfId="4" applyNumberFormat="1" applyFont="1" applyFill="1" applyBorder="1" applyAlignment="1">
      <alignment horizontal="center" vertical="center"/>
    </xf>
    <xf numFmtId="165" fontId="11" fillId="20" borderId="2" xfId="4" applyNumberFormat="1" applyFont="1" applyFill="1" applyBorder="1" applyAlignment="1">
      <alignment horizontal="center" vertical="center"/>
    </xf>
    <xf numFmtId="165" fontId="11" fillId="20" borderId="14" xfId="4" applyNumberFormat="1" applyFont="1" applyFill="1" applyBorder="1" applyAlignment="1">
      <alignment horizontal="center" vertical="center"/>
    </xf>
    <xf numFmtId="165" fontId="81" fillId="20" borderId="2" xfId="4" applyNumberFormat="1" applyFont="1" applyFill="1" applyBorder="1" applyAlignment="1">
      <alignment horizontal="center" vertical="center"/>
    </xf>
    <xf numFmtId="164" fontId="144" fillId="20" borderId="24" xfId="4" applyNumberFormat="1" applyFont="1" applyFill="1" applyBorder="1" applyAlignment="1">
      <alignment horizontal="center" vertical="center"/>
    </xf>
    <xf numFmtId="164" fontId="11" fillId="20" borderId="1" xfId="4" applyNumberFormat="1" applyFont="1" applyFill="1" applyBorder="1" applyAlignment="1">
      <alignment horizontal="center" vertical="center"/>
    </xf>
    <xf numFmtId="2" fontId="11" fillId="20" borderId="2" xfId="4" applyNumberFormat="1" applyFont="1" applyFill="1" applyBorder="1" applyAlignment="1">
      <alignment horizontal="center" vertical="center"/>
    </xf>
    <xf numFmtId="0" fontId="5" fillId="20" borderId="72" xfId="4" applyFill="1" applyBorder="1" applyAlignment="1">
      <alignment horizontal="center"/>
    </xf>
    <xf numFmtId="164" fontId="64" fillId="3" borderId="4" xfId="4" applyNumberFormat="1" applyFont="1" applyFill="1" applyBorder="1" applyAlignment="1">
      <alignment horizontal="center" vertical="center" wrapText="1"/>
    </xf>
    <xf numFmtId="0" fontId="5" fillId="20" borderId="68" xfId="4" applyFill="1" applyBorder="1" applyAlignment="1">
      <alignment horizontal="center" wrapText="1"/>
    </xf>
    <xf numFmtId="164" fontId="145" fillId="20" borderId="12" xfId="4" applyNumberFormat="1" applyFont="1" applyFill="1" applyBorder="1" applyAlignment="1">
      <alignment horizontal="center" vertical="center"/>
    </xf>
    <xf numFmtId="164" fontId="145" fillId="20" borderId="2" xfId="4" applyNumberFormat="1" applyFont="1" applyFill="1" applyBorder="1" applyAlignment="1">
      <alignment horizontal="center" vertical="center"/>
    </xf>
    <xf numFmtId="0" fontId="51" fillId="20" borderId="24" xfId="4" applyFont="1" applyFill="1" applyBorder="1" applyAlignment="1">
      <alignment horizontal="right"/>
    </xf>
    <xf numFmtId="1" fontId="5" fillId="3" borderId="4" xfId="7" applyNumberFormat="1" applyFill="1" applyBorder="1" applyAlignment="1">
      <alignment horizontal="center" vertical="center"/>
    </xf>
    <xf numFmtId="164" fontId="5" fillId="3" borderId="7" xfId="7" applyNumberFormat="1" applyFill="1" applyBorder="1" applyAlignment="1">
      <alignment horizontal="center" vertical="center"/>
    </xf>
    <xf numFmtId="0" fontId="5" fillId="20" borderId="66" xfId="4" applyFill="1" applyBorder="1" applyAlignment="1">
      <alignment horizontal="center" wrapText="1"/>
    </xf>
    <xf numFmtId="0" fontId="128" fillId="20" borderId="0" xfId="4" applyFont="1" applyFill="1"/>
    <xf numFmtId="2" fontId="81" fillId="20" borderId="0" xfId="4" applyNumberFormat="1" applyFont="1" applyFill="1" applyAlignment="1">
      <alignment horizontal="center" vertical="center"/>
    </xf>
    <xf numFmtId="0" fontId="3" fillId="0" borderId="74" xfId="4" applyFont="1" applyBorder="1" applyAlignment="1">
      <alignment horizontal="right"/>
    </xf>
    <xf numFmtId="2" fontId="144" fillId="20" borderId="1" xfId="4" applyNumberFormat="1" applyFont="1" applyFill="1" applyBorder="1" applyAlignment="1">
      <alignment horizontal="center" vertical="center"/>
    </xf>
    <xf numFmtId="0" fontId="144" fillId="20" borderId="2" xfId="4" applyFont="1" applyFill="1" applyBorder="1" applyAlignment="1">
      <alignment horizontal="center" vertical="center"/>
    </xf>
    <xf numFmtId="2" fontId="144" fillId="20" borderId="2" xfId="4" applyNumberFormat="1" applyFont="1" applyFill="1" applyBorder="1" applyAlignment="1">
      <alignment horizontal="center" vertical="center"/>
    </xf>
    <xf numFmtId="2" fontId="56" fillId="3" borderId="0" xfId="4" applyNumberFormat="1" applyFont="1" applyFill="1" applyAlignment="1">
      <alignment horizontal="center" vertical="center" wrapText="1"/>
    </xf>
    <xf numFmtId="0" fontId="5" fillId="0" borderId="74" xfId="4" applyBorder="1" applyAlignment="1">
      <alignment horizontal="right"/>
    </xf>
    <xf numFmtId="0" fontId="5" fillId="0" borderId="6" xfId="4" applyBorder="1" applyAlignment="1">
      <alignment horizontal="left"/>
    </xf>
    <xf numFmtId="0" fontId="5" fillId="0" borderId="85" xfId="4" applyBorder="1" applyAlignment="1">
      <alignment horizontal="right"/>
    </xf>
    <xf numFmtId="0" fontId="5" fillId="0" borderId="19" xfId="4" applyBorder="1" applyAlignment="1">
      <alignment horizontal="left"/>
    </xf>
    <xf numFmtId="0" fontId="11" fillId="3" borderId="22" xfId="4" applyFont="1" applyFill="1" applyBorder="1" applyAlignment="1">
      <alignment horizontal="left" vertical="center"/>
    </xf>
    <xf numFmtId="0" fontId="11" fillId="3" borderId="21" xfId="4" applyFont="1" applyFill="1" applyBorder="1" applyAlignment="1">
      <alignment horizontal="center" vertical="center"/>
    </xf>
    <xf numFmtId="2" fontId="11" fillId="3" borderId="21" xfId="4" applyNumberFormat="1" applyFont="1" applyFill="1" applyBorder="1" applyAlignment="1">
      <alignment horizontal="center" vertical="center"/>
    </xf>
    <xf numFmtId="0" fontId="5" fillId="3" borderId="21" xfId="4" applyFill="1" applyBorder="1"/>
    <xf numFmtId="2" fontId="56" fillId="3" borderId="21" xfId="4" applyNumberFormat="1" applyFont="1" applyFill="1" applyBorder="1" applyAlignment="1">
      <alignment horizontal="center" vertical="center"/>
    </xf>
    <xf numFmtId="2" fontId="58" fillId="3" borderId="23" xfId="4" applyNumberFormat="1" applyFont="1" applyFill="1" applyBorder="1" applyAlignment="1">
      <alignment horizontal="center" vertical="center"/>
    </xf>
    <xf numFmtId="0" fontId="5" fillId="0" borderId="29" xfId="4" applyBorder="1"/>
    <xf numFmtId="0" fontId="11" fillId="3" borderId="0" xfId="4" applyFont="1" applyFill="1" applyAlignment="1">
      <alignment horizontal="left" vertical="center"/>
    </xf>
    <xf numFmtId="0" fontId="11" fillId="3" borderId="0" xfId="4" applyFont="1" applyFill="1" applyAlignment="1">
      <alignment horizontal="center" vertical="center"/>
    </xf>
    <xf numFmtId="2" fontId="11" fillId="3" borderId="0" xfId="4" applyNumberFormat="1" applyFont="1" applyFill="1" applyAlignment="1">
      <alignment horizontal="center" vertical="center"/>
    </xf>
    <xf numFmtId="0" fontId="7" fillId="0" borderId="0" xfId="4" applyFont="1" applyAlignment="1">
      <alignment horizontal="left"/>
    </xf>
    <xf numFmtId="0" fontId="11" fillId="0" borderId="0" xfId="4" applyFont="1" applyAlignment="1">
      <alignment horizontal="left" vertical="center"/>
    </xf>
    <xf numFmtId="2" fontId="11" fillId="0" borderId="0" xfId="4" applyNumberFormat="1" applyFont="1" applyAlignment="1">
      <alignment horizontal="left" vertical="center"/>
    </xf>
    <xf numFmtId="0" fontId="144" fillId="3" borderId="0" xfId="4" applyFont="1" applyFill="1" applyAlignment="1">
      <alignment horizontal="left" vertical="center"/>
    </xf>
    <xf numFmtId="0" fontId="144" fillId="3" borderId="0" xfId="4" applyFont="1" applyFill="1" applyAlignment="1">
      <alignment horizontal="center" vertical="center"/>
    </xf>
    <xf numFmtId="2" fontId="144" fillId="3" borderId="0" xfId="4" applyNumberFormat="1" applyFont="1" applyFill="1" applyAlignment="1">
      <alignment horizontal="center" vertical="center"/>
    </xf>
    <xf numFmtId="0" fontId="146" fillId="3" borderId="0" xfId="4" applyFont="1" applyFill="1" applyAlignment="1">
      <alignment horizontal="left" wrapText="1"/>
    </xf>
    <xf numFmtId="0" fontId="15" fillId="3" borderId="0" xfId="4" applyFont="1" applyFill="1" applyAlignment="1">
      <alignment wrapText="1"/>
    </xf>
    <xf numFmtId="0" fontId="143" fillId="3" borderId="66" xfId="7" applyFont="1" applyFill="1" applyBorder="1" applyAlignment="1">
      <alignment horizontal="center" vertical="center" wrapText="1"/>
    </xf>
    <xf numFmtId="0" fontId="5" fillId="3" borderId="46" xfId="7" applyFill="1" applyBorder="1" applyAlignment="1">
      <alignment horizontal="center" vertical="center"/>
    </xf>
    <xf numFmtId="164" fontId="5" fillId="3" borderId="56" xfId="7" applyNumberFormat="1" applyFill="1" applyBorder="1" applyAlignment="1">
      <alignment horizontal="center" vertical="center"/>
    </xf>
    <xf numFmtId="2" fontId="5" fillId="3" borderId="56" xfId="7" applyNumberFormat="1" applyFill="1" applyBorder="1" applyAlignment="1">
      <alignment horizontal="center" vertical="center"/>
    </xf>
    <xf numFmtId="0" fontId="5" fillId="3" borderId="17" xfId="7" applyFill="1" applyBorder="1" applyAlignment="1">
      <alignment horizontal="center" vertical="center"/>
    </xf>
    <xf numFmtId="0" fontId="9" fillId="6" borderId="4" xfId="7" applyFont="1" applyFill="1" applyBorder="1"/>
    <xf numFmtId="0" fontId="9" fillId="6" borderId="5" xfId="7" applyFont="1" applyFill="1" applyBorder="1"/>
    <xf numFmtId="0" fontId="9" fillId="6" borderId="24" xfId="7" applyFont="1" applyFill="1" applyBorder="1"/>
    <xf numFmtId="0" fontId="9" fillId="18" borderId="4" xfId="7" applyFont="1" applyFill="1" applyBorder="1"/>
    <xf numFmtId="0" fontId="9" fillId="18" borderId="5" xfId="7" applyFont="1" applyFill="1" applyBorder="1" applyAlignment="1">
      <alignment horizontal="center" vertical="center"/>
    </xf>
    <xf numFmtId="0" fontId="8" fillId="18" borderId="5" xfId="7" applyFont="1" applyFill="1" applyBorder="1" applyAlignment="1">
      <alignment horizontal="center" vertical="center"/>
    </xf>
    <xf numFmtId="0" fontId="8" fillId="18" borderId="5" xfId="7" applyFont="1" applyFill="1" applyBorder="1" applyAlignment="1">
      <alignment vertical="center"/>
    </xf>
    <xf numFmtId="0" fontId="8" fillId="18" borderId="12" xfId="7" applyFont="1" applyFill="1" applyBorder="1" applyAlignment="1">
      <alignment horizontal="left" vertical="center"/>
    </xf>
    <xf numFmtId="0" fontId="8" fillId="18" borderId="2" xfId="7" applyFont="1" applyFill="1" applyBorder="1" applyAlignment="1">
      <alignment vertical="center"/>
    </xf>
    <xf numFmtId="0" fontId="8" fillId="18" borderId="14" xfId="7" applyFont="1" applyFill="1" applyBorder="1" applyAlignment="1">
      <alignment horizontal="center" vertical="center"/>
    </xf>
    <xf numFmtId="0" fontId="60" fillId="0" borderId="1" xfId="7" applyFont="1" applyBorder="1" applyAlignment="1">
      <alignment horizontal="center" vertical="center"/>
    </xf>
    <xf numFmtId="0" fontId="60" fillId="0" borderId="7" xfId="7" applyFont="1" applyBorder="1"/>
    <xf numFmtId="0" fontId="60" fillId="0" borderId="5" xfId="7" applyFont="1" applyBorder="1" applyAlignment="1">
      <alignment horizontal="left"/>
    </xf>
    <xf numFmtId="0" fontId="60" fillId="0" borderId="5" xfId="7" applyFont="1" applyBorder="1"/>
    <xf numFmtId="0" fontId="60" fillId="0" borderId="24" xfId="7" applyFont="1" applyBorder="1"/>
    <xf numFmtId="0" fontId="5" fillId="0" borderId="0" xfId="4" applyProtection="1">
      <protection locked="0"/>
    </xf>
    <xf numFmtId="0" fontId="8" fillId="18" borderId="2" xfId="7" applyFont="1" applyFill="1" applyBorder="1" applyAlignment="1">
      <alignment horizontal="right" vertical="center"/>
    </xf>
    <xf numFmtId="0" fontId="73" fillId="3" borderId="46" xfId="7" applyFont="1" applyFill="1" applyBorder="1"/>
    <xf numFmtId="0" fontId="73" fillId="3" borderId="62" xfId="7" applyFont="1" applyFill="1" applyBorder="1"/>
    <xf numFmtId="0" fontId="73" fillId="3" borderId="71" xfId="7" applyFont="1" applyFill="1" applyBorder="1"/>
    <xf numFmtId="0" fontId="9" fillId="3" borderId="0" xfId="7" applyFont="1" applyFill="1"/>
    <xf numFmtId="0" fontId="5" fillId="3" borderId="22" xfId="4" applyFill="1" applyBorder="1"/>
    <xf numFmtId="0" fontId="81" fillId="0" borderId="0" xfId="2" applyFont="1" applyBorder="1"/>
    <xf numFmtId="0" fontId="81" fillId="0" borderId="0" xfId="2" applyFont="1" applyBorder="1" applyAlignment="1">
      <alignment horizontal="right"/>
    </xf>
    <xf numFmtId="0" fontId="81" fillId="0" borderId="0" xfId="2" applyFont="1" applyBorder="1" applyAlignment="1">
      <alignment horizontal="center"/>
    </xf>
    <xf numFmtId="1" fontId="81" fillId="6" borderId="0" xfId="2" applyNumberFormat="1" applyFont="1" applyFill="1" applyBorder="1"/>
    <xf numFmtId="0" fontId="81" fillId="6" borderId="0" xfId="2" applyFont="1" applyFill="1" applyBorder="1" applyAlignment="1">
      <alignment horizontal="center"/>
    </xf>
    <xf numFmtId="1" fontId="81" fillId="0" borderId="0" xfId="2" applyNumberFormat="1" applyFont="1" applyBorder="1"/>
    <xf numFmtId="1" fontId="81" fillId="0" borderId="0" xfId="2" applyNumberFormat="1" applyFont="1" applyBorder="1" applyAlignment="1">
      <alignment horizontal="center"/>
    </xf>
    <xf numFmtId="168" fontId="81" fillId="0" borderId="0" xfId="2" applyNumberFormat="1" applyFont="1" applyBorder="1" applyAlignment="1">
      <alignment horizontal="right"/>
    </xf>
    <xf numFmtId="0" fontId="81" fillId="6" borderId="0" xfId="2" applyFont="1" applyFill="1" applyBorder="1"/>
    <xf numFmtId="0" fontId="147" fillId="0" borderId="5" xfId="0" applyFont="1" applyBorder="1" applyAlignment="1">
      <alignment horizontal="right"/>
    </xf>
    <xf numFmtId="0" fontId="77" fillId="2" borderId="0" xfId="0" applyFont="1" applyFill="1"/>
    <xf numFmtId="0" fontId="114" fillId="0" borderId="7" xfId="2" applyFont="1" applyBorder="1" applyAlignment="1">
      <alignment vertical="center"/>
    </xf>
    <xf numFmtId="164" fontId="64" fillId="0" borderId="0" xfId="2" applyNumberFormat="1" applyFont="1" applyAlignment="1">
      <alignment horizontal="right"/>
    </xf>
    <xf numFmtId="0" fontId="8" fillId="0" borderId="0" xfId="2" applyFont="1" applyBorder="1" applyAlignment="1">
      <alignment horizontal="center"/>
    </xf>
    <xf numFmtId="0" fontId="27" fillId="0" borderId="0" xfId="0" applyFont="1" applyAlignment="1">
      <alignment vertical="center"/>
    </xf>
    <xf numFmtId="0" fontId="5" fillId="0" borderId="7" xfId="2" applyBorder="1" applyAlignment="1">
      <alignment vertical="center"/>
    </xf>
    <xf numFmtId="177" fontId="0" fillId="0" borderId="2" xfId="0" applyNumberFormat="1" applyBorder="1" applyAlignment="1">
      <alignment horizontal="center"/>
    </xf>
    <xf numFmtId="0" fontId="5" fillId="0" borderId="11" xfId="2" applyBorder="1" applyAlignment="1">
      <alignment vertical="center"/>
    </xf>
    <xf numFmtId="0" fontId="0" fillId="0" borderId="10" xfId="0" applyBorder="1"/>
    <xf numFmtId="0" fontId="0" fillId="0" borderId="35" xfId="0" applyBorder="1"/>
    <xf numFmtId="0" fontId="5" fillId="3" borderId="18" xfId="0" applyFont="1" applyFill="1" applyBorder="1" applyAlignment="1">
      <alignment vertical="center"/>
    </xf>
    <xf numFmtId="0" fontId="0" fillId="0" borderId="18" xfId="0" applyBorder="1"/>
    <xf numFmtId="178" fontId="0" fillId="0" borderId="2" xfId="0" applyNumberFormat="1" applyBorder="1" applyAlignment="1">
      <alignment horizontal="center"/>
    </xf>
    <xf numFmtId="0" fontId="69" fillId="0" borderId="2" xfId="0" applyFont="1" applyBorder="1" applyAlignment="1">
      <alignment horizontal="center" vertical="center" wrapText="1"/>
    </xf>
    <xf numFmtId="0" fontId="106" fillId="0" borderId="2" xfId="0" applyFont="1" applyBorder="1" applyAlignment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63" fillId="0" borderId="0" xfId="0" applyFont="1" applyAlignment="1" applyProtection="1">
      <alignment horizontal="left"/>
      <protection locked="0"/>
    </xf>
    <xf numFmtId="164" fontId="63" fillId="0" borderId="12" xfId="0" applyNumberFormat="1" applyFont="1" applyBorder="1" applyAlignment="1">
      <alignment horizontal="center" vertical="center"/>
    </xf>
    <xf numFmtId="0" fontId="106" fillId="0" borderId="8" xfId="0" applyFont="1" applyBorder="1" applyAlignment="1">
      <alignment horizontal="center" vertical="top"/>
    </xf>
    <xf numFmtId="0" fontId="135" fillId="0" borderId="0" xfId="2" applyFont="1" applyAlignment="1">
      <alignment horizontal="center"/>
    </xf>
    <xf numFmtId="0" fontId="2" fillId="0" borderId="0" xfId="0" applyFont="1"/>
    <xf numFmtId="0" fontId="2" fillId="0" borderId="0" xfId="2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2" applyFont="1" applyProtection="1"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2" applyNumberFormat="1" applyFont="1" applyAlignment="1" applyProtection="1">
      <alignment horizontal="center"/>
      <protection locked="0"/>
    </xf>
    <xf numFmtId="0" fontId="20" fillId="0" borderId="2" xfId="0" applyFont="1" applyBorder="1" applyAlignment="1">
      <alignment horizontal="center" vertical="center"/>
    </xf>
    <xf numFmtId="0" fontId="20" fillId="0" borderId="2" xfId="7" applyFont="1" applyBorder="1" applyAlignment="1">
      <alignment horizontal="center" vertical="center"/>
    </xf>
    <xf numFmtId="0" fontId="98" fillId="0" borderId="4" xfId="6" applyFont="1" applyBorder="1" applyAlignment="1" applyProtection="1">
      <alignment vertical="center"/>
      <protection locked="0"/>
    </xf>
    <xf numFmtId="166" fontId="5" fillId="0" borderId="2" xfId="0" applyNumberFormat="1" applyFont="1" applyBorder="1" applyAlignment="1">
      <alignment horizontal="center"/>
    </xf>
    <xf numFmtId="0" fontId="69" fillId="0" borderId="2" xfId="0" applyFont="1" applyBorder="1" applyAlignment="1">
      <alignment horizontal="center" vertical="center" wrapText="1"/>
    </xf>
    <xf numFmtId="2" fontId="106" fillId="0" borderId="2" xfId="0" applyNumberFormat="1" applyFont="1" applyBorder="1" applyAlignment="1">
      <alignment horizontal="center"/>
    </xf>
    <xf numFmtId="0" fontId="69" fillId="0" borderId="2" xfId="0" applyFont="1" applyBorder="1" applyAlignment="1">
      <alignment horizontal="center" vertical="center"/>
    </xf>
    <xf numFmtId="0" fontId="69" fillId="3" borderId="0" xfId="0" applyFont="1" applyFill="1" applyAlignment="1" applyProtection="1">
      <alignment horizontal="left" vertical="center"/>
      <protection locked="0"/>
    </xf>
    <xf numFmtId="1" fontId="30" fillId="0" borderId="2" xfId="0" applyNumberFormat="1" applyFont="1" applyBorder="1" applyAlignment="1">
      <alignment horizontal="center" vertical="center"/>
    </xf>
    <xf numFmtId="0" fontId="8" fillId="3" borderId="0" xfId="0" applyFont="1" applyFill="1" applyBorder="1"/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  <xf numFmtId="2" fontId="11" fillId="3" borderId="0" xfId="0" applyNumberFormat="1" applyFont="1" applyFill="1" applyBorder="1" applyAlignment="1">
      <alignment horizontal="center"/>
    </xf>
    <xf numFmtId="2" fontId="11" fillId="3" borderId="0" xfId="0" applyNumberFormat="1" applyFont="1" applyFill="1" applyBorder="1" applyAlignment="1">
      <alignment horizontal="center" vertical="center"/>
    </xf>
    <xf numFmtId="165" fontId="11" fillId="3" borderId="0" xfId="0" applyNumberFormat="1" applyFont="1" applyFill="1" applyBorder="1" applyAlignment="1">
      <alignment horizontal="center"/>
    </xf>
    <xf numFmtId="2" fontId="13" fillId="13" borderId="61" xfId="1" applyNumberFormat="1" applyFont="1" applyFill="1" applyBorder="1" applyAlignment="1">
      <alignment horizontal="center"/>
    </xf>
    <xf numFmtId="0" fontId="8" fillId="0" borderId="31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164" fontId="65" fillId="3" borderId="2" xfId="2" applyNumberFormat="1" applyFont="1" applyFill="1" applyBorder="1" applyAlignment="1" applyProtection="1">
      <alignment horizontal="center" vertical="center"/>
      <protection locked="0"/>
    </xf>
    <xf numFmtId="164" fontId="65" fillId="3" borderId="31" xfId="2" applyNumberFormat="1" applyFont="1" applyFill="1" applyBorder="1" applyAlignment="1" applyProtection="1">
      <alignment horizontal="center" vertical="center"/>
      <protection locked="0"/>
    </xf>
    <xf numFmtId="164" fontId="65" fillId="3" borderId="7" xfId="2" applyNumberFormat="1" applyFont="1" applyFill="1" applyBorder="1" applyAlignment="1" applyProtection="1">
      <alignment horizontal="center" vertical="center"/>
      <protection locked="0"/>
    </xf>
    <xf numFmtId="164" fontId="65" fillId="0" borderId="7" xfId="2" applyNumberFormat="1" applyFont="1" applyBorder="1" applyAlignment="1" applyProtection="1">
      <alignment horizontal="right" vertical="center"/>
      <protection locked="0"/>
    </xf>
    <xf numFmtId="165" fontId="65" fillId="0" borderId="7" xfId="2" applyNumberFormat="1" applyFont="1" applyBorder="1" applyAlignment="1" applyProtection="1">
      <alignment horizontal="right" vertical="center"/>
      <protection locked="0"/>
    </xf>
    <xf numFmtId="164" fontId="65" fillId="3" borderId="7" xfId="0" quotePrefix="1" applyNumberFormat="1" applyFont="1" applyFill="1" applyBorder="1" applyAlignment="1" applyProtection="1">
      <alignment horizontal="right" vertical="center"/>
      <protection locked="0"/>
    </xf>
    <xf numFmtId="0" fontId="148" fillId="0" borderId="2" xfId="0" quotePrefix="1" applyFont="1" applyBorder="1" applyAlignment="1" applyProtection="1">
      <alignment horizontal="center" vertical="center"/>
      <protection locked="0"/>
    </xf>
    <xf numFmtId="0" fontId="65" fillId="0" borderId="2" xfId="0" applyFont="1" applyBorder="1" applyAlignment="1">
      <alignment horizontal="center" vertical="center"/>
    </xf>
    <xf numFmtId="164" fontId="65" fillId="3" borderId="2" xfId="0" applyNumberFormat="1" applyFont="1" applyFill="1" applyBorder="1" applyAlignment="1" applyProtection="1">
      <alignment horizontal="center"/>
      <protection locked="0"/>
    </xf>
    <xf numFmtId="164" fontId="65" fillId="3" borderId="7" xfId="0" applyNumberFormat="1" applyFont="1" applyFill="1" applyBorder="1" applyAlignment="1" applyProtection="1">
      <alignment horizontal="center"/>
      <protection locked="0"/>
    </xf>
    <xf numFmtId="1" fontId="65" fillId="3" borderId="2" xfId="0" applyNumberFormat="1" applyFont="1" applyFill="1" applyBorder="1" applyAlignment="1" applyProtection="1">
      <alignment horizontal="center" vertical="center"/>
      <protection locked="0"/>
    </xf>
    <xf numFmtId="0" fontId="65" fillId="3" borderId="2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0" xfId="2" applyFont="1" applyAlignment="1">
      <alignment vertical="center"/>
    </xf>
    <xf numFmtId="0" fontId="69" fillId="2" borderId="0" xfId="0" applyFont="1" applyFill="1" applyAlignment="1">
      <alignment horizontal="left"/>
    </xf>
    <xf numFmtId="0" fontId="69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1" fillId="0" borderId="0" xfId="2" applyFont="1"/>
    <xf numFmtId="0" fontId="7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26" fillId="3" borderId="47" xfId="0" applyFont="1" applyFill="1" applyBorder="1" applyAlignment="1">
      <alignment horizontal="center" vertical="center"/>
    </xf>
    <xf numFmtId="0" fontId="26" fillId="3" borderId="48" xfId="0" applyFont="1" applyFill="1" applyBorder="1" applyAlignment="1">
      <alignment horizontal="center" vertical="center"/>
    </xf>
    <xf numFmtId="0" fontId="26" fillId="3" borderId="65" xfId="0" applyFont="1" applyFill="1" applyBorder="1" applyAlignment="1">
      <alignment horizontal="center" vertical="center"/>
    </xf>
    <xf numFmtId="0" fontId="60" fillId="0" borderId="26" xfId="0" applyFont="1" applyBorder="1" applyAlignment="1">
      <alignment horizontal="center"/>
    </xf>
    <xf numFmtId="0" fontId="60" fillId="0" borderId="27" xfId="0" applyFont="1" applyBorder="1" applyAlignment="1">
      <alignment horizontal="center"/>
    </xf>
    <xf numFmtId="0" fontId="60" fillId="0" borderId="38" xfId="0" applyFont="1" applyBorder="1" applyAlignment="1">
      <alignment horizontal="center"/>
    </xf>
    <xf numFmtId="0" fontId="7" fillId="3" borderId="47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65" xfId="0" applyFont="1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0" fontId="8" fillId="17" borderId="78" xfId="0" applyFont="1" applyFill="1" applyBorder="1" applyAlignment="1">
      <alignment horizontal="center" vertical="center" wrapText="1"/>
    </xf>
    <xf numFmtId="0" fontId="8" fillId="17" borderId="58" xfId="0" applyFont="1" applyFill="1" applyBorder="1" applyAlignment="1">
      <alignment horizontal="center" vertical="center" wrapText="1"/>
    </xf>
    <xf numFmtId="0" fontId="8" fillId="17" borderId="82" xfId="0" applyFont="1" applyFill="1" applyBorder="1" applyAlignment="1">
      <alignment horizontal="center" vertical="center" wrapText="1"/>
    </xf>
    <xf numFmtId="0" fontId="11" fillId="3" borderId="7" xfId="4" applyFont="1" applyFill="1" applyBorder="1" applyAlignment="1">
      <alignment horizontal="center" vertical="center" wrapText="1"/>
    </xf>
    <xf numFmtId="0" fontId="11" fillId="3" borderId="5" xfId="4" applyFont="1" applyFill="1" applyBorder="1" applyAlignment="1">
      <alignment horizontal="center" vertical="center" wrapText="1"/>
    </xf>
    <xf numFmtId="0" fontId="11" fillId="3" borderId="34" xfId="4" applyFont="1" applyFill="1" applyBorder="1" applyAlignment="1">
      <alignment horizontal="center" vertical="center" wrapText="1"/>
    </xf>
    <xf numFmtId="0" fontId="11" fillId="3" borderId="0" xfId="4" applyFont="1" applyFill="1" applyAlignment="1">
      <alignment horizontal="left" vertical="center" wrapText="1"/>
    </xf>
    <xf numFmtId="0" fontId="52" fillId="3" borderId="7" xfId="0" applyFont="1" applyFill="1" applyBorder="1" applyAlignment="1">
      <alignment horizontal="center" vertical="center"/>
    </xf>
    <xf numFmtId="0" fontId="52" fillId="3" borderId="5" xfId="0" applyFont="1" applyFill="1" applyBorder="1" applyAlignment="1">
      <alignment horizontal="center" vertical="center"/>
    </xf>
    <xf numFmtId="0" fontId="52" fillId="3" borderId="12" xfId="0" applyFont="1" applyFill="1" applyBorder="1" applyAlignment="1">
      <alignment horizontal="center" vertical="center"/>
    </xf>
    <xf numFmtId="0" fontId="52" fillId="3" borderId="31" xfId="0" applyFont="1" applyFill="1" applyBorder="1" applyAlignment="1">
      <alignment horizontal="center" vertical="center"/>
    </xf>
    <xf numFmtId="0" fontId="52" fillId="3" borderId="18" xfId="0" applyFont="1" applyFill="1" applyBorder="1" applyAlignment="1">
      <alignment horizontal="center" vertical="center"/>
    </xf>
    <xf numFmtId="0" fontId="52" fillId="3" borderId="2" xfId="0" applyFont="1" applyFill="1" applyBorder="1" applyAlignment="1">
      <alignment horizontal="center" vertical="center"/>
    </xf>
    <xf numFmtId="0" fontId="52" fillId="3" borderId="2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8" fillId="17" borderId="78" xfId="0" applyFont="1" applyFill="1" applyBorder="1" applyAlignment="1">
      <alignment horizontal="center" vertical="center"/>
    </xf>
    <xf numFmtId="0" fontId="8" fillId="17" borderId="58" xfId="0" applyFont="1" applyFill="1" applyBorder="1" applyAlignment="1">
      <alignment horizontal="center" vertical="center"/>
    </xf>
    <xf numFmtId="0" fontId="8" fillId="17" borderId="82" xfId="0" applyFont="1" applyFill="1" applyBorder="1" applyAlignment="1">
      <alignment horizontal="center" vertical="center"/>
    </xf>
    <xf numFmtId="0" fontId="8" fillId="17" borderId="4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8" fillId="17" borderId="43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17" borderId="15" xfId="0" applyFont="1" applyFill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2" fillId="17" borderId="42" xfId="0" applyFont="1" applyFill="1" applyBorder="1" applyAlignment="1">
      <alignment horizontal="center" vertical="center" wrapText="1"/>
    </xf>
    <xf numFmtId="0" fontId="52" fillId="17" borderId="2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52" fillId="17" borderId="31" xfId="0" applyFont="1" applyFill="1" applyBorder="1" applyAlignment="1">
      <alignment horizontal="center" vertical="center" wrapText="1"/>
    </xf>
    <xf numFmtId="0" fontId="7" fillId="17" borderId="4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42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52" fillId="17" borderId="42" xfId="0" applyFont="1" applyFill="1" applyBorder="1" applyAlignment="1">
      <alignment horizontal="center" vertical="center"/>
    </xf>
    <xf numFmtId="0" fontId="52" fillId="17" borderId="2" xfId="0" applyFont="1" applyFill="1" applyBorder="1" applyAlignment="1">
      <alignment horizontal="center" vertical="center"/>
    </xf>
    <xf numFmtId="0" fontId="52" fillId="17" borderId="44" xfId="0" applyFont="1" applyFill="1" applyBorder="1" applyAlignment="1">
      <alignment horizontal="center" vertical="center"/>
    </xf>
    <xf numFmtId="0" fontId="52" fillId="17" borderId="3" xfId="0" applyFont="1" applyFill="1" applyBorder="1" applyAlignment="1">
      <alignment horizontal="center" vertical="center"/>
    </xf>
    <xf numFmtId="0" fontId="52" fillId="17" borderId="18" xfId="0" applyFont="1" applyFill="1" applyBorder="1" applyAlignment="1">
      <alignment horizontal="center" vertical="center"/>
    </xf>
    <xf numFmtId="0" fontId="13" fillId="11" borderId="4" xfId="4" applyFont="1" applyFill="1" applyBorder="1" applyAlignment="1">
      <alignment horizontal="center"/>
    </xf>
    <xf numFmtId="0" fontId="13" fillId="11" borderId="5" xfId="4" applyFont="1" applyFill="1" applyBorder="1" applyAlignment="1">
      <alignment horizontal="center"/>
    </xf>
    <xf numFmtId="0" fontId="13" fillId="11" borderId="12" xfId="4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0" fillId="4" borderId="21" xfId="0" applyNumberFormat="1" applyFill="1" applyBorder="1" applyAlignment="1">
      <alignment horizontal="center" vertical="center"/>
    </xf>
    <xf numFmtId="2" fontId="0" fillId="4" borderId="23" xfId="0" applyNumberFormat="1" applyFill="1" applyBorder="1" applyAlignment="1">
      <alignment horizontal="center" vertical="center"/>
    </xf>
    <xf numFmtId="0" fontId="7" fillId="17" borderId="43" xfId="0" applyFont="1" applyFill="1" applyBorder="1" applyAlignment="1">
      <alignment horizontal="center" vertical="center" wrapText="1"/>
    </xf>
    <xf numFmtId="0" fontId="7" fillId="17" borderId="44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horizontal="center" vertical="center" wrapText="1"/>
    </xf>
    <xf numFmtId="0" fontId="7" fillId="17" borderId="63" xfId="0" applyFont="1" applyFill="1" applyBorder="1" applyAlignment="1">
      <alignment horizontal="center" vertical="center" wrapText="1"/>
    </xf>
    <xf numFmtId="0" fontId="52" fillId="17" borderId="63" xfId="0" applyFont="1" applyFill="1" applyBorder="1" applyAlignment="1">
      <alignment horizontal="center" vertical="center"/>
    </xf>
    <xf numFmtId="0" fontId="13" fillId="11" borderId="7" xfId="4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20" fillId="3" borderId="14" xfId="0" applyFont="1" applyFill="1" applyBorder="1" applyAlignment="1">
      <alignment horizontal="center" vertical="center" wrapText="1"/>
    </xf>
    <xf numFmtId="0" fontId="31" fillId="11" borderId="1" xfId="4" applyFont="1" applyFill="1" applyBorder="1" applyAlignment="1">
      <alignment horizontal="center"/>
    </xf>
    <xf numFmtId="0" fontId="31" fillId="11" borderId="12" xfId="4" applyFont="1" applyFill="1" applyBorder="1" applyAlignment="1">
      <alignment horizontal="center"/>
    </xf>
    <xf numFmtId="0" fontId="31" fillId="11" borderId="2" xfId="4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2" fillId="4" borderId="36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31" fillId="11" borderId="1" xfId="4" applyFont="1" applyFill="1" applyBorder="1" applyAlignment="1">
      <alignment horizontal="center" vertical="center"/>
    </xf>
    <xf numFmtId="0" fontId="31" fillId="11" borderId="12" xfId="4" applyFont="1" applyFill="1" applyBorder="1" applyAlignment="1">
      <alignment horizontal="center" vertical="center"/>
    </xf>
    <xf numFmtId="0" fontId="31" fillId="11" borderId="2" xfId="4" applyFont="1" applyFill="1" applyBorder="1" applyAlignment="1">
      <alignment horizontal="center" vertical="center"/>
    </xf>
    <xf numFmtId="0" fontId="13" fillId="0" borderId="7" xfId="10" applyFont="1" applyBorder="1" applyAlignment="1">
      <alignment horizontal="left" vertical="top" wrapText="1"/>
    </xf>
    <xf numFmtId="0" fontId="13" fillId="0" borderId="5" xfId="10" applyFont="1" applyBorder="1" applyAlignment="1">
      <alignment horizontal="left" vertical="top" wrapText="1"/>
    </xf>
    <xf numFmtId="0" fontId="117" fillId="0" borderId="0" xfId="10" applyFont="1" applyAlignment="1" applyProtection="1">
      <alignment horizontal="center" vertical="center"/>
      <protection locked="0"/>
    </xf>
    <xf numFmtId="172" fontId="119" fillId="0" borderId="0" xfId="10" quotePrefix="1" applyNumberFormat="1" applyFont="1" applyAlignment="1" applyProtection="1">
      <alignment horizontal="center" vertical="center"/>
      <protection locked="0"/>
    </xf>
    <xf numFmtId="172" fontId="119" fillId="0" borderId="0" xfId="10" applyNumberFormat="1" applyFont="1" applyAlignment="1" applyProtection="1">
      <alignment horizontal="center" vertical="center"/>
      <protection locked="0"/>
    </xf>
    <xf numFmtId="0" fontId="13" fillId="0" borderId="0" xfId="10" applyFont="1" applyAlignment="1">
      <alignment horizontal="center"/>
    </xf>
    <xf numFmtId="0" fontId="82" fillId="0" borderId="0" xfId="10" applyFont="1" applyAlignment="1">
      <alignment horizontal="right" vertical="center"/>
    </xf>
    <xf numFmtId="0" fontId="84" fillId="0" borderId="0" xfId="10" applyFont="1" applyAlignment="1">
      <alignment horizontal="center"/>
    </xf>
    <xf numFmtId="0" fontId="119" fillId="0" borderId="0" xfId="10" quotePrefix="1" applyFont="1" applyAlignment="1" applyProtection="1">
      <alignment horizontal="left"/>
      <protection locked="0"/>
    </xf>
    <xf numFmtId="0" fontId="13" fillId="0" borderId="0" xfId="10" applyFont="1" applyAlignment="1">
      <alignment horizontal="left" vertical="center" wrapText="1"/>
    </xf>
    <xf numFmtId="1" fontId="13" fillId="0" borderId="0" xfId="10" applyNumberFormat="1" applyFont="1" applyAlignment="1">
      <alignment horizontal="left" vertical="center" wrapText="1"/>
    </xf>
    <xf numFmtId="0" fontId="120" fillId="0" borderId="0" xfId="10" quotePrefix="1" applyFont="1" applyAlignment="1" applyProtection="1">
      <alignment horizontal="left" vertical="center" wrapText="1"/>
      <protection locked="0"/>
    </xf>
    <xf numFmtId="11" fontId="119" fillId="0" borderId="0" xfId="10" quotePrefix="1" applyNumberFormat="1" applyFont="1" applyAlignment="1" applyProtection="1">
      <alignment horizontal="left"/>
      <protection locked="0"/>
    </xf>
    <xf numFmtId="0" fontId="119" fillId="0" borderId="0" xfId="10" applyFont="1" applyAlignment="1" applyProtection="1">
      <alignment horizontal="left"/>
      <protection locked="0"/>
    </xf>
    <xf numFmtId="0" fontId="13" fillId="0" borderId="0" xfId="10" applyFont="1" applyAlignment="1" applyProtection="1">
      <alignment horizontal="left" vertical="center" wrapText="1"/>
      <protection locked="0"/>
    </xf>
    <xf numFmtId="172" fontId="13" fillId="0" borderId="0" xfId="10" applyNumberFormat="1" applyFont="1" applyAlignment="1">
      <alignment horizontal="left" vertical="center" wrapText="1"/>
    </xf>
    <xf numFmtId="0" fontId="120" fillId="0" borderId="0" xfId="10" applyFont="1" applyAlignment="1" applyProtection="1">
      <alignment horizontal="left" vertical="center" wrapText="1"/>
      <protection locked="0"/>
    </xf>
    <xf numFmtId="0" fontId="13" fillId="0" borderId="0" xfId="10" applyFont="1" applyAlignment="1" applyProtection="1">
      <alignment horizontal="left" vertical="top" wrapText="1"/>
      <protection locked="0"/>
    </xf>
    <xf numFmtId="0" fontId="13" fillId="0" borderId="0" xfId="10" applyFont="1" applyAlignment="1" applyProtection="1">
      <alignment horizontal="justify" vertical="top" wrapText="1"/>
      <protection locked="0"/>
    </xf>
    <xf numFmtId="176" fontId="119" fillId="0" borderId="0" xfId="10" quotePrefix="1" applyNumberFormat="1" applyFont="1" applyAlignment="1" applyProtection="1">
      <alignment horizontal="left" vertical="center"/>
      <protection locked="0"/>
    </xf>
    <xf numFmtId="176" fontId="119" fillId="0" borderId="0" xfId="10" applyNumberFormat="1" applyFont="1" applyAlignment="1" applyProtection="1">
      <alignment horizontal="left" vertical="center"/>
      <protection locked="0"/>
    </xf>
    <xf numFmtId="1" fontId="13" fillId="0" borderId="0" xfId="10" applyNumberFormat="1" applyFont="1" applyAlignment="1">
      <alignment horizontal="left" vertical="top" wrapText="1"/>
    </xf>
    <xf numFmtId="0" fontId="13" fillId="0" borderId="0" xfId="10" applyFont="1" applyAlignment="1">
      <alignment horizontal="left" vertical="top" wrapText="1"/>
    </xf>
    <xf numFmtId="0" fontId="116" fillId="0" borderId="0" xfId="10" applyFont="1" applyAlignment="1">
      <alignment horizontal="center"/>
    </xf>
    <xf numFmtId="0" fontId="13" fillId="6" borderId="0" xfId="10" applyFont="1" applyFill="1" applyAlignment="1">
      <alignment horizontal="justify" vertical="center" wrapText="1"/>
    </xf>
    <xf numFmtId="0" fontId="9" fillId="0" borderId="0" xfId="10" applyFont="1" applyAlignment="1">
      <alignment horizontal="left" vertical="center" wrapText="1"/>
    </xf>
    <xf numFmtId="172" fontId="13" fillId="0" borderId="0" xfId="10" applyNumberFormat="1" applyFont="1" applyAlignment="1">
      <alignment horizontal="left" vertical="top" wrapText="1"/>
    </xf>
    <xf numFmtId="0" fontId="141" fillId="3" borderId="6" xfId="4" applyFont="1" applyFill="1" applyBorder="1" applyAlignment="1">
      <alignment horizontal="center" vertical="center"/>
    </xf>
    <xf numFmtId="0" fontId="141" fillId="3" borderId="0" xfId="4" applyFont="1" applyFill="1" applyAlignment="1">
      <alignment horizontal="center" vertical="center"/>
    </xf>
    <xf numFmtId="0" fontId="141" fillId="3" borderId="19" xfId="4" applyFont="1" applyFill="1" applyBorder="1" applyAlignment="1">
      <alignment horizontal="center" vertical="center"/>
    </xf>
    <xf numFmtId="0" fontId="55" fillId="19" borderId="31" xfId="4" applyFont="1" applyFill="1" applyBorder="1" applyAlignment="1" applyProtection="1">
      <alignment horizontal="center" vertical="center" wrapText="1"/>
      <protection locked="0"/>
    </xf>
    <xf numFmtId="0" fontId="55" fillId="19" borderId="3" xfId="4" applyFont="1" applyFill="1" applyBorder="1" applyAlignment="1" applyProtection="1">
      <alignment horizontal="center" vertical="center" wrapText="1"/>
      <protection locked="0"/>
    </xf>
    <xf numFmtId="0" fontId="55" fillId="19" borderId="18" xfId="4" applyFont="1" applyFill="1" applyBorder="1" applyAlignment="1" applyProtection="1">
      <alignment horizontal="center" vertical="center" wrapText="1"/>
      <protection locked="0"/>
    </xf>
    <xf numFmtId="0" fontId="50" fillId="19" borderId="2" xfId="4" applyFont="1" applyFill="1" applyBorder="1" applyAlignment="1" applyProtection="1">
      <alignment horizontal="center" vertical="center" wrapText="1"/>
      <protection locked="0"/>
    </xf>
    <xf numFmtId="0" fontId="16" fillId="19" borderId="2" xfId="4" applyFont="1" applyFill="1" applyBorder="1" applyAlignment="1" applyProtection="1">
      <alignment horizontal="center"/>
      <protection locked="0"/>
    </xf>
    <xf numFmtId="0" fontId="20" fillId="19" borderId="7" xfId="4" applyFont="1" applyFill="1" applyBorder="1" applyAlignment="1" applyProtection="1">
      <alignment horizontal="center" vertical="center"/>
      <protection locked="0"/>
    </xf>
    <xf numFmtId="0" fontId="20" fillId="19" borderId="5" xfId="4" applyFont="1" applyFill="1" applyBorder="1" applyAlignment="1" applyProtection="1">
      <alignment horizontal="center" vertical="center"/>
      <protection locked="0"/>
    </xf>
    <xf numFmtId="0" fontId="20" fillId="19" borderId="12" xfId="4" applyFont="1" applyFill="1" applyBorder="1" applyAlignment="1" applyProtection="1">
      <alignment horizontal="center" vertical="center"/>
      <protection locked="0"/>
    </xf>
    <xf numFmtId="0" fontId="20" fillId="19" borderId="7" xfId="4" applyFont="1" applyFill="1" applyBorder="1" applyAlignment="1" applyProtection="1">
      <alignment horizontal="center" vertical="center" wrapText="1"/>
      <protection locked="0"/>
    </xf>
    <xf numFmtId="0" fontId="20" fillId="19" borderId="5" xfId="4" applyFont="1" applyFill="1" applyBorder="1" applyAlignment="1" applyProtection="1">
      <alignment horizontal="center" vertical="center" wrapText="1"/>
      <protection locked="0"/>
    </xf>
    <xf numFmtId="0" fontId="20" fillId="19" borderId="12" xfId="4" applyFont="1" applyFill="1" applyBorder="1" applyAlignment="1" applyProtection="1">
      <alignment horizontal="center" vertical="center" wrapText="1"/>
      <protection locked="0"/>
    </xf>
    <xf numFmtId="0" fontId="15" fillId="19" borderId="2" xfId="4" applyFont="1" applyFill="1" applyBorder="1" applyAlignment="1" applyProtection="1">
      <alignment horizontal="center" vertical="center" wrapText="1"/>
      <protection locked="0"/>
    </xf>
    <xf numFmtId="0" fontId="16" fillId="19" borderId="18" xfId="4" applyFont="1" applyFill="1" applyBorder="1" applyAlignment="1" applyProtection="1">
      <alignment horizontal="center"/>
      <protection locked="0"/>
    </xf>
    <xf numFmtId="0" fontId="16" fillId="19" borderId="7" xfId="4" applyFont="1" applyFill="1" applyBorder="1" applyAlignment="1" applyProtection="1">
      <alignment horizontal="center" vertical="center"/>
      <protection locked="0"/>
    </xf>
    <xf numFmtId="0" fontId="16" fillId="19" borderId="5" xfId="4" applyFont="1" applyFill="1" applyBorder="1" applyAlignment="1" applyProtection="1">
      <alignment horizontal="center" vertical="center"/>
      <protection locked="0"/>
    </xf>
    <xf numFmtId="0" fontId="16" fillId="19" borderId="12" xfId="4" applyFont="1" applyFill="1" applyBorder="1" applyAlignment="1" applyProtection="1">
      <alignment horizontal="center" vertical="center"/>
      <protection locked="0"/>
    </xf>
    <xf numFmtId="0" fontId="50" fillId="19" borderId="2" xfId="4" applyFont="1" applyFill="1" applyBorder="1" applyAlignment="1" applyProtection="1">
      <alignment horizontal="center" vertical="center"/>
      <protection locked="0"/>
    </xf>
    <xf numFmtId="0" fontId="20" fillId="19" borderId="11" xfId="4" applyFont="1" applyFill="1" applyBorder="1" applyAlignment="1" applyProtection="1">
      <alignment horizontal="center" vertical="center"/>
      <protection locked="0"/>
    </xf>
    <xf numFmtId="0" fontId="20" fillId="19" borderId="10" xfId="4" applyFont="1" applyFill="1" applyBorder="1" applyAlignment="1" applyProtection="1">
      <alignment horizontal="center" vertical="center"/>
      <protection locked="0"/>
    </xf>
    <xf numFmtId="0" fontId="20" fillId="19" borderId="35" xfId="4" applyFont="1" applyFill="1" applyBorder="1" applyAlignment="1" applyProtection="1">
      <alignment horizontal="center" vertical="center"/>
      <protection locked="0"/>
    </xf>
    <xf numFmtId="0" fontId="60" fillId="0" borderId="26" xfId="7" applyFont="1" applyBorder="1" applyAlignment="1">
      <alignment horizontal="center"/>
    </xf>
    <xf numFmtId="0" fontId="60" fillId="0" borderId="27" xfId="7" applyFont="1" applyBorder="1" applyAlignment="1">
      <alignment horizontal="center"/>
    </xf>
    <xf numFmtId="0" fontId="60" fillId="0" borderId="38" xfId="7" applyFont="1" applyBorder="1" applyAlignment="1">
      <alignment horizontal="center"/>
    </xf>
    <xf numFmtId="0" fontId="15" fillId="18" borderId="46" xfId="7" applyFont="1" applyFill="1" applyBorder="1" applyAlignment="1">
      <alignment horizontal="center"/>
    </xf>
    <xf numFmtId="0" fontId="15" fillId="18" borderId="62" xfId="7" applyFont="1" applyFill="1" applyBorder="1" applyAlignment="1">
      <alignment horizontal="center"/>
    </xf>
    <xf numFmtId="0" fontId="15" fillId="18" borderId="71" xfId="7" applyFont="1" applyFill="1" applyBorder="1" applyAlignment="1">
      <alignment horizontal="center"/>
    </xf>
    <xf numFmtId="0" fontId="11" fillId="20" borderId="4" xfId="4" applyFont="1" applyFill="1" applyBorder="1" applyAlignment="1">
      <alignment horizontal="center" vertical="center" wrapText="1"/>
    </xf>
    <xf numFmtId="0" fontId="11" fillId="20" borderId="5" xfId="4" applyFont="1" applyFill="1" applyBorder="1" applyAlignment="1">
      <alignment horizontal="center" vertical="center" wrapText="1"/>
    </xf>
    <xf numFmtId="0" fontId="11" fillId="20" borderId="24" xfId="4" applyFont="1" applyFill="1" applyBorder="1" applyAlignment="1">
      <alignment horizontal="center" vertical="center" wrapText="1"/>
    </xf>
    <xf numFmtId="0" fontId="144" fillId="20" borderId="4" xfId="4" applyFont="1" applyFill="1" applyBorder="1" applyAlignment="1">
      <alignment horizontal="center" vertical="center" wrapText="1"/>
    </xf>
    <xf numFmtId="0" fontId="144" fillId="20" borderId="5" xfId="4" applyFont="1" applyFill="1" applyBorder="1" applyAlignment="1">
      <alignment horizontal="center" vertical="center" wrapText="1"/>
    </xf>
    <xf numFmtId="0" fontId="144" fillId="20" borderId="24" xfId="4" applyFont="1" applyFill="1" applyBorder="1" applyAlignment="1">
      <alignment horizontal="center" vertical="center" wrapText="1"/>
    </xf>
    <xf numFmtId="0" fontId="20" fillId="6" borderId="26" xfId="7" applyFont="1" applyFill="1" applyBorder="1" applyAlignment="1">
      <alignment horizontal="center" vertical="center" wrapText="1"/>
    </xf>
    <xf numFmtId="0" fontId="20" fillId="6" borderId="27" xfId="7" applyFont="1" applyFill="1" applyBorder="1" applyAlignment="1">
      <alignment horizontal="center" vertical="center" wrapText="1"/>
    </xf>
    <xf numFmtId="0" fontId="20" fillId="6" borderId="38" xfId="7" applyFont="1" applyFill="1" applyBorder="1" applyAlignment="1">
      <alignment horizontal="center" vertical="center" wrapText="1"/>
    </xf>
    <xf numFmtId="0" fontId="11" fillId="20" borderId="26" xfId="4" applyFont="1" applyFill="1" applyBorder="1" applyAlignment="1">
      <alignment horizontal="center" vertical="center"/>
    </xf>
    <xf numFmtId="0" fontId="11" fillId="20" borderId="27" xfId="4" applyFont="1" applyFill="1" applyBorder="1" applyAlignment="1">
      <alignment horizontal="center" vertical="center"/>
    </xf>
    <xf numFmtId="0" fontId="11" fillId="20" borderId="38" xfId="4" applyFont="1" applyFill="1" applyBorder="1" applyAlignment="1">
      <alignment horizontal="center" vertical="center"/>
    </xf>
    <xf numFmtId="0" fontId="34" fillId="0" borderId="0" xfId="2" applyFont="1" applyAlignment="1">
      <alignment horizontal="center"/>
    </xf>
    <xf numFmtId="0" fontId="39" fillId="0" borderId="0" xfId="2" applyFont="1" applyAlignment="1">
      <alignment horizontal="center"/>
    </xf>
    <xf numFmtId="0" fontId="35" fillId="0" borderId="7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90" fillId="0" borderId="0" xfId="0" applyFont="1" applyAlignment="1">
      <alignment horizontal="center" vertical="center" wrapText="1"/>
    </xf>
    <xf numFmtId="0" fontId="35" fillId="0" borderId="31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31" xfId="2" applyFont="1" applyBorder="1" applyAlignment="1">
      <alignment horizontal="center" vertical="top"/>
    </xf>
    <xf numFmtId="0" fontId="35" fillId="0" borderId="18" xfId="2" applyFont="1" applyBorder="1" applyAlignment="1">
      <alignment horizontal="center" vertical="top"/>
    </xf>
    <xf numFmtId="0" fontId="30" fillId="0" borderId="31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5" fillId="0" borderId="31" xfId="0" applyFont="1" applyBorder="1" applyAlignment="1">
      <alignment horizontal="center" vertical="top" wrapText="1"/>
    </xf>
    <xf numFmtId="0" fontId="35" fillId="0" borderId="3" xfId="0" applyFont="1" applyBorder="1" applyAlignment="1">
      <alignment horizontal="center" vertical="top" wrapText="1"/>
    </xf>
    <xf numFmtId="0" fontId="35" fillId="0" borderId="31" xfId="0" applyFont="1" applyBorder="1" applyAlignment="1">
      <alignment horizontal="center" vertical="top"/>
    </xf>
    <xf numFmtId="0" fontId="35" fillId="0" borderId="3" xfId="0" applyFont="1" applyBorder="1" applyAlignment="1">
      <alignment horizontal="center" vertical="top"/>
    </xf>
    <xf numFmtId="2" fontId="35" fillId="0" borderId="31" xfId="0" applyNumberFormat="1" applyFont="1" applyBorder="1" applyAlignment="1">
      <alignment horizontal="center" vertical="top"/>
    </xf>
    <xf numFmtId="2" fontId="35" fillId="0" borderId="18" xfId="0" applyNumberFormat="1" applyFont="1" applyBorder="1" applyAlignment="1">
      <alignment horizontal="center" vertical="top"/>
    </xf>
    <xf numFmtId="2" fontId="30" fillId="0" borderId="2" xfId="0" applyNumberFormat="1" applyFont="1" applyBorder="1" applyAlignment="1">
      <alignment horizontal="center" vertical="center"/>
    </xf>
    <xf numFmtId="0" fontId="35" fillId="0" borderId="3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30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center" wrapText="1"/>
    </xf>
    <xf numFmtId="0" fontId="35" fillId="0" borderId="18" xfId="0" applyFont="1" applyBorder="1" applyAlignment="1">
      <alignment horizontal="center" vertical="top"/>
    </xf>
    <xf numFmtId="0" fontId="35" fillId="0" borderId="18" xfId="0" applyFont="1" applyBorder="1" applyAlignment="1">
      <alignment horizontal="center" vertical="top" wrapText="1"/>
    </xf>
    <xf numFmtId="2" fontId="35" fillId="0" borderId="2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top"/>
    </xf>
    <xf numFmtId="0" fontId="35" fillId="0" borderId="7" xfId="2" applyFont="1" applyBorder="1" applyAlignment="1">
      <alignment horizontal="center"/>
    </xf>
    <xf numFmtId="0" fontId="35" fillId="0" borderId="12" xfId="2" applyFont="1" applyBorder="1" applyAlignment="1">
      <alignment horizontal="center"/>
    </xf>
    <xf numFmtId="0" fontId="30" fillId="0" borderId="7" xfId="2" applyFont="1" applyBorder="1" applyAlignment="1">
      <alignment horizontal="center"/>
    </xf>
    <xf numFmtId="0" fontId="30" fillId="0" borderId="12" xfId="2" applyFont="1" applyBorder="1" applyAlignment="1">
      <alignment horizontal="center"/>
    </xf>
    <xf numFmtId="0" fontId="35" fillId="0" borderId="33" xfId="2" applyFont="1" applyBorder="1" applyAlignment="1">
      <alignment horizontal="center" vertical="top" wrapText="1"/>
    </xf>
    <xf numFmtId="0" fontId="35" fillId="0" borderId="34" xfId="2" applyFont="1" applyBorder="1" applyAlignment="1">
      <alignment horizontal="center" vertical="top" wrapText="1"/>
    </xf>
    <xf numFmtId="0" fontId="35" fillId="0" borderId="11" xfId="2" applyFont="1" applyBorder="1" applyAlignment="1">
      <alignment horizontal="center" vertical="top" wrapText="1"/>
    </xf>
    <xf numFmtId="0" fontId="35" fillId="0" borderId="35" xfId="2" applyFont="1" applyBorder="1" applyAlignment="1">
      <alignment horizontal="center" vertical="top" wrapText="1"/>
    </xf>
    <xf numFmtId="0" fontId="35" fillId="0" borderId="8" xfId="2" applyFont="1" applyBorder="1" applyAlignment="1">
      <alignment horizontal="center" vertical="top" wrapText="1"/>
    </xf>
    <xf numFmtId="0" fontId="35" fillId="0" borderId="13" xfId="2" applyFont="1" applyBorder="1" applyAlignment="1">
      <alignment horizontal="center" vertical="top" wrapText="1"/>
    </xf>
    <xf numFmtId="2" fontId="35" fillId="0" borderId="2" xfId="0" applyNumberFormat="1" applyFont="1" applyBorder="1" applyAlignment="1">
      <alignment horizontal="center"/>
    </xf>
    <xf numFmtId="0" fontId="88" fillId="0" borderId="0" xfId="2" applyFont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35" fillId="0" borderId="0" xfId="2" applyFont="1" applyAlignment="1">
      <alignment horizontal="center" vertical="center"/>
    </xf>
    <xf numFmtId="9" fontId="30" fillId="0" borderId="31" xfId="0" quotePrefix="1" applyNumberFormat="1" applyFont="1" applyBorder="1" applyAlignment="1">
      <alignment horizontal="center" vertical="center"/>
    </xf>
    <xf numFmtId="9" fontId="30" fillId="0" borderId="3" xfId="0" quotePrefix="1" applyNumberFormat="1" applyFont="1" applyBorder="1" applyAlignment="1">
      <alignment horizontal="center" vertical="center"/>
    </xf>
    <xf numFmtId="9" fontId="30" fillId="0" borderId="18" xfId="0" quotePrefix="1" applyNumberFormat="1" applyFont="1" applyBorder="1" applyAlignment="1">
      <alignment horizontal="center" vertical="center"/>
    </xf>
    <xf numFmtId="0" fontId="30" fillId="2" borderId="31" xfId="0" applyFont="1" applyFill="1" applyBorder="1" applyAlignment="1">
      <alignment horizontal="center" vertical="center" wrapText="1"/>
    </xf>
    <xf numFmtId="0" fontId="88" fillId="0" borderId="0" xfId="0" applyFont="1" applyAlignment="1">
      <alignment horizontal="center" vertical="center"/>
    </xf>
    <xf numFmtId="2" fontId="30" fillId="0" borderId="31" xfId="0" applyNumberFormat="1" applyFont="1" applyBorder="1" applyAlignment="1">
      <alignment horizontal="center" vertical="center"/>
    </xf>
    <xf numFmtId="2" fontId="30" fillId="0" borderId="18" xfId="0" applyNumberFormat="1" applyFont="1" applyBorder="1" applyAlignment="1">
      <alignment horizontal="center" vertical="center"/>
    </xf>
    <xf numFmtId="0" fontId="35" fillId="0" borderId="2" xfId="2" applyFont="1" applyBorder="1" applyAlignment="1">
      <alignment horizontal="center" vertical="center" wrapText="1"/>
    </xf>
    <xf numFmtId="0" fontId="30" fillId="0" borderId="2" xfId="2" applyFont="1" applyBorder="1" applyAlignment="1">
      <alignment horizontal="center" vertical="center" wrapText="1"/>
    </xf>
    <xf numFmtId="0" fontId="35" fillId="0" borderId="2" xfId="0" applyFont="1" applyBorder="1" applyAlignment="1" applyProtection="1">
      <alignment horizontal="center" vertical="center" wrapText="1"/>
      <protection locked="0"/>
    </xf>
    <xf numFmtId="0" fontId="30" fillId="0" borderId="2" xfId="0" applyFont="1" applyBorder="1" applyAlignment="1" applyProtection="1">
      <alignment horizontal="center" vertical="center"/>
      <protection locked="0"/>
    </xf>
    <xf numFmtId="2" fontId="30" fillId="0" borderId="2" xfId="0" applyNumberFormat="1" applyFont="1" applyBorder="1" applyAlignment="1">
      <alignment horizontal="center"/>
    </xf>
    <xf numFmtId="0" fontId="51" fillId="0" borderId="2" xfId="4" applyFont="1" applyBorder="1" applyAlignment="1">
      <alignment horizontal="center" vertical="center"/>
    </xf>
    <xf numFmtId="0" fontId="5" fillId="0" borderId="2" xfId="4" applyBorder="1" applyAlignment="1">
      <alignment horizontal="center" vertical="center" wrapText="1"/>
    </xf>
    <xf numFmtId="0" fontId="126" fillId="0" borderId="0" xfId="2" applyFont="1" applyAlignment="1">
      <alignment horizontal="center"/>
    </xf>
    <xf numFmtId="0" fontId="65" fillId="3" borderId="0" xfId="2" applyFont="1" applyFill="1" applyAlignment="1" applyProtection="1">
      <alignment horizontal="left" vertical="center"/>
      <protection locked="0"/>
    </xf>
    <xf numFmtId="0" fontId="106" fillId="0" borderId="2" xfId="0" applyFont="1" applyBorder="1" applyAlignment="1">
      <alignment horizontal="center" vertical="center"/>
    </xf>
    <xf numFmtId="0" fontId="106" fillId="0" borderId="2" xfId="2" applyFont="1" applyBorder="1" applyAlignment="1">
      <alignment horizontal="center" vertical="center"/>
    </xf>
    <xf numFmtId="0" fontId="106" fillId="0" borderId="31" xfId="0" applyFont="1" applyBorder="1" applyAlignment="1">
      <alignment horizontal="center" vertical="center"/>
    </xf>
    <xf numFmtId="0" fontId="106" fillId="0" borderId="3" xfId="0" applyFont="1" applyBorder="1" applyAlignment="1">
      <alignment horizontal="center" vertical="center"/>
    </xf>
    <xf numFmtId="0" fontId="106" fillId="0" borderId="18" xfId="0" applyFont="1" applyBorder="1" applyAlignment="1">
      <alignment horizontal="center" vertical="center"/>
    </xf>
    <xf numFmtId="0" fontId="65" fillId="0" borderId="0" xfId="0" applyFont="1" applyAlignment="1" applyProtection="1">
      <alignment horizontal="left"/>
      <protection locked="0"/>
    </xf>
    <xf numFmtId="0" fontId="69" fillId="0" borderId="0" xfId="0" applyFont="1" applyAlignment="1" applyProtection="1">
      <alignment horizontal="left"/>
      <protection locked="0"/>
    </xf>
    <xf numFmtId="0" fontId="65" fillId="0" borderId="0" xfId="2" applyFont="1" applyAlignment="1">
      <alignment horizontal="left"/>
    </xf>
    <xf numFmtId="2" fontId="106" fillId="0" borderId="2" xfId="0" applyNumberFormat="1" applyFont="1" applyBorder="1" applyAlignment="1">
      <alignment horizontal="center" vertical="top"/>
    </xf>
    <xf numFmtId="0" fontId="106" fillId="0" borderId="31" xfId="0" applyFont="1" applyBorder="1" applyAlignment="1">
      <alignment horizontal="center" vertical="center" wrapText="1"/>
    </xf>
    <xf numFmtId="0" fontId="106" fillId="0" borderId="3" xfId="0" applyFont="1" applyBorder="1" applyAlignment="1">
      <alignment horizontal="center" vertical="center" wrapText="1"/>
    </xf>
    <xf numFmtId="0" fontId="106" fillId="0" borderId="18" xfId="0" applyFont="1" applyBorder="1" applyAlignment="1">
      <alignment horizontal="center" vertical="center" wrapText="1"/>
    </xf>
    <xf numFmtId="0" fontId="106" fillId="0" borderId="33" xfId="2" applyFont="1" applyBorder="1" applyAlignment="1">
      <alignment horizontal="center" vertical="center" wrapText="1"/>
    </xf>
    <xf numFmtId="0" fontId="106" fillId="0" borderId="34" xfId="2" applyFont="1" applyBorder="1" applyAlignment="1">
      <alignment horizontal="center" vertical="center" wrapText="1"/>
    </xf>
    <xf numFmtId="0" fontId="106" fillId="0" borderId="11" xfId="2" applyFont="1" applyBorder="1" applyAlignment="1">
      <alignment horizontal="center" vertical="center" wrapText="1"/>
    </xf>
    <xf numFmtId="0" fontId="106" fillId="0" borderId="35" xfId="2" applyFont="1" applyBorder="1" applyAlignment="1">
      <alignment horizontal="center" vertical="center" wrapText="1"/>
    </xf>
    <xf numFmtId="0" fontId="106" fillId="0" borderId="31" xfId="2" applyFont="1" applyBorder="1" applyAlignment="1">
      <alignment horizontal="center" vertical="center"/>
    </xf>
    <xf numFmtId="0" fontId="106" fillId="0" borderId="3" xfId="2" applyFont="1" applyBorder="1" applyAlignment="1">
      <alignment horizontal="center" vertical="center"/>
    </xf>
    <xf numFmtId="0" fontId="106" fillId="0" borderId="18" xfId="2" applyFont="1" applyBorder="1" applyAlignment="1">
      <alignment horizontal="center" vertical="center"/>
    </xf>
    <xf numFmtId="2" fontId="69" fillId="0" borderId="31" xfId="0" applyNumberFormat="1" applyFont="1" applyBorder="1" applyAlignment="1">
      <alignment horizontal="center" vertical="center"/>
    </xf>
    <xf numFmtId="2" fontId="69" fillId="0" borderId="18" xfId="0" applyNumberFormat="1" applyFont="1" applyBorder="1" applyAlignment="1">
      <alignment horizontal="center" vertical="center"/>
    </xf>
    <xf numFmtId="2" fontId="106" fillId="0" borderId="2" xfId="0" applyNumberFormat="1" applyFont="1" applyBorder="1" applyAlignment="1">
      <alignment horizontal="center" vertical="top" wrapText="1"/>
    </xf>
    <xf numFmtId="0" fontId="106" fillId="0" borderId="33" xfId="2" applyFont="1" applyBorder="1" applyAlignment="1">
      <alignment horizontal="center" vertical="center"/>
    </xf>
    <xf numFmtId="0" fontId="106" fillId="0" borderId="32" xfId="2" applyFont="1" applyBorder="1" applyAlignment="1">
      <alignment horizontal="center" vertical="center"/>
    </xf>
    <xf numFmtId="0" fontId="106" fillId="0" borderId="11" xfId="2" applyFont="1" applyBorder="1" applyAlignment="1">
      <alignment horizontal="center" vertical="center"/>
    </xf>
    <xf numFmtId="0" fontId="106" fillId="0" borderId="10" xfId="2" applyFont="1" applyBorder="1" applyAlignment="1">
      <alignment horizontal="center" vertical="center"/>
    </xf>
    <xf numFmtId="2" fontId="63" fillId="0" borderId="2" xfId="0" applyNumberFormat="1" applyFont="1" applyBorder="1" applyAlignment="1">
      <alignment horizontal="center" vertical="center"/>
    </xf>
    <xf numFmtId="0" fontId="69" fillId="3" borderId="0" xfId="0" applyFont="1" applyFill="1" applyAlignment="1" applyProtection="1">
      <alignment horizontal="left" vertical="center"/>
      <protection locked="0"/>
    </xf>
    <xf numFmtId="0" fontId="106" fillId="0" borderId="7" xfId="2" applyFont="1" applyBorder="1" applyAlignment="1">
      <alignment horizontal="center"/>
    </xf>
    <xf numFmtId="0" fontId="106" fillId="0" borderId="12" xfId="2" applyFont="1" applyBorder="1" applyAlignment="1">
      <alignment horizontal="center"/>
    </xf>
    <xf numFmtId="164" fontId="69" fillId="0" borderId="5" xfId="2" applyNumberFormat="1" applyFont="1" applyBorder="1" applyAlignment="1">
      <alignment horizontal="center" vertical="center"/>
    </xf>
    <xf numFmtId="164" fontId="69" fillId="0" borderId="12" xfId="2" applyNumberFormat="1" applyFont="1" applyBorder="1" applyAlignment="1">
      <alignment horizontal="center" vertical="center"/>
    </xf>
    <xf numFmtId="164" fontId="69" fillId="0" borderId="33" xfId="2" applyNumberFormat="1" applyFont="1" applyBorder="1" applyAlignment="1">
      <alignment horizontal="center" vertical="center"/>
    </xf>
    <xf numFmtId="164" fontId="69" fillId="0" borderId="32" xfId="2" applyNumberFormat="1" applyFont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3" borderId="0" xfId="2" applyFont="1" applyFill="1" applyAlignment="1" applyProtection="1">
      <alignment horizontal="left"/>
      <protection locked="0"/>
    </xf>
    <xf numFmtId="0" fontId="106" fillId="3" borderId="31" xfId="0" applyFont="1" applyFill="1" applyBorder="1" applyAlignment="1">
      <alignment horizontal="center" vertical="center" wrapText="1"/>
    </xf>
    <xf numFmtId="0" fontId="106" fillId="3" borderId="3" xfId="0" applyFont="1" applyFill="1" applyBorder="1" applyAlignment="1">
      <alignment horizontal="center" vertical="center" wrapText="1"/>
    </xf>
    <xf numFmtId="0" fontId="106" fillId="3" borderId="18" xfId="0" applyFont="1" applyFill="1" applyBorder="1" applyAlignment="1">
      <alignment horizontal="center" vertical="center" wrapText="1"/>
    </xf>
    <xf numFmtId="0" fontId="65" fillId="3" borderId="7" xfId="2" applyFont="1" applyFill="1" applyBorder="1" applyAlignment="1" applyProtection="1">
      <alignment horizontal="left" vertical="center"/>
      <protection locked="0"/>
    </xf>
    <xf numFmtId="0" fontId="65" fillId="3" borderId="5" xfId="2" applyFont="1" applyFill="1" applyBorder="1" applyAlignment="1" applyProtection="1">
      <alignment horizontal="left" vertical="center"/>
      <protection locked="0"/>
    </xf>
    <xf numFmtId="0" fontId="65" fillId="3" borderId="12" xfId="2" applyFont="1" applyFill="1" applyBorder="1" applyAlignment="1" applyProtection="1">
      <alignment horizontal="left" vertical="center"/>
      <protection locked="0"/>
    </xf>
    <xf numFmtId="2" fontId="106" fillId="0" borderId="2" xfId="0" applyNumberFormat="1" applyFont="1" applyBorder="1" applyAlignment="1">
      <alignment horizontal="center"/>
    </xf>
    <xf numFmtId="2" fontId="106" fillId="0" borderId="31" xfId="0" applyNumberFormat="1" applyFont="1" applyBorder="1" applyAlignment="1">
      <alignment horizontal="center" vertical="top" wrapText="1"/>
    </xf>
    <xf numFmtId="2" fontId="106" fillId="0" borderId="18" xfId="0" applyNumberFormat="1" applyFont="1" applyBorder="1" applyAlignment="1">
      <alignment horizontal="center" vertical="top" wrapText="1"/>
    </xf>
    <xf numFmtId="2" fontId="106" fillId="0" borderId="2" xfId="0" applyNumberFormat="1" applyFont="1" applyBorder="1" applyAlignment="1">
      <alignment horizontal="center" vertical="center"/>
    </xf>
    <xf numFmtId="0" fontId="106" fillId="0" borderId="2" xfId="0" applyFont="1" applyBorder="1" applyAlignment="1" applyProtection="1">
      <alignment horizontal="center" vertical="center" wrapText="1"/>
      <protection locked="0"/>
    </xf>
    <xf numFmtId="0" fontId="69" fillId="0" borderId="2" xfId="0" applyFont="1" applyBorder="1" applyAlignment="1" applyProtection="1">
      <alignment horizontal="center" vertical="center"/>
      <protection locked="0"/>
    </xf>
    <xf numFmtId="0" fontId="69" fillId="0" borderId="2" xfId="0" applyFont="1" applyBorder="1" applyAlignment="1">
      <alignment horizontal="center" vertical="center" wrapText="1"/>
    </xf>
    <xf numFmtId="0" fontId="69" fillId="0" borderId="2" xfId="0" applyFont="1" applyBorder="1" applyAlignment="1">
      <alignment horizontal="center" vertical="center"/>
    </xf>
    <xf numFmtId="0" fontId="106" fillId="0" borderId="2" xfId="2" applyFont="1" applyBorder="1" applyAlignment="1">
      <alignment horizontal="center" vertical="center" wrapText="1"/>
    </xf>
    <xf numFmtId="0" fontId="69" fillId="0" borderId="2" xfId="2" applyFont="1" applyBorder="1" applyAlignment="1">
      <alignment horizontal="center" vertical="center" wrapText="1"/>
    </xf>
    <xf numFmtId="0" fontId="69" fillId="0" borderId="0" xfId="2" applyFont="1" applyAlignment="1">
      <alignment horizontal="left" vertical="center" wrapText="1"/>
    </xf>
    <xf numFmtId="0" fontId="69" fillId="3" borderId="31" xfId="0" applyFont="1" applyFill="1" applyBorder="1" applyAlignment="1">
      <alignment horizontal="center" vertical="center" wrapText="1"/>
    </xf>
    <xf numFmtId="0" fontId="69" fillId="3" borderId="3" xfId="0" applyFont="1" applyFill="1" applyBorder="1" applyAlignment="1">
      <alignment horizontal="center" vertical="center" wrapText="1"/>
    </xf>
    <xf numFmtId="0" fontId="69" fillId="3" borderId="18" xfId="0" applyFont="1" applyFill="1" applyBorder="1" applyAlignment="1">
      <alignment horizontal="center" vertical="center" wrapText="1"/>
    </xf>
    <xf numFmtId="0" fontId="69" fillId="0" borderId="7" xfId="2" applyFont="1" applyBorder="1" applyAlignment="1">
      <alignment horizontal="left" vertical="center"/>
    </xf>
    <xf numFmtId="0" fontId="69" fillId="0" borderId="5" xfId="2" applyFont="1" applyBorder="1" applyAlignment="1">
      <alignment horizontal="left" vertical="center"/>
    </xf>
    <xf numFmtId="0" fontId="69" fillId="0" borderId="12" xfId="2" applyFont="1" applyBorder="1" applyAlignment="1">
      <alignment horizontal="left" vertical="center"/>
    </xf>
    <xf numFmtId="0" fontId="106" fillId="0" borderId="31" xfId="0" applyFont="1" applyBorder="1" applyAlignment="1">
      <alignment horizontal="center" vertical="top" wrapText="1"/>
    </xf>
    <xf numFmtId="0" fontId="106" fillId="0" borderId="3" xfId="0" applyFont="1" applyBorder="1" applyAlignment="1">
      <alignment horizontal="center" vertical="top" wrapText="1"/>
    </xf>
    <xf numFmtId="0" fontId="106" fillId="0" borderId="31" xfId="0" applyFont="1" applyBorder="1" applyAlignment="1">
      <alignment horizontal="center" vertical="top"/>
    </xf>
    <xf numFmtId="0" fontId="106" fillId="0" borderId="3" xfId="0" applyFont="1" applyBorder="1" applyAlignment="1">
      <alignment horizontal="center" vertical="top"/>
    </xf>
    <xf numFmtId="0" fontId="40" fillId="0" borderId="47" xfId="6" applyFont="1" applyBorder="1" applyAlignment="1">
      <alignment horizontal="center"/>
    </xf>
    <xf numFmtId="0" fontId="40" fillId="0" borderId="48" xfId="6" applyFont="1" applyBorder="1" applyAlignment="1">
      <alignment horizontal="center"/>
    </xf>
    <xf numFmtId="0" fontId="40" fillId="0" borderId="65" xfId="6" applyFont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2" xfId="7" applyFont="1" applyBorder="1" applyAlignment="1">
      <alignment horizontal="center" vertical="center"/>
    </xf>
    <xf numFmtId="0" fontId="20" fillId="0" borderId="2" xfId="7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40" fillId="3" borderId="15" xfId="4" applyFont="1" applyFill="1" applyBorder="1" applyAlignment="1" applyProtection="1">
      <alignment horizontal="center"/>
      <protection locked="0"/>
    </xf>
    <xf numFmtId="0" fontId="40" fillId="3" borderId="16" xfId="4" applyFont="1" applyFill="1" applyBorder="1" applyAlignment="1" applyProtection="1">
      <alignment horizontal="center"/>
      <protection locked="0"/>
    </xf>
    <xf numFmtId="0" fontId="5" fillId="8" borderId="2" xfId="7" applyFill="1" applyBorder="1" applyAlignment="1">
      <alignment horizontal="center" vertical="center"/>
    </xf>
    <xf numFmtId="0" fontId="83" fillId="8" borderId="77" xfId="0" applyFont="1" applyFill="1" applyBorder="1" applyAlignment="1">
      <alignment horizontal="center"/>
    </xf>
    <xf numFmtId="0" fontId="83" fillId="8" borderId="54" xfId="0" applyFont="1" applyFill="1" applyBorder="1" applyAlignment="1">
      <alignment horizontal="center"/>
    </xf>
    <xf numFmtId="0" fontId="83" fillId="8" borderId="55" xfId="0" applyFont="1" applyFill="1" applyBorder="1" applyAlignment="1">
      <alignment horizontal="center"/>
    </xf>
    <xf numFmtId="0" fontId="83" fillId="8" borderId="53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0" fontId="45" fillId="0" borderId="47" xfId="6" applyFont="1" applyBorder="1" applyAlignment="1">
      <alignment horizontal="center"/>
    </xf>
    <xf numFmtId="0" fontId="45" fillId="0" borderId="48" xfId="6" applyFont="1" applyBorder="1" applyAlignment="1">
      <alignment horizontal="center"/>
    </xf>
    <xf numFmtId="0" fontId="45" fillId="0" borderId="65" xfId="6" applyFont="1" applyBorder="1" applyAlignment="1">
      <alignment horizontal="center"/>
    </xf>
    <xf numFmtId="0" fontId="72" fillId="0" borderId="10" xfId="7" applyFont="1" applyBorder="1" applyAlignment="1">
      <alignment horizontal="center"/>
    </xf>
    <xf numFmtId="0" fontId="72" fillId="0" borderId="0" xfId="7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3" fillId="0" borderId="36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3" fillId="0" borderId="36" xfId="4" applyFont="1" applyBorder="1" applyAlignment="1">
      <alignment horizontal="center" vertical="center"/>
    </xf>
    <xf numFmtId="0" fontId="23" fillId="0" borderId="29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/>
    </xf>
    <xf numFmtId="0" fontId="15" fillId="0" borderId="0" xfId="4" applyFont="1" applyAlignment="1">
      <alignment horizontal="center"/>
    </xf>
    <xf numFmtId="0" fontId="15" fillId="0" borderId="19" xfId="4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4" applyFont="1" applyAlignment="1">
      <alignment horizontal="center"/>
    </xf>
    <xf numFmtId="2" fontId="45" fillId="0" borderId="2" xfId="0" applyNumberFormat="1" applyFont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0" fontId="40" fillId="0" borderId="31" xfId="2" applyFont="1" applyBorder="1" applyAlignment="1">
      <alignment horizontal="center" vertical="center" wrapText="1"/>
    </xf>
    <xf numFmtId="0" fontId="40" fillId="0" borderId="18" xfId="2" applyFont="1" applyBorder="1" applyAlignment="1">
      <alignment horizontal="center" vertical="center" wrapText="1"/>
    </xf>
    <xf numFmtId="0" fontId="11" fillId="0" borderId="31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45" fillId="3" borderId="31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/>
    </xf>
    <xf numFmtId="0" fontId="62" fillId="0" borderId="3" xfId="0" applyFont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164" fontId="45" fillId="0" borderId="2" xfId="0" applyNumberFormat="1" applyFont="1" applyBorder="1" applyAlignment="1">
      <alignment horizontal="center" vertical="center"/>
    </xf>
    <xf numFmtId="0" fontId="53" fillId="0" borderId="13" xfId="2" applyFont="1" applyBorder="1" applyAlignment="1">
      <alignment horizontal="center" vertical="center"/>
    </xf>
    <xf numFmtId="0" fontId="11" fillId="3" borderId="47" xfId="5" applyFont="1" applyFill="1" applyBorder="1" applyAlignment="1">
      <alignment horizontal="center" vertical="center"/>
    </xf>
    <xf numFmtId="0" fontId="11" fillId="3" borderId="48" xfId="5" applyFont="1" applyFill="1" applyBorder="1" applyAlignment="1">
      <alignment horizontal="center" vertical="center"/>
    </xf>
    <xf numFmtId="0" fontId="11" fillId="3" borderId="65" xfId="5" applyFont="1" applyFill="1" applyBorder="1" applyAlignment="1">
      <alignment horizontal="center" vertical="center"/>
    </xf>
    <xf numFmtId="0" fontId="7" fillId="9" borderId="26" xfId="5" applyFont="1" applyFill="1" applyBorder="1" applyAlignment="1" applyProtection="1">
      <alignment horizontal="center" vertical="center"/>
      <protection locked="0"/>
    </xf>
    <xf numFmtId="0" fontId="7" fillId="9" borderId="27" xfId="5" applyFont="1" applyFill="1" applyBorder="1" applyAlignment="1" applyProtection="1">
      <alignment horizontal="center" vertical="center"/>
      <protection locked="0"/>
    </xf>
    <xf numFmtId="0" fontId="7" fillId="9" borderId="29" xfId="5" applyFont="1" applyFill="1" applyBorder="1" applyAlignment="1" applyProtection="1">
      <alignment horizontal="center" vertical="center"/>
      <protection locked="0"/>
    </xf>
    <xf numFmtId="0" fontId="7" fillId="9" borderId="38" xfId="5" applyFont="1" applyFill="1" applyBorder="1" applyAlignment="1" applyProtection="1">
      <alignment horizontal="center" vertical="center"/>
      <protection locked="0"/>
    </xf>
    <xf numFmtId="0" fontId="7" fillId="9" borderId="41" xfId="5" applyFont="1" applyFill="1" applyBorder="1" applyAlignment="1">
      <alignment horizontal="center" vertical="center"/>
    </xf>
    <xf numFmtId="0" fontId="7" fillId="9" borderId="1" xfId="5" applyFont="1" applyFill="1" applyBorder="1" applyAlignment="1">
      <alignment horizontal="center" vertical="center"/>
    </xf>
    <xf numFmtId="0" fontId="7" fillId="9" borderId="42" xfId="5" applyFont="1" applyFill="1" applyBorder="1" applyAlignment="1">
      <alignment horizontal="center" vertical="center" wrapText="1"/>
    </xf>
    <xf numFmtId="0" fontId="7" fillId="9" borderId="2" xfId="5" applyFont="1" applyFill="1" applyBorder="1" applyAlignment="1">
      <alignment horizontal="center" vertical="center" wrapText="1"/>
    </xf>
    <xf numFmtId="0" fontId="11" fillId="9" borderId="42" xfId="4" applyFont="1" applyFill="1" applyBorder="1" applyAlignment="1">
      <alignment horizontal="center" vertical="center"/>
    </xf>
    <xf numFmtId="0" fontId="7" fillId="9" borderId="42" xfId="5" applyFont="1" applyFill="1" applyBorder="1" applyAlignment="1">
      <alignment horizontal="center" vertical="center"/>
    </xf>
    <xf numFmtId="0" fontId="7" fillId="9" borderId="2" xfId="5" applyFont="1" applyFill="1" applyBorder="1" applyAlignment="1">
      <alignment horizontal="center" vertical="center"/>
    </xf>
    <xf numFmtId="0" fontId="7" fillId="9" borderId="15" xfId="5" applyFont="1" applyFill="1" applyBorder="1" applyAlignment="1" applyProtection="1">
      <alignment horizontal="center" vertical="center"/>
      <protection locked="0"/>
    </xf>
    <xf numFmtId="0" fontId="7" fillId="9" borderId="16" xfId="5" applyFont="1" applyFill="1" applyBorder="1" applyAlignment="1" applyProtection="1">
      <alignment horizontal="center" vertical="center"/>
      <protection locked="0"/>
    </xf>
    <xf numFmtId="0" fontId="7" fillId="9" borderId="63" xfId="5" applyFont="1" applyFill="1" applyBorder="1" applyAlignment="1" applyProtection="1">
      <alignment horizontal="center" vertical="center"/>
      <protection locked="0"/>
    </xf>
    <xf numFmtId="0" fontId="7" fillId="9" borderId="17" xfId="5" applyFont="1" applyFill="1" applyBorder="1" applyAlignment="1" applyProtection="1">
      <alignment horizontal="center" vertical="center"/>
      <protection locked="0"/>
    </xf>
    <xf numFmtId="0" fontId="11" fillId="3" borderId="50" xfId="4" applyFont="1" applyFill="1" applyBorder="1" applyAlignment="1">
      <alignment horizontal="left" vertical="center" wrapText="1"/>
    </xf>
    <xf numFmtId="0" fontId="11" fillId="3" borderId="27" xfId="4" applyFont="1" applyFill="1" applyBorder="1" applyAlignment="1">
      <alignment horizontal="left" vertical="center" wrapText="1"/>
    </xf>
    <xf numFmtId="0" fontId="11" fillId="3" borderId="38" xfId="4" applyFont="1" applyFill="1" applyBorder="1" applyAlignment="1">
      <alignment horizontal="left" vertical="center" wrapText="1"/>
    </xf>
    <xf numFmtId="0" fontId="52" fillId="3" borderId="2" xfId="5" applyFont="1" applyFill="1" applyBorder="1" applyAlignment="1">
      <alignment horizontal="center" vertical="center"/>
    </xf>
    <xf numFmtId="0" fontId="52" fillId="3" borderId="14" xfId="5" applyFont="1" applyFill="1" applyBorder="1" applyAlignment="1">
      <alignment horizontal="center" vertical="center"/>
    </xf>
    <xf numFmtId="0" fontId="8" fillId="9" borderId="1" xfId="5" applyFont="1" applyFill="1" applyBorder="1" applyAlignment="1">
      <alignment horizontal="center" vertical="center"/>
    </xf>
    <xf numFmtId="0" fontId="8" fillId="9" borderId="2" xfId="5" applyFont="1" applyFill="1" applyBorder="1" applyAlignment="1">
      <alignment horizontal="center" vertical="center"/>
    </xf>
    <xf numFmtId="0" fontId="11" fillId="3" borderId="42" xfId="4" applyFont="1" applyFill="1" applyBorder="1" applyAlignment="1">
      <alignment horizontal="left" vertical="center" wrapText="1"/>
    </xf>
    <xf numFmtId="0" fontId="11" fillId="3" borderId="39" xfId="4" applyFont="1" applyFill="1" applyBorder="1" applyAlignment="1">
      <alignment horizontal="left" vertical="center" wrapText="1"/>
    </xf>
    <xf numFmtId="0" fontId="11" fillId="3" borderId="43" xfId="5" applyFont="1" applyFill="1" applyBorder="1" applyAlignment="1">
      <alignment horizontal="center" vertical="center" wrapText="1"/>
    </xf>
    <xf numFmtId="0" fontId="11" fillId="3" borderId="58" xfId="5" applyFont="1" applyFill="1" applyBorder="1" applyAlignment="1">
      <alignment horizontal="center" vertical="center" wrapText="1"/>
    </xf>
    <xf numFmtId="0" fontId="11" fillId="3" borderId="40" xfId="5" applyFont="1" applyFill="1" applyBorder="1" applyAlignment="1">
      <alignment horizontal="center" vertical="center" wrapText="1"/>
    </xf>
    <xf numFmtId="0" fontId="11" fillId="3" borderId="2" xfId="5" applyFont="1" applyFill="1" applyBorder="1" applyAlignment="1">
      <alignment horizontal="center" vertical="center" wrapText="1"/>
    </xf>
    <xf numFmtId="0" fontId="7" fillId="3" borderId="14" xfId="4" applyFont="1" applyFill="1" applyBorder="1" applyAlignment="1">
      <alignment horizontal="center" vertical="center" wrapText="1"/>
    </xf>
    <xf numFmtId="0" fontId="7" fillId="3" borderId="2" xfId="4" applyFont="1" applyFill="1" applyBorder="1" applyAlignment="1">
      <alignment horizontal="center" vertical="center"/>
    </xf>
    <xf numFmtId="0" fontId="20" fillId="10" borderId="68" xfId="5" applyFont="1" applyFill="1" applyBorder="1" applyAlignment="1" applyProtection="1">
      <alignment horizontal="center" vertical="center"/>
      <protection locked="0"/>
    </xf>
    <xf numFmtId="0" fontId="20" fillId="10" borderId="66" xfId="5" applyFont="1" applyFill="1" applyBorder="1" applyAlignment="1" applyProtection="1">
      <alignment horizontal="center" vertical="center"/>
      <protection locked="0"/>
    </xf>
    <xf numFmtId="0" fontId="16" fillId="10" borderId="47" xfId="4" applyFont="1" applyFill="1" applyBorder="1" applyAlignment="1" applyProtection="1">
      <alignment horizontal="center" vertical="center"/>
      <protection locked="0"/>
    </xf>
    <xf numFmtId="0" fontId="16" fillId="10" borderId="49" xfId="4" applyFont="1" applyFill="1" applyBorder="1" applyAlignment="1" applyProtection="1">
      <alignment horizontal="center" vertical="center"/>
      <protection locked="0"/>
    </xf>
    <xf numFmtId="0" fontId="22" fillId="10" borderId="22" xfId="4" applyFont="1" applyFill="1" applyBorder="1" applyAlignment="1" applyProtection="1">
      <alignment horizontal="center" vertical="center"/>
      <protection locked="0"/>
    </xf>
    <xf numFmtId="0" fontId="16" fillId="10" borderId="67" xfId="4" applyFont="1" applyFill="1" applyBorder="1" applyAlignment="1" applyProtection="1">
      <alignment horizontal="center" vertical="center"/>
      <protection locked="0"/>
    </xf>
    <xf numFmtId="1" fontId="11" fillId="6" borderId="2" xfId="5" applyNumberFormat="1" applyFont="1" applyFill="1" applyBorder="1" applyAlignment="1">
      <alignment horizontal="center" vertical="center"/>
    </xf>
    <xf numFmtId="1" fontId="11" fillId="6" borderId="14" xfId="5" applyNumberFormat="1" applyFont="1" applyFill="1" applyBorder="1" applyAlignment="1">
      <alignment horizontal="center" vertical="center"/>
    </xf>
    <xf numFmtId="0" fontId="7" fillId="6" borderId="2" xfId="5" applyFont="1" applyFill="1" applyBorder="1" applyAlignment="1">
      <alignment horizontal="center" vertical="center"/>
    </xf>
    <xf numFmtId="0" fontId="7" fillId="6" borderId="14" xfId="5" applyFont="1" applyFill="1" applyBorder="1" applyAlignment="1">
      <alignment horizontal="center" vertical="center"/>
    </xf>
    <xf numFmtId="1" fontId="11" fillId="6" borderId="42" xfId="5" applyNumberFormat="1" applyFont="1" applyFill="1" applyBorder="1" applyAlignment="1">
      <alignment horizontal="center" vertical="center"/>
    </xf>
    <xf numFmtId="1" fontId="11" fillId="6" borderId="39" xfId="5" applyNumberFormat="1" applyFont="1" applyFill="1" applyBorder="1" applyAlignment="1">
      <alignment horizontal="center" vertical="center"/>
    </xf>
    <xf numFmtId="0" fontId="52" fillId="9" borderId="2" xfId="5" applyFont="1" applyFill="1" applyBorder="1" applyAlignment="1">
      <alignment horizontal="center" vertical="center"/>
    </xf>
    <xf numFmtId="0" fontId="5" fillId="0" borderId="68" xfId="5" applyBorder="1" applyAlignment="1" applyProtection="1">
      <alignment horizontal="center" vertical="center"/>
      <protection locked="0"/>
    </xf>
    <xf numFmtId="0" fontId="5" fillId="0" borderId="37" xfId="5" applyBorder="1" applyAlignment="1" applyProtection="1">
      <alignment horizontal="center" vertical="center"/>
      <protection locked="0"/>
    </xf>
    <xf numFmtId="0" fontId="5" fillId="0" borderId="66" xfId="5" applyBorder="1" applyAlignment="1" applyProtection="1">
      <alignment horizontal="center" vertical="center"/>
      <protection locked="0"/>
    </xf>
    <xf numFmtId="0" fontId="11" fillId="10" borderId="36" xfId="4" applyFont="1" applyFill="1" applyBorder="1" applyAlignment="1" applyProtection="1">
      <alignment horizontal="center" vertical="center"/>
      <protection locked="0"/>
    </xf>
    <xf numFmtId="0" fontId="11" fillId="10" borderId="29" xfId="4" applyFont="1" applyFill="1" applyBorder="1" applyAlignment="1" applyProtection="1">
      <alignment horizontal="center" vertical="center"/>
      <protection locked="0"/>
    </xf>
    <xf numFmtId="0" fontId="11" fillId="10" borderId="30" xfId="4" applyFont="1" applyFill="1" applyBorder="1" applyAlignment="1" applyProtection="1">
      <alignment horizontal="center" vertical="center"/>
      <protection locked="0"/>
    </xf>
    <xf numFmtId="0" fontId="20" fillId="10" borderId="47" xfId="5" applyFont="1" applyFill="1" applyBorder="1" applyAlignment="1" applyProtection="1">
      <alignment horizontal="center" vertical="center"/>
      <protection locked="0"/>
    </xf>
    <xf numFmtId="0" fontId="20" fillId="10" borderId="49" xfId="5" applyFont="1" applyFill="1" applyBorder="1" applyAlignment="1" applyProtection="1">
      <alignment horizontal="center" vertical="center"/>
      <protection locked="0"/>
    </xf>
    <xf numFmtId="0" fontId="20" fillId="10" borderId="69" xfId="5" applyFont="1" applyFill="1" applyBorder="1" applyAlignment="1" applyProtection="1">
      <alignment horizontal="center" vertical="center"/>
      <protection locked="0"/>
    </xf>
    <xf numFmtId="0" fontId="20" fillId="10" borderId="48" xfId="5" applyFont="1" applyFill="1" applyBorder="1" applyAlignment="1" applyProtection="1">
      <alignment horizontal="center" vertical="center"/>
      <protection locked="0"/>
    </xf>
    <xf numFmtId="1" fontId="40" fillId="10" borderId="36" xfId="5" applyNumberFormat="1" applyFont="1" applyFill="1" applyBorder="1" applyAlignment="1" applyProtection="1">
      <alignment horizontal="center" vertical="center"/>
      <protection locked="0"/>
    </xf>
    <xf numFmtId="1" fontId="40" fillId="10" borderId="30" xfId="5" applyNumberFormat="1" applyFont="1" applyFill="1" applyBorder="1" applyAlignment="1" applyProtection="1">
      <alignment horizontal="center" vertical="center"/>
      <protection locked="0"/>
    </xf>
    <xf numFmtId="0" fontId="11" fillId="10" borderId="47" xfId="4" applyFont="1" applyFill="1" applyBorder="1" applyAlignment="1" applyProtection="1">
      <alignment horizontal="center" vertical="center"/>
      <protection locked="0"/>
    </xf>
    <xf numFmtId="0" fontId="11" fillId="10" borderId="48" xfId="4" applyFont="1" applyFill="1" applyBorder="1" applyAlignment="1" applyProtection="1">
      <alignment horizontal="center" vertical="center"/>
      <protection locked="0"/>
    </xf>
    <xf numFmtId="0" fontId="11" fillId="10" borderId="65" xfId="4" applyFont="1" applyFill="1" applyBorder="1" applyAlignment="1" applyProtection="1">
      <alignment horizontal="center" vertical="center"/>
      <protection locked="0"/>
    </xf>
    <xf numFmtId="0" fontId="16" fillId="10" borderId="2" xfId="4" applyFont="1" applyFill="1" applyBorder="1" applyAlignment="1" applyProtection="1">
      <alignment horizontal="center" vertical="center"/>
      <protection locked="0"/>
    </xf>
    <xf numFmtId="0" fontId="22" fillId="10" borderId="2" xfId="4" applyFont="1" applyFill="1" applyBorder="1" applyAlignment="1" applyProtection="1">
      <alignment horizontal="center" vertical="center"/>
      <protection locked="0"/>
    </xf>
    <xf numFmtId="0" fontId="5" fillId="0" borderId="36" xfId="5" applyBorder="1" applyAlignment="1" applyProtection="1">
      <alignment horizontal="center" vertical="center"/>
      <protection locked="0"/>
    </xf>
    <xf numFmtId="0" fontId="5" fillId="0" borderId="6" xfId="5" applyBorder="1" applyAlignment="1" applyProtection="1">
      <alignment horizontal="center" vertical="center"/>
      <protection locked="0"/>
    </xf>
    <xf numFmtId="0" fontId="5" fillId="0" borderId="22" xfId="5" applyBorder="1" applyAlignment="1" applyProtection="1">
      <alignment horizontal="center" vertical="center"/>
      <protection locked="0"/>
    </xf>
    <xf numFmtId="0" fontId="11" fillId="10" borderId="2" xfId="4" applyFont="1" applyFill="1" applyBorder="1" applyAlignment="1" applyProtection="1">
      <alignment horizontal="center" vertical="center"/>
      <protection locked="0"/>
    </xf>
    <xf numFmtId="1" fontId="40" fillId="10" borderId="2" xfId="5" applyNumberFormat="1" applyFont="1" applyFill="1" applyBorder="1" applyAlignment="1" applyProtection="1">
      <alignment horizontal="center" vertical="center"/>
      <protection locked="0"/>
    </xf>
    <xf numFmtId="0" fontId="20" fillId="10" borderId="2" xfId="5" applyFont="1" applyFill="1" applyBorder="1" applyAlignment="1" applyProtection="1">
      <alignment horizontal="center" vertical="center"/>
      <protection locked="0"/>
    </xf>
    <xf numFmtId="0" fontId="47" fillId="4" borderId="47" xfId="5" applyFont="1" applyFill="1" applyBorder="1" applyAlignment="1" applyProtection="1">
      <alignment horizontal="center" vertical="center"/>
      <protection locked="0"/>
    </xf>
    <xf numFmtId="0" fontId="47" fillId="4" borderId="29" xfId="5" applyFont="1" applyFill="1" applyBorder="1" applyAlignment="1" applyProtection="1">
      <alignment horizontal="center" vertical="center"/>
      <protection locked="0"/>
    </xf>
    <xf numFmtId="0" fontId="47" fillId="4" borderId="48" xfId="5" applyFont="1" applyFill="1" applyBorder="1" applyAlignment="1" applyProtection="1">
      <alignment horizontal="center" vertical="center"/>
      <protection locked="0"/>
    </xf>
    <xf numFmtId="0" fontId="47" fillId="4" borderId="30" xfId="5" applyFont="1" applyFill="1" applyBorder="1" applyAlignment="1" applyProtection="1">
      <alignment horizontal="center" vertical="center"/>
      <protection locked="0"/>
    </xf>
    <xf numFmtId="0" fontId="11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11" fillId="3" borderId="6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7" fillId="11" borderId="38" xfId="0" applyFont="1" applyFill="1" applyBorder="1" applyAlignment="1">
      <alignment horizontal="center" vertical="center"/>
    </xf>
    <xf numFmtId="0" fontId="7" fillId="3" borderId="41" xfId="4" applyFont="1" applyFill="1" applyBorder="1" applyAlignment="1">
      <alignment horizontal="center" vertical="center"/>
    </xf>
    <xf numFmtId="0" fontId="7" fillId="3" borderId="42" xfId="4" applyFont="1" applyFill="1" applyBorder="1" applyAlignment="1">
      <alignment horizontal="center" vertical="center"/>
    </xf>
    <xf numFmtId="0" fontId="7" fillId="3" borderId="39" xfId="4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63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52" fillId="3" borderId="14" xfId="0" applyFont="1" applyFill="1" applyBorder="1" applyAlignment="1">
      <alignment horizontal="center" vertical="center"/>
    </xf>
    <xf numFmtId="0" fontId="8" fillId="10" borderId="4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8" fillId="10" borderId="4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10" borderId="78" xfId="0" applyFont="1" applyFill="1" applyBorder="1" applyAlignment="1">
      <alignment horizontal="center" vertical="center"/>
    </xf>
    <xf numFmtId="0" fontId="8" fillId="10" borderId="58" xfId="0" applyFont="1" applyFill="1" applyBorder="1" applyAlignment="1">
      <alignment horizontal="center" vertical="center"/>
    </xf>
    <xf numFmtId="0" fontId="8" fillId="10" borderId="82" xfId="0" applyFont="1" applyFill="1" applyBorder="1" applyAlignment="1">
      <alignment horizontal="center" vertical="center"/>
    </xf>
    <xf numFmtId="0" fontId="8" fillId="10" borderId="44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63" xfId="0" applyFont="1" applyFill="1" applyBorder="1" applyAlignment="1">
      <alignment horizontal="center" vertical="center"/>
    </xf>
    <xf numFmtId="1" fontId="11" fillId="6" borderId="41" xfId="0" applyNumberFormat="1" applyFont="1" applyFill="1" applyBorder="1" applyAlignment="1">
      <alignment horizontal="center" vertical="center"/>
    </xf>
    <xf numFmtId="1" fontId="11" fillId="6" borderId="39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1" fontId="40" fillId="10" borderId="41" xfId="0" applyNumberFormat="1" applyFont="1" applyFill="1" applyBorder="1" applyAlignment="1">
      <alignment horizontal="center" vertical="center"/>
    </xf>
    <xf numFmtId="1" fontId="40" fillId="10" borderId="39" xfId="0" applyNumberFormat="1" applyFont="1" applyFill="1" applyBorder="1" applyAlignment="1">
      <alignment horizontal="center" vertical="center"/>
    </xf>
    <xf numFmtId="0" fontId="20" fillId="10" borderId="47" xfId="0" applyFont="1" applyFill="1" applyBorder="1" applyAlignment="1">
      <alignment horizontal="center" vertical="center"/>
    </xf>
    <xf numFmtId="0" fontId="20" fillId="10" borderId="49" xfId="0" applyFont="1" applyFill="1" applyBorder="1" applyAlignment="1">
      <alignment horizontal="center" vertical="center"/>
    </xf>
    <xf numFmtId="0" fontId="20" fillId="10" borderId="69" xfId="0" applyFont="1" applyFill="1" applyBorder="1" applyAlignment="1">
      <alignment horizontal="center" vertical="center"/>
    </xf>
    <xf numFmtId="0" fontId="20" fillId="10" borderId="48" xfId="0" applyFont="1" applyFill="1" applyBorder="1" applyAlignment="1">
      <alignment horizontal="center" vertical="center"/>
    </xf>
    <xf numFmtId="0" fontId="20" fillId="10" borderId="68" xfId="0" applyFont="1" applyFill="1" applyBorder="1" applyAlignment="1">
      <alignment horizontal="center" vertical="center"/>
    </xf>
    <xf numFmtId="0" fontId="20" fillId="10" borderId="66" xfId="0" applyFont="1" applyFill="1" applyBorder="1" applyAlignment="1">
      <alignment horizontal="center" vertical="center"/>
    </xf>
    <xf numFmtId="0" fontId="52" fillId="10" borderId="2" xfId="0" applyFont="1" applyFill="1" applyBorder="1" applyAlignment="1">
      <alignment horizontal="center" vertical="center"/>
    </xf>
    <xf numFmtId="0" fontId="52" fillId="10" borderId="1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16" fillId="10" borderId="47" xfId="4" applyFont="1" applyFill="1" applyBorder="1" applyAlignment="1">
      <alignment horizontal="center" vertical="center"/>
    </xf>
    <xf numFmtId="0" fontId="16" fillId="10" borderId="49" xfId="4" applyFont="1" applyFill="1" applyBorder="1" applyAlignment="1">
      <alignment horizontal="center" vertical="center"/>
    </xf>
    <xf numFmtId="0" fontId="22" fillId="10" borderId="22" xfId="4" applyFont="1" applyFill="1" applyBorder="1" applyAlignment="1">
      <alignment horizontal="center" vertical="center"/>
    </xf>
    <xf numFmtId="0" fontId="16" fillId="10" borderId="67" xfId="4" applyFont="1" applyFill="1" applyBorder="1" applyAlignment="1">
      <alignment horizontal="center" vertical="center"/>
    </xf>
    <xf numFmtId="0" fontId="7" fillId="10" borderId="4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4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11" fillId="10" borderId="42" xfId="4" applyFont="1" applyFill="1" applyBorder="1" applyAlignment="1">
      <alignment horizontal="center" vertical="center"/>
    </xf>
    <xf numFmtId="0" fontId="7" fillId="10" borderId="4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11" fillId="10" borderId="39" xfId="4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1" fillId="10" borderId="36" xfId="4" applyFont="1" applyFill="1" applyBorder="1" applyAlignment="1">
      <alignment horizontal="center" vertical="center"/>
    </xf>
    <xf numFmtId="0" fontId="11" fillId="10" borderId="29" xfId="4" applyFont="1" applyFill="1" applyBorder="1" applyAlignment="1">
      <alignment horizontal="center" vertical="center"/>
    </xf>
    <xf numFmtId="0" fontId="11" fillId="10" borderId="30" xfId="4" applyFont="1" applyFill="1" applyBorder="1" applyAlignment="1">
      <alignment horizontal="center" vertical="center"/>
    </xf>
    <xf numFmtId="0" fontId="11" fillId="10" borderId="47" xfId="4" applyFont="1" applyFill="1" applyBorder="1" applyAlignment="1">
      <alignment horizontal="center" vertical="center"/>
    </xf>
    <xf numFmtId="0" fontId="11" fillId="10" borderId="48" xfId="4" applyFont="1" applyFill="1" applyBorder="1" applyAlignment="1">
      <alignment horizontal="center" vertical="center"/>
    </xf>
    <xf numFmtId="0" fontId="11" fillId="10" borderId="65" xfId="4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10" borderId="41" xfId="4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16" fillId="10" borderId="1" xfId="4" applyFont="1" applyFill="1" applyBorder="1" applyAlignment="1">
      <alignment horizontal="center" vertical="center"/>
    </xf>
    <xf numFmtId="0" fontId="16" fillId="10" borderId="2" xfId="4" applyFont="1" applyFill="1" applyBorder="1" applyAlignment="1">
      <alignment horizontal="center" vertical="center"/>
    </xf>
    <xf numFmtId="0" fontId="22" fillId="10" borderId="1" xfId="4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0" xfId="0" applyFont="1" applyFill="1" applyAlignment="1">
      <alignment horizontal="center" vertical="center"/>
    </xf>
    <xf numFmtId="0" fontId="39" fillId="0" borderId="0" xfId="2" applyFont="1" applyAlignment="1">
      <alignment horizontal="center" vertical="center"/>
    </xf>
    <xf numFmtId="0" fontId="34" fillId="0" borderId="0" xfId="2" applyFont="1" applyAlignment="1">
      <alignment horizontal="center" vertical="center"/>
    </xf>
    <xf numFmtId="0" fontId="35" fillId="0" borderId="2" xfId="0" applyFont="1" applyBorder="1" applyAlignment="1">
      <alignment horizontal="center" vertical="top" wrapText="1"/>
    </xf>
    <xf numFmtId="165" fontId="30" fillId="0" borderId="31" xfId="0" applyNumberFormat="1" applyFont="1" applyBorder="1" applyAlignment="1">
      <alignment horizontal="center" vertical="center" wrapText="1"/>
    </xf>
    <xf numFmtId="165" fontId="30" fillId="0" borderId="3" xfId="0" applyNumberFormat="1" applyFont="1" applyBorder="1" applyAlignment="1">
      <alignment horizontal="center" vertical="center" wrapText="1"/>
    </xf>
    <xf numFmtId="165" fontId="30" fillId="0" borderId="18" xfId="0" applyNumberFormat="1" applyFont="1" applyBorder="1" applyAlignment="1">
      <alignment horizontal="center" vertical="center" wrapText="1"/>
    </xf>
    <xf numFmtId="0" fontId="35" fillId="0" borderId="2" xfId="2" applyFont="1" applyBorder="1" applyAlignment="1">
      <alignment horizontal="center" vertical="top" wrapText="1"/>
    </xf>
    <xf numFmtId="171" fontId="30" fillId="0" borderId="0" xfId="2" applyNumberFormat="1" applyFont="1" applyAlignment="1"/>
    <xf numFmtId="173" fontId="30" fillId="0" borderId="7" xfId="0" applyNumberFormat="1" applyFont="1" applyBorder="1" applyAlignment="1">
      <alignment horizontal="center"/>
    </xf>
    <xf numFmtId="173" fontId="30" fillId="0" borderId="12" xfId="0" applyNumberFormat="1" applyFont="1" applyBorder="1" applyAlignment="1">
      <alignment horizontal="center"/>
    </xf>
    <xf numFmtId="1" fontId="33" fillId="0" borderId="0" xfId="2" applyNumberFormat="1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left" vertical="center" wrapText="1"/>
      <protection locked="0"/>
    </xf>
    <xf numFmtId="0" fontId="5" fillId="0" borderId="0" xfId="2" applyAlignment="1" applyProtection="1">
      <alignment horizontal="center"/>
      <protection locked="0"/>
    </xf>
    <xf numFmtId="0" fontId="5" fillId="0" borderId="7" xfId="2" applyBorder="1" applyAlignment="1" applyProtection="1">
      <alignment horizontal="center"/>
      <protection locked="0"/>
    </xf>
    <xf numFmtId="0" fontId="5" fillId="0" borderId="12" xfId="2" applyBorder="1" applyAlignment="1" applyProtection="1">
      <alignment horizontal="center"/>
      <protection locked="0"/>
    </xf>
    <xf numFmtId="0" fontId="15" fillId="0" borderId="7" xfId="2" applyFont="1" applyBorder="1" applyAlignment="1" applyProtection="1">
      <alignment horizontal="center"/>
      <protection locked="0"/>
    </xf>
    <xf numFmtId="0" fontId="15" fillId="0" borderId="12" xfId="2" applyFont="1" applyBorder="1" applyAlignment="1" applyProtection="1">
      <alignment horizontal="center"/>
      <protection locked="0"/>
    </xf>
    <xf numFmtId="1" fontId="61" fillId="0" borderId="31" xfId="2" applyNumberFormat="1" applyFont="1" applyBorder="1" applyAlignment="1">
      <alignment horizontal="center" vertical="center"/>
    </xf>
    <xf numFmtId="0" fontId="61" fillId="0" borderId="3" xfId="2" applyFont="1" applyBorder="1" applyAlignment="1">
      <alignment horizontal="center" vertical="center"/>
    </xf>
    <xf numFmtId="0" fontId="61" fillId="0" borderId="18" xfId="2" applyFont="1" applyBorder="1" applyAlignment="1">
      <alignment horizontal="center" vertical="center"/>
    </xf>
    <xf numFmtId="0" fontId="15" fillId="0" borderId="7" xfId="0" applyFont="1" applyBorder="1" applyAlignment="1" applyProtection="1">
      <alignment horizontal="center"/>
      <protection locked="0"/>
    </xf>
    <xf numFmtId="0" fontId="15" fillId="0" borderId="5" xfId="0" applyFont="1" applyBorder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/>
      <protection locked="0"/>
    </xf>
    <xf numFmtId="0" fontId="24" fillId="0" borderId="2" xfId="2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5" fillId="0" borderId="12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1" fontId="38" fillId="0" borderId="0" xfId="2" applyNumberFormat="1" applyFont="1" applyAlignment="1" applyProtection="1">
      <alignment horizontal="center" vertical="center"/>
      <protection locked="0"/>
    </xf>
    <xf numFmtId="0" fontId="38" fillId="0" borderId="0" xfId="2" applyFont="1" applyAlignment="1" applyProtection="1">
      <alignment horizontal="center" vertical="center"/>
      <protection locked="0"/>
    </xf>
    <xf numFmtId="1" fontId="33" fillId="0" borderId="2" xfId="2" applyNumberFormat="1" applyFont="1" applyBorder="1" applyAlignment="1" applyProtection="1">
      <alignment horizontal="center" vertical="center"/>
      <protection locked="0"/>
    </xf>
    <xf numFmtId="0" fontId="33" fillId="0" borderId="2" xfId="2" applyFont="1" applyBorder="1" applyAlignment="1" applyProtection="1">
      <alignment horizontal="center" vertical="center"/>
      <protection locked="0"/>
    </xf>
    <xf numFmtId="171" fontId="30" fillId="0" borderId="0" xfId="2" applyNumberFormat="1" applyFont="1" applyAlignment="1">
      <alignment vertical="center"/>
    </xf>
    <xf numFmtId="171" fontId="30" fillId="0" borderId="0" xfId="2" applyNumberFormat="1" applyFont="1" applyAlignment="1">
      <alignment horizontal="center" vertical="center"/>
    </xf>
    <xf numFmtId="0" fontId="35" fillId="0" borderId="10" xfId="0" applyFont="1" applyBorder="1" applyAlignment="1">
      <alignment horizontal="left"/>
    </xf>
    <xf numFmtId="165" fontId="35" fillId="0" borderId="7" xfId="0" applyNumberFormat="1" applyFont="1" applyBorder="1" applyAlignment="1">
      <alignment horizontal="center" vertical="top" wrapText="1"/>
    </xf>
    <xf numFmtId="165" fontId="35" fillId="0" borderId="12" xfId="0" applyNumberFormat="1" applyFont="1" applyBorder="1" applyAlignment="1">
      <alignment horizontal="center" vertical="top" wrapText="1"/>
    </xf>
    <xf numFmtId="0" fontId="35" fillId="0" borderId="2" xfId="0" applyFont="1" applyBorder="1" applyAlignment="1">
      <alignment horizontal="center" vertical="top"/>
    </xf>
    <xf numFmtId="0" fontId="30" fillId="0" borderId="7" xfId="2" applyFont="1" applyBorder="1" applyAlignment="1">
      <alignment horizontal="left" vertical="center"/>
    </xf>
    <xf numFmtId="0" fontId="30" fillId="0" borderId="5" xfId="2" applyFont="1" applyBorder="1" applyAlignment="1">
      <alignment horizontal="left" vertical="center"/>
    </xf>
    <xf numFmtId="0" fontId="35" fillId="0" borderId="7" xfId="2" applyFont="1" applyBorder="1" applyAlignment="1">
      <alignment horizontal="center" vertical="top" wrapText="1"/>
    </xf>
    <xf numFmtId="0" fontId="35" fillId="0" borderId="12" xfId="2" applyFont="1" applyBorder="1" applyAlignment="1">
      <alignment horizontal="center" vertical="top" wrapText="1"/>
    </xf>
    <xf numFmtId="1" fontId="62" fillId="0" borderId="7" xfId="0" applyNumberFormat="1" applyFont="1" applyBorder="1" applyAlignment="1">
      <alignment horizontal="center"/>
    </xf>
    <xf numFmtId="1" fontId="62" fillId="0" borderId="12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0" fontId="32" fillId="0" borderId="0" xfId="2" applyFont="1" applyAlignment="1">
      <alignment horizontal="center" vertical="center"/>
    </xf>
    <xf numFmtId="2" fontId="30" fillId="0" borderId="0" xfId="0" applyNumberFormat="1" applyFont="1" applyAlignment="1">
      <alignment horizontal="center" vertical="center"/>
    </xf>
    <xf numFmtId="1" fontId="9" fillId="0" borderId="2" xfId="2" applyNumberFormat="1" applyFont="1" applyBorder="1" applyAlignment="1">
      <alignment horizontal="center" vertical="center"/>
    </xf>
    <xf numFmtId="0" fontId="61" fillId="3" borderId="31" xfId="2" applyFont="1" applyFill="1" applyBorder="1" applyAlignment="1">
      <alignment horizontal="center" vertical="center"/>
    </xf>
    <xf numFmtId="0" fontId="61" fillId="3" borderId="3" xfId="2" applyFont="1" applyFill="1" applyBorder="1" applyAlignment="1">
      <alignment horizontal="center" vertical="center"/>
    </xf>
    <xf numFmtId="0" fontId="61" fillId="3" borderId="18" xfId="2" applyFont="1" applyFill="1" applyBorder="1" applyAlignment="1">
      <alignment horizontal="center" vertical="center"/>
    </xf>
    <xf numFmtId="1" fontId="30" fillId="0" borderId="2" xfId="0" applyNumberFormat="1" applyFont="1" applyBorder="1" applyAlignment="1">
      <alignment horizontal="center" vertical="center"/>
    </xf>
    <xf numFmtId="0" fontId="106" fillId="0" borderId="2" xfId="2" applyFont="1" applyBorder="1" applyAlignment="1">
      <alignment horizontal="center" vertical="top" wrapText="1"/>
    </xf>
    <xf numFmtId="0" fontId="7" fillId="0" borderId="3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35" fillId="0" borderId="2" xfId="2" applyFont="1" applyBorder="1" applyAlignment="1">
      <alignment horizontal="center" vertical="center"/>
    </xf>
    <xf numFmtId="0" fontId="47" fillId="0" borderId="2" xfId="2" applyFont="1" applyBorder="1" applyAlignment="1">
      <alignment horizontal="center" vertical="center"/>
    </xf>
    <xf numFmtId="1" fontId="7" fillId="0" borderId="31" xfId="2" applyNumberFormat="1" applyFont="1" applyBorder="1" applyAlignment="1">
      <alignment horizontal="center" vertical="center"/>
    </xf>
    <xf numFmtId="1" fontId="7" fillId="0" borderId="3" xfId="2" applyNumberFormat="1" applyFont="1" applyBorder="1" applyAlignment="1">
      <alignment horizontal="center" vertical="center"/>
    </xf>
    <xf numFmtId="1" fontId="7" fillId="0" borderId="18" xfId="2" applyNumberFormat="1" applyFont="1" applyBorder="1" applyAlignment="1">
      <alignment horizontal="center" vertical="center"/>
    </xf>
    <xf numFmtId="1" fontId="30" fillId="0" borderId="31" xfId="0" applyNumberFormat="1" applyFont="1" applyBorder="1" applyAlignment="1">
      <alignment horizontal="center" vertical="center" wrapText="1"/>
    </xf>
    <xf numFmtId="1" fontId="30" fillId="0" borderId="3" xfId="0" applyNumberFormat="1" applyFont="1" applyBorder="1" applyAlignment="1">
      <alignment horizontal="center" vertical="center" wrapText="1"/>
    </xf>
    <xf numFmtId="1" fontId="30" fillId="0" borderId="18" xfId="0" applyNumberFormat="1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174" fontId="30" fillId="0" borderId="7" xfId="0" applyNumberFormat="1" applyFont="1" applyBorder="1" applyAlignment="1">
      <alignment horizontal="center" vertical="center"/>
    </xf>
    <xf numFmtId="174" fontId="30" fillId="0" borderId="12" xfId="0" applyNumberFormat="1" applyFont="1" applyBorder="1" applyAlignment="1">
      <alignment horizontal="center" vertical="center"/>
    </xf>
    <xf numFmtId="2" fontId="30" fillId="0" borderId="7" xfId="0" applyNumberFormat="1" applyFont="1" applyBorder="1" applyAlignment="1">
      <alignment horizontal="center" vertical="center"/>
    </xf>
    <xf numFmtId="2" fontId="30" fillId="0" borderId="12" xfId="0" applyNumberFormat="1" applyFont="1" applyBorder="1" applyAlignment="1">
      <alignment horizontal="center" vertical="center"/>
    </xf>
    <xf numFmtId="173" fontId="30" fillId="0" borderId="7" xfId="0" applyNumberFormat="1" applyFont="1" applyBorder="1" applyAlignment="1">
      <alignment horizontal="center" vertical="center"/>
    </xf>
    <xf numFmtId="173" fontId="30" fillId="0" borderId="12" xfId="0" applyNumberFormat="1" applyFont="1" applyBorder="1" applyAlignment="1">
      <alignment horizontal="center" vertical="center"/>
    </xf>
    <xf numFmtId="0" fontId="35" fillId="0" borderId="33" xfId="2" applyFont="1" applyBorder="1" applyAlignment="1">
      <alignment horizontal="center" vertical="top"/>
    </xf>
    <xf numFmtId="0" fontId="35" fillId="0" borderId="32" xfId="2" applyFont="1" applyBorder="1" applyAlignment="1">
      <alignment horizontal="center" vertical="top"/>
    </xf>
    <xf numFmtId="0" fontId="35" fillId="0" borderId="11" xfId="2" applyFont="1" applyBorder="1" applyAlignment="1">
      <alignment horizontal="center" vertical="top"/>
    </xf>
    <xf numFmtId="0" fontId="35" fillId="0" borderId="10" xfId="2" applyFont="1" applyBorder="1" applyAlignment="1">
      <alignment horizontal="center" vertical="top"/>
    </xf>
    <xf numFmtId="0" fontId="47" fillId="3" borderId="31" xfId="2" applyFont="1" applyFill="1" applyBorder="1" applyAlignment="1">
      <alignment horizontal="center" vertical="center"/>
    </xf>
    <xf numFmtId="0" fontId="47" fillId="3" borderId="18" xfId="2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vertical="center"/>
    </xf>
    <xf numFmtId="0" fontId="75" fillId="0" borderId="2" xfId="0" applyFont="1" applyBorder="1" applyAlignment="1">
      <alignment horizontal="center" vertical="center"/>
    </xf>
    <xf numFmtId="0" fontId="20" fillId="0" borderId="2" xfId="4" applyFont="1" applyBorder="1" applyAlignment="1">
      <alignment horizontal="center" vertical="center"/>
    </xf>
    <xf numFmtId="0" fontId="20" fillId="0" borderId="2" xfId="4" applyFont="1" applyBorder="1" applyAlignment="1">
      <alignment horizontal="center" vertical="center" wrapText="1"/>
    </xf>
    <xf numFmtId="0" fontId="20" fillId="0" borderId="44" xfId="4" applyFont="1" applyBorder="1" applyAlignment="1">
      <alignment horizontal="center" vertical="center"/>
    </xf>
    <xf numFmtId="0" fontId="20" fillId="0" borderId="3" xfId="4" applyFont="1" applyBorder="1" applyAlignment="1">
      <alignment horizontal="center" vertical="center"/>
    </xf>
    <xf numFmtId="0" fontId="20" fillId="0" borderId="18" xfId="4" applyFont="1" applyBorder="1" applyAlignment="1">
      <alignment horizontal="center" vertical="center"/>
    </xf>
    <xf numFmtId="0" fontId="16" fillId="0" borderId="2" xfId="4" applyFont="1" applyBorder="1" applyAlignment="1">
      <alignment horizontal="center"/>
    </xf>
    <xf numFmtId="0" fontId="20" fillId="0" borderId="45" xfId="4" applyFont="1" applyBorder="1" applyAlignment="1">
      <alignment horizontal="center" vertical="center" wrapText="1"/>
    </xf>
    <xf numFmtId="0" fontId="20" fillId="0" borderId="25" xfId="4" applyFont="1" applyBorder="1" applyAlignment="1">
      <alignment horizontal="center" vertical="center" wrapText="1"/>
    </xf>
    <xf numFmtId="0" fontId="20" fillId="0" borderId="20" xfId="4" applyFont="1" applyBorder="1" applyAlignment="1">
      <alignment horizontal="center" vertical="center" wrapText="1"/>
    </xf>
    <xf numFmtId="0" fontId="20" fillId="0" borderId="14" xfId="4" applyFont="1" applyBorder="1" applyAlignment="1">
      <alignment horizontal="center" vertical="center" wrapText="1"/>
    </xf>
    <xf numFmtId="0" fontId="40" fillId="3" borderId="78" xfId="4" applyFont="1" applyFill="1" applyBorder="1" applyAlignment="1">
      <alignment horizontal="center" vertical="center" wrapText="1"/>
    </xf>
    <xf numFmtId="0" fontId="40" fillId="3" borderId="58" xfId="4" applyFont="1" applyFill="1" applyBorder="1" applyAlignment="1">
      <alignment horizontal="center" vertical="center" wrapText="1"/>
    </xf>
    <xf numFmtId="0" fontId="40" fillId="3" borderId="40" xfId="4" applyFont="1" applyFill="1" applyBorder="1" applyAlignment="1">
      <alignment horizontal="center" vertical="center" wrapText="1"/>
    </xf>
    <xf numFmtId="0" fontId="40" fillId="3" borderId="42" xfId="4" applyFont="1" applyFill="1" applyBorder="1" applyAlignment="1">
      <alignment horizontal="center" vertical="center" wrapText="1"/>
    </xf>
    <xf numFmtId="0" fontId="40" fillId="3" borderId="2" xfId="4" applyFont="1" applyFill="1" applyBorder="1" applyAlignment="1">
      <alignment horizontal="center" vertical="center" wrapText="1"/>
    </xf>
    <xf numFmtId="0" fontId="26" fillId="3" borderId="47" xfId="4" applyFont="1" applyFill="1" applyBorder="1" applyAlignment="1">
      <alignment horizontal="center" vertical="center"/>
    </xf>
    <xf numFmtId="0" fontId="26" fillId="3" borderId="65" xfId="4" applyFont="1" applyFill="1" applyBorder="1" applyAlignment="1">
      <alignment horizontal="center" vertical="center"/>
    </xf>
    <xf numFmtId="0" fontId="60" fillId="0" borderId="26" xfId="4" applyFont="1" applyBorder="1" applyAlignment="1">
      <alignment horizontal="center"/>
    </xf>
    <xf numFmtId="0" fontId="60" fillId="0" borderId="27" xfId="4" applyFont="1" applyBorder="1" applyAlignment="1">
      <alignment horizontal="center"/>
    </xf>
    <xf numFmtId="0" fontId="60" fillId="0" borderId="38" xfId="4" applyFont="1" applyBorder="1" applyAlignment="1">
      <alignment horizont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7" fillId="3" borderId="65" xfId="4" applyFont="1" applyFill="1" applyBorder="1" applyAlignment="1">
      <alignment horizontal="center" vertical="center"/>
    </xf>
    <xf numFmtId="0" fontId="5" fillId="0" borderId="46" xfId="4" applyBorder="1" applyAlignment="1">
      <alignment horizontal="left" vertical="center"/>
    </xf>
    <xf numFmtId="0" fontId="5" fillId="0" borderId="62" xfId="4" applyBorder="1" applyAlignment="1">
      <alignment horizontal="left" vertical="center"/>
    </xf>
    <xf numFmtId="0" fontId="5" fillId="0" borderId="71" xfId="4" applyBorder="1" applyAlignment="1">
      <alignment horizontal="left" vertical="center"/>
    </xf>
    <xf numFmtId="0" fontId="45" fillId="8" borderId="1" xfId="4" applyFont="1" applyFill="1" applyBorder="1" applyAlignment="1">
      <alignment horizontal="center"/>
    </xf>
    <xf numFmtId="0" fontId="45" fillId="8" borderId="2" xfId="4" applyFont="1" applyFill="1" applyBorder="1" applyAlignment="1">
      <alignment horizontal="center"/>
    </xf>
    <xf numFmtId="0" fontId="45" fillId="8" borderId="14" xfId="4" applyFont="1" applyFill="1" applyBorder="1" applyAlignment="1">
      <alignment horizontal="center"/>
    </xf>
    <xf numFmtId="1" fontId="45" fillId="8" borderId="4" xfId="4" applyNumberFormat="1" applyFont="1" applyFill="1" applyBorder="1" applyAlignment="1">
      <alignment horizontal="center" vertical="center"/>
    </xf>
    <xf numFmtId="1" fontId="45" fillId="8" borderId="5" xfId="4" applyNumberFormat="1" applyFont="1" applyFill="1" applyBorder="1" applyAlignment="1">
      <alignment horizontal="center" vertical="center"/>
    </xf>
    <xf numFmtId="1" fontId="45" fillId="8" borderId="24" xfId="4" applyNumberFormat="1" applyFont="1" applyFill="1" applyBorder="1" applyAlignment="1">
      <alignment horizontal="center" vertical="center"/>
    </xf>
    <xf numFmtId="0" fontId="5" fillId="6" borderId="0" xfId="4" applyFill="1" applyAlignment="1">
      <alignment horizontal="center"/>
    </xf>
    <xf numFmtId="0" fontId="20" fillId="0" borderId="7" xfId="4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 wrapText="1"/>
    </xf>
    <xf numFmtId="0" fontId="20" fillId="0" borderId="12" xfId="4" applyFont="1" applyBorder="1" applyAlignment="1">
      <alignment horizontal="center" vertical="center" wrapText="1"/>
    </xf>
    <xf numFmtId="0" fontId="20" fillId="0" borderId="7" xfId="4" applyFont="1" applyBorder="1" applyAlignment="1">
      <alignment horizontal="center" vertical="center"/>
    </xf>
    <xf numFmtId="0" fontId="20" fillId="0" borderId="5" xfId="4" applyFont="1" applyBorder="1" applyAlignment="1">
      <alignment horizontal="center" vertical="center"/>
    </xf>
    <xf numFmtId="0" fontId="20" fillId="0" borderId="12" xfId="4" applyFont="1" applyBorder="1" applyAlignment="1">
      <alignment horizontal="center" vertical="center"/>
    </xf>
    <xf numFmtId="1" fontId="140" fillId="0" borderId="0" xfId="2" applyNumberFormat="1" applyFont="1" applyAlignment="1">
      <alignment horizontal="center" vertical="center"/>
    </xf>
    <xf numFmtId="0" fontId="140" fillId="0" borderId="0" xfId="2" applyFont="1" applyAlignment="1">
      <alignment horizontal="center" vertical="center"/>
    </xf>
    <xf numFmtId="0" fontId="69" fillId="0" borderId="31" xfId="0" applyFont="1" applyBorder="1" applyAlignment="1">
      <alignment horizontal="center" vertical="center" wrapText="1"/>
    </xf>
    <xf numFmtId="0" fontId="69" fillId="0" borderId="3" xfId="0" applyFont="1" applyBorder="1" applyAlignment="1">
      <alignment horizontal="center" vertical="center" wrapText="1"/>
    </xf>
    <xf numFmtId="0" fontId="69" fillId="0" borderId="18" xfId="0" applyFont="1" applyBorder="1" applyAlignment="1">
      <alignment horizontal="center" vertical="center" wrapText="1"/>
    </xf>
    <xf numFmtId="165" fontId="69" fillId="0" borderId="31" xfId="0" applyNumberFormat="1" applyFont="1" applyBorder="1" applyAlignment="1">
      <alignment horizontal="center" vertical="center" wrapText="1"/>
    </xf>
    <xf numFmtId="165" fontId="69" fillId="0" borderId="3" xfId="0" applyNumberFormat="1" applyFont="1" applyBorder="1" applyAlignment="1">
      <alignment horizontal="center" vertical="center" wrapText="1"/>
    </xf>
    <xf numFmtId="165" fontId="69" fillId="0" borderId="18" xfId="0" applyNumberFormat="1" applyFont="1" applyBorder="1" applyAlignment="1">
      <alignment horizontal="center" vertical="center" wrapText="1"/>
    </xf>
    <xf numFmtId="0" fontId="69" fillId="0" borderId="0" xfId="0" applyFont="1" applyAlignment="1" applyProtection="1">
      <alignment horizontal="left" vertical="center" wrapText="1"/>
      <protection locked="0"/>
    </xf>
    <xf numFmtId="1" fontId="140" fillId="0" borderId="0" xfId="2" applyNumberFormat="1" applyFont="1" applyAlignment="1" applyProtection="1">
      <alignment horizontal="center" vertical="center"/>
      <protection locked="0"/>
    </xf>
    <xf numFmtId="0" fontId="135" fillId="0" borderId="0" xfId="2" applyFont="1" applyAlignment="1">
      <alignment horizontal="center"/>
    </xf>
    <xf numFmtId="0" fontId="106" fillId="0" borderId="18" xfId="0" applyFont="1" applyBorder="1" applyAlignment="1">
      <alignment horizontal="center" vertical="top"/>
    </xf>
    <xf numFmtId="0" fontId="106" fillId="0" borderId="18" xfId="0" applyFont="1" applyBorder="1" applyAlignment="1">
      <alignment horizontal="center" vertical="top" wrapText="1"/>
    </xf>
    <xf numFmtId="0" fontId="106" fillId="0" borderId="2" xfId="0" applyFont="1" applyBorder="1" applyAlignment="1">
      <alignment horizontal="center" vertical="top" wrapText="1"/>
    </xf>
    <xf numFmtId="1" fontId="69" fillId="0" borderId="7" xfId="0" applyNumberFormat="1" applyFont="1" applyBorder="1" applyAlignment="1">
      <alignment horizontal="center" vertical="center" wrapText="1"/>
    </xf>
    <xf numFmtId="1" fontId="69" fillId="0" borderId="12" xfId="0" applyNumberFormat="1" applyFont="1" applyBorder="1" applyAlignment="1">
      <alignment horizontal="center" vertical="center" wrapText="1"/>
    </xf>
    <xf numFmtId="171" fontId="69" fillId="0" borderId="0" xfId="2" applyNumberFormat="1" applyFont="1" applyAlignment="1"/>
    <xf numFmtId="0" fontId="125" fillId="0" borderId="0" xfId="2" applyFont="1" applyAlignment="1">
      <alignment horizontal="center"/>
    </xf>
    <xf numFmtId="0" fontId="106" fillId="0" borderId="31" xfId="2" applyFont="1" applyBorder="1" applyAlignment="1">
      <alignment horizontal="center" vertical="top"/>
    </xf>
    <xf numFmtId="0" fontId="106" fillId="0" borderId="18" xfId="2" applyFont="1" applyBorder="1" applyAlignment="1">
      <alignment horizontal="center" vertical="top"/>
    </xf>
    <xf numFmtId="0" fontId="106" fillId="0" borderId="33" xfId="2" applyFont="1" applyBorder="1" applyAlignment="1">
      <alignment horizontal="center" vertical="top"/>
    </xf>
    <xf numFmtId="0" fontId="106" fillId="0" borderId="32" xfId="2" applyFont="1" applyBorder="1" applyAlignment="1">
      <alignment horizontal="center" vertical="top"/>
    </xf>
    <xf numFmtId="0" fontId="106" fillId="0" borderId="11" xfId="2" applyFont="1" applyBorder="1" applyAlignment="1">
      <alignment horizontal="center" vertical="top"/>
    </xf>
    <xf numFmtId="0" fontId="106" fillId="0" borderId="10" xfId="2" applyFont="1" applyBorder="1" applyAlignment="1">
      <alignment horizontal="center" vertical="top"/>
    </xf>
    <xf numFmtId="0" fontId="106" fillId="0" borderId="33" xfId="2" applyFont="1" applyBorder="1" applyAlignment="1">
      <alignment horizontal="center" vertical="top" wrapText="1"/>
    </xf>
    <xf numFmtId="0" fontId="106" fillId="0" borderId="34" xfId="2" applyFont="1" applyBorder="1" applyAlignment="1">
      <alignment horizontal="center" vertical="top" wrapText="1"/>
    </xf>
    <xf numFmtId="0" fontId="106" fillId="0" borderId="11" xfId="2" applyFont="1" applyBorder="1" applyAlignment="1">
      <alignment horizontal="center" vertical="top" wrapText="1"/>
    </xf>
    <xf numFmtId="0" fontId="106" fillId="0" borderId="35" xfId="2" applyFont="1" applyBorder="1" applyAlignment="1">
      <alignment horizontal="center" vertical="top" wrapText="1"/>
    </xf>
    <xf numFmtId="164" fontId="63" fillId="0" borderId="7" xfId="0" applyNumberFormat="1" applyFont="1" applyBorder="1" applyAlignment="1">
      <alignment horizontal="center"/>
    </xf>
    <xf numFmtId="164" fontId="63" fillId="0" borderId="12" xfId="0" applyNumberFormat="1" applyFont="1" applyBorder="1" applyAlignment="1">
      <alignment horizontal="center"/>
    </xf>
    <xf numFmtId="0" fontId="69" fillId="0" borderId="7" xfId="0" applyFont="1" applyBorder="1" applyAlignment="1">
      <alignment horizontal="center"/>
    </xf>
    <xf numFmtId="0" fontId="69" fillId="0" borderId="12" xfId="0" applyFont="1" applyBorder="1" applyAlignment="1">
      <alignment horizontal="center"/>
    </xf>
    <xf numFmtId="174" fontId="69" fillId="0" borderId="7" xfId="0" applyNumberFormat="1" applyFont="1" applyBorder="1" applyAlignment="1">
      <alignment horizontal="center"/>
    </xf>
    <xf numFmtId="174" fontId="69" fillId="0" borderId="12" xfId="0" applyNumberFormat="1" applyFont="1" applyBorder="1" applyAlignment="1">
      <alignment horizontal="center"/>
    </xf>
    <xf numFmtId="0" fontId="106" fillId="0" borderId="33" xfId="0" applyFont="1" applyBorder="1" applyAlignment="1">
      <alignment horizontal="center" vertical="top" wrapText="1"/>
    </xf>
    <xf numFmtId="0" fontId="106" fillId="0" borderId="34" xfId="0" applyFont="1" applyBorder="1" applyAlignment="1">
      <alignment horizontal="center" vertical="top" wrapText="1"/>
    </xf>
    <xf numFmtId="0" fontId="106" fillId="0" borderId="8" xfId="0" applyFont="1" applyBorder="1" applyAlignment="1">
      <alignment horizontal="center" vertical="top" wrapText="1"/>
    </xf>
    <xf numFmtId="0" fontId="106" fillId="0" borderId="13" xfId="0" applyFont="1" applyBorder="1" applyAlignment="1">
      <alignment horizontal="center" vertical="top" wrapText="1"/>
    </xf>
    <xf numFmtId="0" fontId="106" fillId="0" borderId="11" xfId="0" applyFont="1" applyBorder="1" applyAlignment="1">
      <alignment horizontal="center" vertical="top" wrapText="1"/>
    </xf>
    <xf numFmtId="0" fontId="106" fillId="0" borderId="35" xfId="0" applyFont="1" applyBorder="1" applyAlignment="1">
      <alignment horizontal="center" vertical="top" wrapText="1"/>
    </xf>
    <xf numFmtId="164" fontId="63" fillId="0" borderId="7" xfId="0" applyNumberFormat="1" applyFont="1" applyBorder="1" applyAlignment="1">
      <alignment horizontal="center" vertical="center"/>
    </xf>
    <xf numFmtId="164" fontId="63" fillId="0" borderId="12" xfId="0" applyNumberFormat="1" applyFont="1" applyBorder="1" applyAlignment="1">
      <alignment horizontal="center" vertical="center"/>
    </xf>
    <xf numFmtId="0" fontId="106" fillId="0" borderId="33" xfId="0" applyFont="1" applyBorder="1" applyAlignment="1">
      <alignment horizontal="center" vertical="top"/>
    </xf>
    <xf numFmtId="0" fontId="106" fillId="0" borderId="8" xfId="0" applyFont="1" applyBorder="1" applyAlignment="1">
      <alignment horizontal="center" vertical="top"/>
    </xf>
    <xf numFmtId="0" fontId="106" fillId="2" borderId="10" xfId="0" applyFont="1" applyFill="1" applyBorder="1" applyAlignment="1">
      <alignment horizontal="left" vertical="top" wrapText="1"/>
    </xf>
    <xf numFmtId="1" fontId="69" fillId="0" borderId="33" xfId="0" applyNumberFormat="1" applyFont="1" applyBorder="1" applyAlignment="1">
      <alignment horizontal="center" vertical="center" wrapText="1"/>
    </xf>
    <xf numFmtId="1" fontId="69" fillId="0" borderId="34" xfId="0" applyNumberFormat="1" applyFont="1" applyBorder="1" applyAlignment="1">
      <alignment horizontal="center" vertical="center" wrapText="1"/>
    </xf>
    <xf numFmtId="1" fontId="69" fillId="0" borderId="8" xfId="0" applyNumberFormat="1" applyFont="1" applyBorder="1" applyAlignment="1">
      <alignment horizontal="center" vertical="center" wrapText="1"/>
    </xf>
    <xf numFmtId="1" fontId="69" fillId="0" borderId="13" xfId="0" applyNumberFormat="1" applyFont="1" applyBorder="1" applyAlignment="1">
      <alignment horizontal="center" vertical="center" wrapText="1"/>
    </xf>
    <xf numFmtId="1" fontId="69" fillId="0" borderId="11" xfId="0" applyNumberFormat="1" applyFont="1" applyBorder="1" applyAlignment="1">
      <alignment horizontal="center" vertical="center" wrapText="1"/>
    </xf>
    <xf numFmtId="1" fontId="69" fillId="0" borderId="35" xfId="0" applyNumberFormat="1" applyFont="1" applyBorder="1" applyAlignment="1">
      <alignment horizontal="center" vertical="center" wrapText="1"/>
    </xf>
    <xf numFmtId="0" fontId="106" fillId="0" borderId="7" xfId="0" applyFont="1" applyBorder="1" applyAlignment="1">
      <alignment horizontal="center" vertical="top" wrapText="1"/>
    </xf>
    <xf numFmtId="0" fontId="106" fillId="0" borderId="12" xfId="0" applyFont="1" applyBorder="1" applyAlignment="1">
      <alignment horizontal="center" vertical="top" wrapText="1"/>
    </xf>
  </cellXfs>
  <cellStyles count="12">
    <cellStyle name="Normal" xfId="0" builtinId="0"/>
    <cellStyle name="Normal 2" xfId="1" xr:uid="{00000000-0005-0000-0000-000001000000}"/>
    <cellStyle name="Normal 2 2" xfId="4" xr:uid="{00000000-0005-0000-0000-000002000000}"/>
    <cellStyle name="Normal 2 3" xfId="9" xr:uid="{502EA347-ECBD-4BD9-BCFC-F6222D386C10}"/>
    <cellStyle name="Normal 2 3 2" xfId="10" xr:uid="{15C8F729-8C6C-471E-9CEA-EE2F5A06B324}"/>
    <cellStyle name="Normal 3" xfId="3" xr:uid="{00000000-0005-0000-0000-000003000000}"/>
    <cellStyle name="Normal 4" xfId="5" xr:uid="{00000000-0005-0000-0000-000004000000}"/>
    <cellStyle name="Normal 5" xfId="6" xr:uid="{00000000-0005-0000-0000-000005000000}"/>
    <cellStyle name="Normal 5 2" xfId="7" xr:uid="{8BB39891-4AF4-44F1-B002-AA986B2D05EF}"/>
    <cellStyle name="Normal 6" xfId="8" xr:uid="{F72A9A30-5BA6-48C1-9140-E8D10D4A7E6D}"/>
    <cellStyle name="Normal_Daftar kelistrikan (ecg)" xfId="2" xr:uid="{00000000-0005-0000-0000-000006000000}"/>
    <cellStyle name="Normal_Daftar kelistrikan (ecg) 2" xfId="11" xr:uid="{9554DD1C-4882-49E1-98EC-5E55D0E7A33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'Input Data ECG Sim'!$AC$14:$AC$16</c:f>
              <c:numCache>
                <c:formatCode>General</c:formatCode>
                <c:ptCount val="3"/>
                <c:pt idx="0">
                  <c:v>2.5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'Input Data ECG Sim'!$AD$14:$AD$16</c:f>
              <c:numCache>
                <c:formatCode>General</c:formatCode>
                <c:ptCount val="3"/>
                <c:pt idx="0" formatCode="0.000">
                  <c:v>0</c:v>
                </c:pt>
                <c:pt idx="1">
                  <c:v>1E-3</c:v>
                </c:pt>
                <c:pt idx="2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D-4C32-9239-DC1120D51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33280"/>
        <c:axId val="248545664"/>
      </c:scatterChart>
      <c:valAx>
        <c:axId val="24843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545664"/>
        <c:crosses val="autoZero"/>
        <c:crossBetween val="midCat"/>
      </c:valAx>
      <c:valAx>
        <c:axId val="2485456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48433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91</xdr:row>
      <xdr:rowOff>0</xdr:rowOff>
    </xdr:from>
    <xdr:to>
      <xdr:col>14</xdr:col>
      <xdr:colOff>76200</xdr:colOff>
      <xdr:row>92</xdr:row>
      <xdr:rowOff>19050</xdr:rowOff>
    </xdr:to>
    <xdr:sp macro="" textlink="">
      <xdr:nvSpPr>
        <xdr:cNvPr id="47134" name="Text Box 1">
          <a:extLst>
            <a:ext uri="{FF2B5EF4-FFF2-40B4-BE49-F238E27FC236}">
              <a16:creationId xmlns:a16="http://schemas.microsoft.com/office/drawing/2014/main" id="{00000000-0008-0000-0000-00001EB80000}"/>
            </a:ext>
          </a:extLst>
        </xdr:cNvPr>
        <xdr:cNvSpPr txBox="1">
          <a:spLocks noChangeArrowheads="1"/>
        </xdr:cNvSpPr>
      </xdr:nvSpPr>
      <xdr:spPr bwMode="auto">
        <a:xfrm>
          <a:off x="6315075" y="220694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76200</xdr:colOff>
      <xdr:row>72</xdr:row>
      <xdr:rowOff>200025</xdr:rowOff>
    </xdr:to>
    <xdr:sp macro="" textlink="">
      <xdr:nvSpPr>
        <xdr:cNvPr id="47135" name="Text Box 43">
          <a:extLst>
            <a:ext uri="{FF2B5EF4-FFF2-40B4-BE49-F238E27FC236}">
              <a16:creationId xmlns:a16="http://schemas.microsoft.com/office/drawing/2014/main" id="{00000000-0008-0000-0000-00001FB80000}"/>
            </a:ext>
          </a:extLst>
        </xdr:cNvPr>
        <xdr:cNvSpPr txBox="1">
          <a:spLocks noChangeArrowheads="1"/>
        </xdr:cNvSpPr>
      </xdr:nvSpPr>
      <xdr:spPr bwMode="auto">
        <a:xfrm>
          <a:off x="6315075" y="193929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391697</xdr:colOff>
      <xdr:row>29</xdr:row>
      <xdr:rowOff>52497</xdr:rowOff>
    </xdr:from>
    <xdr:to>
      <xdr:col>9</xdr:col>
      <xdr:colOff>712616</xdr:colOff>
      <xdr:row>29</xdr:row>
      <xdr:rowOff>52497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4620797" y="5615097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30</xdr:row>
      <xdr:rowOff>157490</xdr:rowOff>
    </xdr:from>
    <xdr:to>
      <xdr:col>11</xdr:col>
      <xdr:colOff>734011</xdr:colOff>
      <xdr:row>30</xdr:row>
      <xdr:rowOff>157490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30</xdr:row>
      <xdr:rowOff>157490</xdr:rowOff>
    </xdr:from>
    <xdr:to>
      <xdr:col>11</xdr:col>
      <xdr:colOff>734011</xdr:colOff>
      <xdr:row>30</xdr:row>
      <xdr:rowOff>157490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56</xdr:row>
      <xdr:rowOff>157490</xdr:rowOff>
    </xdr:from>
    <xdr:to>
      <xdr:col>11</xdr:col>
      <xdr:colOff>734011</xdr:colOff>
      <xdr:row>56</xdr:row>
      <xdr:rowOff>157490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71</xdr:row>
      <xdr:rowOff>157490</xdr:rowOff>
    </xdr:from>
    <xdr:to>
      <xdr:col>11</xdr:col>
      <xdr:colOff>734011</xdr:colOff>
      <xdr:row>71</xdr:row>
      <xdr:rowOff>157490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71</xdr:row>
      <xdr:rowOff>157490</xdr:rowOff>
    </xdr:from>
    <xdr:to>
      <xdr:col>11</xdr:col>
      <xdr:colOff>734011</xdr:colOff>
      <xdr:row>71</xdr:row>
      <xdr:rowOff>157490</xdr:rowOff>
    </xdr:to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4642192" y="610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oneCellAnchor>
    <xdr:from>
      <xdr:col>14</xdr:col>
      <xdr:colOff>0</xdr:colOff>
      <xdr:row>82</xdr:row>
      <xdr:rowOff>180975</xdr:rowOff>
    </xdr:from>
    <xdr:ext cx="228600" cy="18081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296025" y="10039350"/>
          <a:ext cx="228600" cy="180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" b="1">
              <a:latin typeface="Times New Roman" pitchFamily="18" charset="0"/>
              <a:cs typeface="Times New Roman" pitchFamily="18" charset="0"/>
            </a:rPr>
            <a:t>2</a:t>
          </a:r>
        </a:p>
      </xdr:txBody>
    </xdr:sp>
    <xdr:clientData/>
  </xdr:oneCellAnchor>
  <xdr:twoCellAnchor>
    <xdr:from>
      <xdr:col>10</xdr:col>
      <xdr:colOff>676275</xdr:colOff>
      <xdr:row>56</xdr:row>
      <xdr:rowOff>0</xdr:rowOff>
    </xdr:from>
    <xdr:to>
      <xdr:col>11</xdr:col>
      <xdr:colOff>0</xdr:colOff>
      <xdr:row>56</xdr:row>
      <xdr:rowOff>9525</xdr:rowOff>
    </xdr:to>
    <xdr:sp macro="" textlink="">
      <xdr:nvSpPr>
        <xdr:cNvPr id="26" name="Text Box 3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6696075" y="5715000"/>
          <a:ext cx="1428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10</xdr:col>
      <xdr:colOff>676275</xdr:colOff>
      <xdr:row>65</xdr:row>
      <xdr:rowOff>0</xdr:rowOff>
    </xdr:from>
    <xdr:to>
      <xdr:col>11</xdr:col>
      <xdr:colOff>0</xdr:colOff>
      <xdr:row>65</xdr:row>
      <xdr:rowOff>9525</xdr:rowOff>
    </xdr:to>
    <xdr:sp macro="" textlink="">
      <xdr:nvSpPr>
        <xdr:cNvPr id="30" name="Text Box 3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6696075" y="12744450"/>
          <a:ext cx="1428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10</xdr:col>
      <xdr:colOff>676275</xdr:colOff>
      <xdr:row>66</xdr:row>
      <xdr:rowOff>0</xdr:rowOff>
    </xdr:from>
    <xdr:to>
      <xdr:col>11</xdr:col>
      <xdr:colOff>0</xdr:colOff>
      <xdr:row>66</xdr:row>
      <xdr:rowOff>9525</xdr:rowOff>
    </xdr:to>
    <xdr:sp macro="" textlink="">
      <xdr:nvSpPr>
        <xdr:cNvPr id="40" name="Text Box 3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4762500" y="10877550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µA</a:t>
          </a:r>
        </a:p>
      </xdr:txBody>
    </xdr:sp>
    <xdr:clientData/>
  </xdr:twoCellAnchor>
  <xdr:twoCellAnchor>
    <xdr:from>
      <xdr:col>11</xdr:col>
      <xdr:colOff>413092</xdr:colOff>
      <xdr:row>67</xdr:row>
      <xdr:rowOff>157490</xdr:rowOff>
    </xdr:from>
    <xdr:to>
      <xdr:col>11</xdr:col>
      <xdr:colOff>734011</xdr:colOff>
      <xdr:row>67</xdr:row>
      <xdr:rowOff>157490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156542" y="112255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68</xdr:row>
      <xdr:rowOff>157490</xdr:rowOff>
    </xdr:from>
    <xdr:to>
      <xdr:col>11</xdr:col>
      <xdr:colOff>734011</xdr:colOff>
      <xdr:row>68</xdr:row>
      <xdr:rowOff>157490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68</xdr:row>
      <xdr:rowOff>157490</xdr:rowOff>
    </xdr:from>
    <xdr:to>
      <xdr:col>11</xdr:col>
      <xdr:colOff>734011</xdr:colOff>
      <xdr:row>68</xdr:row>
      <xdr:rowOff>157490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69</xdr:row>
      <xdr:rowOff>157490</xdr:rowOff>
    </xdr:from>
    <xdr:to>
      <xdr:col>11</xdr:col>
      <xdr:colOff>734011</xdr:colOff>
      <xdr:row>69</xdr:row>
      <xdr:rowOff>157490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5156542" y="116065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69</xdr:row>
      <xdr:rowOff>157490</xdr:rowOff>
    </xdr:from>
    <xdr:to>
      <xdr:col>11</xdr:col>
      <xdr:colOff>734011</xdr:colOff>
      <xdr:row>69</xdr:row>
      <xdr:rowOff>157490</xdr:rowOff>
    </xdr:to>
    <xdr:sp macro="" textlink="">
      <xdr:nvSpPr>
        <xdr:cNvPr id="45" name="Text Box 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5156542" y="116065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68</xdr:row>
      <xdr:rowOff>157490</xdr:rowOff>
    </xdr:from>
    <xdr:to>
      <xdr:col>11</xdr:col>
      <xdr:colOff>734011</xdr:colOff>
      <xdr:row>68</xdr:row>
      <xdr:rowOff>157490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68</xdr:row>
      <xdr:rowOff>157490</xdr:rowOff>
    </xdr:from>
    <xdr:to>
      <xdr:col>11</xdr:col>
      <xdr:colOff>734011</xdr:colOff>
      <xdr:row>68</xdr:row>
      <xdr:rowOff>157490</xdr:rowOff>
    </xdr:to>
    <xdr:sp macro="" textlink="">
      <xdr:nvSpPr>
        <xdr:cNvPr id="47" name="Text Box 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5156542" y="1141604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67</xdr:row>
      <xdr:rowOff>157490</xdr:rowOff>
    </xdr:from>
    <xdr:to>
      <xdr:col>9</xdr:col>
      <xdr:colOff>734011</xdr:colOff>
      <xdr:row>67</xdr:row>
      <xdr:rowOff>157490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7817646" y="11304008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68</xdr:row>
      <xdr:rowOff>157490</xdr:rowOff>
    </xdr:from>
    <xdr:to>
      <xdr:col>9</xdr:col>
      <xdr:colOff>734011</xdr:colOff>
      <xdr:row>68</xdr:row>
      <xdr:rowOff>157490</xdr:rowOff>
    </xdr:to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68</xdr:row>
      <xdr:rowOff>157490</xdr:rowOff>
    </xdr:from>
    <xdr:to>
      <xdr:col>9</xdr:col>
      <xdr:colOff>734011</xdr:colOff>
      <xdr:row>68</xdr:row>
      <xdr:rowOff>157490</xdr:rowOff>
    </xdr:to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68</xdr:row>
      <xdr:rowOff>157490</xdr:rowOff>
    </xdr:from>
    <xdr:to>
      <xdr:col>9</xdr:col>
      <xdr:colOff>734011</xdr:colOff>
      <xdr:row>68</xdr:row>
      <xdr:rowOff>157490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68</xdr:row>
      <xdr:rowOff>157490</xdr:rowOff>
    </xdr:from>
    <xdr:to>
      <xdr:col>9</xdr:col>
      <xdr:colOff>734011</xdr:colOff>
      <xdr:row>68</xdr:row>
      <xdr:rowOff>157490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7817646" y="11496776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69</xdr:row>
      <xdr:rowOff>157490</xdr:rowOff>
    </xdr:from>
    <xdr:to>
      <xdr:col>11</xdr:col>
      <xdr:colOff>734011</xdr:colOff>
      <xdr:row>69</xdr:row>
      <xdr:rowOff>157490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45F518B8-68D0-4145-BC6D-53F54B4B9D02}"/>
            </a:ext>
          </a:extLst>
        </xdr:cNvPr>
        <xdr:cNvSpPr txBox="1">
          <a:spLocks noChangeArrowheads="1"/>
        </xdr:cNvSpPr>
      </xdr:nvSpPr>
      <xdr:spPr bwMode="auto">
        <a:xfrm>
          <a:off x="7817646" y="9217579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69</xdr:row>
      <xdr:rowOff>157490</xdr:rowOff>
    </xdr:from>
    <xdr:to>
      <xdr:col>11</xdr:col>
      <xdr:colOff>734011</xdr:colOff>
      <xdr:row>69</xdr:row>
      <xdr:rowOff>157490</xdr:rowOff>
    </xdr:to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07BB97F6-621F-4705-9B7F-BE0F777447E7}"/>
            </a:ext>
          </a:extLst>
        </xdr:cNvPr>
        <xdr:cNvSpPr txBox="1">
          <a:spLocks noChangeArrowheads="1"/>
        </xdr:cNvSpPr>
      </xdr:nvSpPr>
      <xdr:spPr bwMode="auto">
        <a:xfrm>
          <a:off x="7817646" y="9217579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11</xdr:col>
      <xdr:colOff>413092</xdr:colOff>
      <xdr:row>88</xdr:row>
      <xdr:rowOff>157490</xdr:rowOff>
    </xdr:from>
    <xdr:to>
      <xdr:col>11</xdr:col>
      <xdr:colOff>734011</xdr:colOff>
      <xdr:row>88</xdr:row>
      <xdr:rowOff>157490</xdr:rowOff>
    </xdr:to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5AAE787D-094F-4994-AA75-0A4FF2022640}"/>
            </a:ext>
          </a:extLst>
        </xdr:cNvPr>
        <xdr:cNvSpPr txBox="1">
          <a:spLocks noChangeArrowheads="1"/>
        </xdr:cNvSpPr>
      </xdr:nvSpPr>
      <xdr:spPr bwMode="auto">
        <a:xfrm>
          <a:off x="7937842" y="175691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oneCellAnchor>
    <xdr:from>
      <xdr:col>14</xdr:col>
      <xdr:colOff>0</xdr:colOff>
      <xdr:row>86</xdr:row>
      <xdr:rowOff>180975</xdr:rowOff>
    </xdr:from>
    <xdr:ext cx="228600" cy="18081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D23A33A-155B-46E2-B01E-A7801486D124}"/>
            </a:ext>
          </a:extLst>
        </xdr:cNvPr>
        <xdr:cNvSpPr txBox="1"/>
      </xdr:nvSpPr>
      <xdr:spPr>
        <a:xfrm>
          <a:off x="9725025" y="17230725"/>
          <a:ext cx="228600" cy="180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" b="1">
              <a:latin typeface="Times New Roman" pitchFamily="18" charset="0"/>
              <a:cs typeface="Times New Roman" pitchFamily="18" charset="0"/>
            </a:rPr>
            <a:t>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106</xdr:row>
      <xdr:rowOff>0</xdr:rowOff>
    </xdr:from>
    <xdr:to>
      <xdr:col>13</xdr:col>
      <xdr:colOff>76200</xdr:colOff>
      <xdr:row>107</xdr:row>
      <xdr:rowOff>9526</xdr:rowOff>
    </xdr:to>
    <xdr:sp macro="" textlink="">
      <xdr:nvSpPr>
        <xdr:cNvPr id="42883" name="Text Box 1">
          <a:extLst>
            <a:ext uri="{FF2B5EF4-FFF2-40B4-BE49-F238E27FC236}">
              <a16:creationId xmlns:a16="http://schemas.microsoft.com/office/drawing/2014/main" id="{00000000-0008-0000-0100-000083A70000}"/>
            </a:ext>
          </a:extLst>
        </xdr:cNvPr>
        <xdr:cNvSpPr txBox="1">
          <a:spLocks noChangeArrowheads="1"/>
        </xdr:cNvSpPr>
      </xdr:nvSpPr>
      <xdr:spPr bwMode="auto">
        <a:xfrm>
          <a:off x="7334250" y="185928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76200</xdr:colOff>
      <xdr:row>76</xdr:row>
      <xdr:rowOff>28574</xdr:rowOff>
    </xdr:to>
    <xdr:sp macro="" textlink="">
      <xdr:nvSpPr>
        <xdr:cNvPr id="42884" name="Text Box 43">
          <a:extLst>
            <a:ext uri="{FF2B5EF4-FFF2-40B4-BE49-F238E27FC236}">
              <a16:creationId xmlns:a16="http://schemas.microsoft.com/office/drawing/2014/main" id="{00000000-0008-0000-0100-000084A70000}"/>
            </a:ext>
          </a:extLst>
        </xdr:cNvPr>
        <xdr:cNvSpPr txBox="1">
          <a:spLocks noChangeArrowheads="1"/>
        </xdr:cNvSpPr>
      </xdr:nvSpPr>
      <xdr:spPr bwMode="auto">
        <a:xfrm>
          <a:off x="7334250" y="15516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381000</xdr:colOff>
      <xdr:row>24</xdr:row>
      <xdr:rowOff>64785</xdr:rowOff>
    </xdr:from>
    <xdr:to>
      <xdr:col>11</xdr:col>
      <xdr:colOff>120308</xdr:colOff>
      <xdr:row>25</xdr:row>
      <xdr:rowOff>117282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4610100" y="5627385"/>
          <a:ext cx="75848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391697</xdr:colOff>
      <xdr:row>24</xdr:row>
      <xdr:rowOff>52497</xdr:rowOff>
    </xdr:from>
    <xdr:to>
      <xdr:col>10</xdr:col>
      <xdr:colOff>712616</xdr:colOff>
      <xdr:row>24</xdr:row>
      <xdr:rowOff>52497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4620797" y="5615097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26</xdr:row>
      <xdr:rowOff>157490</xdr:rowOff>
    </xdr:from>
    <xdr:to>
      <xdr:col>10</xdr:col>
      <xdr:colOff>734011</xdr:colOff>
      <xdr:row>26</xdr:row>
      <xdr:rowOff>157490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642192" y="6291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26</xdr:row>
      <xdr:rowOff>157490</xdr:rowOff>
    </xdr:from>
    <xdr:to>
      <xdr:col>10</xdr:col>
      <xdr:colOff>734011</xdr:colOff>
      <xdr:row>26</xdr:row>
      <xdr:rowOff>157490</xdr:rowOff>
    </xdr:to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642192" y="6291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4642192" y="6672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4642192" y="66725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381000</xdr:colOff>
      <xdr:row>25</xdr:row>
      <xdr:rowOff>64785</xdr:rowOff>
    </xdr:from>
    <xdr:to>
      <xdr:col>11</xdr:col>
      <xdr:colOff>120308</xdr:colOff>
      <xdr:row>26</xdr:row>
      <xdr:rowOff>0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5762625" y="5017785"/>
          <a:ext cx="4346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6051892" y="53390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413092</xdr:colOff>
      <xdr:row>27</xdr:row>
      <xdr:rowOff>157490</xdr:rowOff>
    </xdr:from>
    <xdr:to>
      <xdr:col>10</xdr:col>
      <xdr:colOff>734011</xdr:colOff>
      <xdr:row>27</xdr:row>
      <xdr:rowOff>157490</xdr:rowOff>
    </xdr:to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6051892" y="53390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381000</xdr:colOff>
      <xdr:row>25</xdr:row>
      <xdr:rowOff>64785</xdr:rowOff>
    </xdr:from>
    <xdr:to>
      <xdr:col>11</xdr:col>
      <xdr:colOff>120308</xdr:colOff>
      <xdr:row>26</xdr:row>
      <xdr:rowOff>117282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58983F7F-0A9F-497A-A46C-F128049BA3F2}"/>
            </a:ext>
          </a:extLst>
        </xdr:cNvPr>
        <xdr:cNvSpPr txBox="1">
          <a:spLocks noChangeArrowheads="1"/>
        </xdr:cNvSpPr>
      </xdr:nvSpPr>
      <xdr:spPr bwMode="auto">
        <a:xfrm>
          <a:off x="7311571" y="4464428"/>
          <a:ext cx="637380" cy="252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381000</xdr:colOff>
      <xdr:row>26</xdr:row>
      <xdr:rowOff>64785</xdr:rowOff>
    </xdr:from>
    <xdr:to>
      <xdr:col>11</xdr:col>
      <xdr:colOff>120308</xdr:colOff>
      <xdr:row>27</xdr:row>
      <xdr:rowOff>117282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B537DEDE-3A31-46D3-8E9A-021250FCBB59}"/>
            </a:ext>
          </a:extLst>
        </xdr:cNvPr>
        <xdr:cNvSpPr txBox="1">
          <a:spLocks noChangeArrowheads="1"/>
        </xdr:cNvSpPr>
      </xdr:nvSpPr>
      <xdr:spPr bwMode="auto">
        <a:xfrm>
          <a:off x="7311571" y="4464428"/>
          <a:ext cx="637380" cy="252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10</xdr:col>
      <xdr:colOff>381000</xdr:colOff>
      <xdr:row>27</xdr:row>
      <xdr:rowOff>64785</xdr:rowOff>
    </xdr:from>
    <xdr:to>
      <xdr:col>11</xdr:col>
      <xdr:colOff>120308</xdr:colOff>
      <xdr:row>28</xdr:row>
      <xdr:rowOff>117282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FD1AC444-27E5-4D1C-849A-37E05383E504}"/>
            </a:ext>
          </a:extLst>
        </xdr:cNvPr>
        <xdr:cNvSpPr txBox="1">
          <a:spLocks noChangeArrowheads="1"/>
        </xdr:cNvSpPr>
      </xdr:nvSpPr>
      <xdr:spPr bwMode="auto">
        <a:xfrm>
          <a:off x="7311571" y="4464428"/>
          <a:ext cx="637380" cy="252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7</xdr:row>
      <xdr:rowOff>180975</xdr:rowOff>
    </xdr:from>
    <xdr:to>
      <xdr:col>27</xdr:col>
      <xdr:colOff>371475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0</xdr:rowOff>
    </xdr:from>
    <xdr:to>
      <xdr:col>2</xdr:col>
      <xdr:colOff>120308</xdr:colOff>
      <xdr:row>8</xdr:row>
      <xdr:rowOff>117282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8524875" y="28317825"/>
          <a:ext cx="491783" cy="1172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381000</xdr:colOff>
      <xdr:row>8</xdr:row>
      <xdr:rowOff>64785</xdr:rowOff>
    </xdr:from>
    <xdr:to>
      <xdr:col>2</xdr:col>
      <xdr:colOff>120308</xdr:colOff>
      <xdr:row>9</xdr:row>
      <xdr:rowOff>0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8524875" y="28382610"/>
          <a:ext cx="491783" cy="97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381000</xdr:colOff>
      <xdr:row>9</xdr:row>
      <xdr:rowOff>64785</xdr:rowOff>
    </xdr:from>
    <xdr:to>
      <xdr:col>2</xdr:col>
      <xdr:colOff>120308</xdr:colOff>
      <xdr:row>10</xdr:row>
      <xdr:rowOff>0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8524875" y="28544535"/>
          <a:ext cx="491783" cy="97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10</xdr:row>
      <xdr:rowOff>157490</xdr:rowOff>
    </xdr:from>
    <xdr:to>
      <xdr:col>1</xdr:col>
      <xdr:colOff>734011</xdr:colOff>
      <xdr:row>10</xdr:row>
      <xdr:rowOff>157490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>
          <a:spLocks noChangeArrowheads="1"/>
        </xdr:cNvSpPr>
      </xdr:nvSpPr>
      <xdr:spPr bwMode="auto">
        <a:xfrm>
          <a:off x="8556967" y="28799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10</xdr:row>
      <xdr:rowOff>157490</xdr:rowOff>
    </xdr:from>
    <xdr:to>
      <xdr:col>1</xdr:col>
      <xdr:colOff>734011</xdr:colOff>
      <xdr:row>10</xdr:row>
      <xdr:rowOff>157490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ChangeArrowheads="1"/>
        </xdr:cNvSpPr>
      </xdr:nvSpPr>
      <xdr:spPr bwMode="auto">
        <a:xfrm>
          <a:off x="8556967" y="287991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11</xdr:row>
      <xdr:rowOff>157490</xdr:rowOff>
    </xdr:from>
    <xdr:to>
      <xdr:col>1</xdr:col>
      <xdr:colOff>734011</xdr:colOff>
      <xdr:row>11</xdr:row>
      <xdr:rowOff>157490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>
          <a:spLocks noChangeArrowheads="1"/>
        </xdr:cNvSpPr>
      </xdr:nvSpPr>
      <xdr:spPr bwMode="auto">
        <a:xfrm>
          <a:off x="8556967" y="2896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1</xdr:col>
      <xdr:colOff>413092</xdr:colOff>
      <xdr:row>11</xdr:row>
      <xdr:rowOff>157490</xdr:rowOff>
    </xdr:from>
    <xdr:to>
      <xdr:col>1</xdr:col>
      <xdr:colOff>734011</xdr:colOff>
      <xdr:row>11</xdr:row>
      <xdr:rowOff>157490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ChangeArrowheads="1"/>
        </xdr:cNvSpPr>
      </xdr:nvSpPr>
      <xdr:spPr bwMode="auto">
        <a:xfrm>
          <a:off x="8556967" y="28961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30</xdr:row>
      <xdr:rowOff>157490</xdr:rowOff>
    </xdr:from>
    <xdr:to>
      <xdr:col>4</xdr:col>
      <xdr:colOff>734011</xdr:colOff>
      <xdr:row>30</xdr:row>
      <xdr:rowOff>157490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9C76A8FB-7EAC-4CA6-9354-9F501909DF65}"/>
            </a:ext>
          </a:extLst>
        </xdr:cNvPr>
        <xdr:cNvSpPr txBox="1">
          <a:spLocks noChangeArrowheads="1"/>
        </xdr:cNvSpPr>
      </xdr:nvSpPr>
      <xdr:spPr bwMode="auto">
        <a:xfrm>
          <a:off x="3003892" y="116636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30</xdr:row>
      <xdr:rowOff>157490</xdr:rowOff>
    </xdr:from>
    <xdr:to>
      <xdr:col>4</xdr:col>
      <xdr:colOff>734011</xdr:colOff>
      <xdr:row>30</xdr:row>
      <xdr:rowOff>157490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86B31869-1731-49E2-9073-56E1BD9928DF}"/>
            </a:ext>
          </a:extLst>
        </xdr:cNvPr>
        <xdr:cNvSpPr txBox="1">
          <a:spLocks noChangeArrowheads="1"/>
        </xdr:cNvSpPr>
      </xdr:nvSpPr>
      <xdr:spPr bwMode="auto">
        <a:xfrm>
          <a:off x="3003892" y="116636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31</xdr:row>
      <xdr:rowOff>157490</xdr:rowOff>
    </xdr:from>
    <xdr:to>
      <xdr:col>4</xdr:col>
      <xdr:colOff>734011</xdr:colOff>
      <xdr:row>31</xdr:row>
      <xdr:rowOff>157490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1615F54-0E28-452B-82AD-57119E8BDE30}"/>
            </a:ext>
          </a:extLst>
        </xdr:cNvPr>
        <xdr:cNvSpPr txBox="1">
          <a:spLocks noChangeArrowheads="1"/>
        </xdr:cNvSpPr>
      </xdr:nvSpPr>
      <xdr:spPr bwMode="auto">
        <a:xfrm>
          <a:off x="3003892" y="118256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31</xdr:row>
      <xdr:rowOff>157490</xdr:rowOff>
    </xdr:from>
    <xdr:to>
      <xdr:col>4</xdr:col>
      <xdr:colOff>734011</xdr:colOff>
      <xdr:row>31</xdr:row>
      <xdr:rowOff>157490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FBAAF6CC-17F4-47E0-86AD-769F63939429}"/>
            </a:ext>
          </a:extLst>
        </xdr:cNvPr>
        <xdr:cNvSpPr txBox="1">
          <a:spLocks noChangeArrowheads="1"/>
        </xdr:cNvSpPr>
      </xdr:nvSpPr>
      <xdr:spPr bwMode="auto">
        <a:xfrm>
          <a:off x="3003892" y="118256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32</xdr:row>
      <xdr:rowOff>157490</xdr:rowOff>
    </xdr:from>
    <xdr:to>
      <xdr:col>4</xdr:col>
      <xdr:colOff>734011</xdr:colOff>
      <xdr:row>32</xdr:row>
      <xdr:rowOff>157490</xdr:rowOff>
    </xdr:to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CD7C36F2-053A-4C25-94FA-1782D2324A5E}"/>
            </a:ext>
          </a:extLst>
        </xdr:cNvPr>
        <xdr:cNvSpPr txBox="1">
          <a:spLocks noChangeArrowheads="1"/>
        </xdr:cNvSpPr>
      </xdr:nvSpPr>
      <xdr:spPr bwMode="auto">
        <a:xfrm>
          <a:off x="3003892" y="119875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32</xdr:row>
      <xdr:rowOff>157490</xdr:rowOff>
    </xdr:from>
    <xdr:to>
      <xdr:col>4</xdr:col>
      <xdr:colOff>734011</xdr:colOff>
      <xdr:row>32</xdr:row>
      <xdr:rowOff>157490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84E3FED8-8666-41C3-9E8C-0DEF6920418F}"/>
            </a:ext>
          </a:extLst>
        </xdr:cNvPr>
        <xdr:cNvSpPr txBox="1">
          <a:spLocks noChangeArrowheads="1"/>
        </xdr:cNvSpPr>
      </xdr:nvSpPr>
      <xdr:spPr bwMode="auto">
        <a:xfrm>
          <a:off x="3003892" y="119875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33</xdr:row>
      <xdr:rowOff>157490</xdr:rowOff>
    </xdr:from>
    <xdr:to>
      <xdr:col>4</xdr:col>
      <xdr:colOff>734011</xdr:colOff>
      <xdr:row>33</xdr:row>
      <xdr:rowOff>157490</xdr:rowOff>
    </xdr:to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F2EBF3E-3641-47E9-A14B-31953765F69F}"/>
            </a:ext>
          </a:extLst>
        </xdr:cNvPr>
        <xdr:cNvSpPr txBox="1">
          <a:spLocks noChangeArrowheads="1"/>
        </xdr:cNvSpPr>
      </xdr:nvSpPr>
      <xdr:spPr bwMode="auto">
        <a:xfrm>
          <a:off x="3003892" y="121494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33</xdr:row>
      <xdr:rowOff>157490</xdr:rowOff>
    </xdr:from>
    <xdr:to>
      <xdr:col>4</xdr:col>
      <xdr:colOff>734011</xdr:colOff>
      <xdr:row>33</xdr:row>
      <xdr:rowOff>157490</xdr:rowOff>
    </xdr:to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BA0AE495-9016-4846-A8A4-553678FD0721}"/>
            </a:ext>
          </a:extLst>
        </xdr:cNvPr>
        <xdr:cNvSpPr txBox="1">
          <a:spLocks noChangeArrowheads="1"/>
        </xdr:cNvSpPr>
      </xdr:nvSpPr>
      <xdr:spPr bwMode="auto">
        <a:xfrm>
          <a:off x="3003892" y="121494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5EA468B9-3442-42F6-901E-C83F4503EAE6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D9AF234-20B1-431B-8D89-3F42685CB3DA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5561A4C9-1D17-4374-969E-7CA318E9872E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26</xdr:row>
      <xdr:rowOff>157490</xdr:rowOff>
    </xdr:from>
    <xdr:to>
      <xdr:col>30</xdr:col>
      <xdr:colOff>734011</xdr:colOff>
      <xdr:row>26</xdr:row>
      <xdr:rowOff>157490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AF3C8C76-1DD6-4368-A5A2-824FC4359C62}"/>
            </a:ext>
          </a:extLst>
        </xdr:cNvPr>
        <xdr:cNvSpPr txBox="1">
          <a:spLocks noChangeArrowheads="1"/>
        </xdr:cNvSpPr>
      </xdr:nvSpPr>
      <xdr:spPr bwMode="auto">
        <a:xfrm>
          <a:off x="6213817" y="9063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D98D3F24-126A-4BDB-A5FB-462F98FC9FE1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30641124-8572-4A24-8CA6-C2CB66F6948D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8B28A0FF-A559-473C-B55E-165C52B98A7B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30</xdr:col>
      <xdr:colOff>413092</xdr:colOff>
      <xdr:row>27</xdr:row>
      <xdr:rowOff>157490</xdr:rowOff>
    </xdr:from>
    <xdr:to>
      <xdr:col>30</xdr:col>
      <xdr:colOff>734011</xdr:colOff>
      <xdr:row>27</xdr:row>
      <xdr:rowOff>157490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1614E318-4AC3-4C42-9349-0AD72848820A}"/>
            </a:ext>
          </a:extLst>
        </xdr:cNvPr>
        <xdr:cNvSpPr txBox="1">
          <a:spLocks noChangeArrowheads="1"/>
        </xdr:cNvSpPr>
      </xdr:nvSpPr>
      <xdr:spPr bwMode="auto">
        <a:xfrm>
          <a:off x="6213817" y="92538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29</xdr:row>
      <xdr:rowOff>157490</xdr:rowOff>
    </xdr:from>
    <xdr:to>
      <xdr:col>25</xdr:col>
      <xdr:colOff>734011</xdr:colOff>
      <xdr:row>29</xdr:row>
      <xdr:rowOff>157490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C5A38826-7512-40C0-A980-3B7C0D830752}"/>
            </a:ext>
          </a:extLst>
        </xdr:cNvPr>
        <xdr:cNvSpPr txBox="1">
          <a:spLocks noChangeArrowheads="1"/>
        </xdr:cNvSpPr>
      </xdr:nvSpPr>
      <xdr:spPr bwMode="auto">
        <a:xfrm>
          <a:off x="3003892" y="85871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29</xdr:row>
      <xdr:rowOff>157490</xdr:rowOff>
    </xdr:from>
    <xdr:to>
      <xdr:col>25</xdr:col>
      <xdr:colOff>734011</xdr:colOff>
      <xdr:row>29</xdr:row>
      <xdr:rowOff>157490</xdr:rowOff>
    </xdr:to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DE156CE0-992E-479A-B764-D9D989DFB04F}"/>
            </a:ext>
          </a:extLst>
        </xdr:cNvPr>
        <xdr:cNvSpPr txBox="1">
          <a:spLocks noChangeArrowheads="1"/>
        </xdr:cNvSpPr>
      </xdr:nvSpPr>
      <xdr:spPr bwMode="auto">
        <a:xfrm>
          <a:off x="3003892" y="85871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30</xdr:row>
      <xdr:rowOff>157490</xdr:rowOff>
    </xdr:from>
    <xdr:to>
      <xdr:col>25</xdr:col>
      <xdr:colOff>734011</xdr:colOff>
      <xdr:row>30</xdr:row>
      <xdr:rowOff>157490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8D9E5E5F-8DE5-486D-A29A-21285E7475A2}"/>
            </a:ext>
          </a:extLst>
        </xdr:cNvPr>
        <xdr:cNvSpPr txBox="1">
          <a:spLocks noChangeArrowheads="1"/>
        </xdr:cNvSpPr>
      </xdr:nvSpPr>
      <xdr:spPr bwMode="auto">
        <a:xfrm>
          <a:off x="3003892" y="8768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25</xdr:col>
      <xdr:colOff>413092</xdr:colOff>
      <xdr:row>30</xdr:row>
      <xdr:rowOff>157490</xdr:rowOff>
    </xdr:from>
    <xdr:to>
      <xdr:col>25</xdr:col>
      <xdr:colOff>734011</xdr:colOff>
      <xdr:row>30</xdr:row>
      <xdr:rowOff>157490</xdr:rowOff>
    </xdr:to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1F017FC0-4B9D-4809-A333-A1DFD78C5DCD}"/>
            </a:ext>
          </a:extLst>
        </xdr:cNvPr>
        <xdr:cNvSpPr txBox="1">
          <a:spLocks noChangeArrowheads="1"/>
        </xdr:cNvSpPr>
      </xdr:nvSpPr>
      <xdr:spPr bwMode="auto">
        <a:xfrm>
          <a:off x="3003892" y="876809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34</xdr:row>
      <xdr:rowOff>157490</xdr:rowOff>
    </xdr:from>
    <xdr:to>
      <xdr:col>4</xdr:col>
      <xdr:colOff>734011</xdr:colOff>
      <xdr:row>34</xdr:row>
      <xdr:rowOff>157490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A940D30-06D5-438A-B837-74614046F26F}"/>
            </a:ext>
          </a:extLst>
        </xdr:cNvPr>
        <xdr:cNvSpPr txBox="1">
          <a:spLocks noChangeArrowheads="1"/>
        </xdr:cNvSpPr>
      </xdr:nvSpPr>
      <xdr:spPr bwMode="auto">
        <a:xfrm>
          <a:off x="3003892" y="11301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35</xdr:row>
      <xdr:rowOff>157490</xdr:rowOff>
    </xdr:from>
    <xdr:to>
      <xdr:col>4</xdr:col>
      <xdr:colOff>734011</xdr:colOff>
      <xdr:row>35</xdr:row>
      <xdr:rowOff>157490</xdr:rowOff>
    </xdr:to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601C39BC-1DA0-401C-BF45-2219C59A1ECC}"/>
            </a:ext>
          </a:extLst>
        </xdr:cNvPr>
        <xdr:cNvSpPr txBox="1">
          <a:spLocks noChangeArrowheads="1"/>
        </xdr:cNvSpPr>
      </xdr:nvSpPr>
      <xdr:spPr bwMode="auto">
        <a:xfrm>
          <a:off x="3003892" y="114827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4</xdr:col>
      <xdr:colOff>413092</xdr:colOff>
      <xdr:row>35</xdr:row>
      <xdr:rowOff>157490</xdr:rowOff>
    </xdr:from>
    <xdr:to>
      <xdr:col>4</xdr:col>
      <xdr:colOff>734011</xdr:colOff>
      <xdr:row>35</xdr:row>
      <xdr:rowOff>157490</xdr:rowOff>
    </xdr:to>
    <xdr:sp macro="" textlink="">
      <xdr:nvSpPr>
        <xdr:cNvPr id="31" name="Text Box 7">
          <a:extLst>
            <a:ext uri="{FF2B5EF4-FFF2-40B4-BE49-F238E27FC236}">
              <a16:creationId xmlns:a16="http://schemas.microsoft.com/office/drawing/2014/main" id="{CF78EB74-BF31-41D2-A6A9-B852D788D487}"/>
            </a:ext>
          </a:extLst>
        </xdr:cNvPr>
        <xdr:cNvSpPr txBox="1">
          <a:spLocks noChangeArrowheads="1"/>
        </xdr:cNvSpPr>
      </xdr:nvSpPr>
      <xdr:spPr bwMode="auto">
        <a:xfrm>
          <a:off x="3003892" y="114827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92</xdr:row>
      <xdr:rowOff>0</xdr:rowOff>
    </xdr:from>
    <xdr:to>
      <xdr:col>13</xdr:col>
      <xdr:colOff>76200</xdr:colOff>
      <xdr:row>93</xdr:row>
      <xdr:rowOff>38100</xdr:rowOff>
    </xdr:to>
    <xdr:sp macro="" textlink="">
      <xdr:nvSpPr>
        <xdr:cNvPr id="48178" name="Text Box 1">
          <a:extLst>
            <a:ext uri="{FF2B5EF4-FFF2-40B4-BE49-F238E27FC236}">
              <a16:creationId xmlns:a16="http://schemas.microsoft.com/office/drawing/2014/main" id="{00000000-0008-0000-0900-000032BC0000}"/>
            </a:ext>
          </a:extLst>
        </xdr:cNvPr>
        <xdr:cNvSpPr txBox="1">
          <a:spLocks noChangeArrowheads="1"/>
        </xdr:cNvSpPr>
      </xdr:nvSpPr>
      <xdr:spPr bwMode="auto">
        <a:xfrm>
          <a:off x="7134225" y="17192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76200</xdr:colOff>
      <xdr:row>99</xdr:row>
      <xdr:rowOff>14871</xdr:rowOff>
    </xdr:to>
    <xdr:sp macro="" textlink="">
      <xdr:nvSpPr>
        <xdr:cNvPr id="48179" name="Text Box 43">
          <a:extLst>
            <a:ext uri="{FF2B5EF4-FFF2-40B4-BE49-F238E27FC236}">
              <a16:creationId xmlns:a16="http://schemas.microsoft.com/office/drawing/2014/main" id="{00000000-0008-0000-0900-000033BC0000}"/>
            </a:ext>
          </a:extLst>
        </xdr:cNvPr>
        <xdr:cNvSpPr txBox="1">
          <a:spLocks noChangeArrowheads="1"/>
        </xdr:cNvSpPr>
      </xdr:nvSpPr>
      <xdr:spPr bwMode="auto">
        <a:xfrm>
          <a:off x="7134225" y="23040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900-000003040000}"/>
            </a:ext>
          </a:extLst>
        </xdr:cNvPr>
        <xdr:cNvSpPr txBox="1">
          <a:spLocks noChangeArrowheads="1"/>
        </xdr:cNvSpPr>
      </xdr:nvSpPr>
      <xdr:spPr bwMode="auto">
        <a:xfrm>
          <a:off x="4649372" y="5529372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900-000006040000}"/>
            </a:ext>
          </a:extLst>
        </xdr:cNvPr>
        <xdr:cNvSpPr txBox="1">
          <a:spLocks noChangeArrowheads="1"/>
        </xdr:cNvSpPr>
      </xdr:nvSpPr>
      <xdr:spPr bwMode="auto">
        <a:xfrm>
          <a:off x="4670767" y="59963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900-000007040000}"/>
            </a:ext>
          </a:extLst>
        </xdr:cNvPr>
        <xdr:cNvSpPr txBox="1">
          <a:spLocks noChangeArrowheads="1"/>
        </xdr:cNvSpPr>
      </xdr:nvSpPr>
      <xdr:spPr bwMode="auto">
        <a:xfrm>
          <a:off x="4670767" y="599631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37" name="Text Box 4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>
          <a:spLocks noChangeArrowheads="1"/>
        </xdr:cNvSpPr>
      </xdr:nvSpPr>
      <xdr:spPr bwMode="auto">
        <a:xfrm>
          <a:off x="5753100" y="4922535"/>
          <a:ext cx="577508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>
          <a:spLocks noChangeArrowheads="1"/>
        </xdr:cNvSpPr>
      </xdr:nvSpPr>
      <xdr:spPr bwMode="auto">
        <a:xfrm>
          <a:off x="5763797" y="4910247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 txBox="1">
          <a:spLocks noChangeArrowheads="1"/>
        </xdr:cNvSpPr>
      </xdr:nvSpPr>
      <xdr:spPr bwMode="auto">
        <a:xfrm>
          <a:off x="5785192" y="5396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 txBox="1">
          <a:spLocks noChangeArrowheads="1"/>
        </xdr:cNvSpPr>
      </xdr:nvSpPr>
      <xdr:spPr bwMode="auto">
        <a:xfrm>
          <a:off x="5785192" y="53962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>
          <a:spLocks noChangeArrowheads="1"/>
        </xdr:cNvSpPr>
      </xdr:nvSpPr>
      <xdr:spPr bwMode="auto">
        <a:xfrm>
          <a:off x="5785192" y="5586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>
          <a:spLocks noChangeArrowheads="1"/>
        </xdr:cNvSpPr>
      </xdr:nvSpPr>
      <xdr:spPr bwMode="auto">
        <a:xfrm>
          <a:off x="5785192" y="5586740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>
          <a:spLocks noChangeArrowheads="1"/>
        </xdr:cNvSpPr>
      </xdr:nvSpPr>
      <xdr:spPr bwMode="auto">
        <a:xfrm>
          <a:off x="5648325" y="4541535"/>
          <a:ext cx="1679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>
          <a:spLocks noChangeArrowheads="1"/>
        </xdr:cNvSpPr>
      </xdr:nvSpPr>
      <xdr:spPr bwMode="auto">
        <a:xfrm>
          <a:off x="5648325" y="4541535"/>
          <a:ext cx="1679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28</xdr:row>
      <xdr:rowOff>0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>
          <a:spLocks noChangeArrowheads="1"/>
        </xdr:cNvSpPr>
      </xdr:nvSpPr>
      <xdr:spPr bwMode="auto">
        <a:xfrm>
          <a:off x="5648325" y="4541535"/>
          <a:ext cx="1679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 txBox="1">
          <a:spLocks noChangeArrowheads="1"/>
        </xdr:cNvSpPr>
      </xdr:nvSpPr>
      <xdr:spPr bwMode="auto">
        <a:xfrm>
          <a:off x="5773322" y="4433997"/>
          <a:ext cx="3018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 txBox="1">
          <a:spLocks noChangeArrowheads="1"/>
        </xdr:cNvSpPr>
      </xdr:nvSpPr>
      <xdr:spPr bwMode="auto">
        <a:xfrm>
          <a:off x="5794717" y="49199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65" name="Text Box 7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 txBox="1">
          <a:spLocks noChangeArrowheads="1"/>
        </xdr:cNvSpPr>
      </xdr:nvSpPr>
      <xdr:spPr bwMode="auto">
        <a:xfrm>
          <a:off x="5794717" y="49199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 txBox="1">
          <a:spLocks noChangeArrowheads="1"/>
        </xdr:cNvSpPr>
      </xdr:nvSpPr>
      <xdr:spPr bwMode="auto">
        <a:xfrm>
          <a:off x="5794717" y="51104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67" name="Text Box 7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 txBox="1">
          <a:spLocks noChangeArrowheads="1"/>
        </xdr:cNvSpPr>
      </xdr:nvSpPr>
      <xdr:spPr bwMode="auto">
        <a:xfrm>
          <a:off x="5794717" y="5110490"/>
          <a:ext cx="2828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26</xdr:row>
      <xdr:rowOff>52497</xdr:rowOff>
    </xdr:from>
    <xdr:to>
      <xdr:col>9</xdr:col>
      <xdr:colOff>712616</xdr:colOff>
      <xdr:row>26</xdr:row>
      <xdr:rowOff>52497</xdr:rowOff>
    </xdr:to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26</xdr:row>
      <xdr:rowOff>52497</xdr:rowOff>
    </xdr:from>
    <xdr:to>
      <xdr:col>9</xdr:col>
      <xdr:colOff>712616</xdr:colOff>
      <xdr:row>26</xdr:row>
      <xdr:rowOff>52497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29</xdr:row>
      <xdr:rowOff>117282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27</xdr:row>
      <xdr:rowOff>52497</xdr:rowOff>
    </xdr:from>
    <xdr:to>
      <xdr:col>9</xdr:col>
      <xdr:colOff>712616</xdr:colOff>
      <xdr:row>27</xdr:row>
      <xdr:rowOff>52497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27</xdr:row>
      <xdr:rowOff>52497</xdr:rowOff>
    </xdr:from>
    <xdr:to>
      <xdr:col>9</xdr:col>
      <xdr:colOff>712616</xdr:colOff>
      <xdr:row>27</xdr:row>
      <xdr:rowOff>52497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91</xdr:row>
      <xdr:rowOff>0</xdr:rowOff>
    </xdr:from>
    <xdr:to>
      <xdr:col>12</xdr:col>
      <xdr:colOff>76200</xdr:colOff>
      <xdr:row>92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7324725" y="16697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76200</xdr:colOff>
      <xdr:row>97</xdr:row>
      <xdr:rowOff>9524</xdr:rowOff>
    </xdr:to>
    <xdr:sp macro="" textlink="">
      <xdr:nvSpPr>
        <xdr:cNvPr id="3" name="Text Box 4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7324725" y="17659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391697</xdr:colOff>
      <xdr:row>25</xdr:row>
      <xdr:rowOff>52497</xdr:rowOff>
    </xdr:from>
    <xdr:to>
      <xdr:col>9</xdr:col>
      <xdr:colOff>712616</xdr:colOff>
      <xdr:row>25</xdr:row>
      <xdr:rowOff>52497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5706647" y="43768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>
          <a:spLocks noChangeArrowheads="1"/>
        </xdr:cNvSpPr>
      </xdr:nvSpPr>
      <xdr:spPr bwMode="auto">
        <a:xfrm>
          <a:off x="5695950" y="41986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25</xdr:row>
      <xdr:rowOff>64785</xdr:rowOff>
    </xdr:from>
    <xdr:to>
      <xdr:col>10</xdr:col>
      <xdr:colOff>120308</xdr:colOff>
      <xdr:row>26</xdr:row>
      <xdr:rowOff>117282</xdr:rowOff>
    </xdr:to>
    <xdr:sp macro="" textlink="">
      <xdr:nvSpPr>
        <xdr:cNvPr id="13" name="Text Box 4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5695950" y="4389135"/>
          <a:ext cx="282233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26</xdr:row>
      <xdr:rowOff>64785</xdr:rowOff>
    </xdr:from>
    <xdr:to>
      <xdr:col>10</xdr:col>
      <xdr:colOff>120308</xdr:colOff>
      <xdr:row>27</xdr:row>
      <xdr:rowOff>117282</xdr:rowOff>
    </xdr:to>
    <xdr:sp macro="" textlink="">
      <xdr:nvSpPr>
        <xdr:cNvPr id="14" name="Text Box 4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>
          <a:spLocks noChangeArrowheads="1"/>
        </xdr:cNvSpPr>
      </xdr:nvSpPr>
      <xdr:spPr bwMode="auto">
        <a:xfrm>
          <a:off x="5695950" y="4579635"/>
          <a:ext cx="282233" cy="2334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27</xdr:row>
      <xdr:rowOff>64785</xdr:rowOff>
    </xdr:from>
    <xdr:to>
      <xdr:col>10</xdr:col>
      <xdr:colOff>120308</xdr:colOff>
      <xdr:row>28</xdr:row>
      <xdr:rowOff>0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>
          <a:spLocks noChangeArrowheads="1"/>
        </xdr:cNvSpPr>
      </xdr:nvSpPr>
      <xdr:spPr bwMode="auto">
        <a:xfrm>
          <a:off x="5695950" y="4760610"/>
          <a:ext cx="282233" cy="116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 txBox="1">
          <a:spLocks noChangeArrowheads="1"/>
        </xdr:cNvSpPr>
      </xdr:nvSpPr>
      <xdr:spPr bwMode="auto">
        <a:xfrm>
          <a:off x="5706647" y="4186347"/>
          <a:ext cx="14946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26</xdr:row>
      <xdr:rowOff>157490</xdr:rowOff>
    </xdr:from>
    <xdr:to>
      <xdr:col>9</xdr:col>
      <xdr:colOff>734011</xdr:colOff>
      <xdr:row>26</xdr:row>
      <xdr:rowOff>157490</xdr:rowOff>
    </xdr:to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>
          <a:spLocks noChangeArrowheads="1"/>
        </xdr:cNvSpPr>
      </xdr:nvSpPr>
      <xdr:spPr bwMode="auto">
        <a:xfrm>
          <a:off x="5728042" y="4672340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413092</xdr:colOff>
      <xdr:row>27</xdr:row>
      <xdr:rowOff>157490</xdr:rowOff>
    </xdr:from>
    <xdr:to>
      <xdr:col>9</xdr:col>
      <xdr:colOff>734011</xdr:colOff>
      <xdr:row>27</xdr:row>
      <xdr:rowOff>157490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>
          <a:spLocks noChangeArrowheads="1"/>
        </xdr:cNvSpPr>
      </xdr:nvSpPr>
      <xdr:spPr bwMode="auto">
        <a:xfrm>
          <a:off x="5728042" y="4853315"/>
          <a:ext cx="1304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381000</xdr:colOff>
      <xdr:row>24</xdr:row>
      <xdr:rowOff>64785</xdr:rowOff>
    </xdr:from>
    <xdr:to>
      <xdr:col>10</xdr:col>
      <xdr:colOff>120308</xdr:colOff>
      <xdr:row>25</xdr:row>
      <xdr:rowOff>117282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SpPr txBox="1">
          <a:spLocks noChangeArrowheads="1"/>
        </xdr:cNvSpPr>
      </xdr:nvSpPr>
      <xdr:spPr bwMode="auto">
        <a:xfrm>
          <a:off x="6648450" y="4198635"/>
          <a:ext cx="158408" cy="2429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8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000"/>
            </a:lnSpc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M </a:t>
          </a: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 txBox="1">
          <a:spLocks noChangeArrowheads="1"/>
        </xdr:cNvSpPr>
      </xdr:nvSpPr>
      <xdr:spPr bwMode="auto">
        <a:xfrm>
          <a:off x="6659147" y="4186347"/>
          <a:ext cx="2564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9</xdr:col>
      <xdr:colOff>391697</xdr:colOff>
      <xdr:row>24</xdr:row>
      <xdr:rowOff>52497</xdr:rowOff>
    </xdr:from>
    <xdr:to>
      <xdr:col>9</xdr:col>
      <xdr:colOff>712616</xdr:colOff>
      <xdr:row>24</xdr:row>
      <xdr:rowOff>52497</xdr:rowOff>
    </xdr:to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 txBox="1">
          <a:spLocks noChangeArrowheads="1"/>
        </xdr:cNvSpPr>
      </xdr:nvSpPr>
      <xdr:spPr bwMode="auto">
        <a:xfrm>
          <a:off x="6659147" y="4186347"/>
          <a:ext cx="2564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5</xdr:col>
      <xdr:colOff>413092</xdr:colOff>
      <xdr:row>44</xdr:row>
      <xdr:rowOff>157490</xdr:rowOff>
    </xdr:from>
    <xdr:to>
      <xdr:col>5</xdr:col>
      <xdr:colOff>734011</xdr:colOff>
      <xdr:row>44</xdr:row>
      <xdr:rowOff>157490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EAEC16B-D72D-4B7D-8238-737C13539C83}"/>
            </a:ext>
          </a:extLst>
        </xdr:cNvPr>
        <xdr:cNvSpPr txBox="1">
          <a:spLocks noChangeArrowheads="1"/>
        </xdr:cNvSpPr>
      </xdr:nvSpPr>
      <xdr:spPr bwMode="auto">
        <a:xfrm>
          <a:off x="3118192" y="8301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  <xdr:twoCellAnchor>
    <xdr:from>
      <xdr:col>5</xdr:col>
      <xdr:colOff>413092</xdr:colOff>
      <xdr:row>44</xdr:row>
      <xdr:rowOff>157490</xdr:rowOff>
    </xdr:from>
    <xdr:to>
      <xdr:col>5</xdr:col>
      <xdr:colOff>734011</xdr:colOff>
      <xdr:row>44</xdr:row>
      <xdr:rowOff>157490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D5954ACC-9974-40AC-AB3A-806C399EEE62}"/>
            </a:ext>
          </a:extLst>
        </xdr:cNvPr>
        <xdr:cNvSpPr txBox="1">
          <a:spLocks noChangeArrowheads="1"/>
        </xdr:cNvSpPr>
      </xdr:nvSpPr>
      <xdr:spPr bwMode="auto">
        <a:xfrm>
          <a:off x="3118192" y="8301365"/>
          <a:ext cx="320919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l-G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FTWARE%20PASSWORD%202020\SOFTWARE%20Lingkup%20Akreditasi\WAKTU%20FREKUENSI\software\CENTRIFUGE%20KALIBRASI%2005.01.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-1-9-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OFTWARE%20KELISTRIKAN\Hary\DEFIBRILLATOR%20Ok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laipfkbanjarbaru-my.sharepoint.com/Users/USER/AppData/Local/Temp/Rar$DIa0.924/Syringe%20Pump%208.11.202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DATA%20BPFK\LABORATORIUM%20FLOW%20DAN%20VOLUME\10.%20SOFTWARE%20LAB%20VOLUME%20&amp;%20LK\MASTER%20TH%202021\MASTER%20THERMOHYG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wayat Revisi"/>
      <sheetName val="LK"/>
      <sheetName val="ID"/>
      <sheetName val="UB"/>
      <sheetName val="PENYELIA"/>
      <sheetName val="LHK"/>
      <sheetName val="DB Tachometer"/>
      <sheetName val="DB Stopwatch"/>
      <sheetName val="DB Kelistrikan"/>
      <sheetName val="DB Thermohygro"/>
    </sheetNames>
    <sheetDataSet>
      <sheetData sheetId="0"/>
      <sheetData sheetId="1"/>
      <sheetData sheetId="2">
        <row r="44">
          <cell r="F44">
            <v>300.51</v>
          </cell>
          <cell r="G44"/>
          <cell r="H44">
            <v>300.61</v>
          </cell>
          <cell r="I44"/>
          <cell r="J44">
            <v>300.41000000000003</v>
          </cell>
          <cell r="K44"/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TIFIKAT"/>
      <sheetName val="Riwayat Revisi"/>
      <sheetName val="LK"/>
      <sheetName val="ID"/>
      <sheetName val="UB"/>
      <sheetName val="PENYELIA"/>
      <sheetName val="LH"/>
      <sheetName val="DB ESA"/>
      <sheetName val="DB Thermohygro"/>
      <sheetName val="DB ECG"/>
      <sheetName val="SERT RESISTOR"/>
      <sheetName val="Sert Stopwatch"/>
      <sheetName val="Ktps"/>
      <sheetName val="ESA"/>
      <sheetName val="LH hanya Lampu"/>
      <sheetName val=" LH Laragon"/>
      <sheetName val="kata-kata"/>
      <sheetName val="SCOPE"/>
      <sheetName val="Sheet1"/>
      <sheetName val="Surat Keterangan"/>
      <sheetName val="DB Thermohygro "/>
    </sheetNames>
    <sheetDataSet>
      <sheetData sheetId="0"/>
      <sheetData sheetId="1"/>
      <sheetData sheetId="2"/>
      <sheetData sheetId="3">
        <row r="1">
          <cell r="A1" t="str">
            <v>INPUT DATA KALIBRASI HEART RATE MONITOR</v>
          </cell>
        </row>
        <row r="2">
          <cell r="I2" t="str">
            <v>1 / VIII - 22 / E - 008.27 DL</v>
          </cell>
        </row>
        <row r="11">
          <cell r="E11" t="str">
            <v>-</v>
          </cell>
        </row>
      </sheetData>
      <sheetData sheetId="4"/>
      <sheetData sheetId="5"/>
      <sheetData sheetId="6">
        <row r="5">
          <cell r="E5" t="str">
            <v>-</v>
          </cell>
        </row>
        <row r="6">
          <cell r="E6" t="str">
            <v>-</v>
          </cell>
        </row>
        <row r="7">
          <cell r="E7" t="str">
            <v>-</v>
          </cell>
        </row>
        <row r="8">
          <cell r="E8" t="str">
            <v>-</v>
          </cell>
        </row>
        <row r="9">
          <cell r="E9" t="str">
            <v>-</v>
          </cell>
        </row>
        <row r="10">
          <cell r="E10" t="str">
            <v>-</v>
          </cell>
        </row>
        <row r="11">
          <cell r="E11" t="str">
            <v>KL.MK -16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"/>
      <sheetName val="revisi"/>
      <sheetName val="kata-kata"/>
      <sheetName val="Input"/>
      <sheetName val="Budget"/>
      <sheetName val="Penyelia"/>
      <sheetName val="LHK"/>
      <sheetName val="DB Suhu"/>
      <sheetName val="DB Stopwatch"/>
      <sheetName val="DB Kelistrikan"/>
      <sheetName val="Input Data Sertifikat Defib"/>
    </sheetNames>
    <sheetDataSet>
      <sheetData sheetId="0"/>
      <sheetData sheetId="1"/>
      <sheetData sheetId="2"/>
      <sheetData sheetId="3">
        <row r="36">
          <cell r="D36">
            <v>5</v>
          </cell>
        </row>
        <row r="37">
          <cell r="D37">
            <v>10</v>
          </cell>
        </row>
        <row r="38">
          <cell r="D38">
            <v>20</v>
          </cell>
        </row>
        <row r="39">
          <cell r="D39">
            <v>30</v>
          </cell>
        </row>
        <row r="40">
          <cell r="D40">
            <v>50</v>
          </cell>
        </row>
        <row r="41">
          <cell r="D41">
            <v>100</v>
          </cell>
        </row>
        <row r="42">
          <cell r="D42">
            <v>150</v>
          </cell>
        </row>
        <row r="43">
          <cell r="D43">
            <v>200</v>
          </cell>
        </row>
        <row r="44">
          <cell r="D44">
            <v>300</v>
          </cell>
        </row>
        <row r="55">
          <cell r="H55">
            <v>14.002333333333333</v>
          </cell>
        </row>
      </sheetData>
      <sheetData sheetId="4"/>
      <sheetData sheetId="5">
        <row r="31">
          <cell r="D31"/>
        </row>
      </sheetData>
      <sheetData sheetId="6"/>
      <sheetData sheetId="7"/>
      <sheetData sheetId="8">
        <row r="177">
          <cell r="L177">
            <v>0</v>
          </cell>
          <cell r="M177">
            <v>2.8004666666666667E-2</v>
          </cell>
        </row>
      </sheetData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"/>
      <sheetName val="Riwayat Revisi"/>
      <sheetName val="INPUT DATA"/>
      <sheetName val="UB"/>
      <sheetName val="PENYELIA"/>
      <sheetName val="LHK"/>
      <sheetName val="DB Thermohygro"/>
      <sheetName val="DB Kelistrikan"/>
      <sheetName val="DB IDA"/>
      <sheetName val="SCORING"/>
    </sheetNames>
    <sheetDataSet>
      <sheetData sheetId="0"/>
      <sheetData sheetId="1"/>
      <sheetData sheetId="2">
        <row r="17">
          <cell r="E17">
            <v>27.5</v>
          </cell>
          <cell r="F17">
            <v>27.6</v>
          </cell>
        </row>
        <row r="18">
          <cell r="E18">
            <v>79.7</v>
          </cell>
          <cell r="F18">
            <v>79.2</v>
          </cell>
        </row>
        <row r="57">
          <cell r="B57" t="str">
            <v>Thermohygrolight, Merek : EXTECH, Model : SD700, SN : A.100615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"/>
      <sheetName val="INPUT DATA"/>
      <sheetName val="UB"/>
      <sheetName val="PENYELIA"/>
      <sheetName val="LHK"/>
      <sheetName val="DB Thermohygro"/>
      <sheetName val="DB Gas Analyzer"/>
      <sheetName val="SCORING"/>
    </sheetNames>
    <sheetDataSet>
      <sheetData sheetId="0"/>
      <sheetData sheetId="1">
        <row r="17">
          <cell r="E17">
            <v>1013</v>
          </cell>
          <cell r="F17">
            <v>1010.1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3C6-808B-4245-941F-17DA41F81A03}">
  <sheetPr>
    <tabColor rgb="FFFF0000"/>
  </sheetPr>
  <dimension ref="A1:AF244"/>
  <sheetViews>
    <sheetView view="pageBreakPreview" topLeftCell="A211" zoomScaleNormal="100" zoomScaleSheetLayoutView="100" workbookViewId="0">
      <selection activeCell="O221" sqref="O221"/>
    </sheetView>
  </sheetViews>
  <sheetFormatPr defaultRowHeight="12.5"/>
  <cols>
    <col min="1" max="1" width="11.7265625" customWidth="1"/>
    <col min="2" max="2" width="9.26953125" customWidth="1"/>
    <col min="4" max="4" width="11" customWidth="1"/>
    <col min="5" max="5" width="10.26953125" customWidth="1"/>
    <col min="6" max="6" width="9.1796875" customWidth="1"/>
    <col min="7" max="7" width="10.26953125" customWidth="1"/>
    <col min="8" max="8" width="11.26953125" customWidth="1"/>
    <col min="9" max="9" width="9.26953125" customWidth="1"/>
    <col min="11" max="11" width="10.54296875" customWidth="1"/>
    <col min="12" max="13" width="10.1796875" customWidth="1"/>
    <col min="14" max="14" width="10.54296875" customWidth="1"/>
    <col min="15" max="15" width="12.26953125" customWidth="1"/>
    <col min="16" max="16" width="9.26953125" customWidth="1"/>
  </cols>
  <sheetData>
    <row r="1" spans="1:32" ht="13.5" thickBot="1">
      <c r="A1" s="785"/>
      <c r="B1" s="785"/>
      <c r="C1" s="786"/>
      <c r="D1" s="787"/>
      <c r="E1" s="787"/>
      <c r="F1" s="787"/>
      <c r="G1" s="788"/>
      <c r="H1" s="789"/>
      <c r="I1" s="789"/>
      <c r="J1" s="785"/>
      <c r="K1" s="786"/>
      <c r="L1" s="787"/>
      <c r="M1" s="787"/>
      <c r="N1" s="787"/>
      <c r="O1" s="788"/>
      <c r="P1" s="788"/>
      <c r="Q1" s="789"/>
      <c r="R1" s="789"/>
      <c r="S1" s="789"/>
      <c r="T1" s="790"/>
    </row>
    <row r="2" spans="1:32" ht="15">
      <c r="A2" s="1779" t="s">
        <v>0</v>
      </c>
      <c r="B2" s="1780"/>
      <c r="C2" s="1780"/>
      <c r="D2" s="1780"/>
      <c r="E2" s="1780"/>
      <c r="F2" s="1780"/>
      <c r="G2" s="1780"/>
      <c r="H2" s="1780"/>
      <c r="I2" s="1780"/>
      <c r="J2" s="1780"/>
      <c r="K2" s="1780"/>
      <c r="L2" s="1780"/>
      <c r="M2" s="1780"/>
      <c r="N2" s="1780"/>
      <c r="O2" s="1780"/>
      <c r="P2" s="1780"/>
      <c r="Q2" s="1780"/>
      <c r="R2" s="1780"/>
      <c r="S2" s="1780"/>
      <c r="T2" s="1781"/>
      <c r="U2" s="791"/>
      <c r="V2" s="792"/>
      <c r="W2" s="792"/>
      <c r="X2" s="792"/>
      <c r="Y2" s="792"/>
      <c r="Z2" s="792"/>
      <c r="AA2" s="792"/>
      <c r="AB2" s="792"/>
      <c r="AC2" s="792"/>
      <c r="AD2" s="792"/>
      <c r="AE2" s="792"/>
      <c r="AF2" s="792"/>
    </row>
    <row r="3" spans="1:32" ht="15.75" customHeight="1">
      <c r="A3" s="1782" t="s">
        <v>1</v>
      </c>
      <c r="B3" s="1783"/>
      <c r="C3" s="1784"/>
      <c r="D3" s="1784"/>
      <c r="E3" s="1747" t="s">
        <v>2</v>
      </c>
      <c r="F3" s="1748" t="s">
        <v>3</v>
      </c>
      <c r="G3" s="793"/>
      <c r="H3" s="1784" t="s">
        <v>4</v>
      </c>
      <c r="I3" s="1784"/>
      <c r="J3" s="1784"/>
      <c r="K3" s="1784"/>
      <c r="L3" s="1747" t="s">
        <v>2</v>
      </c>
      <c r="M3" s="1748" t="str">
        <f>F3</f>
        <v>U95 STD</v>
      </c>
      <c r="N3" s="794"/>
      <c r="O3" s="1784" t="s">
        <v>5</v>
      </c>
      <c r="P3" s="1784"/>
      <c r="Q3" s="1784"/>
      <c r="R3" s="1784"/>
      <c r="S3" s="1747" t="s">
        <v>2</v>
      </c>
      <c r="T3" s="1767" t="str">
        <f>M3</f>
        <v>U95 STD</v>
      </c>
      <c r="V3" s="772"/>
      <c r="W3" s="772"/>
      <c r="X3" s="772"/>
      <c r="Y3" s="795"/>
      <c r="Z3" s="796"/>
      <c r="AA3" s="797"/>
      <c r="AB3" s="773"/>
      <c r="AC3" s="773"/>
      <c r="AD3" s="773"/>
      <c r="AE3" s="795"/>
      <c r="AF3" s="796"/>
    </row>
    <row r="4" spans="1:32" ht="12.75" customHeight="1">
      <c r="A4" s="798" t="s">
        <v>6</v>
      </c>
      <c r="B4" s="1749" t="s">
        <v>7</v>
      </c>
      <c r="C4" s="1750"/>
      <c r="D4" s="1751"/>
      <c r="E4" s="1747"/>
      <c r="F4" s="1748"/>
      <c r="G4" s="799"/>
      <c r="H4" s="800" t="str">
        <f>A4</f>
        <v>Timer</v>
      </c>
      <c r="I4" s="1749" t="s">
        <v>7</v>
      </c>
      <c r="J4" s="1750"/>
      <c r="K4" s="1751"/>
      <c r="L4" s="1747"/>
      <c r="M4" s="1748"/>
      <c r="N4" s="794"/>
      <c r="O4" s="800" t="str">
        <f>H4</f>
        <v>Timer</v>
      </c>
      <c r="P4" s="1749" t="s">
        <v>7</v>
      </c>
      <c r="Q4" s="1750"/>
      <c r="R4" s="1751"/>
      <c r="S4" s="1747"/>
      <c r="T4" s="1767"/>
      <c r="V4" s="801"/>
      <c r="W4" s="795"/>
      <c r="X4" s="795"/>
      <c r="Y4" s="795"/>
      <c r="Z4" s="796"/>
      <c r="AA4" s="797"/>
      <c r="AB4" s="801"/>
      <c r="AC4" s="795"/>
      <c r="AD4" s="795"/>
      <c r="AE4" s="795"/>
      <c r="AF4" s="796"/>
    </row>
    <row r="5" spans="1:32" ht="12.75" customHeight="1">
      <c r="A5" s="235" t="s">
        <v>8</v>
      </c>
      <c r="B5" s="802">
        <v>2022</v>
      </c>
      <c r="C5" s="803">
        <v>2021</v>
      </c>
      <c r="D5" s="803">
        <v>2016</v>
      </c>
      <c r="E5" s="1747"/>
      <c r="F5" s="1748"/>
      <c r="G5" s="804" t="s">
        <v>9</v>
      </c>
      <c r="H5" s="774" t="str">
        <f>A5</f>
        <v>s</v>
      </c>
      <c r="I5" s="802">
        <v>2022</v>
      </c>
      <c r="J5" s="803">
        <v>2021</v>
      </c>
      <c r="K5" s="803">
        <v>2018</v>
      </c>
      <c r="L5" s="1747"/>
      <c r="M5" s="1748"/>
      <c r="N5" s="804" t="s">
        <v>9</v>
      </c>
      <c r="O5" s="774" t="str">
        <f>H5</f>
        <v>s</v>
      </c>
      <c r="P5" s="802">
        <v>2022</v>
      </c>
      <c r="Q5" s="803">
        <v>2018</v>
      </c>
      <c r="R5" s="803">
        <v>2017</v>
      </c>
      <c r="S5" s="1747"/>
      <c r="T5" s="1767"/>
      <c r="V5" s="775"/>
      <c r="W5" s="801"/>
      <c r="X5" s="805"/>
      <c r="Y5" s="795"/>
      <c r="Z5" s="796"/>
      <c r="AA5" s="797"/>
      <c r="AB5" s="775"/>
      <c r="AC5" s="801"/>
      <c r="AD5" s="801"/>
      <c r="AE5" s="795"/>
      <c r="AF5" s="796"/>
    </row>
    <row r="6" spans="1:32" ht="13.5" customHeight="1">
      <c r="A6" s="806">
        <v>0</v>
      </c>
      <c r="B6" s="807" t="s">
        <v>10</v>
      </c>
      <c r="C6" s="808">
        <v>0</v>
      </c>
      <c r="D6" s="808">
        <v>0</v>
      </c>
      <c r="E6" s="809">
        <f>IFERROR(IF(OR(C6="-",D6="-"),1/3*F6,0.5*(MAX(C6:D6)-MIN(C6:D6))),0)</f>
        <v>0</v>
      </c>
      <c r="F6" s="810">
        <v>0.12</v>
      </c>
      <c r="G6" s="804">
        <v>1</v>
      </c>
      <c r="H6" s="806">
        <v>0</v>
      </c>
      <c r="I6" s="807" t="s">
        <v>10</v>
      </c>
      <c r="J6" s="811">
        <v>0</v>
      </c>
      <c r="K6" s="812">
        <v>0</v>
      </c>
      <c r="L6" s="809">
        <f>IFERROR(IF(OR(J6="-",K6="-"),1/3*M6,0.5*(MAX(J6:K6)-MIN(J6:K6))),0)</f>
        <v>0</v>
      </c>
      <c r="M6" s="810">
        <v>0.12</v>
      </c>
      <c r="N6" s="804">
        <v>1</v>
      </c>
      <c r="O6" s="813">
        <v>0</v>
      </c>
      <c r="P6" s="807" t="s">
        <v>10</v>
      </c>
      <c r="Q6" s="812">
        <v>0</v>
      </c>
      <c r="R6" s="811">
        <v>0</v>
      </c>
      <c r="S6" s="809">
        <f>IFERROR(IF(OR(Q6="-",R6="-"),1/3*T6,0.5*(MAX(Q6:R6)-MIN(Q6:R6))),0)</f>
        <v>0</v>
      </c>
      <c r="T6" s="814">
        <v>0</v>
      </c>
      <c r="V6" s="815"/>
      <c r="W6" s="816"/>
      <c r="X6" s="817"/>
      <c r="Y6" s="818"/>
      <c r="Z6" s="819"/>
      <c r="AA6" s="797"/>
      <c r="AB6" s="815"/>
      <c r="AC6" s="816"/>
      <c r="AD6" s="819"/>
      <c r="AE6" s="818"/>
      <c r="AF6" s="819"/>
    </row>
    <row r="7" spans="1:32" ht="13.5" customHeight="1">
      <c r="A7" s="806">
        <v>10</v>
      </c>
      <c r="B7" s="807" t="s">
        <v>10</v>
      </c>
      <c r="C7" s="808">
        <v>-1E-3</v>
      </c>
      <c r="D7" s="808" t="s">
        <v>10</v>
      </c>
      <c r="E7" s="809">
        <f t="shared" ref="E7:E15" si="0">IFERROR(IF(OR(C7="-",D7="-"),1/3*F7,0.5*(MAX(C7:D7)-MIN(C7:D7))),0)</f>
        <v>3.9999999999999994E-2</v>
      </c>
      <c r="F7" s="810">
        <v>0.12</v>
      </c>
      <c r="G7" s="804">
        <v>2</v>
      </c>
      <c r="H7" s="806">
        <v>10</v>
      </c>
      <c r="I7" s="807" t="s">
        <v>10</v>
      </c>
      <c r="J7" s="811">
        <v>1E-3</v>
      </c>
      <c r="K7" s="820" t="s">
        <v>10</v>
      </c>
      <c r="L7" s="809">
        <f t="shared" ref="L7:L16" si="1">IFERROR(IF(OR(J7="-",K7="-"),1/3*M7,0.5*(MAX(J7:K7)-MIN(J7:K7))),0)</f>
        <v>3.9999999999999994E-2</v>
      </c>
      <c r="M7" s="810">
        <v>0.12</v>
      </c>
      <c r="N7" s="804">
        <v>2</v>
      </c>
      <c r="O7" s="806">
        <v>10</v>
      </c>
      <c r="P7" s="807" t="s">
        <v>10</v>
      </c>
      <c r="Q7" s="812">
        <v>0</v>
      </c>
      <c r="R7" s="811" t="s">
        <v>10</v>
      </c>
      <c r="S7" s="809">
        <f t="shared" ref="S7:S16" si="2">IFERROR(IF(OR(Q7="-",R7="-"),1/3*T7,0.5*(MAX(Q7:R7)-MIN(Q7:R7))),0)</f>
        <v>3.9999999999999994E-2</v>
      </c>
      <c r="T7" s="814">
        <v>0.12</v>
      </c>
      <c r="V7" s="815"/>
      <c r="W7" s="816"/>
      <c r="X7" s="817"/>
      <c r="Y7" s="818"/>
      <c r="Z7" s="819"/>
      <c r="AA7" s="797"/>
      <c r="AB7" s="815"/>
      <c r="AC7" s="816"/>
      <c r="AD7" s="819"/>
      <c r="AE7" s="818"/>
      <c r="AF7" s="819"/>
    </row>
    <row r="8" spans="1:32" ht="13.5" customHeight="1">
      <c r="A8" s="806">
        <v>20</v>
      </c>
      <c r="B8" s="807" t="s">
        <v>10</v>
      </c>
      <c r="C8" s="808">
        <v>-1E-3</v>
      </c>
      <c r="D8" s="808" t="s">
        <v>10</v>
      </c>
      <c r="E8" s="809">
        <f t="shared" si="0"/>
        <v>3.9999999999999994E-2</v>
      </c>
      <c r="F8" s="810">
        <v>0.12</v>
      </c>
      <c r="G8" s="804">
        <v>3</v>
      </c>
      <c r="H8" s="806">
        <v>20</v>
      </c>
      <c r="I8" s="807" t="s">
        <v>10</v>
      </c>
      <c r="J8" s="811">
        <v>1E-3</v>
      </c>
      <c r="K8" s="820" t="s">
        <v>10</v>
      </c>
      <c r="L8" s="809">
        <f>IFERROR(IF(OR(J8="-",K8="-"),1/3*M8,0.5*(MAX(J8:K8)-MIN(J8:K8))),0)</f>
        <v>3.9999999999999994E-2</v>
      </c>
      <c r="M8" s="810">
        <v>0.12</v>
      </c>
      <c r="N8" s="804">
        <v>3</v>
      </c>
      <c r="O8" s="806">
        <v>20</v>
      </c>
      <c r="P8" s="807" t="s">
        <v>10</v>
      </c>
      <c r="Q8" s="812">
        <v>0</v>
      </c>
      <c r="R8" s="811" t="s">
        <v>10</v>
      </c>
      <c r="S8" s="809">
        <f t="shared" si="2"/>
        <v>3.9999999999999994E-2</v>
      </c>
      <c r="T8" s="814">
        <v>0.12</v>
      </c>
      <c r="V8" s="815"/>
      <c r="W8" s="816"/>
      <c r="X8" s="817"/>
      <c r="Y8" s="818"/>
      <c r="Z8" s="819"/>
      <c r="AA8" s="797"/>
      <c r="AB8" s="815"/>
      <c r="AC8" s="816"/>
      <c r="AD8" s="819"/>
      <c r="AE8" s="818"/>
      <c r="AF8" s="819"/>
    </row>
    <row r="9" spans="1:32" ht="13.5" customHeight="1">
      <c r="A9" s="806">
        <v>30</v>
      </c>
      <c r="B9" s="807" t="s">
        <v>10</v>
      </c>
      <c r="C9" s="808">
        <v>-1E-3</v>
      </c>
      <c r="D9" s="808" t="s">
        <v>10</v>
      </c>
      <c r="E9" s="809">
        <f t="shared" si="0"/>
        <v>3.9999999999999994E-2</v>
      </c>
      <c r="F9" s="810">
        <v>0.12</v>
      </c>
      <c r="G9" s="804">
        <v>4</v>
      </c>
      <c r="H9" s="806">
        <v>30</v>
      </c>
      <c r="I9" s="807" t="s">
        <v>10</v>
      </c>
      <c r="J9" s="811">
        <v>1E-3</v>
      </c>
      <c r="K9" s="820" t="s">
        <v>10</v>
      </c>
      <c r="L9" s="809">
        <f t="shared" si="1"/>
        <v>3.9999999999999994E-2</v>
      </c>
      <c r="M9" s="810">
        <v>0.12</v>
      </c>
      <c r="N9" s="804">
        <v>4</v>
      </c>
      <c r="O9" s="806">
        <v>30</v>
      </c>
      <c r="P9" s="807" t="s">
        <v>10</v>
      </c>
      <c r="Q9" s="812">
        <v>0</v>
      </c>
      <c r="R9" s="811" t="s">
        <v>10</v>
      </c>
      <c r="S9" s="809">
        <f>IFERROR(IF(OR(Q9="-",R9="-"),1/3*T9,0.5*(MAX(Q9:R9)-MIN(Q9:R9))),0)</f>
        <v>3.9999999999999994E-2</v>
      </c>
      <c r="T9" s="814">
        <v>0.12</v>
      </c>
      <c r="V9" s="815"/>
      <c r="W9" s="816"/>
      <c r="X9" s="817"/>
      <c r="Y9" s="818"/>
      <c r="Z9" s="819"/>
      <c r="AA9" s="797"/>
      <c r="AB9" s="815"/>
      <c r="AC9" s="816"/>
      <c r="AD9" s="819"/>
      <c r="AE9" s="818"/>
      <c r="AF9" s="819"/>
    </row>
    <row r="10" spans="1:32" ht="13.5" customHeight="1">
      <c r="A10" s="806">
        <v>40</v>
      </c>
      <c r="B10" s="807" t="s">
        <v>10</v>
      </c>
      <c r="C10" s="808">
        <v>-1E-3</v>
      </c>
      <c r="D10" s="808" t="s">
        <v>10</v>
      </c>
      <c r="E10" s="809">
        <f t="shared" si="0"/>
        <v>3.9999999999999994E-2</v>
      </c>
      <c r="F10" s="810">
        <v>0.12</v>
      </c>
      <c r="G10" s="804">
        <v>5</v>
      </c>
      <c r="H10" s="806">
        <v>40</v>
      </c>
      <c r="I10" s="807" t="s">
        <v>10</v>
      </c>
      <c r="J10" s="811">
        <v>1E-3</v>
      </c>
      <c r="K10" s="820" t="s">
        <v>10</v>
      </c>
      <c r="L10" s="809">
        <f t="shared" si="1"/>
        <v>3.9999999999999994E-2</v>
      </c>
      <c r="M10" s="810">
        <v>0.12</v>
      </c>
      <c r="N10" s="804">
        <v>5</v>
      </c>
      <c r="O10" s="806">
        <v>40</v>
      </c>
      <c r="P10" s="807" t="s">
        <v>10</v>
      </c>
      <c r="Q10" s="812">
        <v>0</v>
      </c>
      <c r="R10" s="811" t="s">
        <v>10</v>
      </c>
      <c r="S10" s="809">
        <f t="shared" si="2"/>
        <v>3.9999999999999994E-2</v>
      </c>
      <c r="T10" s="814">
        <v>0.12</v>
      </c>
      <c r="V10" s="815"/>
      <c r="W10" s="816"/>
      <c r="X10" s="817"/>
      <c r="Y10" s="818"/>
      <c r="Z10" s="819"/>
      <c r="AA10" s="797"/>
      <c r="AB10" s="815"/>
      <c r="AC10" s="816"/>
      <c r="AD10" s="819"/>
      <c r="AE10" s="818"/>
      <c r="AF10" s="819"/>
    </row>
    <row r="11" spans="1:32" ht="13.5" customHeight="1">
      <c r="A11" s="806">
        <v>50</v>
      </c>
      <c r="B11" s="807" t="s">
        <v>10</v>
      </c>
      <c r="C11" s="808">
        <v>-1E-3</v>
      </c>
      <c r="D11" s="808" t="s">
        <v>10</v>
      </c>
      <c r="E11" s="809">
        <f t="shared" si="0"/>
        <v>3.9999999999999994E-2</v>
      </c>
      <c r="F11" s="810">
        <v>0.12</v>
      </c>
      <c r="G11" s="804">
        <v>6</v>
      </c>
      <c r="H11" s="806">
        <v>50</v>
      </c>
      <c r="I11" s="807" t="s">
        <v>10</v>
      </c>
      <c r="J11" s="811">
        <v>1E-3</v>
      </c>
      <c r="K11" s="820" t="s">
        <v>10</v>
      </c>
      <c r="L11" s="809">
        <f t="shared" si="1"/>
        <v>3.9999999999999994E-2</v>
      </c>
      <c r="M11" s="810">
        <v>0.12</v>
      </c>
      <c r="N11" s="804">
        <v>6</v>
      </c>
      <c r="O11" s="806">
        <v>50</v>
      </c>
      <c r="P11" s="807" t="s">
        <v>10</v>
      </c>
      <c r="Q11" s="812">
        <v>0</v>
      </c>
      <c r="R11" s="811" t="s">
        <v>10</v>
      </c>
      <c r="S11" s="809">
        <f t="shared" si="2"/>
        <v>3.9999999999999994E-2</v>
      </c>
      <c r="T11" s="814">
        <v>0.12</v>
      </c>
      <c r="V11" s="815"/>
      <c r="W11" s="816"/>
      <c r="X11" s="817"/>
      <c r="Y11" s="818"/>
      <c r="Z11" s="819"/>
      <c r="AA11" s="797"/>
      <c r="AB11" s="815"/>
      <c r="AC11" s="816"/>
      <c r="AD11" s="819"/>
      <c r="AE11" s="818"/>
      <c r="AF11" s="819"/>
    </row>
    <row r="12" spans="1:32" ht="12.75" customHeight="1">
      <c r="A12" s="806">
        <v>60</v>
      </c>
      <c r="B12" s="807" t="s">
        <v>10</v>
      </c>
      <c r="C12" s="811">
        <v>-6.0000000000000001E-3</v>
      </c>
      <c r="D12" s="808" t="s">
        <v>10</v>
      </c>
      <c r="E12" s="809">
        <f>IFERROR(IF(OR(C12="-",D12="-"),1/3*F12,0.5*(MAX(C12:D12)-MIN(C12:D12))),0)</f>
        <v>3.9999999999999994E-2</v>
      </c>
      <c r="F12" s="810">
        <v>0.12</v>
      </c>
      <c r="G12" s="804">
        <v>7</v>
      </c>
      <c r="H12" s="806">
        <v>60</v>
      </c>
      <c r="I12" s="807" t="s">
        <v>10</v>
      </c>
      <c r="J12" s="811">
        <v>3.0000000000000001E-3</v>
      </c>
      <c r="K12" s="812">
        <v>0.01</v>
      </c>
      <c r="L12" s="809">
        <f t="shared" si="1"/>
        <v>3.5000000000000001E-3</v>
      </c>
      <c r="M12" s="810">
        <v>0.12</v>
      </c>
      <c r="N12" s="804">
        <v>7</v>
      </c>
      <c r="O12" s="813">
        <v>60</v>
      </c>
      <c r="P12" s="807" t="s">
        <v>10</v>
      </c>
      <c r="Q12" s="812">
        <v>0.01</v>
      </c>
      <c r="R12" s="811">
        <v>0</v>
      </c>
      <c r="S12" s="809">
        <f t="shared" si="2"/>
        <v>5.0000000000000001E-3</v>
      </c>
      <c r="T12" s="814">
        <v>0.12</v>
      </c>
      <c r="V12" s="815"/>
      <c r="W12" s="816"/>
      <c r="X12" s="819"/>
      <c r="Y12" s="818"/>
      <c r="Z12" s="819"/>
      <c r="AA12" s="797"/>
      <c r="AB12" s="815"/>
      <c r="AC12" s="816"/>
      <c r="AD12" s="819"/>
      <c r="AE12" s="818"/>
      <c r="AF12" s="819"/>
    </row>
    <row r="13" spans="1:32" ht="12.75" customHeight="1">
      <c r="A13" s="806">
        <v>300</v>
      </c>
      <c r="B13" s="807" t="s">
        <v>10</v>
      </c>
      <c r="C13" s="811">
        <v>-2E-3</v>
      </c>
      <c r="D13" s="811">
        <v>0</v>
      </c>
      <c r="E13" s="809">
        <f t="shared" si="0"/>
        <v>1E-3</v>
      </c>
      <c r="F13" s="810">
        <v>0.12</v>
      </c>
      <c r="G13" s="804">
        <v>8</v>
      </c>
      <c r="H13" s="806">
        <v>300</v>
      </c>
      <c r="I13" s="807" t="s">
        <v>10</v>
      </c>
      <c r="J13" s="811">
        <v>3.0000000000000001E-3</v>
      </c>
      <c r="K13" s="812">
        <v>0.01</v>
      </c>
      <c r="L13" s="809">
        <f t="shared" si="1"/>
        <v>3.5000000000000001E-3</v>
      </c>
      <c r="M13" s="810">
        <v>0.12</v>
      </c>
      <c r="N13" s="804">
        <v>8</v>
      </c>
      <c r="O13" s="813">
        <v>300</v>
      </c>
      <c r="P13" s="807" t="s">
        <v>10</v>
      </c>
      <c r="Q13" s="812">
        <v>0.01</v>
      </c>
      <c r="R13" s="811">
        <v>-2E-3</v>
      </c>
      <c r="S13" s="809">
        <f t="shared" si="2"/>
        <v>6.0000000000000001E-3</v>
      </c>
      <c r="T13" s="814">
        <v>0.12</v>
      </c>
      <c r="V13" s="815"/>
      <c r="W13" s="816"/>
      <c r="X13" s="819"/>
      <c r="Y13" s="818"/>
      <c r="Z13" s="819"/>
      <c r="AA13" s="797"/>
      <c r="AB13" s="815"/>
      <c r="AC13" s="816"/>
      <c r="AD13" s="819"/>
      <c r="AE13" s="818"/>
      <c r="AF13" s="819"/>
    </row>
    <row r="14" spans="1:32" ht="12.75" customHeight="1">
      <c r="A14" s="806">
        <v>600</v>
      </c>
      <c r="B14" s="807" t="s">
        <v>10</v>
      </c>
      <c r="C14" s="808">
        <v>-8.0000000000000002E-3</v>
      </c>
      <c r="D14" s="808">
        <v>-0.01</v>
      </c>
      <c r="E14" s="809">
        <f t="shared" si="0"/>
        <v>1E-3</v>
      </c>
      <c r="F14" s="810">
        <v>0.12</v>
      </c>
      <c r="G14" s="804">
        <v>9</v>
      </c>
      <c r="H14" s="806">
        <v>600</v>
      </c>
      <c r="I14" s="807" t="s">
        <v>10</v>
      </c>
      <c r="J14" s="808">
        <v>4.0000000000000001E-3</v>
      </c>
      <c r="K14" s="820">
        <v>0.01</v>
      </c>
      <c r="L14" s="809">
        <f t="shared" si="1"/>
        <v>3.0000000000000001E-3</v>
      </c>
      <c r="M14" s="810">
        <v>0.12</v>
      </c>
      <c r="N14" s="804">
        <v>9</v>
      </c>
      <c r="O14" s="813">
        <v>600</v>
      </c>
      <c r="P14" s="807" t="s">
        <v>10</v>
      </c>
      <c r="Q14" s="820">
        <v>0.02</v>
      </c>
      <c r="R14" s="811">
        <v>-3.0000000000000001E-3</v>
      </c>
      <c r="S14" s="809">
        <f t="shared" si="2"/>
        <v>1.15E-2</v>
      </c>
      <c r="T14" s="814">
        <v>0.12</v>
      </c>
      <c r="V14" s="815"/>
      <c r="W14" s="816"/>
      <c r="X14" s="817"/>
      <c r="Y14" s="818"/>
      <c r="Z14" s="819"/>
      <c r="AA14" s="797"/>
      <c r="AB14" s="815"/>
      <c r="AC14" s="816"/>
      <c r="AD14" s="817"/>
      <c r="AE14" s="818"/>
      <c r="AF14" s="819"/>
    </row>
    <row r="15" spans="1:32" ht="12.75" customHeight="1">
      <c r="A15" s="806">
        <v>900</v>
      </c>
      <c r="B15" s="807" t="s">
        <v>10</v>
      </c>
      <c r="C15" s="808">
        <v>-8.0000000000000002E-3</v>
      </c>
      <c r="D15" s="808" t="s">
        <v>10</v>
      </c>
      <c r="E15" s="809">
        <f t="shared" si="0"/>
        <v>3.9999999999999994E-2</v>
      </c>
      <c r="F15" s="810">
        <v>0.12</v>
      </c>
      <c r="G15" s="804">
        <v>10</v>
      </c>
      <c r="H15" s="806">
        <v>900</v>
      </c>
      <c r="I15" s="807" t="s">
        <v>10</v>
      </c>
      <c r="J15" s="811">
        <v>2E-3</v>
      </c>
      <c r="K15" s="808" t="s">
        <v>10</v>
      </c>
      <c r="L15" s="809">
        <f t="shared" si="1"/>
        <v>3.9999999999999994E-2</v>
      </c>
      <c r="M15" s="810">
        <v>0.12</v>
      </c>
      <c r="N15" s="804">
        <v>10</v>
      </c>
      <c r="O15" s="813">
        <v>600</v>
      </c>
      <c r="P15" s="807" t="s">
        <v>10</v>
      </c>
      <c r="Q15" s="820">
        <v>0.02</v>
      </c>
      <c r="R15" s="811">
        <v>-3.0000000000000001E-3</v>
      </c>
      <c r="S15" s="809">
        <f t="shared" si="2"/>
        <v>1.15E-2</v>
      </c>
      <c r="T15" s="814">
        <v>0.12</v>
      </c>
      <c r="V15" s="815"/>
      <c r="W15" s="816"/>
      <c r="X15" s="817"/>
      <c r="Y15" s="818"/>
      <c r="Z15" s="819"/>
      <c r="AA15" s="797"/>
      <c r="AB15" s="815"/>
      <c r="AC15" s="816"/>
      <c r="AD15" s="817"/>
      <c r="AE15" s="818"/>
      <c r="AF15" s="819"/>
    </row>
    <row r="16" spans="1:32" ht="12.75" customHeight="1">
      <c r="A16" s="806">
        <v>1200</v>
      </c>
      <c r="B16" s="807" t="s">
        <v>10</v>
      </c>
      <c r="C16" s="808">
        <v>-1.2999999999999999E-2</v>
      </c>
      <c r="D16" s="808" t="s">
        <v>10</v>
      </c>
      <c r="E16" s="809">
        <f>IFERROR(IF(OR(C16="-",D16="-"),1/3*F16,0.5*(MAX(C16:D16)-MIN(C16:D16))),0)</f>
        <v>3.9999999999999994E-2</v>
      </c>
      <c r="F16" s="810">
        <v>0.12</v>
      </c>
      <c r="G16" s="804">
        <v>11</v>
      </c>
      <c r="H16" s="806">
        <v>1200</v>
      </c>
      <c r="I16" s="807" t="s">
        <v>10</v>
      </c>
      <c r="J16" s="811">
        <v>0</v>
      </c>
      <c r="K16" s="808" t="s">
        <v>10</v>
      </c>
      <c r="L16" s="809">
        <f t="shared" si="1"/>
        <v>3.9999999999999994E-2</v>
      </c>
      <c r="M16" s="810">
        <v>0.12</v>
      </c>
      <c r="N16" s="804">
        <v>11</v>
      </c>
      <c r="O16" s="813">
        <v>600</v>
      </c>
      <c r="P16" s="807" t="s">
        <v>10</v>
      </c>
      <c r="Q16" s="820">
        <v>0.02</v>
      </c>
      <c r="R16" s="811">
        <v>-3.0000000000000001E-3</v>
      </c>
      <c r="S16" s="809">
        <f t="shared" si="2"/>
        <v>1.15E-2</v>
      </c>
      <c r="T16" s="814">
        <v>0.12</v>
      </c>
      <c r="V16" s="815"/>
      <c r="W16" s="816"/>
      <c r="X16" s="817"/>
      <c r="Y16" s="818"/>
      <c r="Z16" s="819"/>
      <c r="AA16" s="797"/>
      <c r="AB16" s="815"/>
      <c r="AC16" s="816"/>
      <c r="AD16" s="817"/>
      <c r="AE16" s="818"/>
      <c r="AF16" s="819"/>
    </row>
    <row r="17" spans="1:32" ht="12.75" customHeight="1">
      <c r="A17" s="1771"/>
      <c r="B17" s="1772"/>
      <c r="C17" s="1772"/>
      <c r="D17" s="1772"/>
      <c r="E17" s="1772"/>
      <c r="F17" s="1773"/>
      <c r="G17" s="799"/>
      <c r="H17" s="1774"/>
      <c r="I17" s="1775"/>
      <c r="J17" s="1775"/>
      <c r="K17" s="1775"/>
      <c r="L17" s="1775"/>
      <c r="M17" s="1776"/>
      <c r="N17" s="789"/>
      <c r="O17" s="1777"/>
      <c r="P17" s="1772"/>
      <c r="Q17" s="1772"/>
      <c r="R17" s="1772"/>
      <c r="S17" s="1772"/>
      <c r="T17" s="1778"/>
      <c r="V17" s="794"/>
      <c r="W17" s="794"/>
      <c r="X17" s="794"/>
      <c r="Y17" s="794"/>
      <c r="Z17" s="794"/>
      <c r="AA17" s="797"/>
      <c r="AB17" s="789"/>
      <c r="AC17" s="789"/>
      <c r="AD17" s="789"/>
      <c r="AE17" s="789"/>
      <c r="AF17" s="789"/>
    </row>
    <row r="18" spans="1:32" ht="15.75" customHeight="1">
      <c r="A18" s="1768" t="s">
        <v>11</v>
      </c>
      <c r="B18" s="1769"/>
      <c r="C18" s="1770"/>
      <c r="D18" s="1770"/>
      <c r="E18" s="1747" t="s">
        <v>2</v>
      </c>
      <c r="F18" s="1748" t="str">
        <f>F3</f>
        <v>U95 STD</v>
      </c>
      <c r="G18" s="799"/>
      <c r="H18" s="1760" t="s">
        <v>12</v>
      </c>
      <c r="I18" s="1745"/>
      <c r="J18" s="1745"/>
      <c r="K18" s="1746"/>
      <c r="L18" s="1747" t="s">
        <v>2</v>
      </c>
      <c r="M18" s="1748" t="str">
        <f>F18</f>
        <v>U95 STD</v>
      </c>
      <c r="N18" s="789"/>
      <c r="O18" s="1760" t="s">
        <v>13</v>
      </c>
      <c r="P18" s="1745"/>
      <c r="Q18" s="1745"/>
      <c r="R18" s="1746"/>
      <c r="S18" s="1747" t="s">
        <v>2</v>
      </c>
      <c r="T18" s="1767" t="str">
        <f>M18</f>
        <v>U95 STD</v>
      </c>
      <c r="V18" s="772"/>
      <c r="W18" s="772"/>
      <c r="X18" s="772"/>
      <c r="Y18" s="795"/>
      <c r="Z18" s="796"/>
      <c r="AA18" s="797"/>
      <c r="AB18" s="772"/>
      <c r="AC18" s="772"/>
      <c r="AD18" s="772"/>
      <c r="AE18" s="795"/>
      <c r="AF18" s="796"/>
    </row>
    <row r="19" spans="1:32" ht="12.75" customHeight="1">
      <c r="A19" s="798" t="str">
        <f>A4</f>
        <v>Timer</v>
      </c>
      <c r="B19" s="1749" t="s">
        <v>7</v>
      </c>
      <c r="C19" s="1750"/>
      <c r="D19" s="1751"/>
      <c r="E19" s="1747"/>
      <c r="F19" s="1748"/>
      <c r="G19" s="799"/>
      <c r="H19" s="800" t="str">
        <f>A19</f>
        <v>Timer</v>
      </c>
      <c r="I19" s="1749" t="s">
        <v>7</v>
      </c>
      <c r="J19" s="1750"/>
      <c r="K19" s="1751"/>
      <c r="L19" s="1747"/>
      <c r="M19" s="1748"/>
      <c r="N19" s="789"/>
      <c r="O19" s="800" t="str">
        <f>H19</f>
        <v>Timer</v>
      </c>
      <c r="P19" s="1749" t="s">
        <v>7</v>
      </c>
      <c r="Q19" s="1750"/>
      <c r="R19" s="1751"/>
      <c r="S19" s="1747"/>
      <c r="T19" s="1767"/>
      <c r="V19" s="801"/>
      <c r="W19" s="795"/>
      <c r="X19" s="795"/>
      <c r="Y19" s="795"/>
      <c r="Z19" s="796"/>
      <c r="AA19" s="797"/>
      <c r="AB19" s="801"/>
      <c r="AC19" s="795"/>
      <c r="AD19" s="795"/>
      <c r="AE19" s="795"/>
      <c r="AF19" s="796"/>
    </row>
    <row r="20" spans="1:32" ht="15" customHeight="1">
      <c r="A20" s="235" t="str">
        <f>A5</f>
        <v>s</v>
      </c>
      <c r="B20" s="802">
        <v>2022</v>
      </c>
      <c r="C20" s="803">
        <v>2021</v>
      </c>
      <c r="D20" s="803">
        <v>2019</v>
      </c>
      <c r="E20" s="1747"/>
      <c r="F20" s="1748"/>
      <c r="G20" s="804" t="s">
        <v>9</v>
      </c>
      <c r="H20" s="774" t="str">
        <f>A20</f>
        <v>s</v>
      </c>
      <c r="I20" s="802">
        <v>2022</v>
      </c>
      <c r="J20" s="803">
        <v>2021</v>
      </c>
      <c r="K20" s="803">
        <v>2020</v>
      </c>
      <c r="L20" s="1747"/>
      <c r="M20" s="1748"/>
      <c r="N20" s="804" t="s">
        <v>9</v>
      </c>
      <c r="O20" s="774" t="str">
        <f>H20</f>
        <v>s</v>
      </c>
      <c r="P20" s="802">
        <v>2022</v>
      </c>
      <c r="Q20" s="803">
        <v>2021</v>
      </c>
      <c r="R20" s="803">
        <v>2020</v>
      </c>
      <c r="S20" s="1747"/>
      <c r="T20" s="1767"/>
      <c r="V20" s="775"/>
      <c r="W20" s="801"/>
      <c r="X20" s="801"/>
      <c r="Y20" s="795"/>
      <c r="Z20" s="796"/>
      <c r="AA20" s="797"/>
      <c r="AB20" s="775"/>
      <c r="AC20" s="801"/>
      <c r="AD20" s="801"/>
      <c r="AE20" s="795"/>
      <c r="AF20" s="796"/>
    </row>
    <row r="21" spans="1:32" ht="12.75" customHeight="1">
      <c r="A21" s="806">
        <v>0</v>
      </c>
      <c r="B21" s="807" t="s">
        <v>10</v>
      </c>
      <c r="C21" s="811">
        <v>0</v>
      </c>
      <c r="D21" s="811">
        <v>0</v>
      </c>
      <c r="E21" s="809">
        <f>IFERROR(IF(OR(C21="-",D21="-"),1/3*F21,0.5*(MAX(C21:D21)-MIN(C21:D21))),0)</f>
        <v>0</v>
      </c>
      <c r="F21" s="810">
        <v>0.12</v>
      </c>
      <c r="G21" s="804">
        <v>1</v>
      </c>
      <c r="H21" s="806">
        <v>0</v>
      </c>
      <c r="I21" s="807" t="s">
        <v>10</v>
      </c>
      <c r="J21" s="812">
        <v>0</v>
      </c>
      <c r="K21" s="812">
        <v>0</v>
      </c>
      <c r="L21" s="809">
        <f>IFERROR(IF(OR(J21="-",K21="-"),1/3*M21,0.5*(MAX(J21:K21)-MIN(J21:K21))),0)</f>
        <v>0</v>
      </c>
      <c r="M21" s="810">
        <v>0</v>
      </c>
      <c r="N21" s="804">
        <v>1</v>
      </c>
      <c r="O21" s="806">
        <v>0</v>
      </c>
      <c r="P21" s="807" t="s">
        <v>10</v>
      </c>
      <c r="Q21" s="812">
        <v>0</v>
      </c>
      <c r="R21" s="821">
        <v>0</v>
      </c>
      <c r="S21" s="810">
        <f>IFERROR(IF(OR(Q21="-",R21="-"),1/3*T21,0.5*(MAX(Q21:R21)-MIN(Q21:R21))),0)</f>
        <v>0</v>
      </c>
      <c r="T21" s="814">
        <v>0</v>
      </c>
      <c r="V21" s="815"/>
      <c r="W21" s="816"/>
      <c r="X21" s="819"/>
      <c r="Y21" s="818"/>
      <c r="Z21" s="819"/>
      <c r="AA21" s="797"/>
      <c r="AB21" s="815"/>
      <c r="AC21" s="816"/>
      <c r="AD21" s="819"/>
      <c r="AE21" s="818"/>
      <c r="AF21" s="819"/>
    </row>
    <row r="22" spans="1:32" ht="12.75" customHeight="1">
      <c r="A22" s="806">
        <v>60</v>
      </c>
      <c r="B22" s="807" t="s">
        <v>10</v>
      </c>
      <c r="C22" s="811">
        <v>-0.01</v>
      </c>
      <c r="D22" s="811">
        <v>2E-3</v>
      </c>
      <c r="E22" s="809">
        <f t="shared" ref="E22:E30" si="3">IFERROR(IF(OR(C22="-",D22="-"),1/3*F22,0.5*(MAX(C22:D22)-MIN(C22:D22))),0)</f>
        <v>6.0000000000000001E-3</v>
      </c>
      <c r="F22" s="810">
        <v>0.12</v>
      </c>
      <c r="G22" s="804">
        <v>2</v>
      </c>
      <c r="H22" s="813">
        <v>10</v>
      </c>
      <c r="I22" s="807" t="s">
        <v>10</v>
      </c>
      <c r="J22" s="812">
        <v>-0.02</v>
      </c>
      <c r="K22" s="812" t="s">
        <v>10</v>
      </c>
      <c r="L22" s="809">
        <f t="shared" ref="L22:L30" si="4">IFERROR(IF(OR(J22="-",K22="-"),1/3*M22,0.5*(MAX(J22:K22)-MIN(J22:K22))),0)</f>
        <v>3.9999999999999994E-2</v>
      </c>
      <c r="M22" s="810">
        <v>0.12</v>
      </c>
      <c r="N22" s="804">
        <v>2</v>
      </c>
      <c r="O22" s="813">
        <v>60</v>
      </c>
      <c r="P22" s="807" t="s">
        <v>10</v>
      </c>
      <c r="Q22" s="812">
        <v>0.01</v>
      </c>
      <c r="R22" s="821">
        <v>0.02</v>
      </c>
      <c r="S22" s="810">
        <f t="shared" ref="S22:S31" si="5">IFERROR(IF(OR(Q22="-",R22="-"),1/3*T22,0.5*(MAX(Q22:R22)-MIN(Q22:R22))),0)</f>
        <v>5.0000000000000001E-3</v>
      </c>
      <c r="T22" s="810">
        <v>0.12</v>
      </c>
      <c r="V22" s="815"/>
      <c r="W22" s="816"/>
      <c r="X22" s="819"/>
      <c r="Y22" s="818"/>
      <c r="Z22" s="819"/>
      <c r="AA22" s="797"/>
      <c r="AB22" s="815"/>
      <c r="AC22" s="816"/>
      <c r="AD22" s="819"/>
      <c r="AE22" s="818"/>
      <c r="AF22" s="819"/>
    </row>
    <row r="23" spans="1:32" ht="12.75" customHeight="1">
      <c r="A23" s="806">
        <v>60</v>
      </c>
      <c r="B23" s="807" t="s">
        <v>10</v>
      </c>
      <c r="C23" s="811">
        <v>-0.01</v>
      </c>
      <c r="D23" s="811">
        <v>2E-3</v>
      </c>
      <c r="E23" s="809">
        <f t="shared" si="3"/>
        <v>6.0000000000000001E-3</v>
      </c>
      <c r="F23" s="810">
        <v>0.12</v>
      </c>
      <c r="G23" s="804">
        <v>3</v>
      </c>
      <c r="H23" s="813">
        <v>20</v>
      </c>
      <c r="I23" s="807" t="s">
        <v>10</v>
      </c>
      <c r="J23" s="812">
        <v>-0.02</v>
      </c>
      <c r="K23" s="812" t="s">
        <v>10</v>
      </c>
      <c r="L23" s="809">
        <f t="shared" si="4"/>
        <v>3.9999999999999994E-2</v>
      </c>
      <c r="M23" s="810">
        <v>0.12</v>
      </c>
      <c r="N23" s="804">
        <v>3</v>
      </c>
      <c r="O23" s="813">
        <v>60</v>
      </c>
      <c r="P23" s="807" t="s">
        <v>10</v>
      </c>
      <c r="Q23" s="812">
        <v>0.01</v>
      </c>
      <c r="R23" s="821">
        <v>0.02</v>
      </c>
      <c r="S23" s="810">
        <f t="shared" si="5"/>
        <v>5.0000000000000001E-3</v>
      </c>
      <c r="T23" s="810">
        <v>0.12</v>
      </c>
      <c r="V23" s="815"/>
      <c r="W23" s="816"/>
      <c r="X23" s="819"/>
      <c r="Y23" s="818"/>
      <c r="Z23" s="819"/>
      <c r="AA23" s="797"/>
      <c r="AB23" s="815"/>
      <c r="AC23" s="816"/>
      <c r="AD23" s="819"/>
      <c r="AE23" s="818"/>
      <c r="AF23" s="819"/>
    </row>
    <row r="24" spans="1:32" ht="12.75" customHeight="1">
      <c r="A24" s="806">
        <v>60</v>
      </c>
      <c r="B24" s="807" t="s">
        <v>10</v>
      </c>
      <c r="C24" s="811">
        <v>-0.01</v>
      </c>
      <c r="D24" s="811">
        <v>2E-3</v>
      </c>
      <c r="E24" s="809">
        <f t="shared" si="3"/>
        <v>6.0000000000000001E-3</v>
      </c>
      <c r="F24" s="810">
        <v>0.12</v>
      </c>
      <c r="G24" s="804">
        <v>4</v>
      </c>
      <c r="H24" s="813">
        <v>30</v>
      </c>
      <c r="I24" s="807" t="s">
        <v>10</v>
      </c>
      <c r="J24" s="812">
        <v>-0.02</v>
      </c>
      <c r="K24" s="812" t="s">
        <v>10</v>
      </c>
      <c r="L24" s="809">
        <f t="shared" si="4"/>
        <v>3.9999999999999994E-2</v>
      </c>
      <c r="M24" s="810">
        <v>0.12</v>
      </c>
      <c r="N24" s="804">
        <v>4</v>
      </c>
      <c r="O24" s="813">
        <v>60</v>
      </c>
      <c r="P24" s="807" t="s">
        <v>10</v>
      </c>
      <c r="Q24" s="812">
        <v>0.01</v>
      </c>
      <c r="R24" s="821">
        <v>0.02</v>
      </c>
      <c r="S24" s="810">
        <f t="shared" si="5"/>
        <v>5.0000000000000001E-3</v>
      </c>
      <c r="T24" s="810">
        <v>0.12</v>
      </c>
      <c r="V24" s="815"/>
      <c r="W24" s="816"/>
      <c r="X24" s="817"/>
      <c r="Y24" s="818"/>
      <c r="Z24" s="819"/>
      <c r="AA24" s="797"/>
      <c r="AB24" s="815"/>
      <c r="AC24" s="816"/>
      <c r="AD24" s="817"/>
      <c r="AE24" s="818"/>
      <c r="AF24" s="819"/>
    </row>
    <row r="25" spans="1:32" ht="12.75" customHeight="1">
      <c r="A25" s="806">
        <v>60</v>
      </c>
      <c r="B25" s="807" t="s">
        <v>10</v>
      </c>
      <c r="C25" s="811">
        <v>-0.01</v>
      </c>
      <c r="D25" s="811">
        <v>2E-3</v>
      </c>
      <c r="E25" s="809">
        <f t="shared" si="3"/>
        <v>6.0000000000000001E-3</v>
      </c>
      <c r="F25" s="810">
        <v>0.12</v>
      </c>
      <c r="G25" s="804">
        <v>5</v>
      </c>
      <c r="H25" s="813">
        <v>40</v>
      </c>
      <c r="I25" s="807" t="s">
        <v>10</v>
      </c>
      <c r="J25" s="812">
        <v>-0.02</v>
      </c>
      <c r="K25" s="812" t="s">
        <v>10</v>
      </c>
      <c r="L25" s="809">
        <f t="shared" si="4"/>
        <v>3.9999999999999994E-2</v>
      </c>
      <c r="M25" s="810">
        <v>0.12</v>
      </c>
      <c r="N25" s="804">
        <v>5</v>
      </c>
      <c r="O25" s="813">
        <v>60</v>
      </c>
      <c r="P25" s="807" t="s">
        <v>10</v>
      </c>
      <c r="Q25" s="812">
        <v>0.01</v>
      </c>
      <c r="R25" s="821">
        <v>0.02</v>
      </c>
      <c r="S25" s="810">
        <f t="shared" si="5"/>
        <v>5.0000000000000001E-3</v>
      </c>
      <c r="T25" s="810">
        <v>0.12</v>
      </c>
      <c r="V25" s="815"/>
      <c r="W25" s="816"/>
      <c r="X25" s="817"/>
      <c r="Y25" s="818"/>
      <c r="Z25" s="819"/>
      <c r="AA25" s="797"/>
      <c r="AB25" s="815"/>
      <c r="AC25" s="816"/>
      <c r="AD25" s="817"/>
      <c r="AE25" s="818"/>
      <c r="AF25" s="819"/>
    </row>
    <row r="26" spans="1:32" ht="12.75" customHeight="1">
      <c r="A26" s="806">
        <v>60</v>
      </c>
      <c r="B26" s="807" t="s">
        <v>10</v>
      </c>
      <c r="C26" s="811">
        <v>-0.01</v>
      </c>
      <c r="D26" s="811">
        <v>2E-3</v>
      </c>
      <c r="E26" s="809">
        <f t="shared" si="3"/>
        <v>6.0000000000000001E-3</v>
      </c>
      <c r="F26" s="810">
        <v>0.12</v>
      </c>
      <c r="G26" s="804">
        <v>6</v>
      </c>
      <c r="H26" s="813">
        <v>50</v>
      </c>
      <c r="I26" s="807" t="s">
        <v>10</v>
      </c>
      <c r="J26" s="812">
        <v>-0.02</v>
      </c>
      <c r="K26" s="812" t="s">
        <v>10</v>
      </c>
      <c r="L26" s="809">
        <f t="shared" si="4"/>
        <v>3.9999999999999994E-2</v>
      </c>
      <c r="M26" s="810">
        <v>0.12</v>
      </c>
      <c r="N26" s="804">
        <v>6</v>
      </c>
      <c r="O26" s="813">
        <v>60</v>
      </c>
      <c r="P26" s="807" t="s">
        <v>10</v>
      </c>
      <c r="Q26" s="812">
        <v>0.01</v>
      </c>
      <c r="R26" s="821">
        <v>0.02</v>
      </c>
      <c r="S26" s="810">
        <f t="shared" si="5"/>
        <v>5.0000000000000001E-3</v>
      </c>
      <c r="T26" s="810">
        <v>0.12</v>
      </c>
      <c r="V26" s="815"/>
      <c r="W26" s="816"/>
      <c r="X26" s="817"/>
      <c r="Y26" s="818"/>
      <c r="Z26" s="819"/>
      <c r="AA26" s="797"/>
      <c r="AB26" s="815"/>
      <c r="AC26" s="816"/>
      <c r="AD26" s="817"/>
      <c r="AE26" s="818"/>
      <c r="AF26" s="819"/>
    </row>
    <row r="27" spans="1:32" ht="12.75" customHeight="1">
      <c r="A27" s="806">
        <v>60</v>
      </c>
      <c r="B27" s="807" t="s">
        <v>10</v>
      </c>
      <c r="C27" s="811">
        <v>-0.01</v>
      </c>
      <c r="D27" s="811">
        <v>2E-3</v>
      </c>
      <c r="E27" s="809">
        <f t="shared" si="3"/>
        <v>6.0000000000000001E-3</v>
      </c>
      <c r="F27" s="810">
        <v>0.12</v>
      </c>
      <c r="G27" s="804">
        <v>7</v>
      </c>
      <c r="H27" s="813">
        <v>60</v>
      </c>
      <c r="I27" s="807" t="s">
        <v>10</v>
      </c>
      <c r="J27" s="812">
        <v>-0.03</v>
      </c>
      <c r="K27" s="812">
        <v>0</v>
      </c>
      <c r="L27" s="809">
        <f t="shared" si="4"/>
        <v>1.4999999999999999E-2</v>
      </c>
      <c r="M27" s="810">
        <v>0.12</v>
      </c>
      <c r="N27" s="804">
        <v>7</v>
      </c>
      <c r="O27" s="813">
        <v>60</v>
      </c>
      <c r="P27" s="807" t="s">
        <v>10</v>
      </c>
      <c r="Q27" s="812">
        <v>0.01</v>
      </c>
      <c r="R27" s="821">
        <v>0.02</v>
      </c>
      <c r="S27" s="810">
        <f t="shared" si="5"/>
        <v>5.0000000000000001E-3</v>
      </c>
      <c r="T27" s="810">
        <v>0.12</v>
      </c>
      <c r="V27" s="815"/>
      <c r="W27" s="816"/>
      <c r="X27" s="817"/>
      <c r="Y27" s="818"/>
      <c r="Z27" s="819"/>
      <c r="AA27" s="797"/>
      <c r="AB27" s="815"/>
      <c r="AC27" s="816"/>
      <c r="AD27" s="817"/>
      <c r="AE27" s="818"/>
      <c r="AF27" s="819"/>
    </row>
    <row r="28" spans="1:32" ht="12.75" customHeight="1">
      <c r="A28" s="806">
        <v>300</v>
      </c>
      <c r="B28" s="807" t="s">
        <v>10</v>
      </c>
      <c r="C28" s="811">
        <v>-0.01</v>
      </c>
      <c r="D28" s="811">
        <v>1E-3</v>
      </c>
      <c r="E28" s="809">
        <f t="shared" si="3"/>
        <v>5.4999999999999997E-3</v>
      </c>
      <c r="F28" s="810">
        <v>0.12</v>
      </c>
      <c r="G28" s="804">
        <v>8</v>
      </c>
      <c r="H28" s="813">
        <v>300</v>
      </c>
      <c r="I28" s="807" t="s">
        <v>10</v>
      </c>
      <c r="J28" s="812">
        <v>-0.02</v>
      </c>
      <c r="K28" s="812">
        <v>-0.01</v>
      </c>
      <c r="L28" s="809">
        <f>IFERROR(IF(OR(J28="-",K28="-"),1/3*M28,0.5*(MAX(J28:K28)-MIN(J28:K28))),0)</f>
        <v>5.0000000000000001E-3</v>
      </c>
      <c r="M28" s="810">
        <v>0.12</v>
      </c>
      <c r="N28" s="804">
        <v>8</v>
      </c>
      <c r="O28" s="813">
        <v>300</v>
      </c>
      <c r="P28" s="807" t="s">
        <v>10</v>
      </c>
      <c r="Q28" s="812">
        <v>0.01</v>
      </c>
      <c r="R28" s="821">
        <v>0.02</v>
      </c>
      <c r="S28" s="810">
        <f t="shared" si="5"/>
        <v>5.0000000000000001E-3</v>
      </c>
      <c r="T28" s="810">
        <v>0.12</v>
      </c>
      <c r="V28" s="815"/>
      <c r="W28" s="816"/>
      <c r="X28" s="817"/>
      <c r="Y28" s="816"/>
      <c r="Z28" s="816"/>
      <c r="AA28" s="797"/>
      <c r="AB28" s="815"/>
      <c r="AC28" s="816"/>
      <c r="AD28" s="817"/>
      <c r="AE28" s="816"/>
      <c r="AF28" s="816"/>
    </row>
    <row r="29" spans="1:32" ht="12.75" customHeight="1">
      <c r="A29" s="806">
        <v>600</v>
      </c>
      <c r="B29" s="807" t="s">
        <v>10</v>
      </c>
      <c r="C29" s="811">
        <v>0.03</v>
      </c>
      <c r="D29" s="811">
        <v>6.0000000000000001E-3</v>
      </c>
      <c r="E29" s="809">
        <f t="shared" si="3"/>
        <v>1.2E-2</v>
      </c>
      <c r="F29" s="810">
        <v>0.12</v>
      </c>
      <c r="G29" s="804">
        <v>9</v>
      </c>
      <c r="H29" s="813">
        <v>600</v>
      </c>
      <c r="I29" s="807" t="s">
        <v>10</v>
      </c>
      <c r="J29" s="812">
        <v>-0.03</v>
      </c>
      <c r="K29" s="812">
        <v>-0.02</v>
      </c>
      <c r="L29" s="809">
        <f t="shared" si="4"/>
        <v>4.9999999999999992E-3</v>
      </c>
      <c r="M29" s="810">
        <v>0.12</v>
      </c>
      <c r="N29" s="804">
        <v>9</v>
      </c>
      <c r="O29" s="813">
        <v>600</v>
      </c>
      <c r="P29" s="807" t="s">
        <v>10</v>
      </c>
      <c r="Q29" s="812">
        <v>0.01</v>
      </c>
      <c r="R29" s="821">
        <v>0.02</v>
      </c>
      <c r="S29" s="810">
        <f t="shared" si="5"/>
        <v>5.0000000000000001E-3</v>
      </c>
      <c r="T29" s="810">
        <v>0.12</v>
      </c>
      <c r="V29" s="815"/>
      <c r="W29" s="816"/>
      <c r="X29" s="817"/>
      <c r="Y29" s="816"/>
      <c r="Z29" s="816"/>
      <c r="AA29" s="822"/>
      <c r="AB29" s="815"/>
      <c r="AC29" s="816"/>
      <c r="AD29" s="817"/>
      <c r="AE29" s="816"/>
      <c r="AF29" s="816"/>
    </row>
    <row r="30" spans="1:32" ht="12.75" customHeight="1">
      <c r="A30" s="806">
        <v>900</v>
      </c>
      <c r="B30" s="807" t="s">
        <v>10</v>
      </c>
      <c r="C30" s="811">
        <v>0.03</v>
      </c>
      <c r="D30" s="811">
        <v>6.0000000000000001E-3</v>
      </c>
      <c r="E30" s="809">
        <f t="shared" si="3"/>
        <v>1.2E-2</v>
      </c>
      <c r="F30" s="810">
        <v>0.12</v>
      </c>
      <c r="G30" s="804">
        <v>10</v>
      </c>
      <c r="H30" s="813">
        <v>900</v>
      </c>
      <c r="I30" s="807" t="s">
        <v>10</v>
      </c>
      <c r="J30" s="812" t="s">
        <v>10</v>
      </c>
      <c r="K30" s="812">
        <v>-0.02</v>
      </c>
      <c r="L30" s="809">
        <f t="shared" si="4"/>
        <v>3.9999999999999994E-2</v>
      </c>
      <c r="M30" s="810">
        <v>0.12</v>
      </c>
      <c r="N30" s="804">
        <v>10</v>
      </c>
      <c r="O30" s="813">
        <v>900</v>
      </c>
      <c r="P30" s="807" t="s">
        <v>10</v>
      </c>
      <c r="Q30" s="820">
        <v>0.02</v>
      </c>
      <c r="R30" s="820">
        <v>0.03</v>
      </c>
      <c r="S30" s="810">
        <f t="shared" si="5"/>
        <v>4.9999999999999992E-3</v>
      </c>
      <c r="T30" s="810">
        <v>0.12</v>
      </c>
      <c r="V30" s="815"/>
      <c r="W30" s="816"/>
      <c r="X30" s="817"/>
      <c r="Y30" s="816"/>
      <c r="Z30" s="816"/>
      <c r="AA30" s="822"/>
      <c r="AB30" s="815"/>
      <c r="AC30" s="816"/>
      <c r="AD30" s="817"/>
      <c r="AE30" s="816"/>
      <c r="AF30" s="816"/>
    </row>
    <row r="31" spans="1:32" ht="12.75" customHeight="1">
      <c r="A31" s="806">
        <v>1200</v>
      </c>
      <c r="B31" s="807" t="s">
        <v>10</v>
      </c>
      <c r="C31" s="811">
        <v>0.05</v>
      </c>
      <c r="D31" s="811" t="s">
        <v>10</v>
      </c>
      <c r="E31" s="809">
        <f>IFERROR(IF(OR(C31="-",D31="-"),1/3*F31,0.5*(MAX(C31:D31)-MIN(C31:D31))),0)</f>
        <v>3.9999999999999994E-2</v>
      </c>
      <c r="F31" s="810">
        <v>0.12</v>
      </c>
      <c r="G31" s="804">
        <v>11</v>
      </c>
      <c r="H31" s="813">
        <v>1200</v>
      </c>
      <c r="I31" s="807" t="s">
        <v>10</v>
      </c>
      <c r="J31" s="812" t="s">
        <v>10</v>
      </c>
      <c r="K31" s="812">
        <v>-0.02</v>
      </c>
      <c r="L31" s="809">
        <f>IFERROR(IF(OR(J31="-",K31="-"),1/3*M31,0.5*(MAX(J31:K31)-MIN(J31:K31))),0)</f>
        <v>3.9999999999999994E-2</v>
      </c>
      <c r="M31" s="810">
        <v>0.12</v>
      </c>
      <c r="N31" s="804">
        <v>11</v>
      </c>
      <c r="O31" s="813">
        <v>1200</v>
      </c>
      <c r="P31" s="807" t="s">
        <v>10</v>
      </c>
      <c r="Q31" s="820">
        <v>0.02</v>
      </c>
      <c r="R31" s="820">
        <v>0.03</v>
      </c>
      <c r="S31" s="810">
        <f t="shared" si="5"/>
        <v>4.9999999999999992E-3</v>
      </c>
      <c r="T31" s="810">
        <v>0.12</v>
      </c>
      <c r="V31" s="815"/>
      <c r="W31" s="816"/>
      <c r="X31" s="817"/>
      <c r="Y31" s="816"/>
      <c r="Z31" s="816"/>
      <c r="AA31" s="822"/>
      <c r="AB31" s="815"/>
      <c r="AC31" s="816"/>
      <c r="AD31" s="817"/>
      <c r="AE31" s="816"/>
      <c r="AF31" s="816"/>
    </row>
    <row r="32" spans="1:32" ht="12.75" customHeight="1">
      <c r="A32" s="823"/>
      <c r="B32" s="816"/>
      <c r="C32" s="816"/>
      <c r="D32" s="816"/>
      <c r="E32" s="816"/>
      <c r="F32" s="816"/>
      <c r="G32" s="816"/>
      <c r="H32" s="816"/>
      <c r="I32" s="816"/>
      <c r="J32" s="816"/>
      <c r="K32" s="816"/>
      <c r="L32" s="816"/>
      <c r="M32" s="816"/>
      <c r="N32" s="824"/>
      <c r="O32" s="825"/>
      <c r="P32" s="794"/>
      <c r="Q32" s="794"/>
      <c r="R32" s="794"/>
      <c r="S32" s="794"/>
      <c r="T32" s="826"/>
      <c r="V32" s="816"/>
      <c r="W32" s="816"/>
      <c r="X32" s="816"/>
      <c r="Y32" s="816"/>
      <c r="Z32" s="816"/>
      <c r="AA32" s="816"/>
      <c r="AB32" s="816"/>
      <c r="AC32" s="816"/>
      <c r="AD32" s="816"/>
      <c r="AE32" s="816"/>
      <c r="AF32" s="816"/>
    </row>
    <row r="33" spans="1:32" ht="13">
      <c r="A33" s="827"/>
      <c r="B33" s="828"/>
      <c r="C33" s="828"/>
      <c r="D33" s="828"/>
      <c r="E33" s="828"/>
      <c r="F33" s="828"/>
      <c r="G33" s="828"/>
      <c r="H33" s="828"/>
      <c r="I33" s="828"/>
      <c r="J33" s="828"/>
      <c r="K33" s="828"/>
      <c r="L33" s="828"/>
      <c r="M33" s="828"/>
      <c r="N33" s="828"/>
      <c r="O33" s="828"/>
      <c r="P33" s="828"/>
      <c r="Q33" s="828"/>
      <c r="R33" s="828"/>
      <c r="S33" s="828"/>
      <c r="T33" s="829"/>
      <c r="V33" s="794"/>
      <c r="W33" s="794"/>
      <c r="X33" s="794"/>
      <c r="Y33" s="794"/>
      <c r="Z33" s="794"/>
      <c r="AA33" s="794"/>
      <c r="AB33" s="794"/>
      <c r="AC33" s="794"/>
      <c r="AD33" s="794"/>
      <c r="AE33" s="794"/>
      <c r="AF33" s="794"/>
    </row>
    <row r="34" spans="1:32" ht="15.75" customHeight="1">
      <c r="A34" s="1744" t="s">
        <v>14</v>
      </c>
      <c r="B34" s="1745"/>
      <c r="C34" s="1745"/>
      <c r="D34" s="1746"/>
      <c r="E34" s="1747" t="s">
        <v>2</v>
      </c>
      <c r="F34" s="1748" t="str">
        <f>F18</f>
        <v>U95 STD</v>
      </c>
      <c r="G34" s="793"/>
      <c r="H34" s="1760" t="s">
        <v>15</v>
      </c>
      <c r="I34" s="1745"/>
      <c r="J34" s="1745"/>
      <c r="K34" s="1746"/>
      <c r="L34" s="1747" t="s">
        <v>2</v>
      </c>
      <c r="M34" s="1748" t="str">
        <f>F34</f>
        <v>U95 STD</v>
      </c>
      <c r="N34" s="828"/>
      <c r="O34" s="1744" t="s">
        <v>16</v>
      </c>
      <c r="P34" s="1745"/>
      <c r="Q34" s="1745"/>
      <c r="R34" s="1746"/>
      <c r="S34" s="1747" t="s">
        <v>2</v>
      </c>
      <c r="T34" s="1748" t="str">
        <f>F34</f>
        <v>U95 STD</v>
      </c>
      <c r="V34" s="772"/>
      <c r="W34" s="772"/>
      <c r="X34" s="772"/>
      <c r="Y34" s="795"/>
      <c r="Z34" s="796"/>
      <c r="AA34" s="797"/>
      <c r="AB34" s="773"/>
      <c r="AC34" s="773"/>
      <c r="AD34" s="773"/>
      <c r="AE34" s="795"/>
      <c r="AF34" s="796"/>
    </row>
    <row r="35" spans="1:32" ht="12.75" customHeight="1">
      <c r="A35" s="798" t="str">
        <f>A19</f>
        <v>Timer</v>
      </c>
      <c r="B35" s="1749" t="s">
        <v>7</v>
      </c>
      <c r="C35" s="1750"/>
      <c r="D35" s="1751"/>
      <c r="E35" s="1747"/>
      <c r="F35" s="1748"/>
      <c r="G35" s="799"/>
      <c r="H35" s="800" t="str">
        <f>A35</f>
        <v>Timer</v>
      </c>
      <c r="I35" s="1749" t="s">
        <v>7</v>
      </c>
      <c r="J35" s="1750"/>
      <c r="K35" s="1751"/>
      <c r="L35" s="1747"/>
      <c r="M35" s="1748"/>
      <c r="N35" s="828"/>
      <c r="O35" s="798" t="str">
        <f>A35</f>
        <v>Timer</v>
      </c>
      <c r="P35" s="1749" t="s">
        <v>7</v>
      </c>
      <c r="Q35" s="1750"/>
      <c r="R35" s="1751"/>
      <c r="S35" s="1747"/>
      <c r="T35" s="1748"/>
      <c r="V35" s="801"/>
      <c r="W35" s="795"/>
      <c r="X35" s="795"/>
      <c r="Y35" s="795"/>
      <c r="Z35" s="796"/>
      <c r="AA35" s="797"/>
      <c r="AB35" s="801"/>
      <c r="AC35" s="795"/>
      <c r="AD35" s="795"/>
      <c r="AE35" s="795"/>
      <c r="AF35" s="796"/>
    </row>
    <row r="36" spans="1:32" ht="15" customHeight="1">
      <c r="A36" s="235" t="str">
        <f>A20</f>
        <v>s</v>
      </c>
      <c r="B36" s="802">
        <v>2022</v>
      </c>
      <c r="C36" s="803">
        <v>2021</v>
      </c>
      <c r="D36" s="803">
        <v>2020</v>
      </c>
      <c r="E36" s="1747"/>
      <c r="F36" s="1748"/>
      <c r="G36" s="804" t="s">
        <v>9</v>
      </c>
      <c r="H36" s="774" t="str">
        <f>A36</f>
        <v>s</v>
      </c>
      <c r="I36" s="802">
        <v>2022</v>
      </c>
      <c r="J36" s="803">
        <v>2020</v>
      </c>
      <c r="K36" s="830" t="s">
        <v>10</v>
      </c>
      <c r="L36" s="1747"/>
      <c r="M36" s="1748"/>
      <c r="N36" s="804" t="s">
        <v>9</v>
      </c>
      <c r="O36" s="235" t="str">
        <f>A36</f>
        <v>s</v>
      </c>
      <c r="P36" s="802">
        <v>2022</v>
      </c>
      <c r="Q36" s="803">
        <v>2021</v>
      </c>
      <c r="R36" s="803">
        <v>2020</v>
      </c>
      <c r="S36" s="1747"/>
      <c r="T36" s="1748"/>
      <c r="V36" s="775"/>
      <c r="W36" s="801"/>
      <c r="X36" s="805"/>
      <c r="Y36" s="795"/>
      <c r="Z36" s="796"/>
      <c r="AA36" s="797"/>
      <c r="AB36" s="775"/>
      <c r="AC36" s="801"/>
      <c r="AD36" s="801"/>
      <c r="AE36" s="795"/>
      <c r="AF36" s="796"/>
    </row>
    <row r="37" spans="1:32" ht="12.75" customHeight="1">
      <c r="A37" s="806">
        <v>0</v>
      </c>
      <c r="B37" s="807" t="s">
        <v>10</v>
      </c>
      <c r="C37" s="821">
        <v>0</v>
      </c>
      <c r="D37" s="821">
        <v>0</v>
      </c>
      <c r="E37" s="809">
        <f>IFERROR(IF(OR(C37="-",D37="-"),1/3*F37,0.5*(MAX(C37:D37)-MIN(C37:D37))),0)</f>
        <v>0</v>
      </c>
      <c r="F37" s="810">
        <v>0</v>
      </c>
      <c r="G37" s="804">
        <v>1</v>
      </c>
      <c r="H37" s="806">
        <v>0</v>
      </c>
      <c r="I37" s="807" t="s">
        <v>10</v>
      </c>
      <c r="J37" s="821">
        <v>0</v>
      </c>
      <c r="K37" s="811" t="s">
        <v>10</v>
      </c>
      <c r="L37" s="809">
        <f>IFERROR(IF(OR(J37="-",K37="-"),1/3*M37,0.5*(MAX(J37:K37)-MIN(J37:K37))),0)</f>
        <v>0</v>
      </c>
      <c r="M37" s="810">
        <v>0</v>
      </c>
      <c r="N37" s="804">
        <v>1</v>
      </c>
      <c r="O37" s="806">
        <v>0</v>
      </c>
      <c r="P37" s="807" t="s">
        <v>10</v>
      </c>
      <c r="Q37" s="821">
        <v>0</v>
      </c>
      <c r="R37" s="821">
        <v>0</v>
      </c>
      <c r="S37" s="809">
        <f>IFERROR(IF(OR(Q37="-",R37="-"),1/3*T37,0.5*(MAX(Q37:R37)-MIN(Q37:R37))),0)</f>
        <v>0</v>
      </c>
      <c r="T37" s="810">
        <v>0</v>
      </c>
      <c r="V37" s="815"/>
      <c r="W37" s="816"/>
      <c r="X37" s="817"/>
      <c r="Y37" s="818"/>
      <c r="Z37" s="819"/>
      <c r="AA37" s="797"/>
      <c r="AB37" s="815"/>
      <c r="AC37" s="816"/>
      <c r="AD37" s="819"/>
      <c r="AE37" s="818"/>
      <c r="AF37" s="819"/>
    </row>
    <row r="38" spans="1:32" ht="12.75" customHeight="1">
      <c r="A38" s="813">
        <v>60</v>
      </c>
      <c r="B38" s="807" t="s">
        <v>10</v>
      </c>
      <c r="C38" s="821">
        <v>0.03</v>
      </c>
      <c r="D38" s="821">
        <v>0.02</v>
      </c>
      <c r="E38" s="809">
        <f>IFERROR(IF(OR(C38="-",D38="-"),1/3*F38,0.5*(MAX(C38:D38)-MIN(C38:D38))),0)</f>
        <v>4.9999999999999992E-3</v>
      </c>
      <c r="F38" s="810">
        <v>0.12</v>
      </c>
      <c r="G38" s="804">
        <v>2</v>
      </c>
      <c r="H38" s="813">
        <v>60</v>
      </c>
      <c r="I38" s="807" t="s">
        <v>10</v>
      </c>
      <c r="J38" s="821">
        <v>0.01</v>
      </c>
      <c r="K38" s="811" t="s">
        <v>10</v>
      </c>
      <c r="L38" s="809">
        <f t="shared" ref="L38:L46" si="6">IFERROR(IF(OR(J38="-",K38="-"),1/3*M38,0.5*(MAX(J38:K38)-MIN(J38:K38))),0)</f>
        <v>3.9999999999999994E-2</v>
      </c>
      <c r="M38" s="810">
        <v>0.12</v>
      </c>
      <c r="N38" s="804">
        <v>2</v>
      </c>
      <c r="O38" s="813">
        <v>60</v>
      </c>
      <c r="P38" s="807" t="s">
        <v>10</v>
      </c>
      <c r="Q38" s="821">
        <v>0.02</v>
      </c>
      <c r="R38" s="821">
        <v>-0.01</v>
      </c>
      <c r="S38" s="809">
        <f t="shared" ref="S38:S46" si="7">IFERROR(IF(OR(Q38="-",R38="-"),1/3*T38,0.5*(MAX(Q38:R38)-MIN(Q38:R38))),0)</f>
        <v>1.4999999999999999E-2</v>
      </c>
      <c r="T38" s="810">
        <v>0.12</v>
      </c>
      <c r="V38" s="815"/>
      <c r="W38" s="816"/>
      <c r="X38" s="819"/>
      <c r="Y38" s="818"/>
      <c r="Z38" s="819"/>
      <c r="AA38" s="797"/>
      <c r="AB38" s="815"/>
      <c r="AC38" s="816"/>
      <c r="AD38" s="819"/>
      <c r="AE38" s="818"/>
      <c r="AF38" s="819"/>
    </row>
    <row r="39" spans="1:32" ht="12.75" customHeight="1">
      <c r="A39" s="813">
        <v>60</v>
      </c>
      <c r="B39" s="807" t="s">
        <v>10</v>
      </c>
      <c r="C39" s="821">
        <v>0.03</v>
      </c>
      <c r="D39" s="821">
        <v>0.02</v>
      </c>
      <c r="E39" s="809">
        <f t="shared" ref="E39:E46" si="8">IFERROR(IF(OR(C39="-",D39="-"),1/3*F39,0.5*(MAX(C39:D39)-MIN(C39:D39))),0)</f>
        <v>4.9999999999999992E-3</v>
      </c>
      <c r="F39" s="810">
        <v>0.12</v>
      </c>
      <c r="G39" s="804">
        <v>3</v>
      </c>
      <c r="H39" s="813">
        <v>60</v>
      </c>
      <c r="I39" s="807" t="s">
        <v>10</v>
      </c>
      <c r="J39" s="821">
        <v>0.01</v>
      </c>
      <c r="K39" s="811" t="s">
        <v>10</v>
      </c>
      <c r="L39" s="809">
        <f t="shared" si="6"/>
        <v>3.9999999999999994E-2</v>
      </c>
      <c r="M39" s="810">
        <v>0.12</v>
      </c>
      <c r="N39" s="804">
        <v>3</v>
      </c>
      <c r="O39" s="813">
        <v>60</v>
      </c>
      <c r="P39" s="807" t="s">
        <v>10</v>
      </c>
      <c r="Q39" s="821">
        <v>0.02</v>
      </c>
      <c r="R39" s="821">
        <v>-0.01</v>
      </c>
      <c r="S39" s="809">
        <f t="shared" si="7"/>
        <v>1.4999999999999999E-2</v>
      </c>
      <c r="T39" s="810">
        <v>0.12</v>
      </c>
      <c r="V39" s="815"/>
      <c r="W39" s="816"/>
      <c r="X39" s="819"/>
      <c r="Y39" s="818"/>
      <c r="Z39" s="819"/>
      <c r="AA39" s="797"/>
      <c r="AB39" s="815"/>
      <c r="AC39" s="816"/>
      <c r="AD39" s="819"/>
      <c r="AE39" s="818"/>
      <c r="AF39" s="819"/>
    </row>
    <row r="40" spans="1:32" ht="12.75" customHeight="1">
      <c r="A40" s="813">
        <v>60</v>
      </c>
      <c r="B40" s="807" t="s">
        <v>10</v>
      </c>
      <c r="C40" s="821">
        <v>0.03</v>
      </c>
      <c r="D40" s="821">
        <v>0.02</v>
      </c>
      <c r="E40" s="809">
        <f t="shared" si="8"/>
        <v>4.9999999999999992E-3</v>
      </c>
      <c r="F40" s="810">
        <v>0.12</v>
      </c>
      <c r="G40" s="804">
        <v>4</v>
      </c>
      <c r="H40" s="813">
        <v>60</v>
      </c>
      <c r="I40" s="807" t="s">
        <v>10</v>
      </c>
      <c r="J40" s="821">
        <v>0.01</v>
      </c>
      <c r="K40" s="811" t="s">
        <v>10</v>
      </c>
      <c r="L40" s="809">
        <f t="shared" si="6"/>
        <v>3.9999999999999994E-2</v>
      </c>
      <c r="M40" s="810">
        <v>0.12</v>
      </c>
      <c r="N40" s="804">
        <v>4</v>
      </c>
      <c r="O40" s="813">
        <v>60</v>
      </c>
      <c r="P40" s="807" t="s">
        <v>10</v>
      </c>
      <c r="Q40" s="821">
        <v>0.02</v>
      </c>
      <c r="R40" s="821">
        <v>-0.01</v>
      </c>
      <c r="S40" s="809">
        <f t="shared" si="7"/>
        <v>1.4999999999999999E-2</v>
      </c>
      <c r="T40" s="810">
        <v>0.12</v>
      </c>
      <c r="V40" s="815"/>
      <c r="W40" s="816"/>
      <c r="X40" s="817"/>
      <c r="Y40" s="818"/>
      <c r="Z40" s="819"/>
      <c r="AA40" s="797"/>
      <c r="AB40" s="815"/>
      <c r="AC40" s="816"/>
      <c r="AD40" s="817"/>
      <c r="AE40" s="818"/>
      <c r="AF40" s="819"/>
    </row>
    <row r="41" spans="1:32" ht="12.75" customHeight="1">
      <c r="A41" s="813">
        <v>60</v>
      </c>
      <c r="B41" s="807" t="s">
        <v>10</v>
      </c>
      <c r="C41" s="821">
        <v>0.03</v>
      </c>
      <c r="D41" s="821">
        <v>0.02</v>
      </c>
      <c r="E41" s="809">
        <f t="shared" si="8"/>
        <v>4.9999999999999992E-3</v>
      </c>
      <c r="F41" s="810">
        <v>0.12</v>
      </c>
      <c r="G41" s="804">
        <v>5</v>
      </c>
      <c r="H41" s="813">
        <v>60</v>
      </c>
      <c r="I41" s="807" t="s">
        <v>10</v>
      </c>
      <c r="J41" s="821">
        <v>0.01</v>
      </c>
      <c r="K41" s="811" t="s">
        <v>10</v>
      </c>
      <c r="L41" s="809">
        <f t="shared" si="6"/>
        <v>3.9999999999999994E-2</v>
      </c>
      <c r="M41" s="810">
        <v>0.12</v>
      </c>
      <c r="N41" s="804">
        <v>5</v>
      </c>
      <c r="O41" s="813">
        <v>60</v>
      </c>
      <c r="P41" s="807" t="s">
        <v>10</v>
      </c>
      <c r="Q41" s="821">
        <v>0.02</v>
      </c>
      <c r="R41" s="821">
        <v>-0.01</v>
      </c>
      <c r="S41" s="809">
        <f t="shared" si="7"/>
        <v>1.4999999999999999E-2</v>
      </c>
      <c r="T41" s="810">
        <v>0.12</v>
      </c>
      <c r="V41" s="815"/>
      <c r="W41" s="816"/>
      <c r="X41" s="817"/>
      <c r="Y41" s="818"/>
      <c r="Z41" s="819"/>
      <c r="AA41" s="797"/>
      <c r="AB41" s="815"/>
      <c r="AC41" s="816"/>
      <c r="AD41" s="817"/>
      <c r="AE41" s="818"/>
      <c r="AF41" s="819"/>
    </row>
    <row r="42" spans="1:32" ht="12.75" customHeight="1">
      <c r="A42" s="813">
        <v>60</v>
      </c>
      <c r="B42" s="807" t="s">
        <v>10</v>
      </c>
      <c r="C42" s="821">
        <v>0.03</v>
      </c>
      <c r="D42" s="821">
        <v>0.02</v>
      </c>
      <c r="E42" s="809">
        <f t="shared" si="8"/>
        <v>4.9999999999999992E-3</v>
      </c>
      <c r="F42" s="810">
        <v>0.12</v>
      </c>
      <c r="G42" s="804">
        <v>6</v>
      </c>
      <c r="H42" s="813">
        <v>60</v>
      </c>
      <c r="I42" s="807" t="s">
        <v>10</v>
      </c>
      <c r="J42" s="821">
        <v>0.01</v>
      </c>
      <c r="K42" s="811" t="s">
        <v>10</v>
      </c>
      <c r="L42" s="809">
        <f t="shared" si="6"/>
        <v>3.9999999999999994E-2</v>
      </c>
      <c r="M42" s="810">
        <v>0.12</v>
      </c>
      <c r="N42" s="804">
        <v>6</v>
      </c>
      <c r="O42" s="813">
        <v>60</v>
      </c>
      <c r="P42" s="807" t="s">
        <v>10</v>
      </c>
      <c r="Q42" s="821">
        <v>0.02</v>
      </c>
      <c r="R42" s="821">
        <v>-0.01</v>
      </c>
      <c r="S42" s="809">
        <f t="shared" si="7"/>
        <v>1.4999999999999999E-2</v>
      </c>
      <c r="T42" s="810">
        <v>0.12</v>
      </c>
      <c r="V42" s="815"/>
      <c r="W42" s="816"/>
      <c r="X42" s="817"/>
      <c r="Y42" s="818"/>
      <c r="Z42" s="819"/>
      <c r="AA42" s="797"/>
      <c r="AB42" s="815"/>
      <c r="AC42" s="816"/>
      <c r="AD42" s="817"/>
      <c r="AE42" s="818"/>
      <c r="AF42" s="819"/>
    </row>
    <row r="43" spans="1:32" ht="12.75" customHeight="1">
      <c r="A43" s="813">
        <v>60</v>
      </c>
      <c r="B43" s="807" t="s">
        <v>10</v>
      </c>
      <c r="C43" s="821">
        <v>0.03</v>
      </c>
      <c r="D43" s="821">
        <v>0.02</v>
      </c>
      <c r="E43" s="809">
        <f t="shared" si="8"/>
        <v>4.9999999999999992E-3</v>
      </c>
      <c r="F43" s="810">
        <v>0.12</v>
      </c>
      <c r="G43" s="804">
        <v>7</v>
      </c>
      <c r="H43" s="813">
        <v>60</v>
      </c>
      <c r="I43" s="807" t="s">
        <v>10</v>
      </c>
      <c r="J43" s="821">
        <v>0.01</v>
      </c>
      <c r="K43" s="811" t="s">
        <v>10</v>
      </c>
      <c r="L43" s="809">
        <f t="shared" si="6"/>
        <v>3.9999999999999994E-2</v>
      </c>
      <c r="M43" s="810">
        <v>0.12</v>
      </c>
      <c r="N43" s="804">
        <v>7</v>
      </c>
      <c r="O43" s="813">
        <v>60</v>
      </c>
      <c r="P43" s="807" t="s">
        <v>10</v>
      </c>
      <c r="Q43" s="821">
        <v>0.02</v>
      </c>
      <c r="R43" s="821">
        <v>-0.01</v>
      </c>
      <c r="S43" s="809">
        <f t="shared" si="7"/>
        <v>1.4999999999999999E-2</v>
      </c>
      <c r="T43" s="810">
        <v>0.12</v>
      </c>
      <c r="V43" s="815"/>
      <c r="W43" s="816"/>
      <c r="X43" s="817"/>
      <c r="Y43" s="818"/>
      <c r="Z43" s="819"/>
      <c r="AA43" s="797"/>
      <c r="AB43" s="815"/>
      <c r="AC43" s="816"/>
      <c r="AD43" s="817"/>
      <c r="AE43" s="818"/>
      <c r="AF43" s="819"/>
    </row>
    <row r="44" spans="1:32" ht="13.5" customHeight="1">
      <c r="A44" s="813">
        <v>300</v>
      </c>
      <c r="B44" s="807" t="s">
        <v>10</v>
      </c>
      <c r="C44" s="821">
        <v>0.02</v>
      </c>
      <c r="D44" s="821">
        <v>0.02</v>
      </c>
      <c r="E44" s="809">
        <f t="shared" si="8"/>
        <v>0</v>
      </c>
      <c r="F44" s="810">
        <v>0.12</v>
      </c>
      <c r="G44" s="804">
        <v>8</v>
      </c>
      <c r="H44" s="813">
        <v>300</v>
      </c>
      <c r="I44" s="807" t="s">
        <v>10</v>
      </c>
      <c r="J44" s="821">
        <v>0.02</v>
      </c>
      <c r="K44" s="811" t="s">
        <v>10</v>
      </c>
      <c r="L44" s="809">
        <f t="shared" si="6"/>
        <v>3.9999999999999994E-2</v>
      </c>
      <c r="M44" s="810">
        <v>0.12</v>
      </c>
      <c r="N44" s="804">
        <v>8</v>
      </c>
      <c r="O44" s="813">
        <v>300</v>
      </c>
      <c r="P44" s="807" t="s">
        <v>10</v>
      </c>
      <c r="Q44" s="821">
        <v>0.01</v>
      </c>
      <c r="R44" s="821">
        <v>-0.02</v>
      </c>
      <c r="S44" s="809">
        <f t="shared" si="7"/>
        <v>1.4999999999999999E-2</v>
      </c>
      <c r="T44" s="810">
        <v>0.12</v>
      </c>
      <c r="V44" s="815"/>
      <c r="W44" s="816"/>
      <c r="X44" s="817"/>
      <c r="Y44" s="818"/>
      <c r="Z44" s="819"/>
      <c r="AA44" s="797"/>
      <c r="AB44" s="815"/>
      <c r="AC44" s="816"/>
      <c r="AD44" s="817"/>
      <c r="AE44" s="818"/>
      <c r="AF44" s="819"/>
    </row>
    <row r="45" spans="1:32" ht="13.5" customHeight="1">
      <c r="A45" s="813">
        <v>600</v>
      </c>
      <c r="B45" s="807" t="s">
        <v>10</v>
      </c>
      <c r="C45" s="821">
        <v>0.04</v>
      </c>
      <c r="D45" s="821">
        <v>0.02</v>
      </c>
      <c r="E45" s="809">
        <f t="shared" si="8"/>
        <v>0.01</v>
      </c>
      <c r="F45" s="810">
        <v>0.12</v>
      </c>
      <c r="G45" s="804">
        <v>9</v>
      </c>
      <c r="H45" s="813">
        <v>600</v>
      </c>
      <c r="I45" s="807" t="s">
        <v>10</v>
      </c>
      <c r="J45" s="821">
        <v>0.02</v>
      </c>
      <c r="K45" s="808" t="s">
        <v>10</v>
      </c>
      <c r="L45" s="809">
        <f t="shared" si="6"/>
        <v>3.9999999999999994E-2</v>
      </c>
      <c r="M45" s="810">
        <v>0.12</v>
      </c>
      <c r="N45" s="804">
        <v>9</v>
      </c>
      <c r="O45" s="813">
        <v>600</v>
      </c>
      <c r="P45" s="807" t="s">
        <v>10</v>
      </c>
      <c r="Q45" s="821">
        <v>0.01</v>
      </c>
      <c r="R45" s="821">
        <v>-0.02</v>
      </c>
      <c r="S45" s="809">
        <f t="shared" si="7"/>
        <v>1.4999999999999999E-2</v>
      </c>
      <c r="T45" s="810">
        <v>0.12</v>
      </c>
      <c r="V45" s="815"/>
      <c r="W45" s="816"/>
      <c r="X45" s="817"/>
      <c r="Y45" s="818"/>
      <c r="Z45" s="819"/>
      <c r="AA45" s="797"/>
      <c r="AB45" s="815"/>
      <c r="AC45" s="816"/>
      <c r="AD45" s="817"/>
      <c r="AE45" s="818"/>
      <c r="AF45" s="819"/>
    </row>
    <row r="46" spans="1:32" ht="13.5" customHeight="1">
      <c r="A46" s="813">
        <v>900</v>
      </c>
      <c r="B46" s="807" t="s">
        <v>10</v>
      </c>
      <c r="C46" s="821">
        <v>0.02</v>
      </c>
      <c r="D46" s="821">
        <v>0.03</v>
      </c>
      <c r="E46" s="809">
        <f t="shared" si="8"/>
        <v>4.9999999999999992E-3</v>
      </c>
      <c r="F46" s="810">
        <v>0.12</v>
      </c>
      <c r="G46" s="804">
        <v>10</v>
      </c>
      <c r="H46" s="813">
        <v>900</v>
      </c>
      <c r="I46" s="807" t="s">
        <v>10</v>
      </c>
      <c r="J46" s="821">
        <v>0.02</v>
      </c>
      <c r="K46" s="808" t="s">
        <v>10</v>
      </c>
      <c r="L46" s="809">
        <f t="shared" si="6"/>
        <v>3.9999999999999994E-2</v>
      </c>
      <c r="M46" s="810">
        <v>0.12</v>
      </c>
      <c r="N46" s="804">
        <v>10</v>
      </c>
      <c r="O46" s="813">
        <v>900</v>
      </c>
      <c r="P46" s="807" t="s">
        <v>10</v>
      </c>
      <c r="Q46" s="821">
        <v>0.02</v>
      </c>
      <c r="R46" s="821">
        <v>-0.02</v>
      </c>
      <c r="S46" s="809">
        <f t="shared" si="7"/>
        <v>0.02</v>
      </c>
      <c r="T46" s="810">
        <v>0.12</v>
      </c>
      <c r="V46" s="815"/>
      <c r="W46" s="816"/>
      <c r="X46" s="817"/>
      <c r="Y46" s="818"/>
      <c r="Z46" s="819"/>
      <c r="AA46" s="797"/>
      <c r="AB46" s="815"/>
      <c r="AC46" s="816"/>
      <c r="AD46" s="817"/>
      <c r="AE46" s="818"/>
      <c r="AF46" s="819"/>
    </row>
    <row r="47" spans="1:32" ht="13.5" customHeight="1">
      <c r="A47" s="813">
        <v>1200</v>
      </c>
      <c r="B47" s="807" t="s">
        <v>10</v>
      </c>
      <c r="C47" s="821">
        <v>0.03</v>
      </c>
      <c r="D47" s="821">
        <v>0.03</v>
      </c>
      <c r="E47" s="809">
        <f>IFERROR(IF(OR(C47="-",D47="-"),1/3*F47,0.5*(MAX(C47:D47)-MIN(C47:D47))),0)</f>
        <v>0</v>
      </c>
      <c r="F47" s="810">
        <v>0.12</v>
      </c>
      <c r="G47" s="804">
        <v>11</v>
      </c>
      <c r="H47" s="813">
        <v>1200</v>
      </c>
      <c r="I47" s="807" t="s">
        <v>10</v>
      </c>
      <c r="J47" s="821">
        <v>0.02</v>
      </c>
      <c r="K47" s="808" t="s">
        <v>10</v>
      </c>
      <c r="L47" s="809">
        <f>IFERROR(IF(OR(J47="-",K47="-"),1/3*M47,0.5*(MAX(J47:K47)-MIN(J47:K47))),0)</f>
        <v>3.9999999999999994E-2</v>
      </c>
      <c r="M47" s="810">
        <v>0.12</v>
      </c>
      <c r="N47" s="804">
        <v>11</v>
      </c>
      <c r="O47" s="813">
        <v>1200</v>
      </c>
      <c r="P47" s="807" t="s">
        <v>10</v>
      </c>
      <c r="Q47" s="821">
        <v>0.02</v>
      </c>
      <c r="R47" s="821">
        <v>-0.03</v>
      </c>
      <c r="S47" s="809">
        <f>IFERROR(IF(OR(Q47="-",R47="-"),1/3*T47,0.5*(MAX(Q47:R47)-MIN(Q47:R47))),0)</f>
        <v>2.5000000000000001E-2</v>
      </c>
      <c r="T47" s="810">
        <v>0.12</v>
      </c>
      <c r="V47" s="815"/>
      <c r="W47" s="816"/>
      <c r="X47" s="817"/>
      <c r="Y47" s="818"/>
      <c r="Z47" s="819"/>
      <c r="AA47" s="797"/>
      <c r="AB47" s="815"/>
      <c r="AC47" s="816"/>
      <c r="AD47" s="817"/>
      <c r="AE47" s="818"/>
      <c r="AF47" s="819"/>
    </row>
    <row r="48" spans="1:32" ht="13.5" customHeight="1">
      <c r="A48" s="1761"/>
      <c r="B48" s="1762"/>
      <c r="C48" s="1762"/>
      <c r="D48" s="1762"/>
      <c r="E48" s="1762"/>
      <c r="F48" s="1763"/>
      <c r="G48" s="799"/>
      <c r="H48" s="1764"/>
      <c r="I48" s="1765"/>
      <c r="J48" s="1765"/>
      <c r="K48" s="1765"/>
      <c r="L48" s="1765"/>
      <c r="M48" s="1766"/>
      <c r="N48" s="828"/>
      <c r="T48" s="590"/>
      <c r="V48" s="794"/>
      <c r="W48" s="794"/>
      <c r="X48" s="794"/>
      <c r="Y48" s="794"/>
      <c r="Z48" s="794"/>
      <c r="AA48" s="797"/>
      <c r="AB48" s="789"/>
      <c r="AC48" s="789"/>
      <c r="AD48" s="789"/>
      <c r="AE48" s="789"/>
      <c r="AF48" s="789"/>
    </row>
    <row r="49" spans="1:32" ht="15.75" customHeight="1">
      <c r="A49" s="1744" t="s">
        <v>17</v>
      </c>
      <c r="B49" s="1745"/>
      <c r="C49" s="1745"/>
      <c r="D49" s="1746"/>
      <c r="E49" s="1747" t="s">
        <v>2</v>
      </c>
      <c r="F49" s="1748" t="str">
        <f>F34</f>
        <v>U95 STD</v>
      </c>
      <c r="G49" s="799"/>
      <c r="H49" s="1760" t="s">
        <v>18</v>
      </c>
      <c r="I49" s="1745"/>
      <c r="J49" s="1745"/>
      <c r="K49" s="1746"/>
      <c r="L49" s="1747" t="s">
        <v>2</v>
      </c>
      <c r="M49" s="1748" t="str">
        <f>M34</f>
        <v>U95 STD</v>
      </c>
      <c r="N49" s="828"/>
      <c r="O49" s="1760" t="s">
        <v>19</v>
      </c>
      <c r="P49" s="1745"/>
      <c r="Q49" s="1745"/>
      <c r="R49" s="1746"/>
      <c r="S49" s="1747" t="s">
        <v>2</v>
      </c>
      <c r="T49" s="1748" t="str">
        <f>T34</f>
        <v>U95 STD</v>
      </c>
      <c r="V49" s="772"/>
      <c r="W49" s="772"/>
      <c r="X49" s="772"/>
      <c r="Y49" s="795"/>
      <c r="Z49" s="796"/>
      <c r="AA49" s="797"/>
      <c r="AB49" s="772"/>
      <c r="AC49" s="772"/>
      <c r="AD49" s="772"/>
      <c r="AE49" s="795"/>
      <c r="AF49" s="796"/>
    </row>
    <row r="50" spans="1:32" ht="12.75" customHeight="1">
      <c r="A50" s="798" t="str">
        <f>A35</f>
        <v>Timer</v>
      </c>
      <c r="B50" s="1749" t="s">
        <v>7</v>
      </c>
      <c r="C50" s="1750"/>
      <c r="D50" s="1751"/>
      <c r="E50" s="1747"/>
      <c r="F50" s="1748"/>
      <c r="G50" s="799"/>
      <c r="H50" s="800" t="str">
        <f>H35</f>
        <v>Timer</v>
      </c>
      <c r="I50" s="1749" t="s">
        <v>7</v>
      </c>
      <c r="J50" s="1750"/>
      <c r="K50" s="1751"/>
      <c r="L50" s="1747"/>
      <c r="M50" s="1748"/>
      <c r="N50" s="828"/>
      <c r="O50" s="800" t="str">
        <f>O35</f>
        <v>Timer</v>
      </c>
      <c r="P50" s="1749" t="s">
        <v>7</v>
      </c>
      <c r="Q50" s="1750"/>
      <c r="R50" s="1751"/>
      <c r="S50" s="1747"/>
      <c r="T50" s="1748"/>
      <c r="V50" s="801"/>
      <c r="W50" s="795"/>
      <c r="X50" s="795"/>
      <c r="Y50" s="795"/>
      <c r="Z50" s="796"/>
      <c r="AA50" s="797"/>
      <c r="AB50" s="801"/>
      <c r="AC50" s="795"/>
      <c r="AD50" s="795"/>
      <c r="AE50" s="795"/>
      <c r="AF50" s="796"/>
    </row>
    <row r="51" spans="1:32" ht="15" customHeight="1">
      <c r="A51" s="235" t="str">
        <f>A36</f>
        <v>s</v>
      </c>
      <c r="B51" s="802">
        <v>2022</v>
      </c>
      <c r="C51" s="803">
        <v>2021</v>
      </c>
      <c r="D51" s="803">
        <v>2020</v>
      </c>
      <c r="E51" s="1747"/>
      <c r="F51" s="1748"/>
      <c r="G51" s="804" t="s">
        <v>9</v>
      </c>
      <c r="H51" s="774" t="str">
        <f>H36</f>
        <v>s</v>
      </c>
      <c r="I51" s="802">
        <v>2022</v>
      </c>
      <c r="J51" s="803">
        <v>2021</v>
      </c>
      <c r="K51" s="803">
        <v>2020</v>
      </c>
      <c r="L51" s="1747"/>
      <c r="M51" s="1748"/>
      <c r="N51" s="804" t="s">
        <v>9</v>
      </c>
      <c r="O51" s="774" t="str">
        <f>O36</f>
        <v>s</v>
      </c>
      <c r="P51" s="802">
        <v>2022</v>
      </c>
      <c r="Q51" s="803">
        <v>2021</v>
      </c>
      <c r="R51" s="803">
        <v>2020</v>
      </c>
      <c r="S51" s="1747"/>
      <c r="T51" s="1748"/>
      <c r="V51" s="775"/>
      <c r="W51" s="801"/>
      <c r="X51" s="801"/>
      <c r="Y51" s="795"/>
      <c r="Z51" s="796"/>
      <c r="AA51" s="797"/>
      <c r="AB51" s="775"/>
      <c r="AC51" s="801"/>
      <c r="AD51" s="801"/>
      <c r="AE51" s="795"/>
      <c r="AF51" s="796"/>
    </row>
    <row r="52" spans="1:32" ht="12.75" customHeight="1">
      <c r="A52" s="806">
        <v>0</v>
      </c>
      <c r="B52" s="807" t="s">
        <v>10</v>
      </c>
      <c r="C52" s="821">
        <v>0</v>
      </c>
      <c r="D52" s="821">
        <v>0</v>
      </c>
      <c r="E52" s="809">
        <f>IFERROR(IF(OR(C52="-",D52="-"),1/3*F52,0.5*(MAX(C52:D52)-MIN(C52:D52))),0)</f>
        <v>0</v>
      </c>
      <c r="F52" s="810">
        <v>0</v>
      </c>
      <c r="G52" s="804">
        <v>1</v>
      </c>
      <c r="H52" s="806">
        <v>0</v>
      </c>
      <c r="I52" s="807" t="s">
        <v>10</v>
      </c>
      <c r="J52" s="821">
        <v>0</v>
      </c>
      <c r="K52" s="821">
        <v>0</v>
      </c>
      <c r="L52" s="809">
        <f>IFERROR(IF(OR(J52="-",K52="-"),1/3*M52,0.5*(MAX(J52:K52)-MIN(J52:K52))),0)</f>
        <v>0</v>
      </c>
      <c r="M52" s="810">
        <v>0</v>
      </c>
      <c r="N52" s="804">
        <v>1</v>
      </c>
      <c r="O52" s="806">
        <v>0</v>
      </c>
      <c r="P52" s="807" t="s">
        <v>10</v>
      </c>
      <c r="Q52" s="821">
        <v>0</v>
      </c>
      <c r="R52" s="821">
        <v>0</v>
      </c>
      <c r="S52" s="809">
        <f>IFERROR(IF(OR(Q52="-",R52="-"),1/3*T52,0.5*(MAX(Q52:R52)-MIN(Q52:R52))),0)</f>
        <v>0</v>
      </c>
      <c r="T52" s="810">
        <v>0</v>
      </c>
      <c r="V52" s="815"/>
      <c r="W52" s="816"/>
      <c r="X52" s="819"/>
      <c r="Y52" s="818"/>
      <c r="Z52" s="819"/>
      <c r="AA52" s="797"/>
      <c r="AB52" s="815"/>
      <c r="AC52" s="816"/>
      <c r="AD52" s="819"/>
      <c r="AE52" s="818"/>
      <c r="AF52" s="819"/>
    </row>
    <row r="53" spans="1:32" ht="12.75" customHeight="1">
      <c r="A53" s="813">
        <v>10</v>
      </c>
      <c r="B53" s="807" t="s">
        <v>10</v>
      </c>
      <c r="C53" s="821">
        <v>-7.0000000000000007E-2</v>
      </c>
      <c r="D53" s="812" t="s">
        <v>10</v>
      </c>
      <c r="E53" s="809">
        <f t="shared" ref="E53:E61" si="9">IFERROR(IF(OR(C53="-",D53="-"),1/3*F53,0.5*(MAX(C53:D53)-MIN(C53:D53))),0)</f>
        <v>3.9999999999999994E-2</v>
      </c>
      <c r="F53" s="810">
        <v>0.12</v>
      </c>
      <c r="G53" s="804">
        <v>2</v>
      </c>
      <c r="H53" s="813">
        <v>10</v>
      </c>
      <c r="I53" s="807" t="s">
        <v>10</v>
      </c>
      <c r="J53" s="821">
        <v>-0.03</v>
      </c>
      <c r="K53" s="812" t="s">
        <v>10</v>
      </c>
      <c r="L53" s="809">
        <f t="shared" ref="L53:L61" si="10">IFERROR(IF(OR(J53="-",K53="-"),1/3*M53,0.5*(MAX(J53:K53)-MIN(J53:K53))),0)</f>
        <v>3.9999999999999994E-2</v>
      </c>
      <c r="M53" s="810">
        <v>0.12</v>
      </c>
      <c r="N53" s="804">
        <v>2</v>
      </c>
      <c r="O53" s="813">
        <v>10</v>
      </c>
      <c r="P53" s="807" t="s">
        <v>10</v>
      </c>
      <c r="Q53" s="821">
        <v>0.02</v>
      </c>
      <c r="R53" s="812" t="s">
        <v>10</v>
      </c>
      <c r="S53" s="809">
        <f t="shared" ref="S53:S61" si="11">IFERROR(IF(OR(Q53="-",R53="-"),1/3*T53,0.5*(MAX(Q53:R53)-MIN(Q53:R53))),0)</f>
        <v>3.9999999999999994E-2</v>
      </c>
      <c r="T53" s="810">
        <v>0.12</v>
      </c>
      <c r="V53" s="815"/>
      <c r="W53" s="816"/>
      <c r="X53" s="819"/>
      <c r="Y53" s="818"/>
      <c r="Z53" s="819"/>
      <c r="AA53" s="797"/>
      <c r="AB53" s="815"/>
      <c r="AC53" s="816"/>
      <c r="AD53" s="819"/>
      <c r="AE53" s="818"/>
      <c r="AF53" s="819"/>
    </row>
    <row r="54" spans="1:32" ht="12.75" customHeight="1">
      <c r="A54" s="813">
        <v>30</v>
      </c>
      <c r="B54" s="807" t="s">
        <v>10</v>
      </c>
      <c r="C54" s="821">
        <v>-0.06</v>
      </c>
      <c r="D54" s="812" t="s">
        <v>10</v>
      </c>
      <c r="E54" s="809">
        <f t="shared" si="9"/>
        <v>3.9999999999999994E-2</v>
      </c>
      <c r="F54" s="810">
        <v>0.12</v>
      </c>
      <c r="G54" s="804">
        <v>3</v>
      </c>
      <c r="H54" s="813">
        <v>30</v>
      </c>
      <c r="I54" s="807" t="s">
        <v>10</v>
      </c>
      <c r="J54" s="821">
        <v>-0.04</v>
      </c>
      <c r="K54" s="812" t="s">
        <v>10</v>
      </c>
      <c r="L54" s="809">
        <f t="shared" si="10"/>
        <v>3.9999999999999994E-2</v>
      </c>
      <c r="M54" s="810">
        <v>0.12</v>
      </c>
      <c r="N54" s="804">
        <v>3</v>
      </c>
      <c r="O54" s="813">
        <v>20</v>
      </c>
      <c r="P54" s="807" t="s">
        <v>10</v>
      </c>
      <c r="Q54" s="821">
        <v>0.01</v>
      </c>
      <c r="R54" s="812" t="s">
        <v>10</v>
      </c>
      <c r="S54" s="809">
        <f t="shared" si="11"/>
        <v>3.9999999999999994E-2</v>
      </c>
      <c r="T54" s="810">
        <v>0.12</v>
      </c>
      <c r="V54" s="815"/>
      <c r="W54" s="816"/>
      <c r="X54" s="819"/>
      <c r="Y54" s="818"/>
      <c r="Z54" s="819"/>
      <c r="AA54" s="797"/>
      <c r="AB54" s="815"/>
      <c r="AC54" s="816"/>
      <c r="AD54" s="819"/>
      <c r="AE54" s="818"/>
      <c r="AF54" s="819"/>
    </row>
    <row r="55" spans="1:32" ht="12.75" customHeight="1">
      <c r="A55" s="813">
        <v>60</v>
      </c>
      <c r="B55" s="807" t="s">
        <v>10</v>
      </c>
      <c r="C55" s="821">
        <v>-0.06</v>
      </c>
      <c r="D55" s="821">
        <v>-0.01</v>
      </c>
      <c r="E55" s="809">
        <f t="shared" si="9"/>
        <v>2.4999999999999998E-2</v>
      </c>
      <c r="F55" s="810">
        <v>0.12</v>
      </c>
      <c r="G55" s="804">
        <v>4</v>
      </c>
      <c r="H55" s="813">
        <v>60</v>
      </c>
      <c r="I55" s="807" t="s">
        <v>10</v>
      </c>
      <c r="J55" s="821">
        <v>-0.03</v>
      </c>
      <c r="K55" s="821">
        <v>0.01</v>
      </c>
      <c r="L55" s="809">
        <f t="shared" si="10"/>
        <v>0.02</v>
      </c>
      <c r="M55" s="810">
        <v>0.12</v>
      </c>
      <c r="N55" s="804">
        <v>4</v>
      </c>
      <c r="O55" s="813">
        <v>30</v>
      </c>
      <c r="P55" s="807" t="s">
        <v>10</v>
      </c>
      <c r="Q55" s="821">
        <v>0.01</v>
      </c>
      <c r="R55" s="812" t="s">
        <v>10</v>
      </c>
      <c r="S55" s="809">
        <f t="shared" si="11"/>
        <v>3.9999999999999994E-2</v>
      </c>
      <c r="T55" s="810">
        <v>0.12</v>
      </c>
      <c r="V55" s="815"/>
      <c r="W55" s="816"/>
      <c r="X55" s="817"/>
      <c r="Y55" s="818"/>
      <c r="Z55" s="819"/>
      <c r="AA55" s="797"/>
      <c r="AB55" s="815"/>
      <c r="AC55" s="816"/>
      <c r="AD55" s="817"/>
      <c r="AE55" s="818"/>
      <c r="AF55" s="819"/>
    </row>
    <row r="56" spans="1:32" ht="12.75" customHeight="1">
      <c r="A56" s="813">
        <v>60</v>
      </c>
      <c r="B56" s="807" t="s">
        <v>10</v>
      </c>
      <c r="C56" s="821">
        <v>-0.06</v>
      </c>
      <c r="D56" s="821">
        <v>-0.01</v>
      </c>
      <c r="E56" s="809">
        <f t="shared" si="9"/>
        <v>2.4999999999999998E-2</v>
      </c>
      <c r="F56" s="810">
        <v>0.12</v>
      </c>
      <c r="G56" s="804">
        <v>5</v>
      </c>
      <c r="H56" s="813">
        <v>60</v>
      </c>
      <c r="I56" s="807" t="s">
        <v>10</v>
      </c>
      <c r="J56" s="821">
        <v>-0.03</v>
      </c>
      <c r="K56" s="821">
        <v>0.01</v>
      </c>
      <c r="L56" s="809">
        <f t="shared" si="10"/>
        <v>0.02</v>
      </c>
      <c r="M56" s="810">
        <v>0.12</v>
      </c>
      <c r="N56" s="804">
        <v>5</v>
      </c>
      <c r="O56" s="813">
        <v>40</v>
      </c>
      <c r="P56" s="807" t="s">
        <v>10</v>
      </c>
      <c r="Q56" s="821">
        <v>0.02</v>
      </c>
      <c r="R56" s="812" t="s">
        <v>10</v>
      </c>
      <c r="S56" s="809">
        <f t="shared" si="11"/>
        <v>3.9999999999999994E-2</v>
      </c>
      <c r="T56" s="810">
        <v>0.12</v>
      </c>
      <c r="V56" s="815"/>
      <c r="W56" s="816"/>
      <c r="X56" s="817"/>
      <c r="Y56" s="818"/>
      <c r="Z56" s="819"/>
      <c r="AA56" s="797"/>
      <c r="AB56" s="815"/>
      <c r="AC56" s="816"/>
      <c r="AD56" s="817"/>
      <c r="AE56" s="818"/>
      <c r="AF56" s="819"/>
    </row>
    <row r="57" spans="1:32" ht="12.75" customHeight="1">
      <c r="A57" s="813">
        <v>60</v>
      </c>
      <c r="B57" s="807" t="s">
        <v>10</v>
      </c>
      <c r="C57" s="821">
        <v>-0.06</v>
      </c>
      <c r="D57" s="821">
        <v>-0.01</v>
      </c>
      <c r="E57" s="809">
        <f t="shared" si="9"/>
        <v>2.4999999999999998E-2</v>
      </c>
      <c r="F57" s="810">
        <v>0.12</v>
      </c>
      <c r="G57" s="804">
        <v>6</v>
      </c>
      <c r="H57" s="813">
        <v>60</v>
      </c>
      <c r="I57" s="807" t="s">
        <v>10</v>
      </c>
      <c r="J57" s="821">
        <v>-0.03</v>
      </c>
      <c r="K57" s="821">
        <v>0.01</v>
      </c>
      <c r="L57" s="809">
        <f t="shared" si="10"/>
        <v>0.02</v>
      </c>
      <c r="M57" s="810">
        <v>0.12</v>
      </c>
      <c r="N57" s="804">
        <v>6</v>
      </c>
      <c r="O57" s="813">
        <v>50</v>
      </c>
      <c r="P57" s="807" t="s">
        <v>10</v>
      </c>
      <c r="Q57" s="821">
        <v>0.02</v>
      </c>
      <c r="R57" s="812" t="s">
        <v>10</v>
      </c>
      <c r="S57" s="809">
        <f t="shared" si="11"/>
        <v>3.9999999999999994E-2</v>
      </c>
      <c r="T57" s="810">
        <v>0.12</v>
      </c>
      <c r="V57" s="815"/>
      <c r="W57" s="816"/>
      <c r="X57" s="817"/>
      <c r="Y57" s="818"/>
      <c r="Z57" s="819"/>
      <c r="AA57" s="797"/>
      <c r="AB57" s="815"/>
      <c r="AC57" s="816"/>
      <c r="AD57" s="817"/>
      <c r="AE57" s="818"/>
      <c r="AF57" s="819"/>
    </row>
    <row r="58" spans="1:32" ht="12.75" customHeight="1">
      <c r="A58" s="813">
        <v>60</v>
      </c>
      <c r="B58" s="807" t="s">
        <v>10</v>
      </c>
      <c r="C58" s="821">
        <v>-0.06</v>
      </c>
      <c r="D58" s="821">
        <v>-0.01</v>
      </c>
      <c r="E58" s="809">
        <f t="shared" si="9"/>
        <v>2.4999999999999998E-2</v>
      </c>
      <c r="F58" s="810">
        <v>0.12</v>
      </c>
      <c r="G58" s="804">
        <v>7</v>
      </c>
      <c r="H58" s="813">
        <v>60</v>
      </c>
      <c r="I58" s="807" t="s">
        <v>10</v>
      </c>
      <c r="J58" s="821">
        <v>-0.03</v>
      </c>
      <c r="K58" s="821">
        <v>0.01</v>
      </c>
      <c r="L58" s="809">
        <f t="shared" si="10"/>
        <v>0.02</v>
      </c>
      <c r="M58" s="810">
        <v>0.12</v>
      </c>
      <c r="N58" s="804">
        <v>7</v>
      </c>
      <c r="O58" s="813">
        <v>60</v>
      </c>
      <c r="P58" s="807" t="s">
        <v>10</v>
      </c>
      <c r="Q58" s="821">
        <v>0.02</v>
      </c>
      <c r="R58" s="821">
        <v>0.02</v>
      </c>
      <c r="S58" s="809">
        <f t="shared" si="11"/>
        <v>0</v>
      </c>
      <c r="T58" s="810">
        <v>0.12</v>
      </c>
      <c r="V58" s="815"/>
      <c r="W58" s="816"/>
      <c r="X58" s="817"/>
      <c r="Y58" s="818"/>
      <c r="Z58" s="819"/>
      <c r="AA58" s="797"/>
      <c r="AB58" s="815"/>
      <c r="AC58" s="816"/>
      <c r="AD58" s="817"/>
      <c r="AE58" s="818"/>
      <c r="AF58" s="819"/>
    </row>
    <row r="59" spans="1:32" ht="12.75" customHeight="1">
      <c r="A59" s="813">
        <v>300</v>
      </c>
      <c r="B59" s="807" t="s">
        <v>10</v>
      </c>
      <c r="C59" s="821">
        <v>-0.05</v>
      </c>
      <c r="D59" s="821">
        <v>-0.01</v>
      </c>
      <c r="E59" s="809">
        <f t="shared" si="9"/>
        <v>0.02</v>
      </c>
      <c r="F59" s="810">
        <v>0.12</v>
      </c>
      <c r="G59" s="804">
        <v>8</v>
      </c>
      <c r="H59" s="813">
        <v>300</v>
      </c>
      <c r="I59" s="807" t="s">
        <v>10</v>
      </c>
      <c r="J59" s="821">
        <v>-0.03</v>
      </c>
      <c r="K59" s="821">
        <v>0.02</v>
      </c>
      <c r="L59" s="809">
        <f t="shared" si="10"/>
        <v>2.5000000000000001E-2</v>
      </c>
      <c r="M59" s="810">
        <v>0.12</v>
      </c>
      <c r="N59" s="804">
        <v>8</v>
      </c>
      <c r="O59" s="813">
        <v>300</v>
      </c>
      <c r="P59" s="807" t="s">
        <v>10</v>
      </c>
      <c r="Q59" s="821">
        <v>0.02</v>
      </c>
      <c r="R59" s="821">
        <v>0.02</v>
      </c>
      <c r="S59" s="809">
        <f t="shared" si="11"/>
        <v>0</v>
      </c>
      <c r="T59" s="810">
        <v>0.12</v>
      </c>
      <c r="V59" s="815"/>
      <c r="W59" s="816"/>
      <c r="X59" s="817"/>
      <c r="Y59" s="818"/>
      <c r="Z59" s="819"/>
      <c r="AA59" s="797"/>
      <c r="AB59" s="815"/>
      <c r="AC59" s="816"/>
      <c r="AD59" s="817"/>
      <c r="AE59" s="818"/>
      <c r="AF59" s="819"/>
    </row>
    <row r="60" spans="1:32" ht="12.75" customHeight="1">
      <c r="A60" s="813">
        <v>600</v>
      </c>
      <c r="B60" s="807" t="s">
        <v>10</v>
      </c>
      <c r="C60" s="821">
        <v>-0.06</v>
      </c>
      <c r="D60" s="821">
        <v>-0.02</v>
      </c>
      <c r="E60" s="809">
        <f>IFERROR(IF(OR(C60="-",D60="-"),1/3*F60,0.5*(MAX(C60:D60)-MIN(C60:D60))),0)</f>
        <v>1.9999999999999997E-2</v>
      </c>
      <c r="F60" s="810">
        <v>0.12</v>
      </c>
      <c r="G60" s="804">
        <v>9</v>
      </c>
      <c r="H60" s="813">
        <v>600</v>
      </c>
      <c r="I60" s="807" t="s">
        <v>10</v>
      </c>
      <c r="J60" s="821">
        <v>-0.04</v>
      </c>
      <c r="K60" s="821">
        <v>0.02</v>
      </c>
      <c r="L60" s="809">
        <f>IFERROR(IF(OR(J60="-",K60="-"),1/3*M60,0.5*(MAX(J60:K60)-MIN(J60:K60))),0)</f>
        <v>0.03</v>
      </c>
      <c r="M60" s="810">
        <v>0.12</v>
      </c>
      <c r="N60" s="804">
        <v>9</v>
      </c>
      <c r="O60" s="813">
        <v>600</v>
      </c>
      <c r="P60" s="807" t="s">
        <v>10</v>
      </c>
      <c r="Q60" s="821">
        <v>0.01</v>
      </c>
      <c r="R60" s="821">
        <v>0.03</v>
      </c>
      <c r="S60" s="809">
        <f t="shared" si="11"/>
        <v>9.9999999999999985E-3</v>
      </c>
      <c r="T60" s="810">
        <v>0.12</v>
      </c>
      <c r="V60" s="815"/>
      <c r="W60" s="816"/>
      <c r="X60" s="817"/>
      <c r="Y60" s="818"/>
      <c r="Z60" s="819"/>
      <c r="AA60" s="797"/>
      <c r="AB60" s="815"/>
      <c r="AC60" s="816"/>
      <c r="AD60" s="817"/>
      <c r="AE60" s="818"/>
      <c r="AF60" s="819"/>
    </row>
    <row r="61" spans="1:32" ht="13.5" customHeight="1">
      <c r="A61" s="813">
        <v>900</v>
      </c>
      <c r="B61" s="807" t="s">
        <v>10</v>
      </c>
      <c r="C61" s="821">
        <v>-0.06</v>
      </c>
      <c r="D61" s="821">
        <v>-0.02</v>
      </c>
      <c r="E61" s="809">
        <f t="shared" si="9"/>
        <v>1.9999999999999997E-2</v>
      </c>
      <c r="F61" s="810">
        <v>0.12</v>
      </c>
      <c r="G61" s="804">
        <v>10</v>
      </c>
      <c r="H61" s="813">
        <v>900</v>
      </c>
      <c r="I61" s="807" t="s">
        <v>10</v>
      </c>
      <c r="J61" s="821">
        <v>-0.03</v>
      </c>
      <c r="K61" s="821">
        <v>0.03</v>
      </c>
      <c r="L61" s="809">
        <f t="shared" si="10"/>
        <v>0.03</v>
      </c>
      <c r="M61" s="810">
        <v>0.12</v>
      </c>
      <c r="N61" s="804">
        <v>10</v>
      </c>
      <c r="O61" s="813">
        <v>900</v>
      </c>
      <c r="P61" s="807" t="s">
        <v>10</v>
      </c>
      <c r="Q61" s="812" t="s">
        <v>10</v>
      </c>
      <c r="R61" s="821">
        <v>0.03</v>
      </c>
      <c r="S61" s="809">
        <f t="shared" si="11"/>
        <v>3.9999999999999994E-2</v>
      </c>
      <c r="T61" s="810">
        <v>0.12</v>
      </c>
      <c r="V61" s="815"/>
      <c r="W61" s="816"/>
      <c r="X61" s="817"/>
      <c r="Y61" s="818"/>
      <c r="Z61" s="819"/>
      <c r="AA61" s="797"/>
      <c r="AB61" s="815"/>
      <c r="AC61" s="816"/>
      <c r="AD61" s="817"/>
      <c r="AE61" s="818"/>
      <c r="AF61" s="819"/>
    </row>
    <row r="62" spans="1:32" ht="13.5" customHeight="1">
      <c r="A62" s="813">
        <v>1200</v>
      </c>
      <c r="B62" s="807" t="s">
        <v>10</v>
      </c>
      <c r="C62" s="821">
        <v>-0.05</v>
      </c>
      <c r="D62" s="821">
        <v>-0.02</v>
      </c>
      <c r="E62" s="809">
        <f>IFERROR(IF(OR(C62="-",D62="-"),1/3*F62,0.5*(MAX(C62:D62)-MIN(C62:D62))),0)</f>
        <v>1.5000000000000001E-2</v>
      </c>
      <c r="F62" s="810">
        <v>0.12</v>
      </c>
      <c r="G62" s="804">
        <v>11</v>
      </c>
      <c r="H62" s="813">
        <v>1200</v>
      </c>
      <c r="I62" s="807" t="s">
        <v>10</v>
      </c>
      <c r="J62" s="821">
        <v>-0.02</v>
      </c>
      <c r="K62" s="821">
        <v>0.04</v>
      </c>
      <c r="L62" s="809">
        <f>IFERROR(IF(OR(J62="-",K62="-"),1/3*M62,0.5*(MAX(J62:K62)-MIN(J62:K62))),0)</f>
        <v>0.03</v>
      </c>
      <c r="M62" s="810">
        <v>0.12</v>
      </c>
      <c r="N62" s="804">
        <v>11</v>
      </c>
      <c r="O62" s="813">
        <v>1200</v>
      </c>
      <c r="P62" s="807" t="s">
        <v>10</v>
      </c>
      <c r="Q62" s="812" t="s">
        <v>10</v>
      </c>
      <c r="R62" s="821">
        <v>0.03</v>
      </c>
      <c r="S62" s="809">
        <f>IFERROR(IF(OR(Q62="-",R62="-"),1/3*T62,0.5*(MAX(Q62:R62)-MIN(Q62:R62))),0)</f>
        <v>3.9999999999999994E-2</v>
      </c>
      <c r="T62" s="810">
        <v>0.12</v>
      </c>
      <c r="V62" s="815"/>
      <c r="W62" s="816"/>
      <c r="X62" s="817"/>
      <c r="Y62" s="818"/>
      <c r="Z62" s="819"/>
      <c r="AA62" s="822"/>
      <c r="AB62" s="815"/>
      <c r="AC62" s="816"/>
      <c r="AD62" s="817"/>
      <c r="AE62" s="818"/>
      <c r="AF62" s="819"/>
    </row>
    <row r="63" spans="1:32" ht="13.5" customHeight="1">
      <c r="A63" s="831"/>
      <c r="B63" s="832"/>
      <c r="C63" s="833"/>
      <c r="D63" s="834"/>
      <c r="E63" s="818"/>
      <c r="F63" s="819"/>
      <c r="G63" s="822"/>
      <c r="H63" s="832"/>
      <c r="I63" s="832"/>
      <c r="J63" s="833"/>
      <c r="K63" s="835"/>
      <c r="L63" s="818"/>
      <c r="M63" s="819"/>
      <c r="N63" s="828"/>
      <c r="O63" s="832"/>
      <c r="P63" s="832"/>
      <c r="Q63" s="833"/>
      <c r="R63" s="835"/>
      <c r="S63" s="818"/>
      <c r="T63" s="819"/>
      <c r="V63" s="815"/>
      <c r="W63" s="816"/>
      <c r="X63" s="817"/>
      <c r="Y63" s="818"/>
      <c r="Z63" s="819"/>
      <c r="AA63" s="822"/>
      <c r="AB63" s="815"/>
      <c r="AC63" s="816"/>
      <c r="AD63" s="817"/>
      <c r="AE63" s="818"/>
      <c r="AF63" s="819"/>
    </row>
    <row r="64" spans="1:32" ht="13.5" customHeight="1">
      <c r="A64" s="1744" t="s">
        <v>20</v>
      </c>
      <c r="B64" s="1745"/>
      <c r="C64" s="1745"/>
      <c r="D64" s="1746"/>
      <c r="E64" s="1747" t="s">
        <v>2</v>
      </c>
      <c r="F64" s="1748" t="str">
        <f>F49</f>
        <v>U95 STD</v>
      </c>
      <c r="G64" s="822"/>
      <c r="H64" s="1744" t="s">
        <v>21</v>
      </c>
      <c r="I64" s="1745"/>
      <c r="J64" s="1745"/>
      <c r="K64" s="1746"/>
      <c r="L64" s="1747" t="s">
        <v>2</v>
      </c>
      <c r="M64" s="1748" t="str">
        <f>M49</f>
        <v>U95 STD</v>
      </c>
      <c r="N64" s="828"/>
      <c r="O64" s="1744" t="s">
        <v>22</v>
      </c>
      <c r="P64" s="1745"/>
      <c r="Q64" s="1745"/>
      <c r="R64" s="1746"/>
      <c r="S64" s="1747" t="s">
        <v>2</v>
      </c>
      <c r="T64" s="1748" t="str">
        <f>T49</f>
        <v>U95 STD</v>
      </c>
      <c r="V64" s="815"/>
      <c r="W64" s="816"/>
      <c r="X64" s="817"/>
      <c r="Y64" s="818"/>
      <c r="Z64" s="819"/>
      <c r="AA64" s="822"/>
      <c r="AB64" s="815"/>
      <c r="AC64" s="816"/>
      <c r="AD64" s="817"/>
      <c r="AE64" s="818"/>
      <c r="AF64" s="819"/>
    </row>
    <row r="65" spans="1:32" ht="13.5" customHeight="1">
      <c r="A65" s="798" t="str">
        <f>A50</f>
        <v>Timer</v>
      </c>
      <c r="B65" s="1749" t="s">
        <v>7</v>
      </c>
      <c r="C65" s="1750"/>
      <c r="D65" s="1751"/>
      <c r="E65" s="1747"/>
      <c r="F65" s="1748"/>
      <c r="G65" s="822"/>
      <c r="H65" s="798" t="str">
        <f>H50</f>
        <v>Timer</v>
      </c>
      <c r="I65" s="1749" t="s">
        <v>7</v>
      </c>
      <c r="J65" s="1750"/>
      <c r="K65" s="1751"/>
      <c r="L65" s="1747"/>
      <c r="M65" s="1748"/>
      <c r="N65" s="828"/>
      <c r="O65" s="798" t="str">
        <f>O50</f>
        <v>Timer</v>
      </c>
      <c r="P65" s="1749" t="s">
        <v>7</v>
      </c>
      <c r="Q65" s="1750"/>
      <c r="R65" s="1751"/>
      <c r="S65" s="1747"/>
      <c r="T65" s="1748"/>
      <c r="V65" s="815"/>
      <c r="W65" s="816"/>
      <c r="X65" s="817"/>
      <c r="Y65" s="818"/>
      <c r="Z65" s="819"/>
      <c r="AA65" s="822"/>
      <c r="AB65" s="815"/>
      <c r="AC65" s="816"/>
      <c r="AD65" s="817"/>
      <c r="AE65" s="818"/>
      <c r="AF65" s="819"/>
    </row>
    <row r="66" spans="1:32" ht="13.5" customHeight="1">
      <c r="A66" s="235" t="str">
        <f>A51</f>
        <v>s</v>
      </c>
      <c r="B66" s="802">
        <v>2022</v>
      </c>
      <c r="C66" s="803">
        <v>2021</v>
      </c>
      <c r="D66" s="803">
        <v>2020</v>
      </c>
      <c r="E66" s="1747"/>
      <c r="F66" s="1748"/>
      <c r="G66" s="804" t="s">
        <v>9</v>
      </c>
      <c r="H66" s="235" t="str">
        <f>H51</f>
        <v>s</v>
      </c>
      <c r="I66" s="802">
        <v>2022</v>
      </c>
      <c r="J66" s="803">
        <v>2021</v>
      </c>
      <c r="K66" s="803">
        <v>2020</v>
      </c>
      <c r="L66" s="1747"/>
      <c r="M66" s="1748"/>
      <c r="N66" s="804" t="s">
        <v>9</v>
      </c>
      <c r="O66" s="235" t="str">
        <f>O51</f>
        <v>s</v>
      </c>
      <c r="P66" s="802">
        <v>2022</v>
      </c>
      <c r="Q66" s="803">
        <v>2021</v>
      </c>
      <c r="R66" s="830">
        <v>2020</v>
      </c>
      <c r="S66" s="1747"/>
      <c r="T66" s="1748"/>
      <c r="V66" s="815"/>
      <c r="W66" s="816"/>
      <c r="X66" s="817"/>
      <c r="Y66" s="818"/>
      <c r="Z66" s="819"/>
      <c r="AA66" s="822"/>
      <c r="AB66" s="815"/>
      <c r="AC66" s="816"/>
      <c r="AD66" s="817"/>
      <c r="AE66" s="818"/>
      <c r="AF66" s="819"/>
    </row>
    <row r="67" spans="1:32" ht="13.5" customHeight="1">
      <c r="A67" s="806">
        <v>0</v>
      </c>
      <c r="B67" s="807" t="s">
        <v>10</v>
      </c>
      <c r="C67" s="821">
        <v>0</v>
      </c>
      <c r="D67" s="821">
        <v>0</v>
      </c>
      <c r="E67" s="809">
        <f>IFERROR(IF(OR(C67="-",D67="-"),1/3*F67,0.5*(MAX(C67:D67)-MIN(C67:D67))),0)</f>
        <v>0</v>
      </c>
      <c r="F67" s="810">
        <v>0</v>
      </c>
      <c r="G67" s="804">
        <v>1</v>
      </c>
      <c r="H67" s="806">
        <v>0</v>
      </c>
      <c r="I67" s="807" t="s">
        <v>10</v>
      </c>
      <c r="J67" s="821">
        <v>0</v>
      </c>
      <c r="K67" s="821">
        <v>0</v>
      </c>
      <c r="L67" s="809">
        <f>IFERROR(IF(OR(J67="-",K67="-"),1/3*M67,0.5*(MAX(J67:K67)-MIN(J67:K67))),0)</f>
        <v>0</v>
      </c>
      <c r="M67" s="810">
        <v>0</v>
      </c>
      <c r="N67" s="804">
        <v>1</v>
      </c>
      <c r="O67" s="806">
        <v>0</v>
      </c>
      <c r="P67" s="807" t="s">
        <v>10</v>
      </c>
      <c r="Q67" s="821">
        <v>0</v>
      </c>
      <c r="R67" s="821">
        <v>0</v>
      </c>
      <c r="S67" s="809">
        <f>IFERROR(IF(OR(Q67="-",R67="-"),1/3*T67,0.5*(MAX(Q67:R67)-MIN(Q67:R67))),0)</f>
        <v>0</v>
      </c>
      <c r="T67" s="810">
        <v>0</v>
      </c>
      <c r="V67" s="815"/>
      <c r="W67" s="816"/>
      <c r="X67" s="817"/>
      <c r="Y67" s="818"/>
      <c r="Z67" s="819"/>
      <c r="AA67" s="822"/>
      <c r="AB67" s="815"/>
      <c r="AC67" s="816"/>
      <c r="AD67" s="817"/>
      <c r="AE67" s="818"/>
      <c r="AF67" s="819"/>
    </row>
    <row r="68" spans="1:32" ht="13.5" customHeight="1">
      <c r="A68" s="813">
        <v>10</v>
      </c>
      <c r="B68" s="807" t="s">
        <v>10</v>
      </c>
      <c r="C68" s="821">
        <v>0.02</v>
      </c>
      <c r="D68" s="812" t="s">
        <v>10</v>
      </c>
      <c r="E68" s="809">
        <f t="shared" ref="E68:E76" si="12">IFERROR(IF(OR(C68="-",D68="-"),1/3*F68,0.5*(MAX(C68:D68)-MIN(C68:D68))),0)</f>
        <v>3.9999999999999994E-2</v>
      </c>
      <c r="F68" s="810">
        <v>0.12</v>
      </c>
      <c r="G68" s="804">
        <v>2</v>
      </c>
      <c r="H68" s="813">
        <v>10</v>
      </c>
      <c r="I68" s="807" t="s">
        <v>10</v>
      </c>
      <c r="J68" s="821">
        <v>0.02</v>
      </c>
      <c r="K68" s="812" t="s">
        <v>10</v>
      </c>
      <c r="L68" s="809">
        <f t="shared" ref="L68:L76" si="13">IFERROR(IF(OR(J68="-",K68="-"),1/3*M68,0.5*(MAX(J68:K68)-MIN(J68:K68))),0)</f>
        <v>3.9999999999999994E-2</v>
      </c>
      <c r="M68" s="810">
        <v>0.12</v>
      </c>
      <c r="N68" s="804">
        <v>2</v>
      </c>
      <c r="O68" s="813">
        <v>10</v>
      </c>
      <c r="P68" s="807" t="s">
        <v>10</v>
      </c>
      <c r="Q68" s="821">
        <v>0.03</v>
      </c>
      <c r="R68" s="812" t="s">
        <v>10</v>
      </c>
      <c r="S68" s="809">
        <f t="shared" ref="S68:S76" si="14">IFERROR(IF(OR(Q68="-",R68="-"),1/3*T68,0.5*(MAX(Q68:R68)-MIN(Q68:R68))),0)</f>
        <v>3.9999999999999994E-2</v>
      </c>
      <c r="T68" s="810">
        <v>0.12</v>
      </c>
      <c r="V68" s="815"/>
      <c r="W68" s="816"/>
      <c r="X68" s="817"/>
      <c r="Y68" s="818"/>
      <c r="Z68" s="819"/>
      <c r="AA68" s="822"/>
      <c r="AB68" s="815"/>
      <c r="AC68" s="816"/>
      <c r="AD68" s="817"/>
      <c r="AE68" s="818"/>
      <c r="AF68" s="819"/>
    </row>
    <row r="69" spans="1:32" ht="13.5" customHeight="1">
      <c r="A69" s="813">
        <v>20</v>
      </c>
      <c r="B69" s="807" t="s">
        <v>10</v>
      </c>
      <c r="C69" s="821">
        <v>0.03</v>
      </c>
      <c r="D69" s="812" t="s">
        <v>10</v>
      </c>
      <c r="E69" s="809">
        <f t="shared" si="12"/>
        <v>3.9999999999999994E-2</v>
      </c>
      <c r="F69" s="810">
        <v>0.12</v>
      </c>
      <c r="G69" s="804">
        <v>3</v>
      </c>
      <c r="H69" s="813">
        <v>20</v>
      </c>
      <c r="I69" s="807" t="s">
        <v>10</v>
      </c>
      <c r="J69" s="821">
        <v>0.02</v>
      </c>
      <c r="K69" s="812" t="s">
        <v>10</v>
      </c>
      <c r="L69" s="809">
        <f t="shared" si="13"/>
        <v>3.9999999999999994E-2</v>
      </c>
      <c r="M69" s="810">
        <v>0.12</v>
      </c>
      <c r="N69" s="804">
        <v>3</v>
      </c>
      <c r="O69" s="813">
        <v>30</v>
      </c>
      <c r="P69" s="807" t="s">
        <v>10</v>
      </c>
      <c r="Q69" s="821">
        <v>0.03</v>
      </c>
      <c r="R69" s="812" t="s">
        <v>10</v>
      </c>
      <c r="S69" s="809">
        <f t="shared" si="14"/>
        <v>3.9999999999999994E-2</v>
      </c>
      <c r="T69" s="810">
        <v>0.12</v>
      </c>
      <c r="V69" s="815"/>
      <c r="W69" s="816"/>
      <c r="X69" s="817"/>
      <c r="Y69" s="818"/>
      <c r="Z69" s="819"/>
      <c r="AA69" s="822"/>
      <c r="AB69" s="815"/>
      <c r="AC69" s="816"/>
      <c r="AD69" s="817"/>
      <c r="AE69" s="818"/>
      <c r="AF69" s="819"/>
    </row>
    <row r="70" spans="1:32" ht="13.5" customHeight="1">
      <c r="A70" s="813">
        <v>30</v>
      </c>
      <c r="B70" s="807" t="s">
        <v>10</v>
      </c>
      <c r="C70" s="821">
        <v>0.02</v>
      </c>
      <c r="D70" s="812" t="s">
        <v>10</v>
      </c>
      <c r="E70" s="809">
        <f t="shared" si="12"/>
        <v>3.9999999999999994E-2</v>
      </c>
      <c r="F70" s="810">
        <v>0.12</v>
      </c>
      <c r="G70" s="804">
        <v>4</v>
      </c>
      <c r="H70" s="813">
        <v>30</v>
      </c>
      <c r="I70" s="807" t="s">
        <v>10</v>
      </c>
      <c r="J70" s="821">
        <v>0.02</v>
      </c>
      <c r="K70" s="812" t="s">
        <v>10</v>
      </c>
      <c r="L70" s="809">
        <f t="shared" si="13"/>
        <v>3.9999999999999994E-2</v>
      </c>
      <c r="M70" s="810">
        <v>0.12</v>
      </c>
      <c r="N70" s="804">
        <v>4</v>
      </c>
      <c r="O70" s="813">
        <v>60</v>
      </c>
      <c r="P70" s="807" t="s">
        <v>10</v>
      </c>
      <c r="Q70" s="821">
        <v>0.04</v>
      </c>
      <c r="R70" s="821">
        <v>0</v>
      </c>
      <c r="S70" s="809">
        <f t="shared" si="14"/>
        <v>0.02</v>
      </c>
      <c r="T70" s="810">
        <v>0.12</v>
      </c>
      <c r="V70" s="815"/>
      <c r="W70" s="816"/>
      <c r="X70" s="817"/>
      <c r="Y70" s="818"/>
      <c r="Z70" s="819"/>
      <c r="AA70" s="822"/>
      <c r="AB70" s="815"/>
      <c r="AC70" s="816"/>
      <c r="AD70" s="817"/>
      <c r="AE70" s="818"/>
      <c r="AF70" s="819"/>
    </row>
    <row r="71" spans="1:32" ht="13.5" customHeight="1">
      <c r="A71" s="813">
        <v>40</v>
      </c>
      <c r="B71" s="807" t="s">
        <v>10</v>
      </c>
      <c r="C71" s="821">
        <v>0.01</v>
      </c>
      <c r="D71" s="812" t="s">
        <v>10</v>
      </c>
      <c r="E71" s="809">
        <f t="shared" si="12"/>
        <v>3.9999999999999994E-2</v>
      </c>
      <c r="F71" s="810">
        <v>0.12</v>
      </c>
      <c r="G71" s="804">
        <v>5</v>
      </c>
      <c r="H71" s="813">
        <v>40</v>
      </c>
      <c r="I71" s="807" t="s">
        <v>10</v>
      </c>
      <c r="J71" s="821">
        <v>0.03</v>
      </c>
      <c r="K71" s="812" t="s">
        <v>10</v>
      </c>
      <c r="L71" s="809">
        <f t="shared" si="13"/>
        <v>3.9999999999999994E-2</v>
      </c>
      <c r="M71" s="810">
        <v>0.12</v>
      </c>
      <c r="N71" s="804">
        <v>5</v>
      </c>
      <c r="O71" s="813">
        <v>60</v>
      </c>
      <c r="P71" s="807" t="s">
        <v>10</v>
      </c>
      <c r="Q71" s="821">
        <v>0.04</v>
      </c>
      <c r="R71" s="821">
        <v>0</v>
      </c>
      <c r="S71" s="809">
        <f t="shared" si="14"/>
        <v>0.02</v>
      </c>
      <c r="T71" s="810">
        <v>0.12</v>
      </c>
      <c r="V71" s="815"/>
      <c r="W71" s="816"/>
      <c r="X71" s="817"/>
      <c r="Y71" s="818"/>
      <c r="Z71" s="819"/>
      <c r="AA71" s="822"/>
      <c r="AB71" s="815"/>
      <c r="AC71" s="816"/>
      <c r="AD71" s="817"/>
      <c r="AE71" s="818"/>
      <c r="AF71" s="819"/>
    </row>
    <row r="72" spans="1:32" ht="13.5" customHeight="1">
      <c r="A72" s="813">
        <v>50</v>
      </c>
      <c r="B72" s="807" t="s">
        <v>10</v>
      </c>
      <c r="C72" s="821">
        <v>0.02</v>
      </c>
      <c r="D72" s="812" t="s">
        <v>10</v>
      </c>
      <c r="E72" s="809">
        <f t="shared" si="12"/>
        <v>3.9999999999999994E-2</v>
      </c>
      <c r="F72" s="810">
        <v>0.12</v>
      </c>
      <c r="G72" s="804">
        <v>6</v>
      </c>
      <c r="H72" s="813">
        <v>50</v>
      </c>
      <c r="I72" s="807" t="s">
        <v>10</v>
      </c>
      <c r="J72" s="821">
        <v>0.03</v>
      </c>
      <c r="K72" s="812" t="s">
        <v>10</v>
      </c>
      <c r="L72" s="809">
        <f t="shared" si="13"/>
        <v>3.9999999999999994E-2</v>
      </c>
      <c r="M72" s="810">
        <v>0.12</v>
      </c>
      <c r="N72" s="804">
        <v>6</v>
      </c>
      <c r="O72" s="813">
        <v>60</v>
      </c>
      <c r="P72" s="807" t="s">
        <v>10</v>
      </c>
      <c r="Q72" s="821">
        <v>0.04</v>
      </c>
      <c r="R72" s="821">
        <v>0</v>
      </c>
      <c r="S72" s="809">
        <f t="shared" si="14"/>
        <v>0.02</v>
      </c>
      <c r="T72" s="810">
        <v>0.12</v>
      </c>
      <c r="V72" s="815"/>
      <c r="W72" s="816"/>
      <c r="X72" s="817"/>
      <c r="Y72" s="818"/>
      <c r="Z72" s="819"/>
      <c r="AA72" s="822"/>
      <c r="AB72" s="815"/>
      <c r="AC72" s="816"/>
      <c r="AD72" s="817"/>
      <c r="AE72" s="818"/>
      <c r="AF72" s="819"/>
    </row>
    <row r="73" spans="1:32" ht="13.5" customHeight="1">
      <c r="A73" s="813">
        <v>60</v>
      </c>
      <c r="B73" s="807" t="s">
        <v>10</v>
      </c>
      <c r="C73" s="821">
        <v>0.02</v>
      </c>
      <c r="D73" s="821">
        <v>0.02</v>
      </c>
      <c r="E73" s="809">
        <f t="shared" si="12"/>
        <v>0</v>
      </c>
      <c r="F73" s="810">
        <v>0.12</v>
      </c>
      <c r="G73" s="804">
        <v>7</v>
      </c>
      <c r="H73" s="813">
        <v>60</v>
      </c>
      <c r="I73" s="807" t="s">
        <v>10</v>
      </c>
      <c r="J73" s="821">
        <v>0.03</v>
      </c>
      <c r="K73" s="821">
        <v>-0.01</v>
      </c>
      <c r="L73" s="809">
        <f t="shared" si="13"/>
        <v>0.02</v>
      </c>
      <c r="M73" s="810">
        <v>0.12</v>
      </c>
      <c r="N73" s="804">
        <v>7</v>
      </c>
      <c r="O73" s="813">
        <v>60</v>
      </c>
      <c r="P73" s="807" t="s">
        <v>10</v>
      </c>
      <c r="Q73" s="821">
        <v>0.04</v>
      </c>
      <c r="R73" s="821">
        <v>0</v>
      </c>
      <c r="S73" s="809">
        <f t="shared" si="14"/>
        <v>0.02</v>
      </c>
      <c r="T73" s="810">
        <v>0.12</v>
      </c>
      <c r="V73" s="815"/>
      <c r="W73" s="816"/>
      <c r="X73" s="817"/>
      <c r="Y73" s="818"/>
      <c r="Z73" s="819"/>
      <c r="AA73" s="822"/>
      <c r="AB73" s="815"/>
      <c r="AC73" s="816"/>
      <c r="AD73" s="817"/>
      <c r="AE73" s="818"/>
      <c r="AF73" s="819"/>
    </row>
    <row r="74" spans="1:32" ht="13.5" customHeight="1">
      <c r="A74" s="813">
        <v>300</v>
      </c>
      <c r="B74" s="807" t="s">
        <v>10</v>
      </c>
      <c r="C74" s="821">
        <v>0.01</v>
      </c>
      <c r="D74" s="821">
        <v>0.02</v>
      </c>
      <c r="E74" s="809">
        <f t="shared" si="12"/>
        <v>5.0000000000000001E-3</v>
      </c>
      <c r="F74" s="810">
        <v>0.12</v>
      </c>
      <c r="G74" s="804">
        <v>8</v>
      </c>
      <c r="H74" s="813">
        <v>300</v>
      </c>
      <c r="I74" s="807" t="s">
        <v>10</v>
      </c>
      <c r="J74" s="821">
        <v>0.03</v>
      </c>
      <c r="K74" s="821">
        <v>-0.01</v>
      </c>
      <c r="L74" s="809">
        <f t="shared" si="13"/>
        <v>0.02</v>
      </c>
      <c r="M74" s="810">
        <v>0.12</v>
      </c>
      <c r="N74" s="804">
        <v>8</v>
      </c>
      <c r="O74" s="813">
        <v>300</v>
      </c>
      <c r="P74" s="807" t="s">
        <v>10</v>
      </c>
      <c r="Q74" s="821">
        <v>0.04</v>
      </c>
      <c r="R74" s="821">
        <v>-0.01</v>
      </c>
      <c r="S74" s="809">
        <f t="shared" si="14"/>
        <v>2.5000000000000001E-2</v>
      </c>
      <c r="T74" s="810">
        <v>0.12</v>
      </c>
      <c r="V74" s="815"/>
      <c r="W74" s="816"/>
      <c r="X74" s="817"/>
      <c r="Y74" s="818"/>
      <c r="Z74" s="819"/>
      <c r="AA74" s="822"/>
      <c r="AB74" s="815"/>
      <c r="AC74" s="816"/>
      <c r="AD74" s="817"/>
      <c r="AE74" s="818"/>
      <c r="AF74" s="819"/>
    </row>
    <row r="75" spans="1:32" ht="13.5" customHeight="1">
      <c r="A75" s="813">
        <v>600</v>
      </c>
      <c r="B75" s="807" t="s">
        <v>10</v>
      </c>
      <c r="C75" s="821">
        <v>0.01</v>
      </c>
      <c r="D75" s="821">
        <v>0.03</v>
      </c>
      <c r="E75" s="809">
        <f t="shared" si="12"/>
        <v>9.9999999999999985E-3</v>
      </c>
      <c r="F75" s="810">
        <v>0.12</v>
      </c>
      <c r="G75" s="804">
        <v>9</v>
      </c>
      <c r="H75" s="813">
        <v>600</v>
      </c>
      <c r="I75" s="807" t="s">
        <v>10</v>
      </c>
      <c r="J75" s="821">
        <v>0.04</v>
      </c>
      <c r="K75" s="821">
        <v>-0.02</v>
      </c>
      <c r="L75" s="809">
        <f t="shared" si="13"/>
        <v>0.03</v>
      </c>
      <c r="M75" s="810">
        <v>0.12</v>
      </c>
      <c r="N75" s="804">
        <v>9</v>
      </c>
      <c r="O75" s="813">
        <v>600</v>
      </c>
      <c r="P75" s="807" t="s">
        <v>10</v>
      </c>
      <c r="Q75" s="821">
        <v>0.04</v>
      </c>
      <c r="R75" s="821">
        <v>-0.02</v>
      </c>
      <c r="S75" s="809">
        <f t="shared" si="14"/>
        <v>0.03</v>
      </c>
      <c r="T75" s="810">
        <v>0.12</v>
      </c>
      <c r="V75" s="815"/>
      <c r="W75" s="816"/>
      <c r="X75" s="817"/>
      <c r="Y75" s="818"/>
      <c r="Z75" s="819"/>
      <c r="AA75" s="822"/>
      <c r="AB75" s="815"/>
      <c r="AC75" s="816"/>
      <c r="AD75" s="817"/>
      <c r="AE75" s="818"/>
      <c r="AF75" s="819"/>
    </row>
    <row r="76" spans="1:32" ht="13.5" customHeight="1">
      <c r="A76" s="813">
        <v>900</v>
      </c>
      <c r="B76" s="807" t="s">
        <v>10</v>
      </c>
      <c r="C76" s="812" t="s">
        <v>10</v>
      </c>
      <c r="D76" s="821">
        <v>0.03</v>
      </c>
      <c r="E76" s="809">
        <f t="shared" si="12"/>
        <v>3.9999999999999994E-2</v>
      </c>
      <c r="F76" s="810">
        <v>0.12</v>
      </c>
      <c r="G76" s="804">
        <v>10</v>
      </c>
      <c r="H76" s="813">
        <v>900</v>
      </c>
      <c r="I76" s="807" t="s">
        <v>10</v>
      </c>
      <c r="J76" s="812" t="s">
        <v>10</v>
      </c>
      <c r="K76" s="821">
        <v>-0.02</v>
      </c>
      <c r="L76" s="809">
        <f t="shared" si="13"/>
        <v>3.9999999999999994E-2</v>
      </c>
      <c r="M76" s="810">
        <v>0.12</v>
      </c>
      <c r="N76" s="804">
        <v>10</v>
      </c>
      <c r="O76" s="813">
        <v>900</v>
      </c>
      <c r="P76" s="807" t="s">
        <v>10</v>
      </c>
      <c r="Q76" s="821">
        <v>0.04</v>
      </c>
      <c r="R76" s="821">
        <v>-0.03</v>
      </c>
      <c r="S76" s="809">
        <f t="shared" si="14"/>
        <v>3.5000000000000003E-2</v>
      </c>
      <c r="T76" s="810">
        <v>0.12</v>
      </c>
      <c r="V76" s="815"/>
      <c r="W76" s="816"/>
      <c r="X76" s="817"/>
      <c r="Y76" s="818"/>
      <c r="Z76" s="819"/>
      <c r="AA76" s="822"/>
      <c r="AB76" s="815"/>
      <c r="AC76" s="816"/>
      <c r="AD76" s="817"/>
      <c r="AE76" s="818"/>
      <c r="AF76" s="819"/>
    </row>
    <row r="77" spans="1:32" ht="13.5" customHeight="1">
      <c r="A77" s="813">
        <v>1200</v>
      </c>
      <c r="B77" s="807" t="s">
        <v>10</v>
      </c>
      <c r="C77" s="812" t="s">
        <v>10</v>
      </c>
      <c r="D77" s="821">
        <v>0.03</v>
      </c>
      <c r="E77" s="809">
        <f>IFERROR(IF(OR(C77="-",D77="-"),1/3*F77,0.5*(MAX(C77:D77)-MIN(C77:D77))),0)</f>
        <v>3.9999999999999994E-2</v>
      </c>
      <c r="F77" s="810">
        <v>0.12</v>
      </c>
      <c r="G77" s="804">
        <v>11</v>
      </c>
      <c r="H77" s="813">
        <v>1200</v>
      </c>
      <c r="I77" s="807" t="s">
        <v>10</v>
      </c>
      <c r="J77" s="812" t="s">
        <v>10</v>
      </c>
      <c r="K77" s="821">
        <v>-0.03</v>
      </c>
      <c r="L77" s="809">
        <f>IFERROR(IF(OR(J77="-",K77="-"),1/3*M77,0.5*(MAX(J77:K77)-MIN(J77:K77))),0)</f>
        <v>3.9999999999999994E-2</v>
      </c>
      <c r="M77" s="810">
        <v>0.12</v>
      </c>
      <c r="N77" s="804">
        <v>11</v>
      </c>
      <c r="O77" s="813">
        <v>1200</v>
      </c>
      <c r="P77" s="807" t="s">
        <v>10</v>
      </c>
      <c r="Q77" s="821">
        <v>0.04</v>
      </c>
      <c r="R77" s="821">
        <v>-0.04</v>
      </c>
      <c r="S77" s="809">
        <f>IFERROR(IF(OR(Q77="-",R77="-"),1/3*T77,0.5*(MAX(Q77:R77)-MIN(Q77:R77))),0)</f>
        <v>0.04</v>
      </c>
      <c r="T77" s="810">
        <v>0.12</v>
      </c>
      <c r="V77" s="815"/>
      <c r="W77" s="816"/>
      <c r="X77" s="817"/>
      <c r="Y77" s="818"/>
      <c r="Z77" s="819"/>
      <c r="AA77" s="822"/>
      <c r="AB77" s="815"/>
      <c r="AC77" s="816"/>
      <c r="AD77" s="817"/>
      <c r="AE77" s="818"/>
      <c r="AF77" s="819"/>
    </row>
    <row r="78" spans="1:32" ht="13.5" customHeight="1">
      <c r="A78" s="831"/>
      <c r="B78" s="832"/>
      <c r="C78" s="833"/>
      <c r="D78" s="834"/>
      <c r="E78" s="818"/>
      <c r="F78" s="819"/>
      <c r="G78" s="822"/>
      <c r="H78" s="832"/>
      <c r="I78" s="832"/>
      <c r="J78" s="833"/>
      <c r="K78" s="835"/>
      <c r="L78" s="818"/>
      <c r="M78" s="819"/>
      <c r="N78" s="828"/>
      <c r="O78" s="832"/>
      <c r="P78" s="832"/>
      <c r="Q78" s="833"/>
      <c r="R78" s="835"/>
      <c r="S78" s="818"/>
      <c r="T78" s="819"/>
      <c r="V78" s="815"/>
      <c r="W78" s="816"/>
      <c r="X78" s="817"/>
      <c r="Y78" s="818"/>
      <c r="Z78" s="819"/>
      <c r="AA78" s="822"/>
      <c r="AB78" s="815"/>
      <c r="AC78" s="816"/>
      <c r="AD78" s="817"/>
      <c r="AE78" s="818"/>
      <c r="AF78" s="819"/>
    </row>
    <row r="79" spans="1:32" ht="13.5" customHeight="1">
      <c r="A79" s="1744" t="s">
        <v>23</v>
      </c>
      <c r="B79" s="1745"/>
      <c r="C79" s="1745"/>
      <c r="D79" s="1746"/>
      <c r="E79" s="1747" t="s">
        <v>2</v>
      </c>
      <c r="F79" s="1748" t="str">
        <f>F64</f>
        <v>U95 STD</v>
      </c>
      <c r="G79" s="822"/>
      <c r="H79" s="832"/>
      <c r="I79" s="832"/>
      <c r="J79" s="833"/>
      <c r="K79" s="835"/>
      <c r="L79" s="818"/>
      <c r="M79" s="819"/>
      <c r="N79" s="828"/>
      <c r="O79" s="832"/>
      <c r="P79" s="832"/>
      <c r="Q79" s="833"/>
      <c r="R79" s="835"/>
      <c r="S79" s="818"/>
      <c r="T79" s="819"/>
      <c r="V79" s="815"/>
      <c r="W79" s="816"/>
      <c r="X79" s="817"/>
      <c r="Y79" s="818"/>
      <c r="Z79" s="819"/>
      <c r="AA79" s="822"/>
      <c r="AB79" s="815"/>
      <c r="AC79" s="816"/>
      <c r="AD79" s="817"/>
      <c r="AE79" s="818"/>
      <c r="AF79" s="819"/>
    </row>
    <row r="80" spans="1:32" ht="13.5" customHeight="1">
      <c r="A80" s="798" t="str">
        <f>A65</f>
        <v>Timer</v>
      </c>
      <c r="B80" s="1749" t="s">
        <v>7</v>
      </c>
      <c r="C80" s="1750"/>
      <c r="D80" s="1751"/>
      <c r="E80" s="1747"/>
      <c r="F80" s="1748"/>
      <c r="G80" s="822"/>
      <c r="H80" s="832"/>
      <c r="I80" s="832"/>
      <c r="J80" s="833"/>
      <c r="K80" s="835"/>
      <c r="L80" s="818"/>
      <c r="M80" s="819"/>
      <c r="N80" s="828"/>
      <c r="O80" s="832"/>
      <c r="P80" s="832"/>
      <c r="Q80" s="833"/>
      <c r="R80" s="835"/>
      <c r="S80" s="818"/>
      <c r="T80" s="819"/>
      <c r="V80" s="815"/>
      <c r="W80" s="816"/>
      <c r="X80" s="817"/>
      <c r="Y80" s="818"/>
      <c r="Z80" s="819"/>
      <c r="AA80" s="822"/>
      <c r="AB80" s="815"/>
      <c r="AC80" s="816"/>
      <c r="AD80" s="817"/>
      <c r="AE80" s="818"/>
      <c r="AF80" s="819"/>
    </row>
    <row r="81" spans="1:32" ht="13.5" customHeight="1">
      <c r="A81" s="235" t="str">
        <f>A66</f>
        <v>s</v>
      </c>
      <c r="B81" s="802">
        <v>2022</v>
      </c>
      <c r="C81" s="803">
        <v>2021</v>
      </c>
      <c r="D81" s="803">
        <v>2020</v>
      </c>
      <c r="E81" s="1747"/>
      <c r="F81" s="1748"/>
      <c r="G81" s="804" t="s">
        <v>9</v>
      </c>
      <c r="H81" s="832"/>
      <c r="I81" s="832"/>
      <c r="J81" s="833"/>
      <c r="K81" s="835"/>
      <c r="L81" s="818"/>
      <c r="M81" s="819"/>
      <c r="N81" s="828"/>
      <c r="O81" s="832"/>
      <c r="P81" s="832"/>
      <c r="Q81" s="833"/>
      <c r="R81" s="835"/>
      <c r="S81" s="818"/>
      <c r="T81" s="819"/>
      <c r="V81" s="815"/>
      <c r="W81" s="816"/>
      <c r="X81" s="817"/>
      <c r="Y81" s="818"/>
      <c r="Z81" s="819"/>
      <c r="AA81" s="822"/>
      <c r="AB81" s="815"/>
      <c r="AC81" s="816"/>
      <c r="AD81" s="817"/>
      <c r="AE81" s="818"/>
      <c r="AF81" s="819"/>
    </row>
    <row r="82" spans="1:32" ht="13.5" customHeight="1">
      <c r="A82" s="806">
        <v>0</v>
      </c>
      <c r="B82" s="807" t="s">
        <v>10</v>
      </c>
      <c r="C82" s="821">
        <v>0</v>
      </c>
      <c r="D82" s="821">
        <v>0</v>
      </c>
      <c r="E82" s="809">
        <f>IFERROR(IF(OR(C82="-",D82="-"),1/3*F82,0.5*(MAX(C82:D82)-MIN(C82:D82))),0)</f>
        <v>0</v>
      </c>
      <c r="F82" s="810">
        <v>0</v>
      </c>
      <c r="G82" s="804">
        <v>1</v>
      </c>
      <c r="H82" s="832"/>
      <c r="I82" s="832"/>
      <c r="J82" s="833"/>
      <c r="K82" s="835"/>
      <c r="L82" s="818"/>
      <c r="M82" s="819"/>
      <c r="N82" s="828"/>
      <c r="O82" s="832"/>
      <c r="P82" s="832"/>
      <c r="Q82" s="833"/>
      <c r="R82" s="835"/>
      <c r="S82" s="818"/>
      <c r="T82" s="819"/>
      <c r="V82" s="815"/>
      <c r="W82" s="816"/>
      <c r="X82" s="817"/>
      <c r="Y82" s="818"/>
      <c r="Z82" s="819"/>
      <c r="AA82" s="822"/>
      <c r="AB82" s="815"/>
      <c r="AC82" s="816"/>
      <c r="AD82" s="817"/>
      <c r="AE82" s="818"/>
      <c r="AF82" s="819"/>
    </row>
    <row r="83" spans="1:32" ht="13.5" customHeight="1">
      <c r="A83" s="813">
        <v>60</v>
      </c>
      <c r="B83" s="807" t="s">
        <v>10</v>
      </c>
      <c r="C83" s="821">
        <v>-0.01</v>
      </c>
      <c r="D83" s="821">
        <v>-0.01</v>
      </c>
      <c r="E83" s="809">
        <f t="shared" ref="E83:E91" si="15">IFERROR(IF(OR(C83="-",D83="-"),1/3*F83,0.5*(MAX(C83:D83)-MIN(C83:D83))),0)</f>
        <v>0</v>
      </c>
      <c r="F83" s="810">
        <v>0.12</v>
      </c>
      <c r="G83" s="804">
        <v>2</v>
      </c>
      <c r="H83" s="832"/>
      <c r="I83" s="832"/>
      <c r="J83" s="833"/>
      <c r="K83" s="835"/>
      <c r="L83" s="818"/>
      <c r="M83" s="819"/>
      <c r="N83" s="828"/>
      <c r="O83" s="832"/>
      <c r="P83" s="832"/>
      <c r="Q83" s="833"/>
      <c r="R83" s="835"/>
      <c r="S83" s="818"/>
      <c r="T83" s="819"/>
      <c r="V83" s="815"/>
      <c r="W83" s="816"/>
      <c r="X83" s="817"/>
      <c r="Y83" s="818"/>
      <c r="Z83" s="819"/>
      <c r="AA83" s="822"/>
      <c r="AB83" s="815"/>
      <c r="AC83" s="816"/>
      <c r="AD83" s="817"/>
      <c r="AE83" s="818"/>
      <c r="AF83" s="819"/>
    </row>
    <row r="84" spans="1:32" ht="13.5" customHeight="1">
      <c r="A84" s="813">
        <v>60</v>
      </c>
      <c r="B84" s="807" t="s">
        <v>10</v>
      </c>
      <c r="C84" s="821">
        <v>-0.01</v>
      </c>
      <c r="D84" s="821">
        <v>-0.01</v>
      </c>
      <c r="E84" s="809">
        <f t="shared" si="15"/>
        <v>0</v>
      </c>
      <c r="F84" s="810">
        <v>0.12</v>
      </c>
      <c r="G84" s="804">
        <v>3</v>
      </c>
      <c r="H84" s="832"/>
      <c r="I84" s="832"/>
      <c r="J84" s="833"/>
      <c r="K84" s="835"/>
      <c r="L84" s="818"/>
      <c r="M84" s="819"/>
      <c r="N84" s="828"/>
      <c r="O84" s="832"/>
      <c r="P84" s="832"/>
      <c r="Q84" s="833"/>
      <c r="R84" s="835"/>
      <c r="S84" s="818"/>
      <c r="T84" s="819"/>
      <c r="V84" s="815"/>
      <c r="W84" s="816"/>
      <c r="X84" s="817"/>
      <c r="Y84" s="818"/>
      <c r="Z84" s="819"/>
      <c r="AA84" s="822"/>
      <c r="AB84" s="815"/>
      <c r="AC84" s="816"/>
      <c r="AD84" s="817"/>
      <c r="AE84" s="818"/>
      <c r="AF84" s="819"/>
    </row>
    <row r="85" spans="1:32" ht="13.5" customHeight="1">
      <c r="A85" s="813">
        <v>60</v>
      </c>
      <c r="B85" s="807" t="s">
        <v>10</v>
      </c>
      <c r="C85" s="821">
        <v>-0.01</v>
      </c>
      <c r="D85" s="821">
        <v>-0.01</v>
      </c>
      <c r="E85" s="809">
        <f t="shared" si="15"/>
        <v>0</v>
      </c>
      <c r="F85" s="810">
        <v>0.12</v>
      </c>
      <c r="G85" s="804">
        <v>4</v>
      </c>
      <c r="H85" s="832"/>
      <c r="I85" s="832"/>
      <c r="J85" s="833"/>
      <c r="K85" s="835"/>
      <c r="L85" s="818"/>
      <c r="M85" s="819"/>
      <c r="N85" s="828"/>
      <c r="O85" s="832"/>
      <c r="P85" s="832"/>
      <c r="Q85" s="833"/>
      <c r="R85" s="835"/>
      <c r="S85" s="818"/>
      <c r="T85" s="819"/>
      <c r="V85" s="815"/>
      <c r="W85" s="816"/>
      <c r="X85" s="817"/>
      <c r="Y85" s="818"/>
      <c r="Z85" s="819"/>
      <c r="AA85" s="822"/>
      <c r="AB85" s="815"/>
      <c r="AC85" s="816"/>
      <c r="AD85" s="817"/>
      <c r="AE85" s="818"/>
      <c r="AF85" s="819"/>
    </row>
    <row r="86" spans="1:32" ht="13.5" customHeight="1">
      <c r="A86" s="813">
        <v>60</v>
      </c>
      <c r="B86" s="807" t="s">
        <v>10</v>
      </c>
      <c r="C86" s="821">
        <v>-0.01</v>
      </c>
      <c r="D86" s="821">
        <v>-0.01</v>
      </c>
      <c r="E86" s="809">
        <f t="shared" si="15"/>
        <v>0</v>
      </c>
      <c r="F86" s="810">
        <v>0.12</v>
      </c>
      <c r="G86" s="804">
        <v>5</v>
      </c>
      <c r="H86" s="832"/>
      <c r="I86" s="832"/>
      <c r="J86" s="833"/>
      <c r="K86" s="835"/>
      <c r="L86" s="818"/>
      <c r="M86" s="819"/>
      <c r="N86" s="828"/>
      <c r="O86" s="832"/>
      <c r="P86" s="832"/>
      <c r="Q86" s="833"/>
      <c r="R86" s="835"/>
      <c r="S86" s="818"/>
      <c r="T86" s="819"/>
      <c r="V86" s="815"/>
      <c r="W86" s="816"/>
      <c r="X86" s="817"/>
      <c r="Y86" s="818"/>
      <c r="Z86" s="819"/>
      <c r="AA86" s="822"/>
      <c r="AB86" s="815"/>
      <c r="AC86" s="816"/>
      <c r="AD86" s="817"/>
      <c r="AE86" s="818"/>
      <c r="AF86" s="819"/>
    </row>
    <row r="87" spans="1:32" ht="13.5" customHeight="1">
      <c r="A87" s="813">
        <v>60</v>
      </c>
      <c r="B87" s="807" t="s">
        <v>10</v>
      </c>
      <c r="C87" s="821">
        <v>-0.01</v>
      </c>
      <c r="D87" s="821">
        <v>-0.01</v>
      </c>
      <c r="E87" s="809">
        <f t="shared" si="15"/>
        <v>0</v>
      </c>
      <c r="F87" s="810">
        <v>0.12</v>
      </c>
      <c r="G87" s="804">
        <v>6</v>
      </c>
      <c r="H87" s="832"/>
      <c r="I87" s="832"/>
      <c r="J87" s="833"/>
      <c r="K87" s="835"/>
      <c r="L87" s="818"/>
      <c r="M87" s="819"/>
      <c r="N87" s="828"/>
      <c r="O87" s="832"/>
      <c r="P87" s="832"/>
      <c r="Q87" s="833"/>
      <c r="R87" s="835"/>
      <c r="S87" s="818"/>
      <c r="T87" s="819"/>
      <c r="V87" s="815"/>
      <c r="W87" s="816"/>
      <c r="X87" s="817"/>
      <c r="Y87" s="818"/>
      <c r="Z87" s="819"/>
      <c r="AA87" s="822"/>
      <c r="AB87" s="815"/>
      <c r="AC87" s="816"/>
      <c r="AD87" s="817"/>
      <c r="AE87" s="818"/>
      <c r="AF87" s="819"/>
    </row>
    <row r="88" spans="1:32" ht="13.5" customHeight="1">
      <c r="A88" s="813">
        <v>60</v>
      </c>
      <c r="B88" s="807" t="s">
        <v>10</v>
      </c>
      <c r="C88" s="821">
        <v>-0.01</v>
      </c>
      <c r="D88" s="821">
        <v>-0.01</v>
      </c>
      <c r="E88" s="809">
        <f t="shared" si="15"/>
        <v>0</v>
      </c>
      <c r="F88" s="810">
        <v>0.12</v>
      </c>
      <c r="G88" s="804">
        <v>7</v>
      </c>
      <c r="H88" s="832"/>
      <c r="I88" s="832"/>
      <c r="J88" s="833"/>
      <c r="K88" s="835"/>
      <c r="L88" s="818"/>
      <c r="M88" s="819"/>
      <c r="N88" s="828"/>
      <c r="O88" s="832"/>
      <c r="P88" s="832"/>
      <c r="Q88" s="833"/>
      <c r="R88" s="835"/>
      <c r="S88" s="818"/>
      <c r="T88" s="819"/>
      <c r="V88" s="815"/>
      <c r="W88" s="816"/>
      <c r="X88" s="817"/>
      <c r="Y88" s="818"/>
      <c r="Z88" s="819"/>
      <c r="AA88" s="822"/>
      <c r="AB88" s="815"/>
      <c r="AC88" s="816"/>
      <c r="AD88" s="817"/>
      <c r="AE88" s="818"/>
      <c r="AF88" s="819"/>
    </row>
    <row r="89" spans="1:32" ht="13.5" customHeight="1">
      <c r="A89" s="813">
        <v>300</v>
      </c>
      <c r="B89" s="807" t="s">
        <v>10</v>
      </c>
      <c r="C89" s="821">
        <v>-0.01</v>
      </c>
      <c r="D89" s="821">
        <v>-0.01</v>
      </c>
      <c r="E89" s="809">
        <f t="shared" si="15"/>
        <v>0</v>
      </c>
      <c r="F89" s="810">
        <v>0.12</v>
      </c>
      <c r="G89" s="804">
        <v>8</v>
      </c>
      <c r="H89" s="832"/>
      <c r="I89" s="832"/>
      <c r="J89" s="833"/>
      <c r="K89" s="835"/>
      <c r="L89" s="818"/>
      <c r="M89" s="819"/>
      <c r="N89" s="828"/>
      <c r="O89" s="832"/>
      <c r="P89" s="832"/>
      <c r="Q89" s="833"/>
      <c r="R89" s="835"/>
      <c r="S89" s="818"/>
      <c r="T89" s="819"/>
      <c r="V89" s="815"/>
      <c r="W89" s="816"/>
      <c r="X89" s="817"/>
      <c r="Y89" s="818"/>
      <c r="Z89" s="819"/>
      <c r="AA89" s="822"/>
      <c r="AB89" s="815"/>
      <c r="AC89" s="816"/>
      <c r="AD89" s="817"/>
      <c r="AE89" s="818"/>
      <c r="AF89" s="819"/>
    </row>
    <row r="90" spans="1:32" ht="13.5" customHeight="1">
      <c r="A90" s="813">
        <v>600</v>
      </c>
      <c r="B90" s="807" t="s">
        <v>10</v>
      </c>
      <c r="C90" s="821">
        <v>-0.01</v>
      </c>
      <c r="D90" s="821">
        <v>-0.02</v>
      </c>
      <c r="E90" s="809">
        <f t="shared" si="15"/>
        <v>5.0000000000000001E-3</v>
      </c>
      <c r="F90" s="810">
        <v>0.12</v>
      </c>
      <c r="G90" s="804">
        <v>9</v>
      </c>
      <c r="H90" s="832"/>
      <c r="I90" s="832"/>
      <c r="J90" s="833"/>
      <c r="K90" s="835"/>
      <c r="L90" s="818"/>
      <c r="M90" s="819"/>
      <c r="N90" s="828"/>
      <c r="O90" s="832"/>
      <c r="P90" s="832"/>
      <c r="Q90" s="833"/>
      <c r="R90" s="835"/>
      <c r="S90" s="818"/>
      <c r="T90" s="819"/>
      <c r="V90" s="815"/>
      <c r="W90" s="816"/>
      <c r="X90" s="817"/>
      <c r="Y90" s="818"/>
      <c r="Z90" s="819"/>
      <c r="AA90" s="822"/>
      <c r="AB90" s="815"/>
      <c r="AC90" s="816"/>
      <c r="AD90" s="817"/>
      <c r="AE90" s="818"/>
      <c r="AF90" s="819"/>
    </row>
    <row r="91" spans="1:32" ht="13.5" customHeight="1">
      <c r="A91" s="813">
        <v>900</v>
      </c>
      <c r="B91" s="807" t="s">
        <v>10</v>
      </c>
      <c r="C91" s="821">
        <v>-0.01</v>
      </c>
      <c r="D91" s="821">
        <v>-0.03</v>
      </c>
      <c r="E91" s="809">
        <f t="shared" si="15"/>
        <v>9.9999999999999985E-3</v>
      </c>
      <c r="F91" s="810">
        <v>0.12</v>
      </c>
      <c r="G91" s="804">
        <v>10</v>
      </c>
      <c r="H91" s="832"/>
      <c r="I91" s="832"/>
      <c r="J91" s="833"/>
      <c r="K91" s="835"/>
      <c r="L91" s="818"/>
      <c r="M91" s="819"/>
      <c r="N91" s="828"/>
      <c r="O91" s="832"/>
      <c r="P91" s="832"/>
      <c r="Q91" s="833"/>
      <c r="R91" s="835"/>
      <c r="S91" s="818"/>
      <c r="T91" s="819"/>
      <c r="V91" s="815"/>
      <c r="W91" s="816"/>
      <c r="X91" s="817"/>
      <c r="Y91" s="818"/>
      <c r="Z91" s="819"/>
      <c r="AA91" s="822"/>
      <c r="AB91" s="815"/>
      <c r="AC91" s="816"/>
      <c r="AD91" s="817"/>
      <c r="AE91" s="818"/>
      <c r="AF91" s="819"/>
    </row>
    <row r="92" spans="1:32" ht="13.5" customHeight="1">
      <c r="A92" s="813">
        <v>1200</v>
      </c>
      <c r="B92" s="807" t="s">
        <v>10</v>
      </c>
      <c r="C92" s="821">
        <v>0.02</v>
      </c>
      <c r="D92" s="821">
        <v>-0.03</v>
      </c>
      <c r="E92" s="809">
        <f>IFERROR(IF(OR(C92="-",D92="-"),1/3*F92,0.5*(MAX(C92:D92)-MIN(C92:D92))),0)</f>
        <v>2.5000000000000001E-2</v>
      </c>
      <c r="F92" s="810">
        <v>0.12</v>
      </c>
      <c r="G92" s="804">
        <v>11</v>
      </c>
      <c r="H92" s="832"/>
      <c r="I92" s="832"/>
      <c r="J92" s="833"/>
      <c r="K92" s="835"/>
      <c r="L92" s="818"/>
      <c r="M92" s="819"/>
      <c r="N92" s="828"/>
      <c r="O92" s="832"/>
      <c r="P92" s="832"/>
      <c r="Q92" s="833"/>
      <c r="R92" s="835"/>
      <c r="S92" s="818"/>
      <c r="T92" s="819"/>
      <c r="V92" s="815"/>
      <c r="W92" s="816"/>
      <c r="X92" s="817"/>
      <c r="Y92" s="818"/>
      <c r="Z92" s="819"/>
      <c r="AA92" s="822"/>
      <c r="AB92" s="815"/>
      <c r="AC92" s="816"/>
      <c r="AD92" s="817"/>
      <c r="AE92" s="818"/>
      <c r="AF92" s="819"/>
    </row>
    <row r="93" spans="1:32" ht="13.5" customHeight="1">
      <c r="A93" s="831"/>
      <c r="B93" s="832"/>
      <c r="C93" s="833"/>
      <c r="D93" s="834"/>
      <c r="E93" s="818"/>
      <c r="F93" s="819"/>
      <c r="G93" s="822"/>
      <c r="H93" s="832"/>
      <c r="I93" s="832"/>
      <c r="J93" s="833"/>
      <c r="K93" s="835"/>
      <c r="L93" s="818"/>
      <c r="M93" s="819"/>
      <c r="N93" s="828"/>
      <c r="O93" s="832"/>
      <c r="P93" s="832"/>
      <c r="Q93" s="833"/>
      <c r="R93" s="835"/>
      <c r="S93" s="818"/>
      <c r="T93" s="819"/>
      <c r="V93" s="815"/>
      <c r="W93" s="816"/>
      <c r="X93" s="817"/>
      <c r="Y93" s="818"/>
      <c r="Z93" s="819"/>
      <c r="AA93" s="822"/>
      <c r="AB93" s="815"/>
      <c r="AC93" s="816"/>
      <c r="AD93" s="817"/>
      <c r="AE93" s="818"/>
      <c r="AF93" s="819"/>
    </row>
    <row r="94" spans="1:32" ht="13.5" customHeight="1">
      <c r="A94" s="831"/>
      <c r="B94" s="832"/>
      <c r="C94" s="833"/>
      <c r="D94" s="834"/>
      <c r="E94" s="818"/>
      <c r="F94" s="819"/>
      <c r="G94" s="822"/>
      <c r="H94" s="832"/>
      <c r="I94" s="832"/>
      <c r="J94" s="833"/>
      <c r="K94" s="835"/>
      <c r="L94" s="818"/>
      <c r="M94" s="819"/>
      <c r="N94" s="828"/>
      <c r="O94" s="832"/>
      <c r="P94" s="832"/>
      <c r="Q94" s="833"/>
      <c r="R94" s="835"/>
      <c r="S94" s="818"/>
      <c r="T94" s="819"/>
      <c r="V94" s="815"/>
      <c r="W94" s="816"/>
      <c r="X94" s="817"/>
      <c r="Y94" s="818"/>
      <c r="Z94" s="819"/>
      <c r="AA94" s="822"/>
      <c r="AB94" s="815"/>
      <c r="AC94" s="816"/>
      <c r="AD94" s="817"/>
      <c r="AE94" s="818"/>
      <c r="AF94" s="819"/>
    </row>
    <row r="95" spans="1:32" ht="13.5" customHeight="1">
      <c r="A95" s="831"/>
      <c r="B95" s="832"/>
      <c r="C95" s="833"/>
      <c r="D95" s="834"/>
      <c r="E95" s="818"/>
      <c r="F95" s="819"/>
      <c r="G95" s="822"/>
      <c r="H95" s="832"/>
      <c r="I95" s="832"/>
      <c r="J95" s="833"/>
      <c r="K95" s="835"/>
      <c r="L95" s="818"/>
      <c r="M95" s="819"/>
      <c r="N95" s="828"/>
      <c r="O95" s="832"/>
      <c r="P95" s="832"/>
      <c r="Q95" s="833"/>
      <c r="R95" s="835"/>
      <c r="S95" s="818"/>
      <c r="T95" s="819"/>
      <c r="V95" s="815"/>
      <c r="W95" s="816"/>
      <c r="X95" s="817"/>
      <c r="Y95" s="818"/>
      <c r="Z95" s="819"/>
      <c r="AA95" s="822"/>
      <c r="AB95" s="815"/>
      <c r="AC95" s="816"/>
      <c r="AD95" s="817"/>
      <c r="AE95" s="818"/>
      <c r="AF95" s="819"/>
    </row>
    <row r="96" spans="1:32" ht="13" thickBot="1">
      <c r="A96" s="1752"/>
      <c r="B96" s="1753"/>
      <c r="C96" s="1753"/>
      <c r="D96" s="1753"/>
      <c r="E96" s="1753"/>
      <c r="F96" s="1753"/>
      <c r="G96" s="1753"/>
      <c r="H96" s="1753"/>
      <c r="I96" s="1753"/>
      <c r="J96" s="1753"/>
      <c r="K96" s="1753"/>
      <c r="L96" s="1753"/>
      <c r="M96" s="1753"/>
      <c r="N96" s="1753"/>
      <c r="O96" s="1753"/>
      <c r="P96" s="1753"/>
      <c r="Q96" s="1753"/>
      <c r="R96" s="1753"/>
      <c r="S96" s="1753"/>
      <c r="T96" s="1754"/>
      <c r="V96" s="824"/>
      <c r="W96" s="824"/>
      <c r="X96" s="824"/>
      <c r="Y96" s="824"/>
      <c r="Z96" s="824"/>
      <c r="AA96" s="824"/>
      <c r="AB96" s="824"/>
      <c r="AC96" s="824"/>
      <c r="AD96" s="824"/>
      <c r="AE96" s="824"/>
      <c r="AF96" s="824"/>
    </row>
    <row r="97" spans="1:32" ht="12.75" customHeight="1">
      <c r="A97" s="823"/>
      <c r="B97" s="816"/>
      <c r="C97" s="816"/>
      <c r="D97" s="816"/>
      <c r="E97" s="816"/>
      <c r="F97" s="816"/>
      <c r="G97" s="816"/>
      <c r="H97" s="816"/>
      <c r="I97" s="816"/>
      <c r="J97" s="816"/>
      <c r="K97" s="816"/>
      <c r="L97" s="816"/>
      <c r="M97" s="816"/>
      <c r="N97" s="828"/>
      <c r="O97" s="776"/>
      <c r="P97" s="776"/>
      <c r="Q97" s="776"/>
      <c r="R97" s="776"/>
      <c r="S97" s="776"/>
      <c r="T97" s="776"/>
      <c r="V97" s="816"/>
      <c r="W97" s="816"/>
      <c r="X97" s="816"/>
      <c r="Y97" s="816"/>
      <c r="Z97" s="816"/>
      <c r="AA97" s="816"/>
      <c r="AB97" s="816"/>
      <c r="AC97" s="816"/>
      <c r="AD97" s="816"/>
      <c r="AE97" s="816"/>
      <c r="AF97" s="816"/>
    </row>
    <row r="98" spans="1:32" ht="13.5" thickBot="1">
      <c r="A98" s="827"/>
      <c r="B98" s="828"/>
      <c r="C98" s="828"/>
      <c r="D98" s="828"/>
      <c r="E98" s="828"/>
      <c r="F98" s="828"/>
      <c r="G98" s="828"/>
      <c r="H98" s="828"/>
      <c r="I98" s="828"/>
      <c r="J98" s="828"/>
      <c r="K98" s="828"/>
      <c r="L98" s="828"/>
      <c r="M98" s="828"/>
      <c r="N98" s="828"/>
      <c r="O98" s="828"/>
      <c r="P98" s="828"/>
      <c r="Q98" s="828"/>
      <c r="R98" s="828"/>
      <c r="S98" s="828"/>
      <c r="T98" s="828"/>
    </row>
    <row r="99" spans="1:32" ht="12.75" customHeight="1">
      <c r="A99" s="1735" t="s">
        <v>24</v>
      </c>
      <c r="B99" s="1756"/>
      <c r="C99" s="1730" t="s">
        <v>25</v>
      </c>
      <c r="D99" s="1739" t="s">
        <v>7</v>
      </c>
      <c r="E99" s="1739"/>
      <c r="F99" s="1739"/>
      <c r="G99" s="1741" t="s">
        <v>2</v>
      </c>
      <c r="H99" s="1730" t="s">
        <v>26</v>
      </c>
      <c r="I99" s="836"/>
      <c r="J99" s="791"/>
      <c r="K99" s="1735" t="str">
        <f>A99</f>
        <v>No Urut Titik Ukur</v>
      </c>
      <c r="L99" s="1737"/>
      <c r="M99" s="1730" t="s">
        <v>25</v>
      </c>
      <c r="N99" s="1739" t="s">
        <v>7</v>
      </c>
      <c r="O99" s="1739"/>
      <c r="P99" s="1739"/>
      <c r="Q99" s="1741" t="s">
        <v>2</v>
      </c>
      <c r="R99" s="1730" t="s">
        <v>26</v>
      </c>
      <c r="S99" s="1732"/>
    </row>
    <row r="100" spans="1:32" ht="12.75" customHeight="1">
      <c r="A100" s="1736"/>
      <c r="B100" s="1757"/>
      <c r="C100" s="1731"/>
      <c r="D100" s="1740"/>
      <c r="E100" s="1740"/>
      <c r="F100" s="1740"/>
      <c r="G100" s="1742"/>
      <c r="H100" s="1731"/>
      <c r="I100" s="837"/>
      <c r="K100" s="1736"/>
      <c r="L100" s="1738"/>
      <c r="M100" s="1731"/>
      <c r="N100" s="1740"/>
      <c r="O100" s="1740"/>
      <c r="P100" s="1740"/>
      <c r="Q100" s="1742"/>
      <c r="R100" s="1731"/>
      <c r="S100" s="1733"/>
    </row>
    <row r="101" spans="1:32" ht="14.5" thickBot="1">
      <c r="A101" s="1755"/>
      <c r="B101" s="1758"/>
      <c r="C101" s="777" t="s">
        <v>8</v>
      </c>
      <c r="E101" s="838"/>
      <c r="F101" s="838"/>
      <c r="G101" s="1759"/>
      <c r="H101" s="1734"/>
      <c r="I101" s="839"/>
      <c r="K101" s="1736"/>
      <c r="L101" s="1738"/>
      <c r="M101" s="778" t="s">
        <v>8</v>
      </c>
      <c r="N101" s="840"/>
      <c r="O101" s="840"/>
      <c r="P101" s="840"/>
      <c r="Q101" s="1743"/>
      <c r="R101" s="1731"/>
      <c r="S101" s="1733"/>
    </row>
    <row r="102" spans="1:32" ht="13">
      <c r="A102" s="1717" t="s">
        <v>27</v>
      </c>
      <c r="B102" s="841">
        <v>1</v>
      </c>
      <c r="C102" s="842">
        <f t="shared" ref="C102:H102" si="16">A6</f>
        <v>0</v>
      </c>
      <c r="D102" s="842" t="str">
        <f t="shared" si="16"/>
        <v>-</v>
      </c>
      <c r="E102" s="842">
        <f t="shared" si="16"/>
        <v>0</v>
      </c>
      <c r="F102" s="842">
        <f t="shared" si="16"/>
        <v>0</v>
      </c>
      <c r="G102" s="842">
        <f t="shared" si="16"/>
        <v>0</v>
      </c>
      <c r="H102" s="842">
        <f t="shared" si="16"/>
        <v>0.12</v>
      </c>
      <c r="I102" s="843"/>
      <c r="K102" s="1702" t="s">
        <v>28</v>
      </c>
      <c r="L102" s="841">
        <v>1</v>
      </c>
      <c r="M102" s="844">
        <f t="shared" ref="M102:R102" si="17">A$12</f>
        <v>60</v>
      </c>
      <c r="N102" s="844" t="str">
        <f t="shared" si="17"/>
        <v>-</v>
      </c>
      <c r="O102" s="844">
        <f t="shared" si="17"/>
        <v>-6.0000000000000001E-3</v>
      </c>
      <c r="P102" s="844" t="str">
        <f t="shared" si="17"/>
        <v>-</v>
      </c>
      <c r="Q102" s="844">
        <f t="shared" si="17"/>
        <v>3.9999999999999994E-2</v>
      </c>
      <c r="R102" s="844">
        <f t="shared" si="17"/>
        <v>0.12</v>
      </c>
      <c r="S102" s="845"/>
    </row>
    <row r="103" spans="1:32" ht="13">
      <c r="A103" s="1718"/>
      <c r="B103" s="846">
        <v>2</v>
      </c>
      <c r="C103" s="847">
        <f t="shared" ref="C103:H103" si="18">H6</f>
        <v>0</v>
      </c>
      <c r="D103" s="847" t="str">
        <f t="shared" si="18"/>
        <v>-</v>
      </c>
      <c r="E103" s="847">
        <f t="shared" si="18"/>
        <v>0</v>
      </c>
      <c r="F103" s="847">
        <f t="shared" si="18"/>
        <v>0</v>
      </c>
      <c r="G103" s="847">
        <f t="shared" si="18"/>
        <v>0</v>
      </c>
      <c r="H103" s="847">
        <f t="shared" si="18"/>
        <v>0.12</v>
      </c>
      <c r="I103" s="848"/>
      <c r="K103" s="1702"/>
      <c r="L103" s="846">
        <v>2</v>
      </c>
      <c r="M103" s="847">
        <f t="shared" ref="M103:R103" si="19">H$12</f>
        <v>60</v>
      </c>
      <c r="N103" s="847" t="str">
        <f t="shared" si="19"/>
        <v>-</v>
      </c>
      <c r="O103" s="847">
        <f t="shared" si="19"/>
        <v>3.0000000000000001E-3</v>
      </c>
      <c r="P103" s="847">
        <f t="shared" si="19"/>
        <v>0.01</v>
      </c>
      <c r="Q103" s="847">
        <f t="shared" si="19"/>
        <v>3.5000000000000001E-3</v>
      </c>
      <c r="R103" s="847">
        <f t="shared" si="19"/>
        <v>0.12</v>
      </c>
      <c r="S103" s="849"/>
    </row>
    <row r="104" spans="1:32" ht="13">
      <c r="A104" s="1718"/>
      <c r="B104" s="846">
        <v>3</v>
      </c>
      <c r="C104" s="847">
        <f t="shared" ref="C104:H104" si="20">O6</f>
        <v>0</v>
      </c>
      <c r="D104" s="847" t="str">
        <f t="shared" si="20"/>
        <v>-</v>
      </c>
      <c r="E104" s="847">
        <f t="shared" si="20"/>
        <v>0</v>
      </c>
      <c r="F104" s="847">
        <f t="shared" si="20"/>
        <v>0</v>
      </c>
      <c r="G104" s="847">
        <f t="shared" si="20"/>
        <v>0</v>
      </c>
      <c r="H104" s="847">
        <f t="shared" si="20"/>
        <v>0</v>
      </c>
      <c r="I104" s="848"/>
      <c r="K104" s="1702"/>
      <c r="L104" s="846">
        <v>3</v>
      </c>
      <c r="M104" s="847">
        <f t="shared" ref="M104:R104" si="21">O$12</f>
        <v>60</v>
      </c>
      <c r="N104" s="847" t="str">
        <f t="shared" si="21"/>
        <v>-</v>
      </c>
      <c r="O104" s="847">
        <f t="shared" si="21"/>
        <v>0.01</v>
      </c>
      <c r="P104" s="847">
        <f t="shared" si="21"/>
        <v>0</v>
      </c>
      <c r="Q104" s="847">
        <f t="shared" si="21"/>
        <v>5.0000000000000001E-3</v>
      </c>
      <c r="R104" s="847">
        <f t="shared" si="21"/>
        <v>0.12</v>
      </c>
      <c r="S104" s="849"/>
    </row>
    <row r="105" spans="1:32" ht="13">
      <c r="A105" s="1718"/>
      <c r="B105" s="846">
        <v>4</v>
      </c>
      <c r="C105" s="847">
        <f t="shared" ref="C105:H105" si="22">A21</f>
        <v>0</v>
      </c>
      <c r="D105" s="847" t="str">
        <f t="shared" si="22"/>
        <v>-</v>
      </c>
      <c r="E105" s="847">
        <f t="shared" si="22"/>
        <v>0</v>
      </c>
      <c r="F105" s="847">
        <f t="shared" si="22"/>
        <v>0</v>
      </c>
      <c r="G105" s="847">
        <f t="shared" si="22"/>
        <v>0</v>
      </c>
      <c r="H105" s="847">
        <f t="shared" si="22"/>
        <v>0.12</v>
      </c>
      <c r="I105" s="848"/>
      <c r="K105" s="1702"/>
      <c r="L105" s="846">
        <v>4</v>
      </c>
      <c r="M105" s="847">
        <f t="shared" ref="M105:R105" si="23">A$27</f>
        <v>60</v>
      </c>
      <c r="N105" s="847" t="str">
        <f t="shared" si="23"/>
        <v>-</v>
      </c>
      <c r="O105" s="847">
        <f t="shared" si="23"/>
        <v>-0.01</v>
      </c>
      <c r="P105" s="847">
        <f t="shared" si="23"/>
        <v>2E-3</v>
      </c>
      <c r="Q105" s="847">
        <f t="shared" si="23"/>
        <v>6.0000000000000001E-3</v>
      </c>
      <c r="R105" s="847">
        <f t="shared" si="23"/>
        <v>0.12</v>
      </c>
      <c r="S105" s="849"/>
    </row>
    <row r="106" spans="1:32" ht="13">
      <c r="A106" s="1718"/>
      <c r="B106" s="846">
        <v>5</v>
      </c>
      <c r="C106" s="847">
        <f t="shared" ref="C106:H106" si="24">H21</f>
        <v>0</v>
      </c>
      <c r="D106" s="847" t="str">
        <f t="shared" si="24"/>
        <v>-</v>
      </c>
      <c r="E106" s="847">
        <f t="shared" si="24"/>
        <v>0</v>
      </c>
      <c r="F106" s="847">
        <f t="shared" si="24"/>
        <v>0</v>
      </c>
      <c r="G106" s="847">
        <f t="shared" si="24"/>
        <v>0</v>
      </c>
      <c r="H106" s="847">
        <f t="shared" si="24"/>
        <v>0</v>
      </c>
      <c r="I106" s="848"/>
      <c r="K106" s="1702"/>
      <c r="L106" s="846">
        <v>5</v>
      </c>
      <c r="M106" s="847">
        <f t="shared" ref="M106:R106" si="25">H$27</f>
        <v>60</v>
      </c>
      <c r="N106" s="847" t="str">
        <f t="shared" si="25"/>
        <v>-</v>
      </c>
      <c r="O106" s="847">
        <f t="shared" si="25"/>
        <v>-0.03</v>
      </c>
      <c r="P106" s="847">
        <f t="shared" si="25"/>
        <v>0</v>
      </c>
      <c r="Q106" s="847">
        <f t="shared" si="25"/>
        <v>1.4999999999999999E-2</v>
      </c>
      <c r="R106" s="847">
        <f t="shared" si="25"/>
        <v>0.12</v>
      </c>
      <c r="S106" s="850"/>
    </row>
    <row r="107" spans="1:32" ht="13">
      <c r="A107" s="1718"/>
      <c r="B107" s="846">
        <v>6</v>
      </c>
      <c r="C107" s="847">
        <f t="shared" ref="C107:H107" si="26">O21</f>
        <v>0</v>
      </c>
      <c r="D107" s="847" t="str">
        <f t="shared" si="26"/>
        <v>-</v>
      </c>
      <c r="E107" s="847">
        <f t="shared" si="26"/>
        <v>0</v>
      </c>
      <c r="F107" s="847">
        <f t="shared" si="26"/>
        <v>0</v>
      </c>
      <c r="G107" s="847">
        <f t="shared" si="26"/>
        <v>0</v>
      </c>
      <c r="H107" s="847">
        <f t="shared" si="26"/>
        <v>0</v>
      </c>
      <c r="I107" s="848"/>
      <c r="K107" s="1702"/>
      <c r="L107" s="846">
        <v>6</v>
      </c>
      <c r="M107" s="847">
        <f t="shared" ref="M107:R107" si="27">O$27</f>
        <v>60</v>
      </c>
      <c r="N107" s="847" t="str">
        <f t="shared" si="27"/>
        <v>-</v>
      </c>
      <c r="O107" s="847">
        <f t="shared" si="27"/>
        <v>0.01</v>
      </c>
      <c r="P107" s="847">
        <f t="shared" si="27"/>
        <v>0.02</v>
      </c>
      <c r="Q107" s="847">
        <f t="shared" si="27"/>
        <v>5.0000000000000001E-3</v>
      </c>
      <c r="R107" s="847">
        <f t="shared" si="27"/>
        <v>0.12</v>
      </c>
      <c r="S107" s="849"/>
    </row>
    <row r="108" spans="1:32" ht="13">
      <c r="A108" s="1718"/>
      <c r="B108" s="846">
        <v>7</v>
      </c>
      <c r="C108" s="847">
        <f t="shared" ref="C108:H108" si="28">A37</f>
        <v>0</v>
      </c>
      <c r="D108" s="847" t="str">
        <f t="shared" si="28"/>
        <v>-</v>
      </c>
      <c r="E108" s="847">
        <f t="shared" si="28"/>
        <v>0</v>
      </c>
      <c r="F108" s="847">
        <f t="shared" si="28"/>
        <v>0</v>
      </c>
      <c r="G108" s="847">
        <f t="shared" si="28"/>
        <v>0</v>
      </c>
      <c r="H108" s="847">
        <f t="shared" si="28"/>
        <v>0</v>
      </c>
      <c r="I108" s="848"/>
      <c r="K108" s="1702"/>
      <c r="L108" s="846">
        <v>7</v>
      </c>
      <c r="M108" s="847">
        <f t="shared" ref="M108:R108" si="29">A$43</f>
        <v>60</v>
      </c>
      <c r="N108" s="847" t="str">
        <f t="shared" si="29"/>
        <v>-</v>
      </c>
      <c r="O108" s="847">
        <f t="shared" si="29"/>
        <v>0.03</v>
      </c>
      <c r="P108" s="847">
        <f t="shared" si="29"/>
        <v>0.02</v>
      </c>
      <c r="Q108" s="847">
        <f t="shared" si="29"/>
        <v>4.9999999999999992E-3</v>
      </c>
      <c r="R108" s="847">
        <f t="shared" si="29"/>
        <v>0.12</v>
      </c>
      <c r="S108" s="849"/>
    </row>
    <row r="109" spans="1:32" ht="13">
      <c r="A109" s="1718"/>
      <c r="B109" s="846">
        <v>8</v>
      </c>
      <c r="C109" s="847">
        <f t="shared" ref="C109:H109" si="30">H37</f>
        <v>0</v>
      </c>
      <c r="D109" s="847" t="str">
        <f t="shared" si="30"/>
        <v>-</v>
      </c>
      <c r="E109" s="847">
        <f t="shared" si="30"/>
        <v>0</v>
      </c>
      <c r="F109" s="847" t="str">
        <f t="shared" si="30"/>
        <v>-</v>
      </c>
      <c r="G109" s="847">
        <f t="shared" si="30"/>
        <v>0</v>
      </c>
      <c r="H109" s="847">
        <f t="shared" si="30"/>
        <v>0</v>
      </c>
      <c r="I109" s="848"/>
      <c r="K109" s="1702"/>
      <c r="L109" s="846">
        <v>8</v>
      </c>
      <c r="M109" s="847">
        <f t="shared" ref="M109:R109" si="31">H$43</f>
        <v>60</v>
      </c>
      <c r="N109" s="847" t="str">
        <f t="shared" si="31"/>
        <v>-</v>
      </c>
      <c r="O109" s="847">
        <f t="shared" si="31"/>
        <v>0.01</v>
      </c>
      <c r="P109" s="847" t="str">
        <f t="shared" si="31"/>
        <v>-</v>
      </c>
      <c r="Q109" s="847">
        <f t="shared" si="31"/>
        <v>3.9999999999999994E-2</v>
      </c>
      <c r="R109" s="847">
        <f t="shared" si="31"/>
        <v>0.12</v>
      </c>
      <c r="S109" s="849"/>
    </row>
    <row r="110" spans="1:32" ht="13">
      <c r="A110" s="1718"/>
      <c r="B110" s="846">
        <v>9</v>
      </c>
      <c r="C110" s="847">
        <f t="shared" ref="C110:H110" si="32">O37</f>
        <v>0</v>
      </c>
      <c r="D110" s="847" t="str">
        <f t="shared" si="32"/>
        <v>-</v>
      </c>
      <c r="E110" s="847">
        <f t="shared" si="32"/>
        <v>0</v>
      </c>
      <c r="F110" s="847">
        <f t="shared" si="32"/>
        <v>0</v>
      </c>
      <c r="G110" s="847">
        <f t="shared" si="32"/>
        <v>0</v>
      </c>
      <c r="H110" s="847">
        <f t="shared" si="32"/>
        <v>0</v>
      </c>
      <c r="I110" s="848"/>
      <c r="K110" s="1702"/>
      <c r="L110" s="846">
        <v>9</v>
      </c>
      <c r="M110" s="847">
        <f t="shared" ref="M110:R110" si="33">O$43</f>
        <v>60</v>
      </c>
      <c r="N110" s="847" t="str">
        <f t="shared" si="33"/>
        <v>-</v>
      </c>
      <c r="O110" s="847">
        <f t="shared" si="33"/>
        <v>0.02</v>
      </c>
      <c r="P110" s="847">
        <f t="shared" si="33"/>
        <v>-0.01</v>
      </c>
      <c r="Q110" s="847">
        <f t="shared" si="33"/>
        <v>1.4999999999999999E-2</v>
      </c>
      <c r="R110" s="847">
        <f t="shared" si="33"/>
        <v>0.12</v>
      </c>
      <c r="S110" s="849"/>
    </row>
    <row r="111" spans="1:32" ht="13">
      <c r="A111" s="1718"/>
      <c r="B111" s="846">
        <v>10</v>
      </c>
      <c r="C111" s="847">
        <f t="shared" ref="C111:H111" si="34">A52</f>
        <v>0</v>
      </c>
      <c r="D111" s="847" t="str">
        <f t="shared" si="34"/>
        <v>-</v>
      </c>
      <c r="E111" s="847">
        <f t="shared" si="34"/>
        <v>0</v>
      </c>
      <c r="F111" s="847">
        <f t="shared" si="34"/>
        <v>0</v>
      </c>
      <c r="G111" s="847">
        <f t="shared" si="34"/>
        <v>0</v>
      </c>
      <c r="H111" s="847">
        <f t="shared" si="34"/>
        <v>0</v>
      </c>
      <c r="I111" s="848"/>
      <c r="K111" s="1702"/>
      <c r="L111" s="846">
        <v>10</v>
      </c>
      <c r="M111" s="847">
        <f t="shared" ref="M111:R111" si="35">A$58</f>
        <v>60</v>
      </c>
      <c r="N111" s="847" t="str">
        <f t="shared" si="35"/>
        <v>-</v>
      </c>
      <c r="O111" s="847">
        <f t="shared" si="35"/>
        <v>-0.06</v>
      </c>
      <c r="P111" s="847">
        <f t="shared" si="35"/>
        <v>-0.01</v>
      </c>
      <c r="Q111" s="847">
        <f t="shared" si="35"/>
        <v>2.4999999999999998E-2</v>
      </c>
      <c r="R111" s="847">
        <f t="shared" si="35"/>
        <v>0.12</v>
      </c>
      <c r="S111" s="849"/>
    </row>
    <row r="112" spans="1:32" ht="13">
      <c r="A112" s="1718"/>
      <c r="B112" s="846">
        <v>11</v>
      </c>
      <c r="C112" s="844">
        <f t="shared" ref="C112:H112" si="36">H52</f>
        <v>0</v>
      </c>
      <c r="D112" s="844" t="str">
        <f t="shared" si="36"/>
        <v>-</v>
      </c>
      <c r="E112" s="844">
        <f t="shared" si="36"/>
        <v>0</v>
      </c>
      <c r="F112" s="844">
        <f t="shared" si="36"/>
        <v>0</v>
      </c>
      <c r="G112" s="844">
        <f t="shared" si="36"/>
        <v>0</v>
      </c>
      <c r="H112" s="844">
        <f t="shared" si="36"/>
        <v>0</v>
      </c>
      <c r="I112" s="851"/>
      <c r="K112" s="852"/>
      <c r="L112" s="853">
        <v>11</v>
      </c>
      <c r="M112" s="844">
        <f t="shared" ref="M112:R112" si="37">H$58</f>
        <v>60</v>
      </c>
      <c r="N112" s="844" t="str">
        <f t="shared" si="37"/>
        <v>-</v>
      </c>
      <c r="O112" s="844">
        <f t="shared" si="37"/>
        <v>-0.03</v>
      </c>
      <c r="P112" s="844">
        <f t="shared" si="37"/>
        <v>0.01</v>
      </c>
      <c r="Q112" s="844">
        <f t="shared" si="37"/>
        <v>0.02</v>
      </c>
      <c r="R112" s="844">
        <f t="shared" si="37"/>
        <v>0.12</v>
      </c>
      <c r="S112" s="845"/>
    </row>
    <row r="113" spans="1:19" ht="13">
      <c r="A113" s="1718"/>
      <c r="B113" s="846">
        <v>12</v>
      </c>
      <c r="C113" s="844">
        <f>O52</f>
        <v>0</v>
      </c>
      <c r="D113" s="844" t="str">
        <f t="shared" ref="D113:H113" si="38">P52</f>
        <v>-</v>
      </c>
      <c r="E113" s="844">
        <f t="shared" si="38"/>
        <v>0</v>
      </c>
      <c r="F113" s="844">
        <f t="shared" si="38"/>
        <v>0</v>
      </c>
      <c r="G113" s="844">
        <f t="shared" si="38"/>
        <v>0</v>
      </c>
      <c r="H113" s="844">
        <f t="shared" si="38"/>
        <v>0</v>
      </c>
      <c r="I113" s="851"/>
      <c r="K113" s="852"/>
      <c r="L113" s="846">
        <v>12</v>
      </c>
      <c r="M113" s="844">
        <f t="shared" ref="M113:R113" si="39">O$58</f>
        <v>60</v>
      </c>
      <c r="N113" s="844" t="str">
        <f t="shared" si="39"/>
        <v>-</v>
      </c>
      <c r="O113" s="844">
        <f t="shared" si="39"/>
        <v>0.02</v>
      </c>
      <c r="P113" s="844">
        <f t="shared" si="39"/>
        <v>0.02</v>
      </c>
      <c r="Q113" s="844">
        <f t="shared" si="39"/>
        <v>0</v>
      </c>
      <c r="R113" s="844">
        <f t="shared" si="39"/>
        <v>0.12</v>
      </c>
      <c r="S113" s="845"/>
    </row>
    <row r="114" spans="1:19" ht="13">
      <c r="A114" s="1718"/>
      <c r="B114" s="846">
        <v>13</v>
      </c>
      <c r="C114" s="844">
        <f>A67</f>
        <v>0</v>
      </c>
      <c r="D114" s="844" t="str">
        <f t="shared" ref="D114:H114" si="40">B67</f>
        <v>-</v>
      </c>
      <c r="E114" s="844">
        <f t="shared" si="40"/>
        <v>0</v>
      </c>
      <c r="F114" s="844">
        <f t="shared" si="40"/>
        <v>0</v>
      </c>
      <c r="G114" s="844">
        <f t="shared" si="40"/>
        <v>0</v>
      </c>
      <c r="H114" s="844">
        <f t="shared" si="40"/>
        <v>0</v>
      </c>
      <c r="I114" s="851"/>
      <c r="K114" s="852"/>
      <c r="L114" s="846">
        <v>13</v>
      </c>
      <c r="M114" s="844">
        <f t="shared" ref="M114:R114" si="41">A$73</f>
        <v>60</v>
      </c>
      <c r="N114" s="844" t="str">
        <f t="shared" si="41"/>
        <v>-</v>
      </c>
      <c r="O114" s="844">
        <f t="shared" si="41"/>
        <v>0.02</v>
      </c>
      <c r="P114" s="844">
        <f t="shared" si="41"/>
        <v>0.02</v>
      </c>
      <c r="Q114" s="844">
        <f t="shared" si="41"/>
        <v>0</v>
      </c>
      <c r="R114" s="844">
        <f t="shared" si="41"/>
        <v>0.12</v>
      </c>
      <c r="S114" s="845"/>
    </row>
    <row r="115" spans="1:19" ht="13">
      <c r="A115" s="1718"/>
      <c r="B115" s="846">
        <v>14</v>
      </c>
      <c r="C115" s="844">
        <f t="shared" ref="C115:H115" si="42">H67</f>
        <v>0</v>
      </c>
      <c r="D115" s="844" t="str">
        <f t="shared" si="42"/>
        <v>-</v>
      </c>
      <c r="E115" s="844">
        <f t="shared" si="42"/>
        <v>0</v>
      </c>
      <c r="F115" s="844">
        <f t="shared" si="42"/>
        <v>0</v>
      </c>
      <c r="G115" s="844">
        <f t="shared" si="42"/>
        <v>0</v>
      </c>
      <c r="H115" s="844">
        <f t="shared" si="42"/>
        <v>0</v>
      </c>
      <c r="I115" s="851"/>
      <c r="K115" s="852"/>
      <c r="L115" s="846">
        <v>14</v>
      </c>
      <c r="M115" s="844">
        <f t="shared" ref="M115:R115" si="43">H$73</f>
        <v>60</v>
      </c>
      <c r="N115" s="844" t="str">
        <f t="shared" si="43"/>
        <v>-</v>
      </c>
      <c r="O115" s="844">
        <f t="shared" si="43"/>
        <v>0.03</v>
      </c>
      <c r="P115" s="844">
        <f t="shared" si="43"/>
        <v>-0.01</v>
      </c>
      <c r="Q115" s="844">
        <f t="shared" si="43"/>
        <v>0.02</v>
      </c>
      <c r="R115" s="844">
        <f t="shared" si="43"/>
        <v>0.12</v>
      </c>
      <c r="S115" s="845"/>
    </row>
    <row r="116" spans="1:19" ht="13">
      <c r="A116" s="1718"/>
      <c r="B116" s="846">
        <v>15</v>
      </c>
      <c r="C116" s="844">
        <f t="shared" ref="C116:H116" si="44">O67</f>
        <v>0</v>
      </c>
      <c r="D116" s="844" t="str">
        <f t="shared" si="44"/>
        <v>-</v>
      </c>
      <c r="E116" s="844">
        <f t="shared" si="44"/>
        <v>0</v>
      </c>
      <c r="F116" s="844">
        <f t="shared" si="44"/>
        <v>0</v>
      </c>
      <c r="G116" s="844">
        <f t="shared" si="44"/>
        <v>0</v>
      </c>
      <c r="H116" s="844">
        <f t="shared" si="44"/>
        <v>0</v>
      </c>
      <c r="I116" s="851"/>
      <c r="K116" s="852"/>
      <c r="L116" s="846">
        <v>15</v>
      </c>
      <c r="M116" s="844">
        <f t="shared" ref="M116:R116" si="45">O$73</f>
        <v>60</v>
      </c>
      <c r="N116" s="844" t="str">
        <f t="shared" si="45"/>
        <v>-</v>
      </c>
      <c r="O116" s="844">
        <f t="shared" si="45"/>
        <v>0.04</v>
      </c>
      <c r="P116" s="844">
        <f t="shared" si="45"/>
        <v>0</v>
      </c>
      <c r="Q116" s="844">
        <f t="shared" si="45"/>
        <v>0.02</v>
      </c>
      <c r="R116" s="844">
        <f t="shared" si="45"/>
        <v>0.12</v>
      </c>
      <c r="S116" s="845"/>
    </row>
    <row r="117" spans="1:19" ht="13.5" thickBot="1">
      <c r="A117" s="1719"/>
      <c r="B117" s="854">
        <v>16</v>
      </c>
      <c r="C117" s="855">
        <f>A82</f>
        <v>0</v>
      </c>
      <c r="D117" s="855" t="str">
        <f t="shared" ref="D117:H117" si="46">B82</f>
        <v>-</v>
      </c>
      <c r="E117" s="855">
        <f>C82</f>
        <v>0</v>
      </c>
      <c r="F117" s="855">
        <f t="shared" si="46"/>
        <v>0</v>
      </c>
      <c r="G117" s="855">
        <f t="shared" si="46"/>
        <v>0</v>
      </c>
      <c r="H117" s="855">
        <f t="shared" si="46"/>
        <v>0</v>
      </c>
      <c r="I117" s="856"/>
      <c r="K117" s="852"/>
      <c r="L117" s="857">
        <v>16</v>
      </c>
      <c r="M117" s="844">
        <f t="shared" ref="M117:R117" si="47">A$88</f>
        <v>60</v>
      </c>
      <c r="N117" s="844" t="str">
        <f t="shared" si="47"/>
        <v>-</v>
      </c>
      <c r="O117" s="844">
        <f t="shared" si="47"/>
        <v>-0.01</v>
      </c>
      <c r="P117" s="844">
        <f t="shared" si="47"/>
        <v>-0.01</v>
      </c>
      <c r="Q117" s="844">
        <f t="shared" si="47"/>
        <v>0</v>
      </c>
      <c r="R117" s="844">
        <f t="shared" si="47"/>
        <v>0.12</v>
      </c>
      <c r="S117" s="845"/>
    </row>
    <row r="118" spans="1:19" ht="13">
      <c r="A118" s="1717" t="s">
        <v>29</v>
      </c>
      <c r="B118" s="841">
        <v>1</v>
      </c>
      <c r="C118" s="842">
        <f>A$7</f>
        <v>10</v>
      </c>
      <c r="D118" s="842" t="str">
        <f t="shared" ref="D118:H118" si="48">B$7</f>
        <v>-</v>
      </c>
      <c r="E118" s="842">
        <f t="shared" si="48"/>
        <v>-1E-3</v>
      </c>
      <c r="F118" s="842" t="str">
        <f t="shared" si="48"/>
        <v>-</v>
      </c>
      <c r="G118" s="842">
        <f t="shared" si="48"/>
        <v>3.9999999999999994E-2</v>
      </c>
      <c r="H118" s="842">
        <f t="shared" si="48"/>
        <v>0.12</v>
      </c>
      <c r="I118" s="843"/>
      <c r="K118" s="1701" t="s">
        <v>30</v>
      </c>
      <c r="L118" s="841">
        <v>1</v>
      </c>
      <c r="M118" s="842">
        <f t="shared" ref="M118:R118" si="49">A$13</f>
        <v>300</v>
      </c>
      <c r="N118" s="842" t="str">
        <f t="shared" si="49"/>
        <v>-</v>
      </c>
      <c r="O118" s="842">
        <f t="shared" si="49"/>
        <v>-2E-3</v>
      </c>
      <c r="P118" s="842">
        <f t="shared" si="49"/>
        <v>0</v>
      </c>
      <c r="Q118" s="842">
        <f t="shared" si="49"/>
        <v>1E-3</v>
      </c>
      <c r="R118" s="842">
        <f t="shared" si="49"/>
        <v>0.12</v>
      </c>
      <c r="S118" s="858"/>
    </row>
    <row r="119" spans="1:19" ht="13">
      <c r="A119" s="1718"/>
      <c r="B119" s="846">
        <v>2</v>
      </c>
      <c r="C119" s="847">
        <f>H$7</f>
        <v>10</v>
      </c>
      <c r="D119" s="847" t="str">
        <f t="shared" ref="D119:H119" si="50">I$7</f>
        <v>-</v>
      </c>
      <c r="E119" s="847">
        <f t="shared" si="50"/>
        <v>1E-3</v>
      </c>
      <c r="F119" s="847" t="str">
        <f t="shared" si="50"/>
        <v>-</v>
      </c>
      <c r="G119" s="847">
        <f t="shared" si="50"/>
        <v>3.9999999999999994E-2</v>
      </c>
      <c r="H119" s="847">
        <f t="shared" si="50"/>
        <v>0.12</v>
      </c>
      <c r="I119" s="848"/>
      <c r="K119" s="1702"/>
      <c r="L119" s="846">
        <v>2</v>
      </c>
      <c r="M119" s="847">
        <f t="shared" ref="M119:R119" si="51">H$13</f>
        <v>300</v>
      </c>
      <c r="N119" s="847" t="str">
        <f t="shared" si="51"/>
        <v>-</v>
      </c>
      <c r="O119" s="847">
        <f t="shared" si="51"/>
        <v>3.0000000000000001E-3</v>
      </c>
      <c r="P119" s="847">
        <f t="shared" si="51"/>
        <v>0.01</v>
      </c>
      <c r="Q119" s="847">
        <f t="shared" si="51"/>
        <v>3.5000000000000001E-3</v>
      </c>
      <c r="R119" s="847">
        <f t="shared" si="51"/>
        <v>0.12</v>
      </c>
      <c r="S119" s="859"/>
    </row>
    <row r="120" spans="1:19" ht="13">
      <c r="A120" s="1718"/>
      <c r="B120" s="846">
        <v>3</v>
      </c>
      <c r="C120" s="847">
        <f>O$7</f>
        <v>10</v>
      </c>
      <c r="D120" s="847" t="str">
        <f t="shared" ref="D120:H120" si="52">P$7</f>
        <v>-</v>
      </c>
      <c r="E120" s="847">
        <f t="shared" si="52"/>
        <v>0</v>
      </c>
      <c r="F120" s="847" t="str">
        <f t="shared" si="52"/>
        <v>-</v>
      </c>
      <c r="G120" s="847">
        <f t="shared" si="52"/>
        <v>3.9999999999999994E-2</v>
      </c>
      <c r="H120" s="847">
        <f t="shared" si="52"/>
        <v>0.12</v>
      </c>
      <c r="I120" s="848"/>
      <c r="K120" s="1702"/>
      <c r="L120" s="846">
        <v>3</v>
      </c>
      <c r="M120" s="847">
        <f t="shared" ref="M120:R120" si="53">O$13</f>
        <v>300</v>
      </c>
      <c r="N120" s="847" t="str">
        <f t="shared" si="53"/>
        <v>-</v>
      </c>
      <c r="O120" s="847">
        <f t="shared" si="53"/>
        <v>0.01</v>
      </c>
      <c r="P120" s="847">
        <f t="shared" si="53"/>
        <v>-2E-3</v>
      </c>
      <c r="Q120" s="847">
        <f t="shared" si="53"/>
        <v>6.0000000000000001E-3</v>
      </c>
      <c r="R120" s="847">
        <f t="shared" si="53"/>
        <v>0.12</v>
      </c>
      <c r="S120" s="859"/>
    </row>
    <row r="121" spans="1:19" ht="13">
      <c r="A121" s="1718"/>
      <c r="B121" s="846">
        <v>4</v>
      </c>
      <c r="C121" s="847">
        <f>A$22</f>
        <v>60</v>
      </c>
      <c r="D121" s="847" t="str">
        <f t="shared" ref="D121:H121" si="54">B$22</f>
        <v>-</v>
      </c>
      <c r="E121" s="847">
        <f t="shared" si="54"/>
        <v>-0.01</v>
      </c>
      <c r="F121" s="847">
        <f t="shared" si="54"/>
        <v>2E-3</v>
      </c>
      <c r="G121" s="847">
        <f t="shared" si="54"/>
        <v>6.0000000000000001E-3</v>
      </c>
      <c r="H121" s="847">
        <f t="shared" si="54"/>
        <v>0.12</v>
      </c>
      <c r="I121" s="848"/>
      <c r="K121" s="1702"/>
      <c r="L121" s="846">
        <v>4</v>
      </c>
      <c r="M121" s="847">
        <f t="shared" ref="M121:R121" si="55">A$28</f>
        <v>300</v>
      </c>
      <c r="N121" s="847" t="str">
        <f t="shared" si="55"/>
        <v>-</v>
      </c>
      <c r="O121" s="847">
        <f t="shared" si="55"/>
        <v>-0.01</v>
      </c>
      <c r="P121" s="847">
        <f t="shared" si="55"/>
        <v>1E-3</v>
      </c>
      <c r="Q121" s="847">
        <f t="shared" si="55"/>
        <v>5.4999999999999997E-3</v>
      </c>
      <c r="R121" s="847">
        <f t="shared" si="55"/>
        <v>0.12</v>
      </c>
      <c r="S121" s="859"/>
    </row>
    <row r="122" spans="1:19" ht="13">
      <c r="A122" s="1718"/>
      <c r="B122" s="846">
        <v>5</v>
      </c>
      <c r="C122" s="847">
        <f>H$22</f>
        <v>10</v>
      </c>
      <c r="D122" s="847" t="str">
        <f t="shared" ref="D122:H122" si="56">I$22</f>
        <v>-</v>
      </c>
      <c r="E122" s="847">
        <f t="shared" si="56"/>
        <v>-0.02</v>
      </c>
      <c r="F122" s="847" t="str">
        <f t="shared" si="56"/>
        <v>-</v>
      </c>
      <c r="G122" s="847">
        <f t="shared" si="56"/>
        <v>3.9999999999999994E-2</v>
      </c>
      <c r="H122" s="847">
        <f t="shared" si="56"/>
        <v>0.12</v>
      </c>
      <c r="I122" s="848"/>
      <c r="K122" s="1702"/>
      <c r="L122" s="846">
        <v>5</v>
      </c>
      <c r="M122" s="847">
        <f t="shared" ref="M122:R122" si="57">H$28</f>
        <v>300</v>
      </c>
      <c r="N122" s="847" t="str">
        <f t="shared" si="57"/>
        <v>-</v>
      </c>
      <c r="O122" s="847">
        <f t="shared" si="57"/>
        <v>-0.02</v>
      </c>
      <c r="P122" s="847">
        <f t="shared" si="57"/>
        <v>-0.01</v>
      </c>
      <c r="Q122" s="847">
        <f t="shared" si="57"/>
        <v>5.0000000000000001E-3</v>
      </c>
      <c r="R122" s="847">
        <f t="shared" si="57"/>
        <v>0.12</v>
      </c>
      <c r="S122" s="850"/>
    </row>
    <row r="123" spans="1:19" ht="13">
      <c r="A123" s="1718"/>
      <c r="B123" s="846">
        <v>6</v>
      </c>
      <c r="C123" s="847">
        <f>O$22</f>
        <v>60</v>
      </c>
      <c r="D123" s="847" t="str">
        <f t="shared" ref="D123:H123" si="58">P$22</f>
        <v>-</v>
      </c>
      <c r="E123" s="847">
        <f t="shared" si="58"/>
        <v>0.01</v>
      </c>
      <c r="F123" s="847">
        <f t="shared" si="58"/>
        <v>0.02</v>
      </c>
      <c r="G123" s="847">
        <f t="shared" si="58"/>
        <v>5.0000000000000001E-3</v>
      </c>
      <c r="H123" s="847">
        <f t="shared" si="58"/>
        <v>0.12</v>
      </c>
      <c r="I123" s="848"/>
      <c r="K123" s="1702"/>
      <c r="L123" s="846">
        <v>6</v>
      </c>
      <c r="M123" s="847">
        <f t="shared" ref="M123:R123" si="59">O$28</f>
        <v>300</v>
      </c>
      <c r="N123" s="847" t="str">
        <f t="shared" si="59"/>
        <v>-</v>
      </c>
      <c r="O123" s="847">
        <f t="shared" si="59"/>
        <v>0.01</v>
      </c>
      <c r="P123" s="847">
        <f t="shared" si="59"/>
        <v>0.02</v>
      </c>
      <c r="Q123" s="847">
        <f t="shared" si="59"/>
        <v>5.0000000000000001E-3</v>
      </c>
      <c r="R123" s="847">
        <f t="shared" si="59"/>
        <v>0.12</v>
      </c>
      <c r="S123" s="859"/>
    </row>
    <row r="124" spans="1:19" ht="13">
      <c r="A124" s="1718"/>
      <c r="B124" s="846">
        <v>7</v>
      </c>
      <c r="C124" s="847">
        <f>A$38</f>
        <v>60</v>
      </c>
      <c r="D124" s="847" t="str">
        <f t="shared" ref="D124:H124" si="60">B$38</f>
        <v>-</v>
      </c>
      <c r="E124" s="847">
        <f t="shared" si="60"/>
        <v>0.03</v>
      </c>
      <c r="F124" s="847">
        <f t="shared" si="60"/>
        <v>0.02</v>
      </c>
      <c r="G124" s="847">
        <f t="shared" si="60"/>
        <v>4.9999999999999992E-3</v>
      </c>
      <c r="H124" s="847">
        <f t="shared" si="60"/>
        <v>0.12</v>
      </c>
      <c r="I124" s="848"/>
      <c r="K124" s="1702"/>
      <c r="L124" s="846">
        <v>7</v>
      </c>
      <c r="M124" s="847">
        <f t="shared" ref="M124:R124" si="61">A$44</f>
        <v>300</v>
      </c>
      <c r="N124" s="847" t="str">
        <f t="shared" si="61"/>
        <v>-</v>
      </c>
      <c r="O124" s="847">
        <f t="shared" si="61"/>
        <v>0.02</v>
      </c>
      <c r="P124" s="847">
        <f t="shared" si="61"/>
        <v>0.02</v>
      </c>
      <c r="Q124" s="847">
        <f t="shared" si="61"/>
        <v>0</v>
      </c>
      <c r="R124" s="847">
        <f t="shared" si="61"/>
        <v>0.12</v>
      </c>
      <c r="S124" s="859"/>
    </row>
    <row r="125" spans="1:19" ht="13">
      <c r="A125" s="1718"/>
      <c r="B125" s="846">
        <v>8</v>
      </c>
      <c r="C125" s="847">
        <f>H$38</f>
        <v>60</v>
      </c>
      <c r="D125" s="847" t="str">
        <f t="shared" ref="D125:H125" si="62">I$38</f>
        <v>-</v>
      </c>
      <c r="E125" s="847">
        <f t="shared" si="62"/>
        <v>0.01</v>
      </c>
      <c r="F125" s="847" t="str">
        <f t="shared" si="62"/>
        <v>-</v>
      </c>
      <c r="G125" s="847">
        <f t="shared" si="62"/>
        <v>3.9999999999999994E-2</v>
      </c>
      <c r="H125" s="847">
        <f t="shared" si="62"/>
        <v>0.12</v>
      </c>
      <c r="I125" s="848"/>
      <c r="K125" s="1702"/>
      <c r="L125" s="846">
        <v>8</v>
      </c>
      <c r="M125" s="847">
        <f t="shared" ref="M125:R125" si="63">H$44</f>
        <v>300</v>
      </c>
      <c r="N125" s="847" t="str">
        <f t="shared" si="63"/>
        <v>-</v>
      </c>
      <c r="O125" s="847">
        <f t="shared" si="63"/>
        <v>0.02</v>
      </c>
      <c r="P125" s="847" t="str">
        <f t="shared" si="63"/>
        <v>-</v>
      </c>
      <c r="Q125" s="847">
        <f t="shared" si="63"/>
        <v>3.9999999999999994E-2</v>
      </c>
      <c r="R125" s="847">
        <f t="shared" si="63"/>
        <v>0.12</v>
      </c>
      <c r="S125" s="859"/>
    </row>
    <row r="126" spans="1:19" ht="13">
      <c r="A126" s="1718"/>
      <c r="B126" s="846">
        <v>9</v>
      </c>
      <c r="C126" s="847">
        <f>O$38</f>
        <v>60</v>
      </c>
      <c r="D126" s="847" t="str">
        <f t="shared" ref="D126:H126" si="64">P$38</f>
        <v>-</v>
      </c>
      <c r="E126" s="847">
        <f t="shared" si="64"/>
        <v>0.02</v>
      </c>
      <c r="F126" s="847">
        <f t="shared" si="64"/>
        <v>-0.01</v>
      </c>
      <c r="G126" s="847">
        <f t="shared" si="64"/>
        <v>1.4999999999999999E-2</v>
      </c>
      <c r="H126" s="847">
        <f t="shared" si="64"/>
        <v>0.12</v>
      </c>
      <c r="I126" s="848"/>
      <c r="K126" s="1702"/>
      <c r="L126" s="846">
        <v>9</v>
      </c>
      <c r="M126" s="847">
        <f t="shared" ref="M126:R126" si="65">O$44</f>
        <v>300</v>
      </c>
      <c r="N126" s="847" t="str">
        <f t="shared" si="65"/>
        <v>-</v>
      </c>
      <c r="O126" s="847">
        <f t="shared" si="65"/>
        <v>0.01</v>
      </c>
      <c r="P126" s="847">
        <f t="shared" si="65"/>
        <v>-0.02</v>
      </c>
      <c r="Q126" s="847">
        <f t="shared" si="65"/>
        <v>1.4999999999999999E-2</v>
      </c>
      <c r="R126" s="847">
        <f t="shared" si="65"/>
        <v>0.12</v>
      </c>
      <c r="S126" s="859"/>
    </row>
    <row r="127" spans="1:19" ht="13">
      <c r="A127" s="1718"/>
      <c r="B127" s="846">
        <v>10</v>
      </c>
      <c r="C127" s="847">
        <f>A$53</f>
        <v>10</v>
      </c>
      <c r="D127" s="847" t="str">
        <f t="shared" ref="D127:H127" si="66">B$53</f>
        <v>-</v>
      </c>
      <c r="E127" s="847">
        <f t="shared" si="66"/>
        <v>-7.0000000000000007E-2</v>
      </c>
      <c r="F127" s="847" t="str">
        <f t="shared" si="66"/>
        <v>-</v>
      </c>
      <c r="G127" s="847">
        <f t="shared" si="66"/>
        <v>3.9999999999999994E-2</v>
      </c>
      <c r="H127" s="847">
        <f t="shared" si="66"/>
        <v>0.12</v>
      </c>
      <c r="I127" s="848"/>
      <c r="K127" s="1702"/>
      <c r="L127" s="846">
        <v>10</v>
      </c>
      <c r="M127" s="847">
        <f t="shared" ref="M127:R127" si="67">A$59</f>
        <v>300</v>
      </c>
      <c r="N127" s="847" t="str">
        <f t="shared" si="67"/>
        <v>-</v>
      </c>
      <c r="O127" s="847">
        <f t="shared" si="67"/>
        <v>-0.05</v>
      </c>
      <c r="P127" s="847">
        <f t="shared" si="67"/>
        <v>-0.01</v>
      </c>
      <c r="Q127" s="847">
        <f t="shared" si="67"/>
        <v>0.02</v>
      </c>
      <c r="R127" s="847">
        <f t="shared" si="67"/>
        <v>0.12</v>
      </c>
      <c r="S127" s="849"/>
    </row>
    <row r="128" spans="1:19" ht="13">
      <c r="A128" s="1718"/>
      <c r="B128" s="846">
        <v>11</v>
      </c>
      <c r="C128" s="844">
        <f>H$53</f>
        <v>10</v>
      </c>
      <c r="D128" s="844" t="str">
        <f t="shared" ref="D128:H128" si="68">I$53</f>
        <v>-</v>
      </c>
      <c r="E128" s="844">
        <f t="shared" si="68"/>
        <v>-0.03</v>
      </c>
      <c r="F128" s="844" t="str">
        <f t="shared" si="68"/>
        <v>-</v>
      </c>
      <c r="G128" s="844">
        <f t="shared" si="68"/>
        <v>3.9999999999999994E-2</v>
      </c>
      <c r="H128" s="844">
        <f t="shared" si="68"/>
        <v>0.12</v>
      </c>
      <c r="I128" s="851"/>
      <c r="K128" s="1702"/>
      <c r="L128" s="853">
        <v>11</v>
      </c>
      <c r="M128" s="844">
        <f t="shared" ref="M128:R128" si="69">H$59</f>
        <v>300</v>
      </c>
      <c r="N128" s="844" t="str">
        <f t="shared" si="69"/>
        <v>-</v>
      </c>
      <c r="O128" s="844">
        <f t="shared" si="69"/>
        <v>-0.03</v>
      </c>
      <c r="P128" s="844">
        <f t="shared" si="69"/>
        <v>0.02</v>
      </c>
      <c r="Q128" s="844">
        <f t="shared" si="69"/>
        <v>2.5000000000000001E-2</v>
      </c>
      <c r="R128" s="844">
        <f t="shared" si="69"/>
        <v>0.12</v>
      </c>
      <c r="S128" s="845"/>
    </row>
    <row r="129" spans="1:19" ht="13">
      <c r="A129" s="1718"/>
      <c r="B129" s="846">
        <v>12</v>
      </c>
      <c r="C129" s="844">
        <f>O$53</f>
        <v>10</v>
      </c>
      <c r="D129" s="844" t="str">
        <f t="shared" ref="D129:H129" si="70">P$53</f>
        <v>-</v>
      </c>
      <c r="E129" s="844">
        <f t="shared" si="70"/>
        <v>0.02</v>
      </c>
      <c r="F129" s="844" t="str">
        <f t="shared" si="70"/>
        <v>-</v>
      </c>
      <c r="G129" s="844">
        <f t="shared" si="70"/>
        <v>3.9999999999999994E-2</v>
      </c>
      <c r="H129" s="844">
        <f t="shared" si="70"/>
        <v>0.12</v>
      </c>
      <c r="I129" s="851"/>
      <c r="K129" s="1702"/>
      <c r="L129" s="846">
        <v>12</v>
      </c>
      <c r="M129" s="844">
        <f t="shared" ref="M129:R129" si="71">O$59</f>
        <v>300</v>
      </c>
      <c r="N129" s="844" t="str">
        <f t="shared" si="71"/>
        <v>-</v>
      </c>
      <c r="O129" s="844">
        <f t="shared" si="71"/>
        <v>0.02</v>
      </c>
      <c r="P129" s="844">
        <f t="shared" si="71"/>
        <v>0.02</v>
      </c>
      <c r="Q129" s="844">
        <f t="shared" si="71"/>
        <v>0</v>
      </c>
      <c r="R129" s="844">
        <f t="shared" si="71"/>
        <v>0.12</v>
      </c>
      <c r="S129" s="845"/>
    </row>
    <row r="130" spans="1:19" ht="13">
      <c r="A130" s="1718"/>
      <c r="B130" s="846">
        <v>13</v>
      </c>
      <c r="C130" s="844">
        <f>A$68</f>
        <v>10</v>
      </c>
      <c r="D130" s="844" t="str">
        <f t="shared" ref="D130:H130" si="72">B$68</f>
        <v>-</v>
      </c>
      <c r="E130" s="844">
        <f t="shared" si="72"/>
        <v>0.02</v>
      </c>
      <c r="F130" s="844" t="str">
        <f t="shared" si="72"/>
        <v>-</v>
      </c>
      <c r="G130" s="844">
        <f t="shared" si="72"/>
        <v>3.9999999999999994E-2</v>
      </c>
      <c r="H130" s="844">
        <f t="shared" si="72"/>
        <v>0.12</v>
      </c>
      <c r="I130" s="851"/>
      <c r="K130" s="1702"/>
      <c r="L130" s="846">
        <v>13</v>
      </c>
      <c r="M130" s="844">
        <f t="shared" ref="M130:R130" si="73">A$74</f>
        <v>300</v>
      </c>
      <c r="N130" s="844" t="str">
        <f t="shared" si="73"/>
        <v>-</v>
      </c>
      <c r="O130" s="844">
        <f t="shared" si="73"/>
        <v>0.01</v>
      </c>
      <c r="P130" s="844">
        <f t="shared" si="73"/>
        <v>0.02</v>
      </c>
      <c r="Q130" s="844">
        <f t="shared" si="73"/>
        <v>5.0000000000000001E-3</v>
      </c>
      <c r="R130" s="844">
        <f t="shared" si="73"/>
        <v>0.12</v>
      </c>
      <c r="S130" s="845"/>
    </row>
    <row r="131" spans="1:19" ht="13">
      <c r="A131" s="1718"/>
      <c r="B131" s="846">
        <v>14</v>
      </c>
      <c r="C131" s="844">
        <f>H$68</f>
        <v>10</v>
      </c>
      <c r="D131" s="844" t="str">
        <f t="shared" ref="D131:H131" si="74">I$68</f>
        <v>-</v>
      </c>
      <c r="E131" s="844">
        <f t="shared" si="74"/>
        <v>0.02</v>
      </c>
      <c r="F131" s="844" t="str">
        <f t="shared" si="74"/>
        <v>-</v>
      </c>
      <c r="G131" s="844">
        <f t="shared" si="74"/>
        <v>3.9999999999999994E-2</v>
      </c>
      <c r="H131" s="844">
        <f t="shared" si="74"/>
        <v>0.12</v>
      </c>
      <c r="I131" s="851"/>
      <c r="K131" s="1702"/>
      <c r="L131" s="846">
        <v>14</v>
      </c>
      <c r="M131" s="844">
        <f t="shared" ref="M131:R131" si="75">H$74</f>
        <v>300</v>
      </c>
      <c r="N131" s="844" t="str">
        <f t="shared" si="75"/>
        <v>-</v>
      </c>
      <c r="O131" s="844">
        <f t="shared" si="75"/>
        <v>0.03</v>
      </c>
      <c r="P131" s="844">
        <f t="shared" si="75"/>
        <v>-0.01</v>
      </c>
      <c r="Q131" s="844">
        <f t="shared" si="75"/>
        <v>0.02</v>
      </c>
      <c r="R131" s="844">
        <f t="shared" si="75"/>
        <v>0.12</v>
      </c>
      <c r="S131" s="845"/>
    </row>
    <row r="132" spans="1:19" ht="13">
      <c r="A132" s="1718"/>
      <c r="B132" s="846">
        <v>15</v>
      </c>
      <c r="C132" s="844">
        <f>O$68</f>
        <v>10</v>
      </c>
      <c r="D132" s="844" t="str">
        <f t="shared" ref="D132:H132" si="76">P$68</f>
        <v>-</v>
      </c>
      <c r="E132" s="844">
        <f t="shared" si="76"/>
        <v>0.03</v>
      </c>
      <c r="F132" s="844" t="str">
        <f t="shared" si="76"/>
        <v>-</v>
      </c>
      <c r="G132" s="844">
        <f t="shared" si="76"/>
        <v>3.9999999999999994E-2</v>
      </c>
      <c r="H132" s="844">
        <f t="shared" si="76"/>
        <v>0.12</v>
      </c>
      <c r="I132" s="851"/>
      <c r="K132" s="1702"/>
      <c r="L132" s="846">
        <v>15</v>
      </c>
      <c r="M132" s="844">
        <f t="shared" ref="M132:R132" si="77">O$74</f>
        <v>300</v>
      </c>
      <c r="N132" s="844" t="str">
        <f t="shared" si="77"/>
        <v>-</v>
      </c>
      <c r="O132" s="844">
        <f t="shared" si="77"/>
        <v>0.04</v>
      </c>
      <c r="P132" s="844">
        <f t="shared" si="77"/>
        <v>-0.01</v>
      </c>
      <c r="Q132" s="844">
        <f t="shared" si="77"/>
        <v>2.5000000000000001E-2</v>
      </c>
      <c r="R132" s="844">
        <f t="shared" si="77"/>
        <v>0.12</v>
      </c>
      <c r="S132" s="845"/>
    </row>
    <row r="133" spans="1:19" ht="13.5" thickBot="1">
      <c r="A133" s="1719"/>
      <c r="B133" s="854">
        <v>16</v>
      </c>
      <c r="C133" s="860">
        <f>A$83</f>
        <v>60</v>
      </c>
      <c r="D133" s="860" t="str">
        <f t="shared" ref="D133:H133" si="78">B$83</f>
        <v>-</v>
      </c>
      <c r="E133" s="860">
        <f t="shared" si="78"/>
        <v>-0.01</v>
      </c>
      <c r="F133" s="860">
        <f t="shared" si="78"/>
        <v>-0.01</v>
      </c>
      <c r="G133" s="860">
        <f t="shared" si="78"/>
        <v>0</v>
      </c>
      <c r="H133" s="860">
        <f t="shared" si="78"/>
        <v>0.12</v>
      </c>
      <c r="I133" s="861"/>
      <c r="K133" s="1703"/>
      <c r="L133" s="857">
        <v>16</v>
      </c>
      <c r="M133" s="862">
        <f t="shared" ref="M133:R133" si="79">A$89</f>
        <v>300</v>
      </c>
      <c r="N133" s="862" t="str">
        <f t="shared" si="79"/>
        <v>-</v>
      </c>
      <c r="O133" s="862">
        <f t="shared" si="79"/>
        <v>-0.01</v>
      </c>
      <c r="P133" s="862">
        <f t="shared" si="79"/>
        <v>-0.01</v>
      </c>
      <c r="Q133" s="862">
        <f t="shared" si="79"/>
        <v>0</v>
      </c>
      <c r="R133" s="862">
        <f t="shared" si="79"/>
        <v>0.12</v>
      </c>
      <c r="S133" s="863"/>
    </row>
    <row r="134" spans="1:19" ht="13">
      <c r="A134" s="1717" t="s">
        <v>31</v>
      </c>
      <c r="B134" s="841">
        <v>1</v>
      </c>
      <c r="C134" s="842">
        <f>A$8</f>
        <v>20</v>
      </c>
      <c r="D134" s="842" t="str">
        <f t="shared" ref="D134:H134" si="80">B$8</f>
        <v>-</v>
      </c>
      <c r="E134" s="842">
        <f t="shared" si="80"/>
        <v>-1E-3</v>
      </c>
      <c r="F134" s="842" t="str">
        <f t="shared" si="80"/>
        <v>-</v>
      </c>
      <c r="G134" s="842">
        <f t="shared" si="80"/>
        <v>3.9999999999999994E-2</v>
      </c>
      <c r="H134" s="842">
        <f t="shared" si="80"/>
        <v>0.12</v>
      </c>
      <c r="I134" s="843"/>
      <c r="K134" s="1720" t="s">
        <v>32</v>
      </c>
      <c r="L134" s="841">
        <v>1</v>
      </c>
      <c r="M134" s="842">
        <f t="shared" ref="M134:R134" si="81">A$14</f>
        <v>600</v>
      </c>
      <c r="N134" s="842" t="str">
        <f t="shared" si="81"/>
        <v>-</v>
      </c>
      <c r="O134" s="842">
        <f t="shared" si="81"/>
        <v>-8.0000000000000002E-3</v>
      </c>
      <c r="P134" s="842">
        <f t="shared" si="81"/>
        <v>-0.01</v>
      </c>
      <c r="Q134" s="842">
        <f t="shared" si="81"/>
        <v>1E-3</v>
      </c>
      <c r="R134" s="842">
        <f t="shared" si="81"/>
        <v>0.12</v>
      </c>
      <c r="S134" s="858"/>
    </row>
    <row r="135" spans="1:19" ht="13">
      <c r="A135" s="1718"/>
      <c r="B135" s="846">
        <v>2</v>
      </c>
      <c r="C135" s="847">
        <f>H$8</f>
        <v>20</v>
      </c>
      <c r="D135" s="847" t="str">
        <f t="shared" ref="D135:H135" si="82">I$8</f>
        <v>-</v>
      </c>
      <c r="E135" s="847">
        <f t="shared" si="82"/>
        <v>1E-3</v>
      </c>
      <c r="F135" s="847" t="str">
        <f t="shared" si="82"/>
        <v>-</v>
      </c>
      <c r="G135" s="847">
        <f t="shared" si="82"/>
        <v>3.9999999999999994E-2</v>
      </c>
      <c r="H135" s="847">
        <f t="shared" si="82"/>
        <v>0.12</v>
      </c>
      <c r="I135" s="848"/>
      <c r="K135" s="1721"/>
      <c r="L135" s="846">
        <v>2</v>
      </c>
      <c r="M135" s="847">
        <f t="shared" ref="M135:R135" si="83">H$14</f>
        <v>600</v>
      </c>
      <c r="N135" s="847" t="str">
        <f t="shared" si="83"/>
        <v>-</v>
      </c>
      <c r="O135" s="847">
        <f t="shared" si="83"/>
        <v>4.0000000000000001E-3</v>
      </c>
      <c r="P135" s="847">
        <f t="shared" si="83"/>
        <v>0.01</v>
      </c>
      <c r="Q135" s="847">
        <f t="shared" si="83"/>
        <v>3.0000000000000001E-3</v>
      </c>
      <c r="R135" s="847">
        <f t="shared" si="83"/>
        <v>0.12</v>
      </c>
      <c r="S135" s="859"/>
    </row>
    <row r="136" spans="1:19" ht="13">
      <c r="A136" s="1718"/>
      <c r="B136" s="846">
        <v>3</v>
      </c>
      <c r="C136" s="847">
        <f>O$8</f>
        <v>20</v>
      </c>
      <c r="D136" s="847" t="str">
        <f t="shared" ref="D136:H136" si="84">P$8</f>
        <v>-</v>
      </c>
      <c r="E136" s="847">
        <f t="shared" si="84"/>
        <v>0</v>
      </c>
      <c r="F136" s="847" t="str">
        <f t="shared" si="84"/>
        <v>-</v>
      </c>
      <c r="G136" s="847">
        <f t="shared" si="84"/>
        <v>3.9999999999999994E-2</v>
      </c>
      <c r="H136" s="847">
        <f t="shared" si="84"/>
        <v>0.12</v>
      </c>
      <c r="I136" s="848"/>
      <c r="K136" s="1721"/>
      <c r="L136" s="846">
        <v>3</v>
      </c>
      <c r="M136" s="847">
        <f t="shared" ref="M136:R136" si="85">O$14</f>
        <v>600</v>
      </c>
      <c r="N136" s="847" t="str">
        <f t="shared" si="85"/>
        <v>-</v>
      </c>
      <c r="O136" s="847">
        <f t="shared" si="85"/>
        <v>0.02</v>
      </c>
      <c r="P136" s="847">
        <f t="shared" si="85"/>
        <v>-3.0000000000000001E-3</v>
      </c>
      <c r="Q136" s="847">
        <f t="shared" si="85"/>
        <v>1.15E-2</v>
      </c>
      <c r="R136" s="847">
        <f t="shared" si="85"/>
        <v>0.12</v>
      </c>
      <c r="S136" s="859"/>
    </row>
    <row r="137" spans="1:19" ht="13">
      <c r="A137" s="1718"/>
      <c r="B137" s="846">
        <v>4</v>
      </c>
      <c r="C137" s="847">
        <f>A$23</f>
        <v>60</v>
      </c>
      <c r="D137" s="847" t="str">
        <f t="shared" ref="D137:H137" si="86">B$23</f>
        <v>-</v>
      </c>
      <c r="E137" s="847">
        <f t="shared" si="86"/>
        <v>-0.01</v>
      </c>
      <c r="F137" s="847">
        <f t="shared" si="86"/>
        <v>2E-3</v>
      </c>
      <c r="G137" s="847">
        <f t="shared" si="86"/>
        <v>6.0000000000000001E-3</v>
      </c>
      <c r="H137" s="847">
        <f t="shared" si="86"/>
        <v>0.12</v>
      </c>
      <c r="I137" s="848"/>
      <c r="K137" s="1721"/>
      <c r="L137" s="846">
        <v>4</v>
      </c>
      <c r="M137" s="847">
        <f t="shared" ref="M137:R137" si="87">A$29</f>
        <v>600</v>
      </c>
      <c r="N137" s="847" t="str">
        <f t="shared" si="87"/>
        <v>-</v>
      </c>
      <c r="O137" s="847">
        <f t="shared" si="87"/>
        <v>0.03</v>
      </c>
      <c r="P137" s="847">
        <f t="shared" si="87"/>
        <v>6.0000000000000001E-3</v>
      </c>
      <c r="Q137" s="847">
        <f t="shared" si="87"/>
        <v>1.2E-2</v>
      </c>
      <c r="R137" s="847">
        <f t="shared" si="87"/>
        <v>0.12</v>
      </c>
      <c r="S137" s="859"/>
    </row>
    <row r="138" spans="1:19" ht="13">
      <c r="A138" s="1718"/>
      <c r="B138" s="846">
        <v>5</v>
      </c>
      <c r="C138" s="847">
        <f>H$23</f>
        <v>20</v>
      </c>
      <c r="D138" s="847" t="str">
        <f t="shared" ref="D138:H138" si="88">I$23</f>
        <v>-</v>
      </c>
      <c r="E138" s="847">
        <f t="shared" si="88"/>
        <v>-0.02</v>
      </c>
      <c r="F138" s="847" t="str">
        <f t="shared" si="88"/>
        <v>-</v>
      </c>
      <c r="G138" s="847">
        <f t="shared" si="88"/>
        <v>3.9999999999999994E-2</v>
      </c>
      <c r="H138" s="847">
        <f t="shared" si="88"/>
        <v>0.12</v>
      </c>
      <c r="I138" s="848"/>
      <c r="K138" s="1721"/>
      <c r="L138" s="846">
        <v>5</v>
      </c>
      <c r="M138" s="847">
        <f t="shared" ref="M138:R138" si="89">H$29</f>
        <v>600</v>
      </c>
      <c r="N138" s="847" t="str">
        <f t="shared" si="89"/>
        <v>-</v>
      </c>
      <c r="O138" s="847">
        <f t="shared" si="89"/>
        <v>-0.03</v>
      </c>
      <c r="P138" s="847">
        <f t="shared" si="89"/>
        <v>-0.02</v>
      </c>
      <c r="Q138" s="847">
        <f t="shared" si="89"/>
        <v>4.9999999999999992E-3</v>
      </c>
      <c r="R138" s="847">
        <f t="shared" si="89"/>
        <v>0.12</v>
      </c>
      <c r="S138" s="850"/>
    </row>
    <row r="139" spans="1:19" ht="13">
      <c r="A139" s="1718"/>
      <c r="B139" s="846">
        <v>6</v>
      </c>
      <c r="C139" s="847">
        <f>O$23</f>
        <v>60</v>
      </c>
      <c r="D139" s="847" t="str">
        <f t="shared" ref="D139:H139" si="90">P$23</f>
        <v>-</v>
      </c>
      <c r="E139" s="847">
        <f t="shared" si="90"/>
        <v>0.01</v>
      </c>
      <c r="F139" s="847">
        <f t="shared" si="90"/>
        <v>0.02</v>
      </c>
      <c r="G139" s="847">
        <f t="shared" si="90"/>
        <v>5.0000000000000001E-3</v>
      </c>
      <c r="H139" s="847">
        <f t="shared" si="90"/>
        <v>0.12</v>
      </c>
      <c r="I139" s="848"/>
      <c r="K139" s="1721"/>
      <c r="L139" s="846">
        <v>6</v>
      </c>
      <c r="M139" s="847">
        <f t="shared" ref="M139:R139" si="91">O$29</f>
        <v>600</v>
      </c>
      <c r="N139" s="847" t="str">
        <f t="shared" si="91"/>
        <v>-</v>
      </c>
      <c r="O139" s="847">
        <f t="shared" si="91"/>
        <v>0.01</v>
      </c>
      <c r="P139" s="847">
        <f t="shared" si="91"/>
        <v>0.02</v>
      </c>
      <c r="Q139" s="847">
        <f t="shared" si="91"/>
        <v>5.0000000000000001E-3</v>
      </c>
      <c r="R139" s="847">
        <f t="shared" si="91"/>
        <v>0.12</v>
      </c>
      <c r="S139" s="859"/>
    </row>
    <row r="140" spans="1:19" ht="13">
      <c r="A140" s="1718"/>
      <c r="B140" s="846">
        <v>7</v>
      </c>
      <c r="C140" s="847">
        <f>A$39</f>
        <v>60</v>
      </c>
      <c r="D140" s="847" t="str">
        <f t="shared" ref="D140:H140" si="92">B$39</f>
        <v>-</v>
      </c>
      <c r="E140" s="847">
        <f t="shared" si="92"/>
        <v>0.03</v>
      </c>
      <c r="F140" s="847">
        <f t="shared" si="92"/>
        <v>0.02</v>
      </c>
      <c r="G140" s="847">
        <f t="shared" si="92"/>
        <v>4.9999999999999992E-3</v>
      </c>
      <c r="H140" s="847">
        <f t="shared" si="92"/>
        <v>0.12</v>
      </c>
      <c r="I140" s="848"/>
      <c r="K140" s="1721"/>
      <c r="L140" s="846">
        <v>7</v>
      </c>
      <c r="M140" s="847">
        <f t="shared" ref="M140:R140" si="93">A$45</f>
        <v>600</v>
      </c>
      <c r="N140" s="847" t="str">
        <f t="shared" si="93"/>
        <v>-</v>
      </c>
      <c r="O140" s="847">
        <f t="shared" si="93"/>
        <v>0.04</v>
      </c>
      <c r="P140" s="847">
        <f t="shared" si="93"/>
        <v>0.02</v>
      </c>
      <c r="Q140" s="847">
        <f t="shared" si="93"/>
        <v>0.01</v>
      </c>
      <c r="R140" s="847">
        <f t="shared" si="93"/>
        <v>0.12</v>
      </c>
      <c r="S140" s="859"/>
    </row>
    <row r="141" spans="1:19" ht="13">
      <c r="A141" s="1718"/>
      <c r="B141" s="846">
        <v>8</v>
      </c>
      <c r="C141" s="847">
        <f>H$39</f>
        <v>60</v>
      </c>
      <c r="D141" s="847" t="str">
        <f t="shared" ref="D141:H141" si="94">I$39</f>
        <v>-</v>
      </c>
      <c r="E141" s="847">
        <f t="shared" si="94"/>
        <v>0.01</v>
      </c>
      <c r="F141" s="847" t="str">
        <f t="shared" si="94"/>
        <v>-</v>
      </c>
      <c r="G141" s="847">
        <f t="shared" si="94"/>
        <v>3.9999999999999994E-2</v>
      </c>
      <c r="H141" s="847">
        <f t="shared" si="94"/>
        <v>0.12</v>
      </c>
      <c r="I141" s="848"/>
      <c r="K141" s="1721"/>
      <c r="L141" s="846">
        <v>8</v>
      </c>
      <c r="M141" s="847">
        <f t="shared" ref="M141:R141" si="95">H$45</f>
        <v>600</v>
      </c>
      <c r="N141" s="847" t="str">
        <f t="shared" si="95"/>
        <v>-</v>
      </c>
      <c r="O141" s="847">
        <f t="shared" si="95"/>
        <v>0.02</v>
      </c>
      <c r="P141" s="847" t="str">
        <f t="shared" si="95"/>
        <v>-</v>
      </c>
      <c r="Q141" s="847">
        <f t="shared" si="95"/>
        <v>3.9999999999999994E-2</v>
      </c>
      <c r="R141" s="847">
        <f t="shared" si="95"/>
        <v>0.12</v>
      </c>
      <c r="S141" s="859"/>
    </row>
    <row r="142" spans="1:19" ht="13">
      <c r="A142" s="1718"/>
      <c r="B142" s="846">
        <v>9</v>
      </c>
      <c r="C142" s="847">
        <f>O$39</f>
        <v>60</v>
      </c>
      <c r="D142" s="847" t="str">
        <f t="shared" ref="D142:H142" si="96">P$39</f>
        <v>-</v>
      </c>
      <c r="E142" s="847">
        <f t="shared" si="96"/>
        <v>0.02</v>
      </c>
      <c r="F142" s="847">
        <f t="shared" si="96"/>
        <v>-0.01</v>
      </c>
      <c r="G142" s="847">
        <f t="shared" si="96"/>
        <v>1.4999999999999999E-2</v>
      </c>
      <c r="H142" s="847">
        <f t="shared" si="96"/>
        <v>0.12</v>
      </c>
      <c r="I142" s="848"/>
      <c r="K142" s="1721"/>
      <c r="L142" s="846">
        <v>9</v>
      </c>
      <c r="M142" s="847">
        <f t="shared" ref="M142:R142" si="97">O$45</f>
        <v>600</v>
      </c>
      <c r="N142" s="847" t="str">
        <f t="shared" si="97"/>
        <v>-</v>
      </c>
      <c r="O142" s="847">
        <f t="shared" si="97"/>
        <v>0.01</v>
      </c>
      <c r="P142" s="847">
        <f t="shared" si="97"/>
        <v>-0.02</v>
      </c>
      <c r="Q142" s="847">
        <f t="shared" si="97"/>
        <v>1.4999999999999999E-2</v>
      </c>
      <c r="R142" s="847">
        <f t="shared" si="97"/>
        <v>0.12</v>
      </c>
      <c r="S142" s="859"/>
    </row>
    <row r="143" spans="1:19" ht="13">
      <c r="A143" s="1718"/>
      <c r="B143" s="846">
        <v>10</v>
      </c>
      <c r="C143" s="847">
        <f>A$54</f>
        <v>30</v>
      </c>
      <c r="D143" s="847" t="str">
        <f t="shared" ref="D143:H143" si="98">B$54</f>
        <v>-</v>
      </c>
      <c r="E143" s="847">
        <f t="shared" si="98"/>
        <v>-0.06</v>
      </c>
      <c r="F143" s="847" t="str">
        <f t="shared" si="98"/>
        <v>-</v>
      </c>
      <c r="G143" s="847">
        <f t="shared" si="98"/>
        <v>3.9999999999999994E-2</v>
      </c>
      <c r="H143" s="847">
        <f t="shared" si="98"/>
        <v>0.12</v>
      </c>
      <c r="I143" s="848"/>
      <c r="K143" s="1721"/>
      <c r="L143" s="846">
        <v>10</v>
      </c>
      <c r="M143" s="847">
        <f t="shared" ref="M143:R143" si="99">A$60</f>
        <v>600</v>
      </c>
      <c r="N143" s="847" t="str">
        <f t="shared" si="99"/>
        <v>-</v>
      </c>
      <c r="O143" s="847">
        <f t="shared" si="99"/>
        <v>-0.06</v>
      </c>
      <c r="P143" s="847">
        <f t="shared" si="99"/>
        <v>-0.02</v>
      </c>
      <c r="Q143" s="847">
        <f t="shared" si="99"/>
        <v>1.9999999999999997E-2</v>
      </c>
      <c r="R143" s="847">
        <f t="shared" si="99"/>
        <v>0.12</v>
      </c>
      <c r="S143" s="849"/>
    </row>
    <row r="144" spans="1:19" ht="13">
      <c r="A144" s="1718"/>
      <c r="B144" s="853">
        <v>11</v>
      </c>
      <c r="C144" s="844">
        <f>H$54</f>
        <v>30</v>
      </c>
      <c r="D144" s="844" t="str">
        <f t="shared" ref="D144:H144" si="100">I$54</f>
        <v>-</v>
      </c>
      <c r="E144" s="844">
        <f t="shared" si="100"/>
        <v>-0.04</v>
      </c>
      <c r="F144" s="844" t="str">
        <f t="shared" si="100"/>
        <v>-</v>
      </c>
      <c r="G144" s="844">
        <f t="shared" si="100"/>
        <v>3.9999999999999994E-2</v>
      </c>
      <c r="H144" s="844">
        <f t="shared" si="100"/>
        <v>0.12</v>
      </c>
      <c r="I144" s="851"/>
      <c r="K144" s="1721"/>
      <c r="L144" s="853">
        <v>11</v>
      </c>
      <c r="M144" s="847">
        <f t="shared" ref="M144:R144" si="101">H$60</f>
        <v>600</v>
      </c>
      <c r="N144" s="847" t="str">
        <f t="shared" si="101"/>
        <v>-</v>
      </c>
      <c r="O144" s="847">
        <f t="shared" si="101"/>
        <v>-0.04</v>
      </c>
      <c r="P144" s="847">
        <f t="shared" si="101"/>
        <v>0.02</v>
      </c>
      <c r="Q144" s="847">
        <f t="shared" si="101"/>
        <v>0.03</v>
      </c>
      <c r="R144" s="847">
        <f t="shared" si="101"/>
        <v>0.12</v>
      </c>
      <c r="S144" s="849"/>
    </row>
    <row r="145" spans="1:19" ht="13">
      <c r="A145" s="1718"/>
      <c r="B145" s="846">
        <v>12</v>
      </c>
      <c r="C145" s="844">
        <f>O$54</f>
        <v>20</v>
      </c>
      <c r="D145" s="844" t="str">
        <f t="shared" ref="D145:H145" si="102">P$54</f>
        <v>-</v>
      </c>
      <c r="E145" s="844">
        <f t="shared" si="102"/>
        <v>0.01</v>
      </c>
      <c r="F145" s="844" t="str">
        <f t="shared" si="102"/>
        <v>-</v>
      </c>
      <c r="G145" s="844">
        <f t="shared" si="102"/>
        <v>3.9999999999999994E-2</v>
      </c>
      <c r="H145" s="844">
        <f t="shared" si="102"/>
        <v>0.12</v>
      </c>
      <c r="I145" s="851"/>
      <c r="K145" s="1721"/>
      <c r="L145" s="846">
        <v>12</v>
      </c>
      <c r="M145" s="847">
        <f t="shared" ref="M145:R145" si="103">O$60</f>
        <v>600</v>
      </c>
      <c r="N145" s="847" t="str">
        <f t="shared" si="103"/>
        <v>-</v>
      </c>
      <c r="O145" s="847">
        <f t="shared" si="103"/>
        <v>0.01</v>
      </c>
      <c r="P145" s="847">
        <f t="shared" si="103"/>
        <v>0.03</v>
      </c>
      <c r="Q145" s="847">
        <f t="shared" si="103"/>
        <v>9.9999999999999985E-3</v>
      </c>
      <c r="R145" s="847">
        <f t="shared" si="103"/>
        <v>0.12</v>
      </c>
      <c r="S145" s="849"/>
    </row>
    <row r="146" spans="1:19" ht="13">
      <c r="A146" s="1718"/>
      <c r="B146" s="846">
        <v>13</v>
      </c>
      <c r="C146" s="844">
        <f>A$69</f>
        <v>20</v>
      </c>
      <c r="D146" s="844" t="str">
        <f t="shared" ref="D146:H146" si="104">B$69</f>
        <v>-</v>
      </c>
      <c r="E146" s="844">
        <f t="shared" si="104"/>
        <v>0.03</v>
      </c>
      <c r="F146" s="844" t="str">
        <f t="shared" si="104"/>
        <v>-</v>
      </c>
      <c r="G146" s="844">
        <f t="shared" si="104"/>
        <v>3.9999999999999994E-2</v>
      </c>
      <c r="H146" s="844">
        <f t="shared" si="104"/>
        <v>0.12</v>
      </c>
      <c r="I146" s="851"/>
      <c r="K146" s="1721"/>
      <c r="L146" s="846">
        <v>13</v>
      </c>
      <c r="M146" s="847">
        <f t="shared" ref="M146:R146" si="105">A$75</f>
        <v>600</v>
      </c>
      <c r="N146" s="847" t="str">
        <f t="shared" si="105"/>
        <v>-</v>
      </c>
      <c r="O146" s="847">
        <f t="shared" si="105"/>
        <v>0.01</v>
      </c>
      <c r="P146" s="847">
        <f t="shared" si="105"/>
        <v>0.03</v>
      </c>
      <c r="Q146" s="847">
        <f t="shared" si="105"/>
        <v>9.9999999999999985E-3</v>
      </c>
      <c r="R146" s="847">
        <f t="shared" si="105"/>
        <v>0.12</v>
      </c>
      <c r="S146" s="849"/>
    </row>
    <row r="147" spans="1:19" ht="13">
      <c r="A147" s="1718"/>
      <c r="B147" s="846">
        <v>14</v>
      </c>
      <c r="C147" s="844">
        <f>H$69</f>
        <v>20</v>
      </c>
      <c r="D147" s="844" t="str">
        <f t="shared" ref="D147:H147" si="106">I$69</f>
        <v>-</v>
      </c>
      <c r="E147" s="844">
        <f t="shared" si="106"/>
        <v>0.02</v>
      </c>
      <c r="F147" s="844" t="str">
        <f t="shared" si="106"/>
        <v>-</v>
      </c>
      <c r="G147" s="844">
        <f t="shared" si="106"/>
        <v>3.9999999999999994E-2</v>
      </c>
      <c r="H147" s="844">
        <f t="shared" si="106"/>
        <v>0.12</v>
      </c>
      <c r="I147" s="851"/>
      <c r="K147" s="1721"/>
      <c r="L147" s="846">
        <v>14</v>
      </c>
      <c r="M147" s="847">
        <f t="shared" ref="M147:R147" si="107">H$75</f>
        <v>600</v>
      </c>
      <c r="N147" s="847" t="str">
        <f t="shared" si="107"/>
        <v>-</v>
      </c>
      <c r="O147" s="847">
        <f t="shared" si="107"/>
        <v>0.04</v>
      </c>
      <c r="P147" s="847">
        <f t="shared" si="107"/>
        <v>-0.02</v>
      </c>
      <c r="Q147" s="847">
        <f t="shared" si="107"/>
        <v>0.03</v>
      </c>
      <c r="R147" s="847">
        <f t="shared" si="107"/>
        <v>0.12</v>
      </c>
      <c r="S147" s="849"/>
    </row>
    <row r="148" spans="1:19" ht="13">
      <c r="A148" s="1718"/>
      <c r="B148" s="846">
        <v>15</v>
      </c>
      <c r="C148" s="844">
        <f>O$69</f>
        <v>30</v>
      </c>
      <c r="D148" s="844" t="str">
        <f t="shared" ref="D148:H148" si="108">P$69</f>
        <v>-</v>
      </c>
      <c r="E148" s="844">
        <f t="shared" si="108"/>
        <v>0.03</v>
      </c>
      <c r="F148" s="844" t="str">
        <f t="shared" si="108"/>
        <v>-</v>
      </c>
      <c r="G148" s="844">
        <f t="shared" si="108"/>
        <v>3.9999999999999994E-2</v>
      </c>
      <c r="H148" s="844">
        <f t="shared" si="108"/>
        <v>0.12</v>
      </c>
      <c r="I148" s="851"/>
      <c r="K148" s="1721"/>
      <c r="L148" s="846">
        <v>15</v>
      </c>
      <c r="M148" s="847">
        <f t="shared" ref="M148:R148" si="109">O$75</f>
        <v>600</v>
      </c>
      <c r="N148" s="847" t="str">
        <f t="shared" si="109"/>
        <v>-</v>
      </c>
      <c r="O148" s="847">
        <f t="shared" si="109"/>
        <v>0.04</v>
      </c>
      <c r="P148" s="847">
        <f t="shared" si="109"/>
        <v>-0.02</v>
      </c>
      <c r="Q148" s="847">
        <f t="shared" si="109"/>
        <v>0.03</v>
      </c>
      <c r="R148" s="847">
        <f t="shared" si="109"/>
        <v>0.12</v>
      </c>
      <c r="S148" s="849"/>
    </row>
    <row r="149" spans="1:19" ht="13.5" thickBot="1">
      <c r="A149" s="1719"/>
      <c r="B149" s="854">
        <v>16</v>
      </c>
      <c r="C149" s="860">
        <f>A$84</f>
        <v>60</v>
      </c>
      <c r="D149" s="860" t="str">
        <f t="shared" ref="D149:H149" si="110">B$84</f>
        <v>-</v>
      </c>
      <c r="E149" s="860">
        <f t="shared" si="110"/>
        <v>-0.01</v>
      </c>
      <c r="F149" s="860">
        <f t="shared" si="110"/>
        <v>-0.01</v>
      </c>
      <c r="G149" s="860">
        <f t="shared" si="110"/>
        <v>0</v>
      </c>
      <c r="H149" s="860">
        <f t="shared" si="110"/>
        <v>0.12</v>
      </c>
      <c r="I149" s="861"/>
      <c r="K149" s="1722"/>
      <c r="L149" s="857">
        <v>16</v>
      </c>
      <c r="M149" s="864">
        <f t="shared" ref="M149:R149" si="111">A$90</f>
        <v>600</v>
      </c>
      <c r="N149" s="864" t="str">
        <f t="shared" si="111"/>
        <v>-</v>
      </c>
      <c r="O149" s="864">
        <f t="shared" si="111"/>
        <v>-0.01</v>
      </c>
      <c r="P149" s="864">
        <f t="shared" si="111"/>
        <v>-0.02</v>
      </c>
      <c r="Q149" s="864">
        <f t="shared" si="111"/>
        <v>5.0000000000000001E-3</v>
      </c>
      <c r="R149" s="864">
        <f t="shared" si="111"/>
        <v>0.12</v>
      </c>
      <c r="S149" s="865"/>
    </row>
    <row r="150" spans="1:19" ht="13">
      <c r="A150" s="1701" t="s">
        <v>33</v>
      </c>
      <c r="B150" s="841">
        <v>1</v>
      </c>
      <c r="C150" s="842">
        <f>A$9</f>
        <v>30</v>
      </c>
      <c r="D150" s="842" t="str">
        <f t="shared" ref="D150:H150" si="112">B$9</f>
        <v>-</v>
      </c>
      <c r="E150" s="842">
        <f t="shared" si="112"/>
        <v>-1E-3</v>
      </c>
      <c r="F150" s="842" t="str">
        <f t="shared" si="112"/>
        <v>-</v>
      </c>
      <c r="G150" s="842">
        <f t="shared" si="112"/>
        <v>3.9999999999999994E-2</v>
      </c>
      <c r="H150" s="842">
        <f t="shared" si="112"/>
        <v>0.12</v>
      </c>
      <c r="I150" s="843"/>
      <c r="K150" s="1723" t="s">
        <v>34</v>
      </c>
      <c r="L150" s="841">
        <v>1</v>
      </c>
      <c r="M150" s="866">
        <f t="shared" ref="M150:R150" si="113">A$15</f>
        <v>900</v>
      </c>
      <c r="N150" s="866" t="str">
        <f t="shared" si="113"/>
        <v>-</v>
      </c>
      <c r="O150" s="866">
        <f t="shared" si="113"/>
        <v>-8.0000000000000002E-3</v>
      </c>
      <c r="P150" s="866" t="str">
        <f t="shared" si="113"/>
        <v>-</v>
      </c>
      <c r="Q150" s="866">
        <f t="shared" si="113"/>
        <v>3.9999999999999994E-2</v>
      </c>
      <c r="R150" s="866">
        <f t="shared" si="113"/>
        <v>0.12</v>
      </c>
      <c r="S150" s="867"/>
    </row>
    <row r="151" spans="1:19" ht="13">
      <c r="A151" s="1702"/>
      <c r="B151" s="846">
        <v>2</v>
      </c>
      <c r="C151" s="847">
        <f>H$9</f>
        <v>30</v>
      </c>
      <c r="D151" s="847" t="str">
        <f t="shared" ref="D151:H151" si="114">I$9</f>
        <v>-</v>
      </c>
      <c r="E151" s="847">
        <f t="shared" si="114"/>
        <v>1E-3</v>
      </c>
      <c r="F151" s="847" t="str">
        <f t="shared" si="114"/>
        <v>-</v>
      </c>
      <c r="G151" s="847">
        <f t="shared" si="114"/>
        <v>3.9999999999999994E-2</v>
      </c>
      <c r="H151" s="847">
        <f t="shared" si="114"/>
        <v>0.12</v>
      </c>
      <c r="I151" s="848"/>
      <c r="K151" s="1724"/>
      <c r="L151" s="846">
        <v>2</v>
      </c>
      <c r="M151" s="868">
        <f t="shared" ref="M151:R151" si="115">H$15</f>
        <v>900</v>
      </c>
      <c r="N151" s="868" t="str">
        <f t="shared" si="115"/>
        <v>-</v>
      </c>
      <c r="O151" s="868">
        <f t="shared" si="115"/>
        <v>2E-3</v>
      </c>
      <c r="P151" s="868" t="str">
        <f t="shared" si="115"/>
        <v>-</v>
      </c>
      <c r="Q151" s="868">
        <f t="shared" si="115"/>
        <v>3.9999999999999994E-2</v>
      </c>
      <c r="R151" s="868">
        <f t="shared" si="115"/>
        <v>0.12</v>
      </c>
      <c r="S151" s="869"/>
    </row>
    <row r="152" spans="1:19" ht="13">
      <c r="A152" s="1702"/>
      <c r="B152" s="846">
        <v>3</v>
      </c>
      <c r="C152" s="847">
        <f>O$9</f>
        <v>30</v>
      </c>
      <c r="D152" s="847" t="str">
        <f t="shared" ref="D152:H152" si="116">P$9</f>
        <v>-</v>
      </c>
      <c r="E152" s="847">
        <f t="shared" si="116"/>
        <v>0</v>
      </c>
      <c r="F152" s="847" t="str">
        <f t="shared" si="116"/>
        <v>-</v>
      </c>
      <c r="G152" s="847">
        <f t="shared" si="116"/>
        <v>3.9999999999999994E-2</v>
      </c>
      <c r="H152" s="847">
        <f t="shared" si="116"/>
        <v>0.12</v>
      </c>
      <c r="I152" s="848"/>
      <c r="K152" s="1724"/>
      <c r="L152" s="846">
        <v>3</v>
      </c>
      <c r="M152" s="868">
        <f t="shared" ref="M152:R152" si="117">O$15</f>
        <v>600</v>
      </c>
      <c r="N152" s="868" t="str">
        <f t="shared" si="117"/>
        <v>-</v>
      </c>
      <c r="O152" s="868">
        <f t="shared" si="117"/>
        <v>0.02</v>
      </c>
      <c r="P152" s="868">
        <f t="shared" si="117"/>
        <v>-3.0000000000000001E-3</v>
      </c>
      <c r="Q152" s="868">
        <f t="shared" si="117"/>
        <v>1.15E-2</v>
      </c>
      <c r="R152" s="868">
        <f t="shared" si="117"/>
        <v>0.12</v>
      </c>
      <c r="S152" s="869"/>
    </row>
    <row r="153" spans="1:19" ht="13">
      <c r="A153" s="1702"/>
      <c r="B153" s="846">
        <v>4</v>
      </c>
      <c r="C153" s="847">
        <f>A$24</f>
        <v>60</v>
      </c>
      <c r="D153" s="847" t="str">
        <f t="shared" ref="D153:H153" si="118">B$24</f>
        <v>-</v>
      </c>
      <c r="E153" s="847">
        <f t="shared" si="118"/>
        <v>-0.01</v>
      </c>
      <c r="F153" s="847">
        <f t="shared" si="118"/>
        <v>2E-3</v>
      </c>
      <c r="G153" s="847">
        <f t="shared" si="118"/>
        <v>6.0000000000000001E-3</v>
      </c>
      <c r="H153" s="847">
        <f t="shared" si="118"/>
        <v>0.12</v>
      </c>
      <c r="I153" s="848"/>
      <c r="K153" s="1724"/>
      <c r="L153" s="846">
        <v>4</v>
      </c>
      <c r="M153" s="868">
        <f t="shared" ref="M153:R153" si="119">A$30</f>
        <v>900</v>
      </c>
      <c r="N153" s="868" t="str">
        <f t="shared" si="119"/>
        <v>-</v>
      </c>
      <c r="O153" s="868">
        <f t="shared" si="119"/>
        <v>0.03</v>
      </c>
      <c r="P153" s="868">
        <f t="shared" si="119"/>
        <v>6.0000000000000001E-3</v>
      </c>
      <c r="Q153" s="868">
        <f t="shared" si="119"/>
        <v>1.2E-2</v>
      </c>
      <c r="R153" s="868">
        <f t="shared" si="119"/>
        <v>0.12</v>
      </c>
      <c r="S153" s="869"/>
    </row>
    <row r="154" spans="1:19" ht="13">
      <c r="A154" s="1702"/>
      <c r="B154" s="846">
        <v>5</v>
      </c>
      <c r="C154" s="847">
        <f>H$24</f>
        <v>30</v>
      </c>
      <c r="D154" s="847" t="str">
        <f t="shared" ref="D154:H154" si="120">I$24</f>
        <v>-</v>
      </c>
      <c r="E154" s="847">
        <f t="shared" si="120"/>
        <v>-0.02</v>
      </c>
      <c r="F154" s="847" t="str">
        <f t="shared" si="120"/>
        <v>-</v>
      </c>
      <c r="G154" s="847">
        <f t="shared" si="120"/>
        <v>3.9999999999999994E-2</v>
      </c>
      <c r="H154" s="847">
        <f t="shared" si="120"/>
        <v>0.12</v>
      </c>
      <c r="I154" s="848"/>
      <c r="K154" s="1724"/>
      <c r="L154" s="846">
        <v>5</v>
      </c>
      <c r="M154" s="868">
        <f t="shared" ref="M154:R154" si="121">H$30</f>
        <v>900</v>
      </c>
      <c r="N154" s="868" t="str">
        <f t="shared" si="121"/>
        <v>-</v>
      </c>
      <c r="O154" s="868" t="str">
        <f t="shared" si="121"/>
        <v>-</v>
      </c>
      <c r="P154" s="868">
        <f t="shared" si="121"/>
        <v>-0.02</v>
      </c>
      <c r="Q154" s="868">
        <f t="shared" si="121"/>
        <v>3.9999999999999994E-2</v>
      </c>
      <c r="R154" s="868">
        <f t="shared" si="121"/>
        <v>0.12</v>
      </c>
      <c r="S154" s="869"/>
    </row>
    <row r="155" spans="1:19" ht="13">
      <c r="A155" s="1702"/>
      <c r="B155" s="846">
        <v>6</v>
      </c>
      <c r="C155" s="847">
        <f>O$24</f>
        <v>60</v>
      </c>
      <c r="D155" s="847" t="str">
        <f t="shared" ref="D155:H155" si="122">P$24</f>
        <v>-</v>
      </c>
      <c r="E155" s="847">
        <f t="shared" si="122"/>
        <v>0.01</v>
      </c>
      <c r="F155" s="847">
        <f t="shared" si="122"/>
        <v>0.02</v>
      </c>
      <c r="G155" s="847">
        <f t="shared" si="122"/>
        <v>5.0000000000000001E-3</v>
      </c>
      <c r="H155" s="847">
        <f t="shared" si="122"/>
        <v>0.12</v>
      </c>
      <c r="I155" s="848"/>
      <c r="K155" s="1724"/>
      <c r="L155" s="846">
        <v>6</v>
      </c>
      <c r="M155" s="868">
        <f t="shared" ref="M155:R155" si="123">O$30</f>
        <v>900</v>
      </c>
      <c r="N155" s="868" t="str">
        <f t="shared" si="123"/>
        <v>-</v>
      </c>
      <c r="O155" s="868">
        <f t="shared" si="123"/>
        <v>0.02</v>
      </c>
      <c r="P155" s="868">
        <f t="shared" si="123"/>
        <v>0.03</v>
      </c>
      <c r="Q155" s="868">
        <f t="shared" si="123"/>
        <v>4.9999999999999992E-3</v>
      </c>
      <c r="R155" s="868">
        <f t="shared" si="123"/>
        <v>0.12</v>
      </c>
      <c r="S155" s="869"/>
    </row>
    <row r="156" spans="1:19" ht="13">
      <c r="A156" s="1702"/>
      <c r="B156" s="846">
        <v>7</v>
      </c>
      <c r="C156" s="847">
        <f>A$40</f>
        <v>60</v>
      </c>
      <c r="D156" s="847" t="str">
        <f t="shared" ref="D156:H156" si="124">B$40</f>
        <v>-</v>
      </c>
      <c r="E156" s="847">
        <f t="shared" si="124"/>
        <v>0.03</v>
      </c>
      <c r="F156" s="847">
        <f t="shared" si="124"/>
        <v>0.02</v>
      </c>
      <c r="G156" s="847">
        <f t="shared" si="124"/>
        <v>4.9999999999999992E-3</v>
      </c>
      <c r="H156" s="847">
        <f t="shared" si="124"/>
        <v>0.12</v>
      </c>
      <c r="I156" s="848"/>
      <c r="K156" s="1724"/>
      <c r="L156" s="846">
        <v>7</v>
      </c>
      <c r="M156" s="868">
        <f t="shared" ref="M156:R156" si="125">A$46</f>
        <v>900</v>
      </c>
      <c r="N156" s="868" t="str">
        <f t="shared" si="125"/>
        <v>-</v>
      </c>
      <c r="O156" s="868">
        <f t="shared" si="125"/>
        <v>0.02</v>
      </c>
      <c r="P156" s="868">
        <f t="shared" si="125"/>
        <v>0.03</v>
      </c>
      <c r="Q156" s="868">
        <f t="shared" si="125"/>
        <v>4.9999999999999992E-3</v>
      </c>
      <c r="R156" s="868">
        <f t="shared" si="125"/>
        <v>0.12</v>
      </c>
      <c r="S156" s="869"/>
    </row>
    <row r="157" spans="1:19" ht="13">
      <c r="A157" s="1702"/>
      <c r="B157" s="846">
        <v>8</v>
      </c>
      <c r="C157" s="847">
        <f>H$40</f>
        <v>60</v>
      </c>
      <c r="D157" s="847" t="str">
        <f t="shared" ref="D157:H157" si="126">I$40</f>
        <v>-</v>
      </c>
      <c r="E157" s="847">
        <f t="shared" si="126"/>
        <v>0.01</v>
      </c>
      <c r="F157" s="847" t="str">
        <f t="shared" si="126"/>
        <v>-</v>
      </c>
      <c r="G157" s="847">
        <f t="shared" si="126"/>
        <v>3.9999999999999994E-2</v>
      </c>
      <c r="H157" s="847">
        <f t="shared" si="126"/>
        <v>0.12</v>
      </c>
      <c r="I157" s="848"/>
      <c r="K157" s="1724"/>
      <c r="L157" s="846">
        <v>8</v>
      </c>
      <c r="M157" s="868">
        <f t="shared" ref="M157:R157" si="127">H$46</f>
        <v>900</v>
      </c>
      <c r="N157" s="868" t="str">
        <f t="shared" si="127"/>
        <v>-</v>
      </c>
      <c r="O157" s="868">
        <f t="shared" si="127"/>
        <v>0.02</v>
      </c>
      <c r="P157" s="868" t="str">
        <f t="shared" si="127"/>
        <v>-</v>
      </c>
      <c r="Q157" s="868">
        <f t="shared" si="127"/>
        <v>3.9999999999999994E-2</v>
      </c>
      <c r="R157" s="868">
        <f t="shared" si="127"/>
        <v>0.12</v>
      </c>
      <c r="S157" s="869"/>
    </row>
    <row r="158" spans="1:19" ht="13">
      <c r="A158" s="1702"/>
      <c r="B158" s="846">
        <v>9</v>
      </c>
      <c r="C158" s="847">
        <f>O$40</f>
        <v>60</v>
      </c>
      <c r="D158" s="847" t="str">
        <f t="shared" ref="D158:H158" si="128">P$40</f>
        <v>-</v>
      </c>
      <c r="E158" s="847">
        <f t="shared" si="128"/>
        <v>0.02</v>
      </c>
      <c r="F158" s="847">
        <f t="shared" si="128"/>
        <v>-0.01</v>
      </c>
      <c r="G158" s="847">
        <f t="shared" si="128"/>
        <v>1.4999999999999999E-2</v>
      </c>
      <c r="H158" s="847">
        <f t="shared" si="128"/>
        <v>0.12</v>
      </c>
      <c r="I158" s="848"/>
      <c r="K158" s="1724"/>
      <c r="L158" s="846">
        <v>9</v>
      </c>
      <c r="M158" s="868">
        <f t="shared" ref="M158:R158" si="129">O$46</f>
        <v>900</v>
      </c>
      <c r="N158" s="868" t="str">
        <f t="shared" si="129"/>
        <v>-</v>
      </c>
      <c r="O158" s="868">
        <f t="shared" si="129"/>
        <v>0.02</v>
      </c>
      <c r="P158" s="868">
        <f t="shared" si="129"/>
        <v>-0.02</v>
      </c>
      <c r="Q158" s="868">
        <f t="shared" si="129"/>
        <v>0.02</v>
      </c>
      <c r="R158" s="868">
        <f t="shared" si="129"/>
        <v>0.12</v>
      </c>
      <c r="S158" s="869"/>
    </row>
    <row r="159" spans="1:19" ht="13">
      <c r="A159" s="1702"/>
      <c r="B159" s="846">
        <v>10</v>
      </c>
      <c r="C159" s="847">
        <f>A$55</f>
        <v>60</v>
      </c>
      <c r="D159" s="847" t="str">
        <f t="shared" ref="D159:H159" si="130">B$55</f>
        <v>-</v>
      </c>
      <c r="E159" s="847">
        <f t="shared" si="130"/>
        <v>-0.06</v>
      </c>
      <c r="F159" s="847">
        <f t="shared" si="130"/>
        <v>-0.01</v>
      </c>
      <c r="G159" s="847">
        <f t="shared" si="130"/>
        <v>2.4999999999999998E-2</v>
      </c>
      <c r="H159" s="847">
        <f t="shared" si="130"/>
        <v>0.12</v>
      </c>
      <c r="I159" s="848"/>
      <c r="K159" s="1724"/>
      <c r="L159" s="846">
        <v>10</v>
      </c>
      <c r="M159" s="868">
        <f t="shared" ref="M159:R159" si="131">A$61</f>
        <v>900</v>
      </c>
      <c r="N159" s="868" t="str">
        <f t="shared" si="131"/>
        <v>-</v>
      </c>
      <c r="O159" s="868">
        <f t="shared" si="131"/>
        <v>-0.06</v>
      </c>
      <c r="P159" s="868">
        <f t="shared" si="131"/>
        <v>-0.02</v>
      </c>
      <c r="Q159" s="868">
        <f t="shared" si="131"/>
        <v>1.9999999999999997E-2</v>
      </c>
      <c r="R159" s="868">
        <f t="shared" si="131"/>
        <v>0.12</v>
      </c>
      <c r="S159" s="869"/>
    </row>
    <row r="160" spans="1:19" ht="13">
      <c r="A160" s="1702"/>
      <c r="B160" s="853">
        <v>11</v>
      </c>
      <c r="C160" s="844">
        <f>H$55</f>
        <v>60</v>
      </c>
      <c r="D160" s="844" t="str">
        <f t="shared" ref="D160:H160" si="132">I$55</f>
        <v>-</v>
      </c>
      <c r="E160" s="844">
        <f t="shared" si="132"/>
        <v>-0.03</v>
      </c>
      <c r="F160" s="844">
        <f t="shared" si="132"/>
        <v>0.01</v>
      </c>
      <c r="G160" s="844">
        <f t="shared" si="132"/>
        <v>0.02</v>
      </c>
      <c r="H160" s="844">
        <f t="shared" si="132"/>
        <v>0.12</v>
      </c>
      <c r="I160" s="851"/>
      <c r="K160" s="1724"/>
      <c r="L160" s="853">
        <v>11</v>
      </c>
      <c r="M160" s="868">
        <f t="shared" ref="M160:R160" si="133">H$61</f>
        <v>900</v>
      </c>
      <c r="N160" s="868" t="str">
        <f t="shared" si="133"/>
        <v>-</v>
      </c>
      <c r="O160" s="868">
        <f t="shared" si="133"/>
        <v>-0.03</v>
      </c>
      <c r="P160" s="868">
        <f t="shared" si="133"/>
        <v>0.03</v>
      </c>
      <c r="Q160" s="868">
        <f t="shared" si="133"/>
        <v>0.03</v>
      </c>
      <c r="R160" s="868">
        <f t="shared" si="133"/>
        <v>0.12</v>
      </c>
      <c r="S160" s="869"/>
    </row>
    <row r="161" spans="1:19" ht="13">
      <c r="A161" s="1702"/>
      <c r="B161" s="846">
        <v>12</v>
      </c>
      <c r="C161" s="844">
        <f>O$55</f>
        <v>30</v>
      </c>
      <c r="D161" s="844" t="str">
        <f t="shared" ref="D161:H161" si="134">P$55</f>
        <v>-</v>
      </c>
      <c r="E161" s="844">
        <f t="shared" si="134"/>
        <v>0.01</v>
      </c>
      <c r="F161" s="844" t="str">
        <f t="shared" si="134"/>
        <v>-</v>
      </c>
      <c r="G161" s="844">
        <f t="shared" si="134"/>
        <v>3.9999999999999994E-2</v>
      </c>
      <c r="H161" s="844">
        <f t="shared" si="134"/>
        <v>0.12</v>
      </c>
      <c r="I161" s="851"/>
      <c r="K161" s="1724"/>
      <c r="L161" s="846">
        <v>12</v>
      </c>
      <c r="M161" s="868">
        <f t="shared" ref="M161:R161" si="135">O$61</f>
        <v>900</v>
      </c>
      <c r="N161" s="868" t="str">
        <f t="shared" si="135"/>
        <v>-</v>
      </c>
      <c r="O161" s="868" t="str">
        <f t="shared" si="135"/>
        <v>-</v>
      </c>
      <c r="P161" s="868">
        <f t="shared" si="135"/>
        <v>0.03</v>
      </c>
      <c r="Q161" s="868">
        <f t="shared" si="135"/>
        <v>3.9999999999999994E-2</v>
      </c>
      <c r="R161" s="868">
        <f t="shared" si="135"/>
        <v>0.12</v>
      </c>
      <c r="S161" s="869"/>
    </row>
    <row r="162" spans="1:19" ht="13">
      <c r="A162" s="1702"/>
      <c r="B162" s="846">
        <v>13</v>
      </c>
      <c r="C162" s="844">
        <f>A$70</f>
        <v>30</v>
      </c>
      <c r="D162" s="844" t="str">
        <f t="shared" ref="D162:H162" si="136">B$70</f>
        <v>-</v>
      </c>
      <c r="E162" s="844">
        <f t="shared" si="136"/>
        <v>0.02</v>
      </c>
      <c r="F162" s="844" t="str">
        <f t="shared" si="136"/>
        <v>-</v>
      </c>
      <c r="G162" s="844">
        <f t="shared" si="136"/>
        <v>3.9999999999999994E-2</v>
      </c>
      <c r="H162" s="844">
        <f t="shared" si="136"/>
        <v>0.12</v>
      </c>
      <c r="I162" s="851"/>
      <c r="K162" s="1724"/>
      <c r="L162" s="846">
        <v>13</v>
      </c>
      <c r="M162" s="868">
        <f t="shared" ref="M162:R162" si="137">A$76</f>
        <v>900</v>
      </c>
      <c r="N162" s="868" t="str">
        <f t="shared" si="137"/>
        <v>-</v>
      </c>
      <c r="O162" s="868" t="str">
        <f t="shared" si="137"/>
        <v>-</v>
      </c>
      <c r="P162" s="868">
        <f t="shared" si="137"/>
        <v>0.03</v>
      </c>
      <c r="Q162" s="868">
        <f t="shared" si="137"/>
        <v>3.9999999999999994E-2</v>
      </c>
      <c r="R162" s="868">
        <f t="shared" si="137"/>
        <v>0.12</v>
      </c>
      <c r="S162" s="869"/>
    </row>
    <row r="163" spans="1:19" ht="13">
      <c r="A163" s="1702"/>
      <c r="B163" s="846">
        <v>14</v>
      </c>
      <c r="C163" s="844">
        <f>H$70</f>
        <v>30</v>
      </c>
      <c r="D163" s="844" t="str">
        <f t="shared" ref="D163:H163" si="138">I$70</f>
        <v>-</v>
      </c>
      <c r="E163" s="844">
        <f t="shared" si="138"/>
        <v>0.02</v>
      </c>
      <c r="F163" s="844" t="str">
        <f t="shared" si="138"/>
        <v>-</v>
      </c>
      <c r="G163" s="844">
        <f t="shared" si="138"/>
        <v>3.9999999999999994E-2</v>
      </c>
      <c r="H163" s="844">
        <f t="shared" si="138"/>
        <v>0.12</v>
      </c>
      <c r="I163" s="851"/>
      <c r="K163" s="1724"/>
      <c r="L163" s="846">
        <v>14</v>
      </c>
      <c r="M163" s="868">
        <f t="shared" ref="M163:R163" si="139">H$76</f>
        <v>900</v>
      </c>
      <c r="N163" s="868" t="str">
        <f t="shared" si="139"/>
        <v>-</v>
      </c>
      <c r="O163" s="868" t="str">
        <f t="shared" si="139"/>
        <v>-</v>
      </c>
      <c r="P163" s="868">
        <f t="shared" si="139"/>
        <v>-0.02</v>
      </c>
      <c r="Q163" s="868">
        <f t="shared" si="139"/>
        <v>3.9999999999999994E-2</v>
      </c>
      <c r="R163" s="868">
        <f t="shared" si="139"/>
        <v>0.12</v>
      </c>
      <c r="S163" s="869"/>
    </row>
    <row r="164" spans="1:19" ht="13.5" thickBot="1">
      <c r="A164" s="1702"/>
      <c r="B164" s="857">
        <v>15</v>
      </c>
      <c r="C164" s="844">
        <f>O$70</f>
        <v>60</v>
      </c>
      <c r="D164" s="844" t="str">
        <f t="shared" ref="D164:H164" si="140">P$70</f>
        <v>-</v>
      </c>
      <c r="E164" s="844">
        <f t="shared" si="140"/>
        <v>0.04</v>
      </c>
      <c r="F164" s="844">
        <f t="shared" si="140"/>
        <v>0</v>
      </c>
      <c r="G164" s="844">
        <f t="shared" si="140"/>
        <v>0.02</v>
      </c>
      <c r="H164" s="844">
        <f t="shared" si="140"/>
        <v>0.12</v>
      </c>
      <c r="I164" s="851"/>
      <c r="K164" s="1724"/>
      <c r="L164" s="846">
        <v>15</v>
      </c>
      <c r="M164" s="868">
        <f t="shared" ref="M164:R164" si="141">O$76</f>
        <v>900</v>
      </c>
      <c r="N164" s="868" t="str">
        <f t="shared" si="141"/>
        <v>-</v>
      </c>
      <c r="O164" s="868">
        <f t="shared" si="141"/>
        <v>0.04</v>
      </c>
      <c r="P164" s="868">
        <f t="shared" si="141"/>
        <v>-0.03</v>
      </c>
      <c r="Q164" s="868">
        <f t="shared" si="141"/>
        <v>3.5000000000000003E-2</v>
      </c>
      <c r="R164" s="868">
        <f t="shared" si="141"/>
        <v>0.12</v>
      </c>
      <c r="S164" s="869"/>
    </row>
    <row r="165" spans="1:19" ht="13.5" thickBot="1">
      <c r="A165" s="1703"/>
      <c r="B165" s="854">
        <v>16</v>
      </c>
      <c r="C165" s="860">
        <f>A$85</f>
        <v>60</v>
      </c>
      <c r="D165" s="860" t="str">
        <f t="shared" ref="D165:H165" si="142">B$85</f>
        <v>-</v>
      </c>
      <c r="E165" s="860">
        <f t="shared" si="142"/>
        <v>-0.01</v>
      </c>
      <c r="F165" s="860">
        <f t="shared" si="142"/>
        <v>-0.01</v>
      </c>
      <c r="G165" s="860">
        <f t="shared" si="142"/>
        <v>0</v>
      </c>
      <c r="H165" s="860">
        <f t="shared" si="142"/>
        <v>0.12</v>
      </c>
      <c r="I165" s="861"/>
      <c r="K165" s="1725"/>
      <c r="L165" s="857">
        <v>16</v>
      </c>
      <c r="M165" s="870">
        <f t="shared" ref="M165:R165" si="143">A$91</f>
        <v>900</v>
      </c>
      <c r="N165" s="870" t="str">
        <f t="shared" si="143"/>
        <v>-</v>
      </c>
      <c r="O165" s="870">
        <f t="shared" si="143"/>
        <v>-0.01</v>
      </c>
      <c r="P165" s="870">
        <f t="shared" si="143"/>
        <v>-0.03</v>
      </c>
      <c r="Q165" s="870">
        <f t="shared" si="143"/>
        <v>9.9999999999999985E-3</v>
      </c>
      <c r="R165" s="870">
        <f t="shared" si="143"/>
        <v>0.12</v>
      </c>
      <c r="S165" s="871"/>
    </row>
    <row r="166" spans="1:19" ht="13">
      <c r="A166" s="1720" t="s">
        <v>35</v>
      </c>
      <c r="B166" s="841">
        <v>1</v>
      </c>
      <c r="C166" s="842">
        <f>A$10</f>
        <v>40</v>
      </c>
      <c r="D166" s="842" t="str">
        <f t="shared" ref="D166:H166" si="144">B$10</f>
        <v>-</v>
      </c>
      <c r="E166" s="842">
        <f t="shared" si="144"/>
        <v>-1E-3</v>
      </c>
      <c r="F166" s="842" t="str">
        <f t="shared" si="144"/>
        <v>-</v>
      </c>
      <c r="G166" s="842">
        <f t="shared" si="144"/>
        <v>3.9999999999999994E-2</v>
      </c>
      <c r="H166" s="842">
        <f t="shared" si="144"/>
        <v>0.12</v>
      </c>
      <c r="I166" s="843"/>
      <c r="K166" s="1727" t="s">
        <v>36</v>
      </c>
      <c r="L166" s="841">
        <v>1</v>
      </c>
      <c r="M166" s="872">
        <f t="shared" ref="M166:R166" si="145">A$16</f>
        <v>1200</v>
      </c>
      <c r="N166" s="872" t="str">
        <f t="shared" si="145"/>
        <v>-</v>
      </c>
      <c r="O166" s="872">
        <f t="shared" si="145"/>
        <v>-1.2999999999999999E-2</v>
      </c>
      <c r="P166" s="872" t="str">
        <f t="shared" si="145"/>
        <v>-</v>
      </c>
      <c r="Q166" s="872">
        <f t="shared" si="145"/>
        <v>3.9999999999999994E-2</v>
      </c>
      <c r="R166" s="872">
        <f t="shared" si="145"/>
        <v>0.12</v>
      </c>
      <c r="S166" s="873"/>
    </row>
    <row r="167" spans="1:19" ht="13">
      <c r="A167" s="1721"/>
      <c r="B167" s="846">
        <v>2</v>
      </c>
      <c r="C167" s="847">
        <f>H$10</f>
        <v>40</v>
      </c>
      <c r="D167" s="847" t="str">
        <f t="shared" ref="D167:H167" si="146">I$10</f>
        <v>-</v>
      </c>
      <c r="E167" s="847">
        <f t="shared" si="146"/>
        <v>1E-3</v>
      </c>
      <c r="F167" s="847" t="str">
        <f t="shared" si="146"/>
        <v>-</v>
      </c>
      <c r="G167" s="847">
        <f t="shared" si="146"/>
        <v>3.9999999999999994E-2</v>
      </c>
      <c r="H167" s="847">
        <f t="shared" si="146"/>
        <v>0.12</v>
      </c>
      <c r="I167" s="848"/>
      <c r="K167" s="1728"/>
      <c r="L167" s="846">
        <v>2</v>
      </c>
      <c r="M167" s="874">
        <f t="shared" ref="M167:R167" si="147">H$16</f>
        <v>1200</v>
      </c>
      <c r="N167" s="874" t="str">
        <f t="shared" si="147"/>
        <v>-</v>
      </c>
      <c r="O167" s="874">
        <f t="shared" si="147"/>
        <v>0</v>
      </c>
      <c r="P167" s="874" t="str">
        <f t="shared" si="147"/>
        <v>-</v>
      </c>
      <c r="Q167" s="874">
        <f t="shared" si="147"/>
        <v>3.9999999999999994E-2</v>
      </c>
      <c r="R167" s="874">
        <f t="shared" si="147"/>
        <v>0.12</v>
      </c>
      <c r="S167" s="875"/>
    </row>
    <row r="168" spans="1:19" ht="13">
      <c r="A168" s="1721"/>
      <c r="B168" s="846">
        <v>3</v>
      </c>
      <c r="C168" s="847">
        <f>O$10</f>
        <v>40</v>
      </c>
      <c r="D168" s="847" t="str">
        <f t="shared" ref="D168:H168" si="148">P$10</f>
        <v>-</v>
      </c>
      <c r="E168" s="847">
        <f t="shared" si="148"/>
        <v>0</v>
      </c>
      <c r="F168" s="847" t="str">
        <f t="shared" si="148"/>
        <v>-</v>
      </c>
      <c r="G168" s="847">
        <f t="shared" si="148"/>
        <v>3.9999999999999994E-2</v>
      </c>
      <c r="H168" s="847">
        <f t="shared" si="148"/>
        <v>0.12</v>
      </c>
      <c r="I168" s="848"/>
      <c r="K168" s="1728"/>
      <c r="L168" s="846">
        <v>3</v>
      </c>
      <c r="M168" s="874">
        <f t="shared" ref="M168:R168" si="149">O$16</f>
        <v>600</v>
      </c>
      <c r="N168" s="874" t="str">
        <f t="shared" si="149"/>
        <v>-</v>
      </c>
      <c r="O168" s="874">
        <f t="shared" si="149"/>
        <v>0.02</v>
      </c>
      <c r="P168" s="874">
        <f t="shared" si="149"/>
        <v>-3.0000000000000001E-3</v>
      </c>
      <c r="Q168" s="874">
        <f t="shared" si="149"/>
        <v>1.15E-2</v>
      </c>
      <c r="R168" s="874">
        <f t="shared" si="149"/>
        <v>0.12</v>
      </c>
      <c r="S168" s="875"/>
    </row>
    <row r="169" spans="1:19" ht="13">
      <c r="A169" s="1721"/>
      <c r="B169" s="846">
        <v>4</v>
      </c>
      <c r="C169" s="847">
        <f>A$25</f>
        <v>60</v>
      </c>
      <c r="D169" s="847" t="str">
        <f t="shared" ref="D169:H169" si="150">B$25</f>
        <v>-</v>
      </c>
      <c r="E169" s="847">
        <f t="shared" si="150"/>
        <v>-0.01</v>
      </c>
      <c r="F169" s="847">
        <f t="shared" si="150"/>
        <v>2E-3</v>
      </c>
      <c r="G169" s="847">
        <f t="shared" si="150"/>
        <v>6.0000000000000001E-3</v>
      </c>
      <c r="H169" s="847">
        <f t="shared" si="150"/>
        <v>0.12</v>
      </c>
      <c r="I169" s="848"/>
      <c r="K169" s="1728"/>
      <c r="L169" s="846">
        <v>4</v>
      </c>
      <c r="M169" s="874">
        <f t="shared" ref="M169:R169" si="151">A$31</f>
        <v>1200</v>
      </c>
      <c r="N169" s="874" t="str">
        <f t="shared" si="151"/>
        <v>-</v>
      </c>
      <c r="O169" s="874">
        <f t="shared" si="151"/>
        <v>0.05</v>
      </c>
      <c r="P169" s="874" t="str">
        <f t="shared" si="151"/>
        <v>-</v>
      </c>
      <c r="Q169" s="874">
        <f t="shared" si="151"/>
        <v>3.9999999999999994E-2</v>
      </c>
      <c r="R169" s="874">
        <f t="shared" si="151"/>
        <v>0.12</v>
      </c>
      <c r="S169" s="875"/>
    </row>
    <row r="170" spans="1:19" ht="13">
      <c r="A170" s="1721"/>
      <c r="B170" s="846">
        <v>5</v>
      </c>
      <c r="C170" s="847">
        <f>H$25</f>
        <v>40</v>
      </c>
      <c r="D170" s="847" t="str">
        <f t="shared" ref="D170:H170" si="152">I$25</f>
        <v>-</v>
      </c>
      <c r="E170" s="847">
        <f t="shared" si="152"/>
        <v>-0.02</v>
      </c>
      <c r="F170" s="847" t="str">
        <f t="shared" si="152"/>
        <v>-</v>
      </c>
      <c r="G170" s="847">
        <f t="shared" si="152"/>
        <v>3.9999999999999994E-2</v>
      </c>
      <c r="H170" s="847">
        <f t="shared" si="152"/>
        <v>0.12</v>
      </c>
      <c r="I170" s="848"/>
      <c r="K170" s="1728"/>
      <c r="L170" s="846">
        <v>5</v>
      </c>
      <c r="M170" s="874">
        <f t="shared" ref="M170:R170" si="153">H$31</f>
        <v>1200</v>
      </c>
      <c r="N170" s="874" t="str">
        <f t="shared" si="153"/>
        <v>-</v>
      </c>
      <c r="O170" s="874" t="str">
        <f t="shared" si="153"/>
        <v>-</v>
      </c>
      <c r="P170" s="874">
        <f t="shared" si="153"/>
        <v>-0.02</v>
      </c>
      <c r="Q170" s="874">
        <f t="shared" si="153"/>
        <v>3.9999999999999994E-2</v>
      </c>
      <c r="R170" s="874">
        <f t="shared" si="153"/>
        <v>0.12</v>
      </c>
      <c r="S170" s="875"/>
    </row>
    <row r="171" spans="1:19" ht="13">
      <c r="A171" s="1721"/>
      <c r="B171" s="846">
        <v>6</v>
      </c>
      <c r="C171" s="847">
        <f>O$25</f>
        <v>60</v>
      </c>
      <c r="D171" s="847" t="str">
        <f t="shared" ref="D171:H171" si="154">P$25</f>
        <v>-</v>
      </c>
      <c r="E171" s="847">
        <f t="shared" si="154"/>
        <v>0.01</v>
      </c>
      <c r="F171" s="847">
        <f t="shared" si="154"/>
        <v>0.02</v>
      </c>
      <c r="G171" s="847">
        <f t="shared" si="154"/>
        <v>5.0000000000000001E-3</v>
      </c>
      <c r="H171" s="847">
        <f t="shared" si="154"/>
        <v>0.12</v>
      </c>
      <c r="I171" s="848"/>
      <c r="K171" s="1728"/>
      <c r="L171" s="846">
        <v>6</v>
      </c>
      <c r="M171" s="874">
        <f t="shared" ref="M171:R171" si="155">O$31</f>
        <v>1200</v>
      </c>
      <c r="N171" s="874" t="str">
        <f t="shared" si="155"/>
        <v>-</v>
      </c>
      <c r="O171" s="874">
        <f t="shared" si="155"/>
        <v>0.02</v>
      </c>
      <c r="P171" s="874">
        <f t="shared" si="155"/>
        <v>0.03</v>
      </c>
      <c r="Q171" s="874">
        <f t="shared" si="155"/>
        <v>4.9999999999999992E-3</v>
      </c>
      <c r="R171" s="874">
        <f t="shared" si="155"/>
        <v>0.12</v>
      </c>
      <c r="S171" s="875"/>
    </row>
    <row r="172" spans="1:19" ht="13">
      <c r="A172" s="1721"/>
      <c r="B172" s="846">
        <v>7</v>
      </c>
      <c r="C172" s="847">
        <f>A$41</f>
        <v>60</v>
      </c>
      <c r="D172" s="847" t="str">
        <f t="shared" ref="D172:H172" si="156">B$41</f>
        <v>-</v>
      </c>
      <c r="E172" s="847">
        <f t="shared" si="156"/>
        <v>0.03</v>
      </c>
      <c r="F172" s="847">
        <f t="shared" si="156"/>
        <v>0.02</v>
      </c>
      <c r="G172" s="847">
        <f t="shared" si="156"/>
        <v>4.9999999999999992E-3</v>
      </c>
      <c r="H172" s="847">
        <f t="shared" si="156"/>
        <v>0.12</v>
      </c>
      <c r="I172" s="848"/>
      <c r="K172" s="1728"/>
      <c r="L172" s="846">
        <v>7</v>
      </c>
      <c r="M172" s="874">
        <f t="shared" ref="M172:R172" si="157">A$47</f>
        <v>1200</v>
      </c>
      <c r="N172" s="874" t="str">
        <f t="shared" si="157"/>
        <v>-</v>
      </c>
      <c r="O172" s="874">
        <f t="shared" si="157"/>
        <v>0.03</v>
      </c>
      <c r="P172" s="874">
        <f t="shared" si="157"/>
        <v>0.03</v>
      </c>
      <c r="Q172" s="874">
        <f t="shared" si="157"/>
        <v>0</v>
      </c>
      <c r="R172" s="874">
        <f t="shared" si="157"/>
        <v>0.12</v>
      </c>
      <c r="S172" s="875"/>
    </row>
    <row r="173" spans="1:19" ht="13">
      <c r="A173" s="1721"/>
      <c r="B173" s="846">
        <v>8</v>
      </c>
      <c r="C173" s="847">
        <f>H$41</f>
        <v>60</v>
      </c>
      <c r="D173" s="847" t="str">
        <f t="shared" ref="D173:H173" si="158">I$41</f>
        <v>-</v>
      </c>
      <c r="E173" s="847">
        <f t="shared" si="158"/>
        <v>0.01</v>
      </c>
      <c r="F173" s="847" t="str">
        <f t="shared" si="158"/>
        <v>-</v>
      </c>
      <c r="G173" s="847">
        <f t="shared" si="158"/>
        <v>3.9999999999999994E-2</v>
      </c>
      <c r="H173" s="847">
        <f t="shared" si="158"/>
        <v>0.12</v>
      </c>
      <c r="I173" s="848"/>
      <c r="K173" s="1728"/>
      <c r="L173" s="846">
        <v>8</v>
      </c>
      <c r="M173" s="874">
        <f t="shared" ref="M173:R173" si="159">H$47</f>
        <v>1200</v>
      </c>
      <c r="N173" s="874" t="str">
        <f t="shared" si="159"/>
        <v>-</v>
      </c>
      <c r="O173" s="874">
        <f t="shared" si="159"/>
        <v>0.02</v>
      </c>
      <c r="P173" s="874" t="str">
        <f t="shared" si="159"/>
        <v>-</v>
      </c>
      <c r="Q173" s="874">
        <f t="shared" si="159"/>
        <v>3.9999999999999994E-2</v>
      </c>
      <c r="R173" s="874">
        <f t="shared" si="159"/>
        <v>0.12</v>
      </c>
      <c r="S173" s="875"/>
    </row>
    <row r="174" spans="1:19" ht="13">
      <c r="A174" s="1721"/>
      <c r="B174" s="846">
        <v>9</v>
      </c>
      <c r="C174" s="847">
        <f>O$41</f>
        <v>60</v>
      </c>
      <c r="D174" s="847" t="str">
        <f t="shared" ref="D174:H174" si="160">P$41</f>
        <v>-</v>
      </c>
      <c r="E174" s="847">
        <f t="shared" si="160"/>
        <v>0.02</v>
      </c>
      <c r="F174" s="847">
        <f t="shared" si="160"/>
        <v>-0.01</v>
      </c>
      <c r="G174" s="847">
        <f t="shared" si="160"/>
        <v>1.4999999999999999E-2</v>
      </c>
      <c r="H174" s="847">
        <f t="shared" si="160"/>
        <v>0.12</v>
      </c>
      <c r="I174" s="848"/>
      <c r="K174" s="1728"/>
      <c r="L174" s="846">
        <v>9</v>
      </c>
      <c r="M174" s="874">
        <f t="shared" ref="M174:R174" si="161">O$47</f>
        <v>1200</v>
      </c>
      <c r="N174" s="874" t="str">
        <f t="shared" si="161"/>
        <v>-</v>
      </c>
      <c r="O174" s="874">
        <f t="shared" si="161"/>
        <v>0.02</v>
      </c>
      <c r="P174" s="874">
        <f t="shared" si="161"/>
        <v>-0.03</v>
      </c>
      <c r="Q174" s="874">
        <f t="shared" si="161"/>
        <v>2.5000000000000001E-2</v>
      </c>
      <c r="R174" s="874">
        <f t="shared" si="161"/>
        <v>0.12</v>
      </c>
      <c r="S174" s="875"/>
    </row>
    <row r="175" spans="1:19" ht="13">
      <c r="A175" s="1721"/>
      <c r="B175" s="853">
        <v>10</v>
      </c>
      <c r="C175" s="847">
        <f>A$56</f>
        <v>60</v>
      </c>
      <c r="D175" s="847" t="str">
        <f t="shared" ref="D175:H175" si="162">B$56</f>
        <v>-</v>
      </c>
      <c r="E175" s="847">
        <f t="shared" si="162"/>
        <v>-0.06</v>
      </c>
      <c r="F175" s="847">
        <f t="shared" si="162"/>
        <v>-0.01</v>
      </c>
      <c r="G175" s="847">
        <f t="shared" si="162"/>
        <v>2.4999999999999998E-2</v>
      </c>
      <c r="H175" s="847">
        <f t="shared" si="162"/>
        <v>0.12</v>
      </c>
      <c r="I175" s="848"/>
      <c r="K175" s="1728"/>
      <c r="L175" s="846">
        <v>10</v>
      </c>
      <c r="M175" s="874">
        <f t="shared" ref="M175:R175" si="163">A$62</f>
        <v>1200</v>
      </c>
      <c r="N175" s="874" t="str">
        <f t="shared" si="163"/>
        <v>-</v>
      </c>
      <c r="O175" s="874">
        <f t="shared" si="163"/>
        <v>-0.05</v>
      </c>
      <c r="P175" s="874">
        <f t="shared" si="163"/>
        <v>-0.02</v>
      </c>
      <c r="Q175" s="874">
        <f t="shared" si="163"/>
        <v>1.5000000000000001E-2</v>
      </c>
      <c r="R175" s="874">
        <f t="shared" si="163"/>
        <v>0.12</v>
      </c>
      <c r="S175" s="875"/>
    </row>
    <row r="176" spans="1:19" ht="13">
      <c r="A176" s="1721"/>
      <c r="B176" s="853">
        <v>11</v>
      </c>
      <c r="C176" s="847">
        <f>H$56</f>
        <v>60</v>
      </c>
      <c r="D176" s="847" t="str">
        <f t="shared" ref="D176:H176" si="164">I$56</f>
        <v>-</v>
      </c>
      <c r="E176" s="847">
        <f t="shared" si="164"/>
        <v>-0.03</v>
      </c>
      <c r="F176" s="847">
        <f t="shared" si="164"/>
        <v>0.01</v>
      </c>
      <c r="G176" s="847">
        <f t="shared" si="164"/>
        <v>0.02</v>
      </c>
      <c r="H176" s="847">
        <f t="shared" si="164"/>
        <v>0.12</v>
      </c>
      <c r="I176" s="848"/>
      <c r="K176" s="1728"/>
      <c r="L176" s="853">
        <v>11</v>
      </c>
      <c r="M176" s="874">
        <f t="shared" ref="M176:R176" si="165">H$62</f>
        <v>1200</v>
      </c>
      <c r="N176" s="874" t="str">
        <f t="shared" si="165"/>
        <v>-</v>
      </c>
      <c r="O176" s="874">
        <f t="shared" si="165"/>
        <v>-0.02</v>
      </c>
      <c r="P176" s="874">
        <f t="shared" si="165"/>
        <v>0.04</v>
      </c>
      <c r="Q176" s="874">
        <f t="shared" si="165"/>
        <v>0.03</v>
      </c>
      <c r="R176" s="874">
        <f t="shared" si="165"/>
        <v>0.12</v>
      </c>
      <c r="S176" s="875"/>
    </row>
    <row r="177" spans="1:19" ht="13">
      <c r="A177" s="1721"/>
      <c r="B177" s="846">
        <v>12</v>
      </c>
      <c r="C177" s="847">
        <f>O$56</f>
        <v>40</v>
      </c>
      <c r="D177" s="847" t="str">
        <f t="shared" ref="D177:H177" si="166">P$56</f>
        <v>-</v>
      </c>
      <c r="E177" s="847">
        <f t="shared" si="166"/>
        <v>0.02</v>
      </c>
      <c r="F177" s="847" t="str">
        <f t="shared" si="166"/>
        <v>-</v>
      </c>
      <c r="G177" s="847">
        <f t="shared" si="166"/>
        <v>3.9999999999999994E-2</v>
      </c>
      <c r="H177" s="847">
        <f t="shared" si="166"/>
        <v>0.12</v>
      </c>
      <c r="I177" s="848"/>
      <c r="K177" s="1728"/>
      <c r="L177" s="846">
        <v>12</v>
      </c>
      <c r="M177" s="874">
        <f t="shared" ref="M177:R177" si="167">O$62</f>
        <v>1200</v>
      </c>
      <c r="N177" s="874" t="str">
        <f t="shared" si="167"/>
        <v>-</v>
      </c>
      <c r="O177" s="874" t="str">
        <f t="shared" si="167"/>
        <v>-</v>
      </c>
      <c r="P177" s="874">
        <f t="shared" si="167"/>
        <v>0.03</v>
      </c>
      <c r="Q177" s="874">
        <f t="shared" si="167"/>
        <v>3.9999999999999994E-2</v>
      </c>
      <c r="R177" s="874">
        <f t="shared" si="167"/>
        <v>0.12</v>
      </c>
      <c r="S177" s="875"/>
    </row>
    <row r="178" spans="1:19" ht="13">
      <c r="A178" s="1721"/>
      <c r="B178" s="846">
        <v>13</v>
      </c>
      <c r="C178" s="847">
        <f>A$71</f>
        <v>40</v>
      </c>
      <c r="D178" s="847" t="str">
        <f t="shared" ref="D178:H178" si="168">B$71</f>
        <v>-</v>
      </c>
      <c r="E178" s="847">
        <f t="shared" si="168"/>
        <v>0.01</v>
      </c>
      <c r="F178" s="847" t="str">
        <f t="shared" si="168"/>
        <v>-</v>
      </c>
      <c r="G178" s="847">
        <f t="shared" si="168"/>
        <v>3.9999999999999994E-2</v>
      </c>
      <c r="H178" s="847">
        <f t="shared" si="168"/>
        <v>0.12</v>
      </c>
      <c r="I178" s="848"/>
      <c r="K178" s="1728"/>
      <c r="L178" s="846">
        <v>13</v>
      </c>
      <c r="M178" s="874">
        <f t="shared" ref="M178:R178" si="169">A$77</f>
        <v>1200</v>
      </c>
      <c r="N178" s="874" t="str">
        <f t="shared" si="169"/>
        <v>-</v>
      </c>
      <c r="O178" s="874" t="str">
        <f t="shared" si="169"/>
        <v>-</v>
      </c>
      <c r="P178" s="874">
        <f t="shared" si="169"/>
        <v>0.03</v>
      </c>
      <c r="Q178" s="874">
        <f t="shared" si="169"/>
        <v>3.9999999999999994E-2</v>
      </c>
      <c r="R178" s="874">
        <f t="shared" si="169"/>
        <v>0.12</v>
      </c>
      <c r="S178" s="875"/>
    </row>
    <row r="179" spans="1:19" ht="13">
      <c r="A179" s="1721"/>
      <c r="B179" s="846">
        <v>14</v>
      </c>
      <c r="C179" s="847">
        <f>H$71</f>
        <v>40</v>
      </c>
      <c r="D179" s="847" t="str">
        <f t="shared" ref="D179:H179" si="170">I$71</f>
        <v>-</v>
      </c>
      <c r="E179" s="847">
        <f t="shared" si="170"/>
        <v>0.03</v>
      </c>
      <c r="F179" s="847" t="str">
        <f t="shared" si="170"/>
        <v>-</v>
      </c>
      <c r="G179" s="847">
        <f t="shared" si="170"/>
        <v>3.9999999999999994E-2</v>
      </c>
      <c r="H179" s="847">
        <f t="shared" si="170"/>
        <v>0.12</v>
      </c>
      <c r="I179" s="848"/>
      <c r="K179" s="1728"/>
      <c r="L179" s="846">
        <v>14</v>
      </c>
      <c r="M179" s="874">
        <f t="shared" ref="M179:R179" si="171">H$77</f>
        <v>1200</v>
      </c>
      <c r="N179" s="874" t="str">
        <f t="shared" si="171"/>
        <v>-</v>
      </c>
      <c r="O179" s="874" t="str">
        <f t="shared" si="171"/>
        <v>-</v>
      </c>
      <c r="P179" s="874">
        <f t="shared" si="171"/>
        <v>-0.03</v>
      </c>
      <c r="Q179" s="874">
        <f t="shared" si="171"/>
        <v>3.9999999999999994E-2</v>
      </c>
      <c r="R179" s="874">
        <f t="shared" si="171"/>
        <v>0.12</v>
      </c>
      <c r="S179" s="875"/>
    </row>
    <row r="180" spans="1:19" ht="13">
      <c r="A180" s="1721"/>
      <c r="B180" s="846">
        <v>15</v>
      </c>
      <c r="C180" s="876">
        <f>O$71</f>
        <v>60</v>
      </c>
      <c r="D180" s="876" t="str">
        <f t="shared" ref="D180:H180" si="172">P$71</f>
        <v>-</v>
      </c>
      <c r="E180" s="876">
        <f t="shared" si="172"/>
        <v>0.04</v>
      </c>
      <c r="F180" s="876">
        <f t="shared" si="172"/>
        <v>0</v>
      </c>
      <c r="G180" s="876">
        <f t="shared" si="172"/>
        <v>0.02</v>
      </c>
      <c r="H180" s="876">
        <f t="shared" si="172"/>
        <v>0.12</v>
      </c>
      <c r="I180" s="877"/>
      <c r="K180" s="1728"/>
      <c r="L180" s="846">
        <v>15</v>
      </c>
      <c r="M180" s="874">
        <f t="shared" ref="M180:R180" si="173">O$77</f>
        <v>1200</v>
      </c>
      <c r="N180" s="874" t="str">
        <f t="shared" si="173"/>
        <v>-</v>
      </c>
      <c r="O180" s="874">
        <f t="shared" si="173"/>
        <v>0.04</v>
      </c>
      <c r="P180" s="874">
        <f t="shared" si="173"/>
        <v>-0.04</v>
      </c>
      <c r="Q180" s="874">
        <f t="shared" si="173"/>
        <v>0.04</v>
      </c>
      <c r="R180" s="874">
        <f t="shared" si="173"/>
        <v>0.12</v>
      </c>
      <c r="S180" s="875"/>
    </row>
    <row r="181" spans="1:19" ht="13.5" thickBot="1">
      <c r="A181" s="1726"/>
      <c r="B181" s="857">
        <v>16</v>
      </c>
      <c r="C181" s="878">
        <f>A$86</f>
        <v>60</v>
      </c>
      <c r="D181" s="878" t="str">
        <f t="shared" ref="D181:H181" si="174">B$86</f>
        <v>-</v>
      </c>
      <c r="E181" s="878">
        <f t="shared" si="174"/>
        <v>-0.01</v>
      </c>
      <c r="F181" s="878">
        <f t="shared" si="174"/>
        <v>-0.01</v>
      </c>
      <c r="G181" s="878">
        <f t="shared" si="174"/>
        <v>0</v>
      </c>
      <c r="H181" s="878">
        <f t="shared" si="174"/>
        <v>0.12</v>
      </c>
      <c r="I181" s="879"/>
      <c r="K181" s="1729"/>
      <c r="L181" s="857">
        <v>16</v>
      </c>
      <c r="M181" s="880">
        <f t="shared" ref="M181:R181" si="175">A$92</f>
        <v>1200</v>
      </c>
      <c r="N181" s="880" t="str">
        <f t="shared" si="175"/>
        <v>-</v>
      </c>
      <c r="O181" s="880">
        <f t="shared" si="175"/>
        <v>0.02</v>
      </c>
      <c r="P181" s="880">
        <f t="shared" si="175"/>
        <v>-0.03</v>
      </c>
      <c r="Q181" s="880">
        <f t="shared" si="175"/>
        <v>2.5000000000000001E-2</v>
      </c>
      <c r="R181" s="880">
        <f t="shared" si="175"/>
        <v>0.12</v>
      </c>
      <c r="S181" s="881"/>
    </row>
    <row r="182" spans="1:19" ht="13">
      <c r="A182" s="1701" t="s">
        <v>37</v>
      </c>
      <c r="B182" s="841">
        <v>1</v>
      </c>
      <c r="C182" s="842">
        <f>A$11</f>
        <v>50</v>
      </c>
      <c r="D182" s="842" t="str">
        <f t="shared" ref="D182:H182" si="176">B$11</f>
        <v>-</v>
      </c>
      <c r="E182" s="842">
        <f t="shared" si="176"/>
        <v>-1E-3</v>
      </c>
      <c r="F182" s="842" t="str">
        <f t="shared" si="176"/>
        <v>-</v>
      </c>
      <c r="G182" s="842">
        <f t="shared" si="176"/>
        <v>3.9999999999999994E-2</v>
      </c>
      <c r="H182" s="842">
        <f t="shared" si="176"/>
        <v>0.12</v>
      </c>
      <c r="I182" s="843"/>
      <c r="K182" s="882"/>
      <c r="L182" s="883"/>
      <c r="M182" s="816"/>
      <c r="N182" s="816"/>
      <c r="O182" s="816"/>
      <c r="P182" s="816"/>
      <c r="Q182" s="816"/>
      <c r="R182" s="816"/>
      <c r="S182" s="884"/>
    </row>
    <row r="183" spans="1:19" ht="13">
      <c r="A183" s="1702"/>
      <c r="B183" s="846">
        <v>2</v>
      </c>
      <c r="C183" s="847">
        <f>H$11</f>
        <v>50</v>
      </c>
      <c r="D183" s="847" t="str">
        <f t="shared" ref="D183:H183" si="177">I$11</f>
        <v>-</v>
      </c>
      <c r="E183" s="847">
        <f t="shared" si="177"/>
        <v>1E-3</v>
      </c>
      <c r="F183" s="847" t="str">
        <f t="shared" si="177"/>
        <v>-</v>
      </c>
      <c r="G183" s="847">
        <f t="shared" si="177"/>
        <v>3.9999999999999994E-2</v>
      </c>
      <c r="H183" s="847">
        <f t="shared" si="177"/>
        <v>0.12</v>
      </c>
      <c r="I183" s="848"/>
      <c r="K183" s="882"/>
      <c r="L183" s="883"/>
      <c r="M183" s="816"/>
      <c r="N183" s="816"/>
      <c r="O183" s="816"/>
      <c r="P183" s="816"/>
      <c r="Q183" s="816"/>
      <c r="R183" s="816"/>
      <c r="S183" s="884"/>
    </row>
    <row r="184" spans="1:19" ht="13">
      <c r="A184" s="1702"/>
      <c r="B184" s="846">
        <v>3</v>
      </c>
      <c r="C184" s="847">
        <f>O$11</f>
        <v>50</v>
      </c>
      <c r="D184" s="847" t="str">
        <f t="shared" ref="D184:H184" si="178">P$11</f>
        <v>-</v>
      </c>
      <c r="E184" s="847">
        <f t="shared" si="178"/>
        <v>0</v>
      </c>
      <c r="F184" s="847" t="str">
        <f t="shared" si="178"/>
        <v>-</v>
      </c>
      <c r="G184" s="847">
        <f t="shared" si="178"/>
        <v>3.9999999999999994E-2</v>
      </c>
      <c r="H184" s="847">
        <f t="shared" si="178"/>
        <v>0.12</v>
      </c>
      <c r="I184" s="848"/>
      <c r="K184" s="882"/>
      <c r="L184" s="883"/>
      <c r="M184" s="816"/>
      <c r="N184" s="816"/>
      <c r="O184" s="816"/>
      <c r="P184" s="816"/>
      <c r="Q184" s="816"/>
      <c r="R184" s="816"/>
      <c r="S184" s="884"/>
    </row>
    <row r="185" spans="1:19" ht="13">
      <c r="A185" s="1702"/>
      <c r="B185" s="846">
        <v>4</v>
      </c>
      <c r="C185" s="847">
        <f>A$26</f>
        <v>60</v>
      </c>
      <c r="D185" s="847" t="str">
        <f t="shared" ref="D185:H185" si="179">B$26</f>
        <v>-</v>
      </c>
      <c r="E185" s="847">
        <f t="shared" si="179"/>
        <v>-0.01</v>
      </c>
      <c r="F185" s="847">
        <f t="shared" si="179"/>
        <v>2E-3</v>
      </c>
      <c r="G185" s="847">
        <f t="shared" si="179"/>
        <v>6.0000000000000001E-3</v>
      </c>
      <c r="H185" s="847">
        <f t="shared" si="179"/>
        <v>0.12</v>
      </c>
      <c r="I185" s="848"/>
      <c r="K185" s="882"/>
      <c r="L185" s="883"/>
      <c r="M185" s="816"/>
      <c r="N185" s="816"/>
      <c r="O185" s="816"/>
      <c r="P185" s="816"/>
      <c r="Q185" s="816"/>
      <c r="R185" s="816"/>
      <c r="S185" s="884"/>
    </row>
    <row r="186" spans="1:19" ht="13">
      <c r="A186" s="1702"/>
      <c r="B186" s="846">
        <v>5</v>
      </c>
      <c r="C186" s="847">
        <f>H$26</f>
        <v>50</v>
      </c>
      <c r="D186" s="847" t="str">
        <f t="shared" ref="D186:H186" si="180">I$26</f>
        <v>-</v>
      </c>
      <c r="E186" s="847">
        <f t="shared" si="180"/>
        <v>-0.02</v>
      </c>
      <c r="F186" s="847" t="str">
        <f t="shared" si="180"/>
        <v>-</v>
      </c>
      <c r="G186" s="847">
        <f t="shared" si="180"/>
        <v>3.9999999999999994E-2</v>
      </c>
      <c r="H186" s="847">
        <f t="shared" si="180"/>
        <v>0.12</v>
      </c>
      <c r="I186" s="848"/>
      <c r="K186" s="882"/>
      <c r="L186" s="883"/>
      <c r="M186" s="816"/>
      <c r="N186" s="816"/>
      <c r="O186" s="816"/>
      <c r="P186" s="816"/>
      <c r="Q186" s="816"/>
      <c r="R186" s="816"/>
      <c r="S186" s="884"/>
    </row>
    <row r="187" spans="1:19" ht="13">
      <c r="A187" s="1702"/>
      <c r="B187" s="846">
        <v>6</v>
      </c>
      <c r="C187" s="847">
        <f>O$26</f>
        <v>60</v>
      </c>
      <c r="D187" s="847" t="str">
        <f t="shared" ref="D187:H187" si="181">P$26</f>
        <v>-</v>
      </c>
      <c r="E187" s="847">
        <f t="shared" si="181"/>
        <v>0.01</v>
      </c>
      <c r="F187" s="847">
        <f t="shared" si="181"/>
        <v>0.02</v>
      </c>
      <c r="G187" s="847">
        <f t="shared" si="181"/>
        <v>5.0000000000000001E-3</v>
      </c>
      <c r="H187" s="847">
        <f t="shared" si="181"/>
        <v>0.12</v>
      </c>
      <c r="I187" s="848"/>
      <c r="K187" s="882"/>
      <c r="L187" s="883"/>
      <c r="M187" s="816"/>
      <c r="N187" s="816"/>
      <c r="O187" s="816"/>
      <c r="P187" s="816"/>
      <c r="Q187" s="816"/>
      <c r="R187" s="816"/>
      <c r="S187" s="884"/>
    </row>
    <row r="188" spans="1:19" ht="13">
      <c r="A188" s="1702"/>
      <c r="B188" s="846">
        <v>7</v>
      </c>
      <c r="C188" s="847">
        <f>A$42</f>
        <v>60</v>
      </c>
      <c r="D188" s="847" t="str">
        <f t="shared" ref="D188:H188" si="182">B$42</f>
        <v>-</v>
      </c>
      <c r="E188" s="847">
        <f t="shared" si="182"/>
        <v>0.03</v>
      </c>
      <c r="F188" s="847">
        <f t="shared" si="182"/>
        <v>0.02</v>
      </c>
      <c r="G188" s="847">
        <f t="shared" si="182"/>
        <v>4.9999999999999992E-3</v>
      </c>
      <c r="H188" s="847">
        <f t="shared" si="182"/>
        <v>0.12</v>
      </c>
      <c r="I188" s="848"/>
      <c r="K188" s="882"/>
      <c r="L188" s="883"/>
      <c r="M188" s="816"/>
      <c r="N188" s="816"/>
      <c r="O188" s="816"/>
      <c r="P188" s="816"/>
      <c r="Q188" s="816"/>
      <c r="R188" s="816"/>
      <c r="S188" s="884"/>
    </row>
    <row r="189" spans="1:19" ht="13">
      <c r="A189" s="1702"/>
      <c r="B189" s="846">
        <v>8</v>
      </c>
      <c r="C189" s="847">
        <f>H$42</f>
        <v>60</v>
      </c>
      <c r="D189" s="847" t="str">
        <f t="shared" ref="D189:H189" si="183">I$42</f>
        <v>-</v>
      </c>
      <c r="E189" s="847">
        <f t="shared" si="183"/>
        <v>0.01</v>
      </c>
      <c r="F189" s="847" t="str">
        <f t="shared" si="183"/>
        <v>-</v>
      </c>
      <c r="G189" s="847">
        <f t="shared" si="183"/>
        <v>3.9999999999999994E-2</v>
      </c>
      <c r="H189" s="847">
        <f t="shared" si="183"/>
        <v>0.12</v>
      </c>
      <c r="I189" s="848"/>
      <c r="K189" s="882"/>
      <c r="L189" s="883"/>
      <c r="M189" s="816"/>
      <c r="N189" s="816"/>
      <c r="O189" s="816"/>
      <c r="P189" s="816"/>
      <c r="Q189" s="816"/>
      <c r="R189" s="816"/>
      <c r="S189" s="884"/>
    </row>
    <row r="190" spans="1:19" ht="13">
      <c r="A190" s="1702"/>
      <c r="B190" s="846">
        <v>9</v>
      </c>
      <c r="C190" s="847">
        <f>O$42</f>
        <v>60</v>
      </c>
      <c r="D190" s="847" t="str">
        <f t="shared" ref="D190:H190" si="184">P$42</f>
        <v>-</v>
      </c>
      <c r="E190" s="847">
        <f t="shared" si="184"/>
        <v>0.02</v>
      </c>
      <c r="F190" s="847">
        <f t="shared" si="184"/>
        <v>-0.01</v>
      </c>
      <c r="G190" s="847">
        <f t="shared" si="184"/>
        <v>1.4999999999999999E-2</v>
      </c>
      <c r="H190" s="847">
        <f t="shared" si="184"/>
        <v>0.12</v>
      </c>
      <c r="I190" s="848"/>
      <c r="K190" s="882"/>
      <c r="L190" s="883"/>
      <c r="M190" s="816"/>
      <c r="N190" s="816"/>
      <c r="O190" s="816"/>
      <c r="P190" s="816"/>
      <c r="Q190" s="816"/>
      <c r="R190" s="816"/>
      <c r="S190" s="884"/>
    </row>
    <row r="191" spans="1:19" ht="13">
      <c r="A191" s="1702"/>
      <c r="B191" s="846">
        <v>10</v>
      </c>
      <c r="C191" s="847">
        <f>A$57</f>
        <v>60</v>
      </c>
      <c r="D191" s="847" t="str">
        <f t="shared" ref="D191:H191" si="185">B$57</f>
        <v>-</v>
      </c>
      <c r="E191" s="847">
        <f t="shared" si="185"/>
        <v>-0.06</v>
      </c>
      <c r="F191" s="847">
        <f t="shared" si="185"/>
        <v>-0.01</v>
      </c>
      <c r="G191" s="847">
        <f t="shared" si="185"/>
        <v>2.4999999999999998E-2</v>
      </c>
      <c r="H191" s="847">
        <f t="shared" si="185"/>
        <v>0.12</v>
      </c>
      <c r="I191" s="848"/>
      <c r="K191" s="882"/>
      <c r="L191" s="883"/>
      <c r="M191" s="816"/>
      <c r="N191" s="816"/>
      <c r="O191" s="816"/>
      <c r="P191" s="816"/>
      <c r="Q191" s="816"/>
      <c r="R191" s="816"/>
      <c r="S191" s="884"/>
    </row>
    <row r="192" spans="1:19" ht="13">
      <c r="A192" s="1702"/>
      <c r="B192" s="853">
        <v>11</v>
      </c>
      <c r="C192" s="844">
        <f>H$57</f>
        <v>60</v>
      </c>
      <c r="D192" s="844" t="str">
        <f t="shared" ref="D192:H192" si="186">I$57</f>
        <v>-</v>
      </c>
      <c r="E192" s="844">
        <f t="shared" si="186"/>
        <v>-0.03</v>
      </c>
      <c r="F192" s="844">
        <f t="shared" si="186"/>
        <v>0.01</v>
      </c>
      <c r="G192" s="844">
        <f t="shared" si="186"/>
        <v>0.02</v>
      </c>
      <c r="H192" s="844">
        <f t="shared" si="186"/>
        <v>0.12</v>
      </c>
      <c r="I192" s="851"/>
      <c r="K192" s="882"/>
      <c r="L192" s="883"/>
      <c r="M192" s="816"/>
      <c r="N192" s="816"/>
      <c r="O192" s="816"/>
      <c r="P192" s="816"/>
      <c r="Q192" s="816"/>
      <c r="R192" s="816"/>
      <c r="S192" s="884"/>
    </row>
    <row r="193" spans="1:27" ht="13">
      <c r="A193" s="1702"/>
      <c r="B193" s="846">
        <v>12</v>
      </c>
      <c r="C193" s="844">
        <f>O$57</f>
        <v>50</v>
      </c>
      <c r="D193" s="844" t="str">
        <f t="shared" ref="D193:H193" si="187">P$57</f>
        <v>-</v>
      </c>
      <c r="E193" s="844">
        <f t="shared" si="187"/>
        <v>0.02</v>
      </c>
      <c r="F193" s="844" t="str">
        <f t="shared" si="187"/>
        <v>-</v>
      </c>
      <c r="G193" s="844">
        <f t="shared" si="187"/>
        <v>3.9999999999999994E-2</v>
      </c>
      <c r="H193" s="844">
        <f t="shared" si="187"/>
        <v>0.12</v>
      </c>
      <c r="I193" s="851"/>
      <c r="K193" s="882"/>
      <c r="L193" s="883"/>
      <c r="M193" s="816"/>
      <c r="N193" s="816"/>
      <c r="O193" s="816"/>
      <c r="P193" s="816"/>
      <c r="Q193" s="816"/>
      <c r="R193" s="816"/>
      <c r="S193" s="884"/>
    </row>
    <row r="194" spans="1:27" ht="13">
      <c r="A194" s="1702"/>
      <c r="B194" s="846">
        <v>13</v>
      </c>
      <c r="C194" s="844">
        <f>A$72</f>
        <v>50</v>
      </c>
      <c r="D194" s="844" t="str">
        <f t="shared" ref="D194:H194" si="188">B$72</f>
        <v>-</v>
      </c>
      <c r="E194" s="844">
        <f t="shared" si="188"/>
        <v>0.02</v>
      </c>
      <c r="F194" s="844" t="str">
        <f t="shared" si="188"/>
        <v>-</v>
      </c>
      <c r="G194" s="844">
        <f t="shared" si="188"/>
        <v>3.9999999999999994E-2</v>
      </c>
      <c r="H194" s="844">
        <f t="shared" si="188"/>
        <v>0.12</v>
      </c>
      <c r="I194" s="851"/>
      <c r="K194" s="882"/>
      <c r="L194" s="883"/>
      <c r="M194" s="816"/>
      <c r="N194" s="816"/>
      <c r="O194" s="816"/>
      <c r="P194" s="816"/>
      <c r="Q194" s="816"/>
      <c r="R194" s="816"/>
      <c r="S194" s="884"/>
    </row>
    <row r="195" spans="1:27" ht="13">
      <c r="A195" s="1702"/>
      <c r="B195" s="846">
        <v>14</v>
      </c>
      <c r="C195" s="844">
        <f>H$72</f>
        <v>50</v>
      </c>
      <c r="D195" s="844" t="str">
        <f t="shared" ref="D195:H195" si="189">I$72</f>
        <v>-</v>
      </c>
      <c r="E195" s="844">
        <f t="shared" si="189"/>
        <v>0.03</v>
      </c>
      <c r="F195" s="844" t="str">
        <f t="shared" si="189"/>
        <v>-</v>
      </c>
      <c r="G195" s="844">
        <f t="shared" si="189"/>
        <v>3.9999999999999994E-2</v>
      </c>
      <c r="H195" s="844">
        <f t="shared" si="189"/>
        <v>0.12</v>
      </c>
      <c r="I195" s="851"/>
      <c r="K195" s="882"/>
      <c r="L195" s="883"/>
      <c r="M195" s="816"/>
      <c r="N195" s="816"/>
      <c r="O195" s="816"/>
      <c r="P195" s="816"/>
      <c r="Q195" s="816"/>
      <c r="R195" s="816"/>
      <c r="S195" s="884"/>
    </row>
    <row r="196" spans="1:27" ht="13">
      <c r="A196" s="1702"/>
      <c r="B196" s="846">
        <v>15</v>
      </c>
      <c r="C196" s="844">
        <f>O$72</f>
        <v>60</v>
      </c>
      <c r="D196" s="844" t="str">
        <f t="shared" ref="D196:H196" si="190">P$72</f>
        <v>-</v>
      </c>
      <c r="E196" s="844">
        <f t="shared" si="190"/>
        <v>0.04</v>
      </c>
      <c r="F196" s="844">
        <f t="shared" si="190"/>
        <v>0</v>
      </c>
      <c r="G196" s="844">
        <f t="shared" si="190"/>
        <v>0.02</v>
      </c>
      <c r="H196" s="844">
        <f t="shared" si="190"/>
        <v>0.12</v>
      </c>
      <c r="I196" s="851"/>
      <c r="K196" s="882"/>
      <c r="L196" s="883"/>
      <c r="M196" s="816"/>
      <c r="N196" s="816"/>
      <c r="O196" s="816"/>
      <c r="P196" s="816"/>
      <c r="Q196" s="816"/>
      <c r="R196" s="816"/>
      <c r="S196" s="884"/>
    </row>
    <row r="197" spans="1:27" ht="13.5" thickBot="1">
      <c r="A197" s="1703"/>
      <c r="B197" s="857">
        <v>16</v>
      </c>
      <c r="C197" s="878">
        <f>A$87</f>
        <v>60</v>
      </c>
      <c r="D197" s="878" t="str">
        <f t="shared" ref="D197:H197" si="191">B$87</f>
        <v>-</v>
      </c>
      <c r="E197" s="878">
        <f t="shared" si="191"/>
        <v>-0.01</v>
      </c>
      <c r="F197" s="878">
        <f t="shared" si="191"/>
        <v>-0.01</v>
      </c>
      <c r="G197" s="878">
        <f t="shared" si="191"/>
        <v>0</v>
      </c>
      <c r="H197" s="878">
        <f t="shared" si="191"/>
        <v>0.12</v>
      </c>
      <c r="I197" s="885"/>
      <c r="K197" s="882"/>
      <c r="L197" s="883"/>
      <c r="M197" s="816"/>
      <c r="N197" s="816"/>
      <c r="O197" s="816"/>
      <c r="P197" s="816"/>
      <c r="Q197" s="816"/>
      <c r="R197" s="816"/>
      <c r="S197" s="884"/>
    </row>
    <row r="198" spans="1:27" ht="13">
      <c r="A198" s="886"/>
      <c r="B198" s="786"/>
      <c r="C198" s="883"/>
      <c r="D198" s="788"/>
      <c r="E198" s="887"/>
      <c r="F198" s="887"/>
      <c r="G198" s="887"/>
      <c r="H198" s="887"/>
      <c r="I198" s="887"/>
    </row>
    <row r="199" spans="1:27" ht="13">
      <c r="A199" s="827"/>
      <c r="B199" s="828"/>
      <c r="C199" s="828"/>
      <c r="D199" s="828"/>
      <c r="E199" s="828"/>
      <c r="F199" s="828"/>
      <c r="G199" s="828"/>
      <c r="H199" s="828"/>
      <c r="I199" s="828"/>
      <c r="J199" s="828"/>
      <c r="K199" s="828"/>
      <c r="L199" s="888"/>
      <c r="M199" s="889"/>
      <c r="N199" s="888"/>
      <c r="O199" s="890"/>
      <c r="P199" s="890"/>
      <c r="Q199" s="789"/>
      <c r="R199" s="888"/>
      <c r="S199" s="889"/>
      <c r="T199" s="888"/>
    </row>
    <row r="200" spans="1:27" ht="28.5" customHeight="1">
      <c r="A200" s="780">
        <f>A242</f>
        <v>16</v>
      </c>
      <c r="B200" s="1704" t="str">
        <f>A225</f>
        <v>Stopwatch, Merek : EXTECH, Model : 365535, SN :005018</v>
      </c>
      <c r="C200" s="1705"/>
      <c r="D200" s="1705"/>
      <c r="E200" s="1705"/>
      <c r="F200" s="1706"/>
      <c r="G200" s="781"/>
      <c r="H200" s="779"/>
      <c r="I200" s="779"/>
      <c r="J200" s="1707"/>
      <c r="K200" s="1707"/>
      <c r="L200" s="1707"/>
      <c r="M200" s="1707"/>
      <c r="N200" s="794"/>
      <c r="O200" s="781"/>
      <c r="P200" s="781"/>
      <c r="Q200" s="789"/>
      <c r="R200" s="889"/>
      <c r="S200" s="888"/>
      <c r="T200" s="890"/>
      <c r="AA200" s="891"/>
    </row>
    <row r="201" spans="1:27" ht="13.5">
      <c r="A201" s="892" t="s">
        <v>25</v>
      </c>
      <c r="B201" s="1708" t="s">
        <v>7</v>
      </c>
      <c r="C201" s="1709"/>
      <c r="D201" s="1710"/>
      <c r="E201" s="1711" t="s">
        <v>38</v>
      </c>
      <c r="F201" s="1713" t="s">
        <v>2</v>
      </c>
      <c r="G201" s="1713"/>
      <c r="H201" s="1714" t="s">
        <v>26</v>
      </c>
      <c r="J201" s="1715"/>
      <c r="K201" s="1715"/>
      <c r="L201" s="801"/>
      <c r="M201" s="1716"/>
      <c r="N201" s="794"/>
      <c r="O201" s="794"/>
      <c r="P201" s="794"/>
      <c r="Q201" s="789"/>
      <c r="R201" s="888"/>
      <c r="S201" s="889"/>
      <c r="T201" s="888"/>
    </row>
    <row r="202" spans="1:27" ht="14">
      <c r="A202" s="774" t="s">
        <v>8</v>
      </c>
      <c r="B202" s="774">
        <f>VLOOKUP(B200,A226:M241,10,FALSE)</f>
        <v>2022</v>
      </c>
      <c r="C202" s="892">
        <f>VLOOKUP(B200,A226:M241,11,FALSE)</f>
        <v>2021</v>
      </c>
      <c r="D202" s="892">
        <f>VLOOKUP(B200,A226:M241,12,FALSE)</f>
        <v>2020</v>
      </c>
      <c r="E202" s="1712"/>
      <c r="F202" s="893"/>
      <c r="G202" s="894" t="s">
        <v>39</v>
      </c>
      <c r="H202" s="1714"/>
      <c r="J202" s="801"/>
      <c r="K202" s="801"/>
      <c r="L202" s="801"/>
      <c r="M202" s="1716"/>
      <c r="N202" s="794"/>
      <c r="O202" s="794"/>
      <c r="P202" s="794"/>
      <c r="Q202" s="789"/>
      <c r="R202" s="828"/>
      <c r="S202" s="828"/>
      <c r="T202" s="828"/>
    </row>
    <row r="203" spans="1:27" ht="13">
      <c r="A203" s="895">
        <f>VLOOKUP(A200,B102:H117,2)</f>
        <v>0</v>
      </c>
      <c r="B203" s="874" t="str">
        <f>VLOOKUP($A$200,$B$102:$H$117,3,FALSE)</f>
        <v>-</v>
      </c>
      <c r="C203" s="874">
        <f>VLOOKUP($A$200,$B$102:$H$117,4,FALSE)</f>
        <v>0</v>
      </c>
      <c r="D203" s="874">
        <f>VLOOKUP($A$200,B102:H117,5,FALSE)</f>
        <v>0</v>
      </c>
      <c r="E203" s="896">
        <f>IF(AND(B203="-",C203="-"),D203,IF(B203="-",C203,B203))</f>
        <v>0</v>
      </c>
      <c r="F203" s="897">
        <f>IFERROR(IF(OR(AND(B203="-",C203="-"),AND(B203="-",D203="-")),G203,0.5*(MAX(B203:D203)-MIN(B203:D203))),0)</f>
        <v>0</v>
      </c>
      <c r="G203" s="896">
        <f>1/3*H203</f>
        <v>0</v>
      </c>
      <c r="H203" s="874">
        <f>VLOOKUP($A$200,B102:H117,7,FALSE)</f>
        <v>0</v>
      </c>
      <c r="J203" s="816"/>
      <c r="K203" s="816"/>
      <c r="L203" s="816"/>
      <c r="M203" s="816"/>
      <c r="N203" s="794"/>
      <c r="O203" s="794"/>
      <c r="P203" s="794"/>
      <c r="Q203" s="789"/>
      <c r="R203" s="828"/>
      <c r="S203" s="828"/>
      <c r="T203" s="828"/>
    </row>
    <row r="204" spans="1:27" ht="13">
      <c r="A204" s="895">
        <f>VLOOKUP(A200,B118:H133,2)</f>
        <v>60</v>
      </c>
      <c r="B204" s="874" t="str">
        <f>VLOOKUP($A$200,$B$118:$H$133,3,FALSE)</f>
        <v>-</v>
      </c>
      <c r="C204" s="874">
        <f>VLOOKUP($A$200,$B$118:$H$133,4,FALSE)</f>
        <v>-0.01</v>
      </c>
      <c r="D204" s="874">
        <f>VLOOKUP($A$200,B118:H133,5,FALSE)</f>
        <v>-0.01</v>
      </c>
      <c r="E204" s="896">
        <f t="shared" ref="E204:E213" si="192">IF(AND(B204="-",C204="-"),D204,IF(B204="-",C204,B204))</f>
        <v>-0.01</v>
      </c>
      <c r="F204" s="897">
        <f>IFERROR(IF(OR(AND(B204="-",C204="-"),AND(B204="-",D204="-")),G204,0.5*(MAX(B204:D204)-MIN(B204:D204))),0)</f>
        <v>0</v>
      </c>
      <c r="G204" s="896">
        <f t="shared" ref="G204:G213" si="193">1/3*H204</f>
        <v>3.9999999999999994E-2</v>
      </c>
      <c r="H204" s="874">
        <f>VLOOKUP($A$200,B118:H133,7,FALSE)</f>
        <v>0.12</v>
      </c>
      <c r="J204" s="816"/>
      <c r="K204" s="816"/>
      <c r="L204" s="816"/>
      <c r="M204" s="816"/>
      <c r="N204" s="794"/>
      <c r="O204" s="794"/>
      <c r="P204" s="794"/>
      <c r="Q204" s="789"/>
      <c r="R204" s="828"/>
      <c r="S204" s="828"/>
      <c r="T204" s="828"/>
    </row>
    <row r="205" spans="1:27" ht="13">
      <c r="A205" s="895">
        <f>VLOOKUP(A200,B134:H149,2)</f>
        <v>60</v>
      </c>
      <c r="B205" s="874" t="str">
        <f>VLOOKUP($A$200,$B$134:$H$149,3,FALSE)</f>
        <v>-</v>
      </c>
      <c r="C205" s="874">
        <f>VLOOKUP($A$200,$B$134:$H$149,4,FALSE)</f>
        <v>-0.01</v>
      </c>
      <c r="D205" s="874">
        <f>VLOOKUP($A$200,B134:H149,5,FALSE)</f>
        <v>-0.01</v>
      </c>
      <c r="E205" s="896">
        <f t="shared" si="192"/>
        <v>-0.01</v>
      </c>
      <c r="F205" s="897">
        <f t="shared" ref="F205:F213" si="194">IFERROR(IF(OR(AND(B205="-",C205="-"),AND(B205="-",D205="-")),G205,0.5*(MAX(B205:D205)-MIN(B205:D205))),0)</f>
        <v>0</v>
      </c>
      <c r="G205" s="896">
        <f t="shared" si="193"/>
        <v>3.9999999999999994E-2</v>
      </c>
      <c r="H205" s="874">
        <f>VLOOKUP($A$200,B134:H149,7,FALSE)</f>
        <v>0.12</v>
      </c>
      <c r="J205" s="816"/>
      <c r="K205" s="816"/>
      <c r="L205" s="816"/>
      <c r="M205" s="816"/>
      <c r="N205" s="789"/>
      <c r="O205" s="789"/>
      <c r="P205" s="789"/>
      <c r="Q205" s="789"/>
      <c r="R205" s="828"/>
      <c r="S205" s="828"/>
      <c r="T205" s="828"/>
    </row>
    <row r="206" spans="1:27" ht="13">
      <c r="A206" s="895">
        <f>VLOOKUP(A200,B150:H165,2)</f>
        <v>60</v>
      </c>
      <c r="B206" s="874" t="str">
        <f>VLOOKUP($A$200,$B$150:$H$165,3,FALSE)</f>
        <v>-</v>
      </c>
      <c r="C206" s="874">
        <f>VLOOKUP($A$200,$B$150:$H$165,4,FALSE)</f>
        <v>-0.01</v>
      </c>
      <c r="D206" s="874">
        <f>VLOOKUP($A$200,B150:H165,5,FALSE)</f>
        <v>-0.01</v>
      </c>
      <c r="E206" s="896">
        <f t="shared" si="192"/>
        <v>-0.01</v>
      </c>
      <c r="F206" s="897">
        <f t="shared" si="194"/>
        <v>0</v>
      </c>
      <c r="G206" s="896">
        <f t="shared" si="193"/>
        <v>3.9999999999999994E-2</v>
      </c>
      <c r="H206" s="874">
        <f>VLOOKUP($A$200,B150:H165,7,FALSE)</f>
        <v>0.12</v>
      </c>
      <c r="J206" s="816"/>
      <c r="K206" s="816"/>
      <c r="L206" s="816"/>
      <c r="M206" s="816"/>
      <c r="N206" s="789"/>
      <c r="O206" s="789"/>
      <c r="P206" s="789"/>
      <c r="Q206" s="789"/>
      <c r="R206" s="828"/>
      <c r="S206" s="828"/>
      <c r="T206" s="828"/>
    </row>
    <row r="207" spans="1:27" ht="13">
      <c r="A207" s="895">
        <f>VLOOKUP(A200,B166:H181,2)</f>
        <v>60</v>
      </c>
      <c r="B207" s="874" t="str">
        <f>VLOOKUP($A$200,$B$166:$H$181,3,FALSE)</f>
        <v>-</v>
      </c>
      <c r="C207" s="874">
        <f>VLOOKUP($A$200,$B$166:$H$181,4,FALSE)</f>
        <v>-0.01</v>
      </c>
      <c r="D207" s="874">
        <f>VLOOKUP($A$200,B166:H181,5,FALSE)</f>
        <v>-0.01</v>
      </c>
      <c r="E207" s="896">
        <f t="shared" si="192"/>
        <v>-0.01</v>
      </c>
      <c r="F207" s="897">
        <f t="shared" si="194"/>
        <v>0</v>
      </c>
      <c r="G207" s="896">
        <f t="shared" si="193"/>
        <v>3.9999999999999994E-2</v>
      </c>
      <c r="H207" s="874">
        <f>VLOOKUP($A$200,B166:H181,7,FALSE)</f>
        <v>0.12</v>
      </c>
      <c r="J207" s="816"/>
      <c r="K207" s="816"/>
      <c r="L207" s="816"/>
      <c r="M207" s="816"/>
      <c r="N207" s="789"/>
      <c r="O207" s="789"/>
      <c r="P207" s="789"/>
      <c r="Q207" s="789"/>
      <c r="R207" s="828"/>
      <c r="S207" s="828"/>
      <c r="T207" s="828"/>
    </row>
    <row r="208" spans="1:27" ht="13">
      <c r="A208" s="895">
        <f>VLOOKUP(A200,B182:H197,2)</f>
        <v>60</v>
      </c>
      <c r="B208" s="874" t="str">
        <f>VLOOKUP($A$200,$B$182:$H$197,3,FALSE)</f>
        <v>-</v>
      </c>
      <c r="C208" s="874">
        <f>VLOOKUP($A$200,$B$182:$H$197,4,FALSE)</f>
        <v>-0.01</v>
      </c>
      <c r="D208" s="874">
        <f>VLOOKUP($A$200,B182:H197,5,FALSE)</f>
        <v>-0.01</v>
      </c>
      <c r="E208" s="896">
        <f t="shared" si="192"/>
        <v>-0.01</v>
      </c>
      <c r="F208" s="897">
        <f t="shared" si="194"/>
        <v>0</v>
      </c>
      <c r="G208" s="896">
        <f t="shared" si="193"/>
        <v>3.9999999999999994E-2</v>
      </c>
      <c r="H208" s="874">
        <f>VLOOKUP($A$200,B182:H197,7,FALSE)</f>
        <v>0.12</v>
      </c>
      <c r="J208" s="898"/>
      <c r="K208" s="898"/>
      <c r="L208" s="898"/>
      <c r="M208" s="898"/>
      <c r="N208" s="789"/>
      <c r="O208" s="789"/>
      <c r="P208" s="789"/>
      <c r="Q208" s="789"/>
      <c r="R208" s="828"/>
      <c r="S208" s="828"/>
      <c r="T208" s="828"/>
    </row>
    <row r="209" spans="1:20" ht="13">
      <c r="A209" s="895">
        <f>VLOOKUP(A200,L102:R117,2)</f>
        <v>60</v>
      </c>
      <c r="B209" s="874" t="str">
        <f>VLOOKUP($A$200,$L$102:$R$117,3,FALSE)</f>
        <v>-</v>
      </c>
      <c r="C209" s="874">
        <f>VLOOKUP($A$200,$L$102:$R$117,4,FALSE)</f>
        <v>-0.01</v>
      </c>
      <c r="D209" s="874">
        <f>VLOOKUP($A$200,L102:R117,5,FALSE)</f>
        <v>-0.01</v>
      </c>
      <c r="E209" s="896">
        <f t="shared" si="192"/>
        <v>-0.01</v>
      </c>
      <c r="F209" s="897">
        <f t="shared" si="194"/>
        <v>0</v>
      </c>
      <c r="G209" s="896">
        <f t="shared" si="193"/>
        <v>3.9999999999999994E-2</v>
      </c>
      <c r="H209" s="874">
        <f>VLOOKUP($A$200,L102:R117,7,FALSE)</f>
        <v>0.12</v>
      </c>
      <c r="J209" s="898"/>
      <c r="K209" s="898"/>
      <c r="L209" s="898"/>
      <c r="M209" s="898"/>
      <c r="N209" s="789"/>
      <c r="O209" s="789"/>
      <c r="P209" s="789"/>
      <c r="Q209" s="789"/>
      <c r="R209" s="828"/>
      <c r="S209" s="828"/>
      <c r="T209" s="828"/>
    </row>
    <row r="210" spans="1:20" ht="13">
      <c r="A210" s="895">
        <f>VLOOKUP(A200,L118:R133,2)</f>
        <v>300</v>
      </c>
      <c r="B210" s="874" t="str">
        <f>VLOOKUP($A$200,$L$118:$R$133,3,FALSE)</f>
        <v>-</v>
      </c>
      <c r="C210" s="874">
        <f>VLOOKUP($A$200,$L$118:$R$133,4,FALSE)</f>
        <v>-0.01</v>
      </c>
      <c r="D210" s="874">
        <f>VLOOKUP($A$200,L118:R133,5,FALSE)</f>
        <v>-0.01</v>
      </c>
      <c r="E210" s="896">
        <f t="shared" si="192"/>
        <v>-0.01</v>
      </c>
      <c r="F210" s="897">
        <f t="shared" si="194"/>
        <v>0</v>
      </c>
      <c r="G210" s="896">
        <f t="shared" si="193"/>
        <v>3.9999999999999994E-2</v>
      </c>
      <c r="H210" s="874">
        <f>VLOOKUP($A$200,L118:R133,7,FALSE)</f>
        <v>0.12</v>
      </c>
      <c r="J210" s="898"/>
      <c r="K210" s="898"/>
      <c r="L210" s="898"/>
      <c r="M210" s="898"/>
      <c r="N210" s="789"/>
      <c r="O210" s="789"/>
      <c r="P210" s="789"/>
      <c r="Q210" s="789"/>
      <c r="R210" s="828"/>
      <c r="S210" s="828"/>
      <c r="T210" s="828"/>
    </row>
    <row r="211" spans="1:20" ht="13">
      <c r="A211" s="895">
        <f>VLOOKUP(A200,L134:R149,2)</f>
        <v>600</v>
      </c>
      <c r="B211" s="874" t="str">
        <f>VLOOKUP($A$200,$L$134:$R$149,3,FALSE)</f>
        <v>-</v>
      </c>
      <c r="C211" s="874">
        <f>VLOOKUP($A$200,$L$134:$R$149,4,FALSE)</f>
        <v>-0.01</v>
      </c>
      <c r="D211" s="874">
        <f>VLOOKUP($A$200,L134:R149,5,FALSE)</f>
        <v>-0.02</v>
      </c>
      <c r="E211" s="896">
        <f t="shared" si="192"/>
        <v>-0.01</v>
      </c>
      <c r="F211" s="897">
        <f t="shared" si="194"/>
        <v>5.0000000000000001E-3</v>
      </c>
      <c r="G211" s="896">
        <f t="shared" si="193"/>
        <v>3.9999999999999994E-2</v>
      </c>
      <c r="H211" s="874">
        <f>VLOOKUP($A$200,L134:R149,7,FALSE)</f>
        <v>0.12</v>
      </c>
      <c r="J211" s="898"/>
      <c r="K211" s="898"/>
      <c r="L211" s="898"/>
      <c r="M211" s="898"/>
      <c r="N211" s="789"/>
      <c r="O211" s="789"/>
      <c r="P211" s="789"/>
      <c r="Q211" s="789"/>
      <c r="R211" s="828"/>
      <c r="S211" s="828"/>
      <c r="T211" s="828"/>
    </row>
    <row r="212" spans="1:20" ht="13">
      <c r="A212" s="895">
        <f>VLOOKUP(A200,L150:R165,2)</f>
        <v>900</v>
      </c>
      <c r="B212" s="874" t="str">
        <f>VLOOKUP($A$200,$L$150:$R$165,3,FALSE)</f>
        <v>-</v>
      </c>
      <c r="C212" s="874">
        <f>VLOOKUP($A$200,$L$150:$R$165,4,FALSE)</f>
        <v>-0.01</v>
      </c>
      <c r="D212" s="874">
        <f>VLOOKUP($A$200,L150:R165,5,FALSE)</f>
        <v>-0.03</v>
      </c>
      <c r="E212" s="896">
        <f t="shared" si="192"/>
        <v>-0.01</v>
      </c>
      <c r="F212" s="897">
        <f>IFERROR(IF(OR(AND(B212="-",C212="-"),AND(B212="-",D212="-")),G212,0.5*(MAX(B212:D212)-MIN(B212:D212))),0)</f>
        <v>9.9999999999999985E-3</v>
      </c>
      <c r="G212" s="896">
        <f t="shared" si="193"/>
        <v>3.9999999999999994E-2</v>
      </c>
      <c r="H212" s="874">
        <f>VLOOKUP($A$200,L150:R165,7,FALSE)</f>
        <v>0.12</v>
      </c>
      <c r="J212" s="898"/>
      <c r="K212" s="898"/>
      <c r="L212" s="898"/>
      <c r="M212" s="898"/>
      <c r="N212" s="789"/>
      <c r="O212" s="789"/>
      <c r="P212" s="789"/>
      <c r="Q212" s="789"/>
      <c r="R212" s="828"/>
      <c r="S212" s="828"/>
      <c r="T212" s="828"/>
    </row>
    <row r="213" spans="1:20" ht="13">
      <c r="A213" s="895">
        <f>VLOOKUP(A200,L166:R181,2)</f>
        <v>1200</v>
      </c>
      <c r="B213" s="874" t="str">
        <f>VLOOKUP($A$200,$L$166:$R$181,3,FALSE)</f>
        <v>-</v>
      </c>
      <c r="C213" s="874">
        <f>VLOOKUP($A$200,$L$166:$R$181,4,FALSE)</f>
        <v>0.02</v>
      </c>
      <c r="D213" s="874">
        <f>VLOOKUP($A$200,L166:R181,4,FALSE)</f>
        <v>0.02</v>
      </c>
      <c r="E213" s="896">
        <f t="shared" si="192"/>
        <v>0.02</v>
      </c>
      <c r="F213" s="897">
        <f t="shared" si="194"/>
        <v>0</v>
      </c>
      <c r="G213" s="896">
        <f t="shared" si="193"/>
        <v>3.9999999999999994E-2</v>
      </c>
      <c r="H213" s="874">
        <f>VLOOKUP($A$200,L166:R181,7,FALSE)</f>
        <v>0.12</v>
      </c>
      <c r="J213" s="898"/>
      <c r="K213" s="898"/>
      <c r="L213" s="898"/>
      <c r="M213" s="898"/>
      <c r="N213" s="789"/>
      <c r="O213" s="789"/>
      <c r="P213" s="789"/>
      <c r="Q213" s="789"/>
      <c r="R213" s="828"/>
      <c r="S213" s="828"/>
      <c r="T213" s="828"/>
    </row>
    <row r="214" spans="1:20" ht="13">
      <c r="A214" s="899"/>
      <c r="B214" s="788"/>
      <c r="C214" s="887"/>
      <c r="D214" s="887"/>
      <c r="E214" s="887"/>
      <c r="F214" s="887"/>
      <c r="G214" s="794"/>
      <c r="H214" s="816"/>
      <c r="I214" s="816"/>
      <c r="J214" s="898"/>
      <c r="K214" s="898"/>
      <c r="L214" s="898"/>
      <c r="M214" s="898"/>
      <c r="N214" s="789"/>
      <c r="O214" s="789"/>
      <c r="P214" s="789"/>
      <c r="Q214" s="789"/>
      <c r="R214" s="828"/>
      <c r="S214" s="828"/>
      <c r="T214" s="828"/>
    </row>
    <row r="215" spans="1:20" ht="15" hidden="1">
      <c r="A215" s="1687"/>
      <c r="B215" s="1687"/>
      <c r="C215" s="1687"/>
      <c r="D215" s="1687"/>
      <c r="E215" s="1687"/>
      <c r="F215" s="1657"/>
      <c r="G215" s="1688"/>
      <c r="H215" s="1688"/>
      <c r="I215" s="1688"/>
      <c r="J215" s="1688"/>
      <c r="K215" s="1688"/>
      <c r="L215" s="789"/>
      <c r="M215" s="888"/>
      <c r="N215" s="901"/>
      <c r="O215" s="901"/>
      <c r="P215" s="901"/>
      <c r="Q215" s="902"/>
      <c r="S215" s="828"/>
      <c r="T215" s="828"/>
    </row>
    <row r="216" spans="1:20" ht="13" hidden="1">
      <c r="A216" s="1658"/>
      <c r="B216" s="1658"/>
      <c r="C216" s="1659"/>
      <c r="D216" s="1659"/>
      <c r="E216" s="1660"/>
      <c r="F216" s="1657"/>
      <c r="G216" s="1658"/>
      <c r="H216" s="1659"/>
      <c r="I216" s="1659"/>
      <c r="J216" s="1659"/>
      <c r="K216" s="1660"/>
      <c r="L216" s="789"/>
      <c r="M216" s="888"/>
      <c r="N216" s="901"/>
      <c r="O216" s="901"/>
      <c r="P216" s="901"/>
    </row>
    <row r="217" spans="1:20" ht="13" hidden="1">
      <c r="A217" s="1661"/>
      <c r="B217" s="1661"/>
      <c r="C217" s="1659"/>
      <c r="D217" s="1662"/>
      <c r="E217" s="1659"/>
      <c r="F217" s="1657"/>
      <c r="G217" s="1661"/>
      <c r="H217" s="1659"/>
      <c r="I217" s="1659"/>
      <c r="J217" s="1662"/>
      <c r="K217" s="1660"/>
      <c r="L217" s="789"/>
      <c r="M217" s="888"/>
      <c r="N217" s="901"/>
      <c r="O217" s="901"/>
      <c r="P217" s="901"/>
    </row>
    <row r="218" spans="1:20" ht="13" hidden="1">
      <c r="A218" s="1658"/>
      <c r="B218" s="1658"/>
      <c r="C218" s="1659"/>
      <c r="D218" s="1659"/>
      <c r="E218" s="1659"/>
      <c r="F218" s="1657"/>
      <c r="G218" s="1658"/>
      <c r="H218" s="1659"/>
      <c r="I218" s="1659"/>
      <c r="J218" s="1659"/>
      <c r="K218" s="1660"/>
      <c r="L218" s="789"/>
      <c r="M218" s="888"/>
      <c r="N218" s="901"/>
      <c r="O218" s="901"/>
      <c r="P218" s="901"/>
      <c r="Q218" s="902"/>
      <c r="S218" s="828"/>
      <c r="T218" s="828"/>
    </row>
    <row r="219" spans="1:20" ht="13" hidden="1">
      <c r="A219" s="904"/>
      <c r="B219" s="888"/>
      <c r="C219" s="901"/>
      <c r="D219" s="901"/>
      <c r="E219" s="901"/>
      <c r="F219" s="789"/>
      <c r="G219" s="888"/>
      <c r="H219" s="901"/>
      <c r="I219" s="901"/>
      <c r="J219" s="901"/>
      <c r="K219" s="902"/>
      <c r="L219" s="789"/>
      <c r="M219" s="888"/>
      <c r="N219" s="901"/>
      <c r="O219" s="901"/>
      <c r="P219" s="901"/>
      <c r="Q219" s="902"/>
      <c r="S219" s="828"/>
      <c r="T219" s="828"/>
    </row>
    <row r="220" spans="1:20" ht="13.5" thickBot="1">
      <c r="A220" s="900"/>
      <c r="B220" s="789"/>
      <c r="C220" s="789"/>
      <c r="D220" s="789"/>
      <c r="E220" s="789"/>
      <c r="F220" s="789"/>
      <c r="G220" s="789"/>
      <c r="H220" s="789"/>
      <c r="I220" s="789"/>
      <c r="J220" s="789"/>
      <c r="K220" s="789"/>
      <c r="L220" s="789"/>
      <c r="S220" s="905"/>
      <c r="T220" s="828"/>
    </row>
    <row r="221" spans="1:20" ht="48.75" customHeight="1" thickBot="1">
      <c r="A221" s="906" t="s">
        <v>42</v>
      </c>
      <c r="B221" s="907" t="s">
        <v>43</v>
      </c>
      <c r="C221" s="908" t="s">
        <v>44</v>
      </c>
      <c r="D221" s="907" t="s">
        <v>45</v>
      </c>
      <c r="E221" s="907" t="s">
        <v>46</v>
      </c>
      <c r="F221" s="907" t="s">
        <v>47</v>
      </c>
      <c r="G221" s="907" t="s">
        <v>48</v>
      </c>
      <c r="H221" s="907" t="s">
        <v>49</v>
      </c>
      <c r="I221" s="648" t="s">
        <v>50</v>
      </c>
      <c r="J221" s="908" t="s">
        <v>51</v>
      </c>
      <c r="K221" s="908" t="s">
        <v>52</v>
      </c>
      <c r="L221" s="909" t="s">
        <v>53</v>
      </c>
    </row>
    <row r="222" spans="1:20" ht="13" thickBot="1">
      <c r="A222" s="925">
        <v>15</v>
      </c>
      <c r="B222" s="926">
        <f>ID!G53</f>
        <v>7</v>
      </c>
      <c r="C222" s="930">
        <f>(FORECAST(B222,C203:C213,A203:A213))</f>
        <v>-1.0550450450450451E-2</v>
      </c>
      <c r="D222" s="927">
        <f>B222+C222</f>
        <v>6.9894495495495494</v>
      </c>
      <c r="E222" s="926">
        <f>STDEV([1]ID!F44:K44)</f>
        <v>9.9999999999994316E-2</v>
      </c>
      <c r="F222" s="927">
        <f>A222-D222</f>
        <v>8.0105504504504506</v>
      </c>
      <c r="G222" s="927">
        <f>(F222/A222)*100</f>
        <v>53.403669669669675</v>
      </c>
      <c r="H222" s="931">
        <f>D222-A222</f>
        <v>-8.0105504504504506</v>
      </c>
      <c r="I222" s="928">
        <f>(D222-A222)/A222*100</f>
        <v>-53.403669669669675</v>
      </c>
      <c r="J222" s="927">
        <f>(FORECAST(D222,H203:H213,A203:A213))</f>
        <v>0.10263760971999028</v>
      </c>
      <c r="K222" s="929">
        <f>0.5*0.1</f>
        <v>0.05</v>
      </c>
      <c r="L222" s="932">
        <f>(FORECAST(D222,F203:F213,A203:A213))</f>
        <v>5.7611490950409939E-5</v>
      </c>
    </row>
    <row r="223" spans="1:20">
      <c r="M223" s="794"/>
      <c r="N223" s="794"/>
      <c r="O223" s="794"/>
      <c r="P223" s="794"/>
      <c r="Q223" s="794"/>
    </row>
    <row r="224" spans="1:20" ht="13" thickBot="1"/>
    <row r="225" spans="1:27" ht="15" thickBot="1">
      <c r="A225" s="910" t="str">
        <f>ID!B93</f>
        <v>Stopwatch, Merek : EXTECH, Model : 365535, SN :005018</v>
      </c>
      <c r="B225" s="911"/>
      <c r="C225" s="911"/>
      <c r="D225" s="911"/>
      <c r="E225" s="911"/>
      <c r="F225" s="911"/>
      <c r="G225" s="911"/>
      <c r="H225" s="911"/>
      <c r="I225" s="911"/>
      <c r="J225" s="1689" t="s">
        <v>54</v>
      </c>
      <c r="K225" s="1690"/>
      <c r="L225" s="1691"/>
      <c r="M225" s="912"/>
      <c r="O225" s="1692">
        <f>A242</f>
        <v>16</v>
      </c>
      <c r="P225" s="1693"/>
      <c r="Q225" s="1693"/>
      <c r="R225" s="1693"/>
      <c r="S225" s="1693"/>
      <c r="T225" s="1693"/>
      <c r="U225" s="1693"/>
      <c r="V225" s="1693"/>
      <c r="W225" s="1693"/>
      <c r="X225" s="1693"/>
      <c r="Y225" s="1693"/>
      <c r="Z225" s="1693"/>
      <c r="AA225" s="1694"/>
    </row>
    <row r="226" spans="1:27" ht="13">
      <c r="A226" s="933" t="s">
        <v>55</v>
      </c>
      <c r="B226" s="933"/>
      <c r="C226" s="934"/>
      <c r="D226" s="934"/>
      <c r="E226" s="934"/>
      <c r="F226" s="934"/>
      <c r="G226" s="934"/>
      <c r="H226" s="934"/>
      <c r="I226" s="934"/>
      <c r="J226" s="935">
        <f>B5</f>
        <v>2022</v>
      </c>
      <c r="K226" s="935">
        <f>C5</f>
        <v>2021</v>
      </c>
      <c r="L226" s="935">
        <f>D5</f>
        <v>2016</v>
      </c>
      <c r="M226" s="913">
        <v>1</v>
      </c>
      <c r="O226" s="914">
        <v>1</v>
      </c>
      <c r="P226" s="915"/>
      <c r="Q226" s="916" t="s">
        <v>56</v>
      </c>
      <c r="R226" s="917"/>
      <c r="S226" s="917"/>
      <c r="T226" s="917"/>
      <c r="U226" s="917"/>
      <c r="V226" s="917"/>
      <c r="W226" s="917"/>
      <c r="X226" s="917"/>
      <c r="Y226" s="917"/>
      <c r="Z226" s="917"/>
      <c r="AA226" s="918"/>
    </row>
    <row r="227" spans="1:27" ht="13">
      <c r="A227" s="933" t="s">
        <v>57</v>
      </c>
      <c r="B227" s="933"/>
      <c r="C227" s="936"/>
      <c r="D227" s="936"/>
      <c r="E227" s="936"/>
      <c r="F227" s="936"/>
      <c r="G227" s="936"/>
      <c r="H227" s="936"/>
      <c r="I227" s="936"/>
      <c r="J227" s="937">
        <f>I5</f>
        <v>2022</v>
      </c>
      <c r="K227" s="937">
        <f>J5</f>
        <v>2021</v>
      </c>
      <c r="L227" s="937">
        <f>K5</f>
        <v>2018</v>
      </c>
      <c r="M227" s="919">
        <v>2</v>
      </c>
      <c r="O227" s="914">
        <v>2</v>
      </c>
      <c r="P227" s="915"/>
      <c r="Q227" s="916" t="s">
        <v>56</v>
      </c>
      <c r="R227" s="917"/>
      <c r="S227" s="917"/>
      <c r="T227" s="917"/>
      <c r="U227" s="917"/>
      <c r="V227" s="917"/>
      <c r="W227" s="917"/>
      <c r="X227" s="917"/>
      <c r="Y227" s="917"/>
      <c r="Z227" s="917"/>
      <c r="AA227" s="918"/>
    </row>
    <row r="228" spans="1:27" ht="13">
      <c r="A228" s="933"/>
      <c r="B228" s="933"/>
      <c r="C228" s="938"/>
      <c r="D228" s="938"/>
      <c r="E228" s="938"/>
      <c r="F228" s="938"/>
      <c r="G228" s="938"/>
      <c r="H228" s="938"/>
      <c r="I228" s="938"/>
      <c r="J228" s="937">
        <f>P5</f>
        <v>2022</v>
      </c>
      <c r="K228" s="937">
        <f>Q5</f>
        <v>2018</v>
      </c>
      <c r="L228" s="937">
        <f>R5</f>
        <v>2017</v>
      </c>
      <c r="M228" s="913">
        <v>3</v>
      </c>
      <c r="O228" s="914">
        <v>3</v>
      </c>
      <c r="P228" s="915"/>
      <c r="Q228" s="916" t="s">
        <v>58</v>
      </c>
      <c r="R228" s="917"/>
      <c r="S228" s="917"/>
      <c r="T228" s="917"/>
      <c r="U228" s="917"/>
      <c r="V228" s="917"/>
      <c r="W228" s="917"/>
      <c r="X228" s="917"/>
      <c r="Y228" s="917"/>
      <c r="Z228" s="917"/>
      <c r="AA228" s="918"/>
    </row>
    <row r="229" spans="1:27" ht="13">
      <c r="A229" s="939" t="s">
        <v>59</v>
      </c>
      <c r="B229" s="939"/>
      <c r="C229" s="938"/>
      <c r="D229" s="938"/>
      <c r="E229" s="938"/>
      <c r="F229" s="938"/>
      <c r="G229" s="938"/>
      <c r="H229" s="938"/>
      <c r="I229" s="938"/>
      <c r="J229" s="937">
        <f>B20</f>
        <v>2022</v>
      </c>
      <c r="K229" s="937">
        <f>C20</f>
        <v>2021</v>
      </c>
      <c r="L229" s="937">
        <f>D20</f>
        <v>2019</v>
      </c>
      <c r="M229" s="919">
        <v>4</v>
      </c>
      <c r="O229" s="914">
        <v>4</v>
      </c>
      <c r="P229" s="915"/>
      <c r="Q229" s="916" t="s">
        <v>56</v>
      </c>
      <c r="R229" s="917"/>
      <c r="S229" s="917"/>
      <c r="T229" s="917"/>
      <c r="U229" s="917"/>
      <c r="V229" s="917"/>
      <c r="W229" s="917"/>
      <c r="X229" s="917"/>
      <c r="Y229" s="917"/>
      <c r="Z229" s="917"/>
      <c r="AA229" s="918"/>
    </row>
    <row r="230" spans="1:27" ht="13">
      <c r="A230" s="939" t="s">
        <v>60</v>
      </c>
      <c r="B230" s="939"/>
      <c r="C230" s="938"/>
      <c r="D230" s="938"/>
      <c r="E230" s="938"/>
      <c r="F230" s="938"/>
      <c r="G230" s="938"/>
      <c r="H230" s="938"/>
      <c r="I230" s="938"/>
      <c r="J230" s="937">
        <f>I20</f>
        <v>2022</v>
      </c>
      <c r="K230" s="937">
        <f>J20</f>
        <v>2021</v>
      </c>
      <c r="L230" s="937">
        <f>K20</f>
        <v>2020</v>
      </c>
      <c r="M230" s="913">
        <v>5</v>
      </c>
      <c r="O230" s="914">
        <v>5</v>
      </c>
      <c r="P230" s="915"/>
      <c r="Q230" s="916" t="s">
        <v>56</v>
      </c>
      <c r="R230" s="917"/>
      <c r="S230" s="917"/>
      <c r="T230" s="917"/>
      <c r="U230" s="917"/>
      <c r="V230" s="917"/>
      <c r="W230" s="917"/>
      <c r="X230" s="917"/>
      <c r="Y230" s="917"/>
      <c r="Z230" s="917"/>
      <c r="AA230" s="918"/>
    </row>
    <row r="231" spans="1:27" ht="13">
      <c r="A231" s="939" t="s">
        <v>61</v>
      </c>
      <c r="B231" s="939"/>
      <c r="C231" s="938"/>
      <c r="D231" s="938"/>
      <c r="E231" s="938"/>
      <c r="F231" s="938"/>
      <c r="G231" s="938"/>
      <c r="H231" s="938"/>
      <c r="I231" s="938"/>
      <c r="J231" s="937">
        <f>P20</f>
        <v>2022</v>
      </c>
      <c r="K231" s="937">
        <f>Q20</f>
        <v>2021</v>
      </c>
      <c r="L231" s="937">
        <f>R20</f>
        <v>2020</v>
      </c>
      <c r="M231" s="919">
        <v>6</v>
      </c>
      <c r="O231" s="914">
        <v>6</v>
      </c>
      <c r="P231" s="915"/>
      <c r="Q231" s="916" t="s">
        <v>56</v>
      </c>
      <c r="R231" s="917"/>
      <c r="S231" s="917"/>
      <c r="T231" s="917"/>
      <c r="U231" s="917"/>
      <c r="V231" s="917"/>
      <c r="W231" s="917"/>
      <c r="X231" s="917"/>
      <c r="Y231" s="917"/>
      <c r="Z231" s="917"/>
      <c r="AA231" s="918"/>
    </row>
    <row r="232" spans="1:27" ht="13">
      <c r="A232" s="939" t="s">
        <v>62</v>
      </c>
      <c r="B232" s="939"/>
      <c r="C232" s="938"/>
      <c r="D232" s="938"/>
      <c r="E232" s="938"/>
      <c r="F232" s="938"/>
      <c r="G232" s="938"/>
      <c r="H232" s="938"/>
      <c r="I232" s="938"/>
      <c r="J232" s="937">
        <f>B36</f>
        <v>2022</v>
      </c>
      <c r="K232" s="937">
        <f>C36</f>
        <v>2021</v>
      </c>
      <c r="L232" s="937">
        <f>D36</f>
        <v>2020</v>
      </c>
      <c r="M232" s="913">
        <v>7</v>
      </c>
      <c r="O232" s="914">
        <v>7</v>
      </c>
      <c r="P232" s="915"/>
      <c r="Q232" s="916" t="s">
        <v>56</v>
      </c>
      <c r="R232" s="917"/>
      <c r="S232" s="917"/>
      <c r="T232" s="917"/>
      <c r="U232" s="917"/>
      <c r="V232" s="917"/>
      <c r="W232" s="917"/>
      <c r="X232" s="917"/>
      <c r="Y232" s="917"/>
      <c r="Z232" s="917"/>
      <c r="AA232" s="918"/>
    </row>
    <row r="233" spans="1:27" ht="13">
      <c r="A233" s="939" t="s">
        <v>63</v>
      </c>
      <c r="B233" s="939"/>
      <c r="C233" s="938"/>
      <c r="D233" s="938"/>
      <c r="E233" s="938"/>
      <c r="F233" s="938"/>
      <c r="G233" s="938"/>
      <c r="H233" s="938"/>
      <c r="I233" s="938"/>
      <c r="J233" s="937">
        <f>I36</f>
        <v>2022</v>
      </c>
      <c r="K233" s="937">
        <f>J36</f>
        <v>2020</v>
      </c>
      <c r="L233" s="937" t="str">
        <f>K36</f>
        <v>-</v>
      </c>
      <c r="M233" s="919">
        <v>8</v>
      </c>
      <c r="O233" s="914">
        <v>8</v>
      </c>
      <c r="P233" s="915"/>
      <c r="Q233" s="916" t="s">
        <v>56</v>
      </c>
      <c r="R233" s="917"/>
      <c r="S233" s="917"/>
      <c r="T233" s="917"/>
      <c r="U233" s="917"/>
      <c r="V233" s="917"/>
      <c r="W233" s="917"/>
      <c r="X233" s="917"/>
      <c r="Y233" s="917"/>
      <c r="Z233" s="917"/>
      <c r="AA233" s="918"/>
    </row>
    <row r="234" spans="1:27" ht="13">
      <c r="A234" s="939" t="s">
        <v>64</v>
      </c>
      <c r="B234" s="939"/>
      <c r="C234" s="938"/>
      <c r="D234" s="938"/>
      <c r="E234" s="938"/>
      <c r="F234" s="938"/>
      <c r="G234" s="938"/>
      <c r="H234" s="938"/>
      <c r="I234" s="938"/>
      <c r="J234" s="937">
        <f>P36</f>
        <v>2022</v>
      </c>
      <c r="K234" s="937">
        <f>Q36</f>
        <v>2021</v>
      </c>
      <c r="L234" s="937">
        <f>R36</f>
        <v>2020</v>
      </c>
      <c r="M234" s="913">
        <v>9</v>
      </c>
      <c r="O234" s="914">
        <v>9</v>
      </c>
      <c r="P234" s="915"/>
      <c r="Q234" s="916" t="s">
        <v>56</v>
      </c>
      <c r="R234" s="917"/>
      <c r="S234" s="917"/>
      <c r="T234" s="917"/>
      <c r="U234" s="917"/>
      <c r="V234" s="917"/>
      <c r="W234" s="917"/>
      <c r="X234" s="917"/>
      <c r="Y234" s="917"/>
      <c r="Z234" s="917"/>
      <c r="AA234" s="918"/>
    </row>
    <row r="235" spans="1:27" ht="13">
      <c r="A235" s="939" t="s">
        <v>65</v>
      </c>
      <c r="B235" s="939"/>
      <c r="C235" s="938"/>
      <c r="D235" s="938"/>
      <c r="E235" s="938"/>
      <c r="F235" s="938"/>
      <c r="G235" s="938"/>
      <c r="H235" s="938"/>
      <c r="I235" s="938"/>
      <c r="J235" s="937">
        <f>B51</f>
        <v>2022</v>
      </c>
      <c r="K235" s="937">
        <f>C51</f>
        <v>2021</v>
      </c>
      <c r="L235" s="937">
        <f>D51</f>
        <v>2020</v>
      </c>
      <c r="M235" s="919">
        <v>10</v>
      </c>
      <c r="O235" s="914">
        <v>10</v>
      </c>
      <c r="P235" s="915"/>
      <c r="Q235" s="916" t="s">
        <v>56</v>
      </c>
      <c r="R235" s="917"/>
      <c r="S235" s="917"/>
      <c r="T235" s="917"/>
      <c r="U235" s="917"/>
      <c r="V235" s="917"/>
      <c r="W235" s="917"/>
      <c r="X235" s="917"/>
      <c r="Y235" s="917"/>
      <c r="Z235" s="917"/>
      <c r="AA235" s="918"/>
    </row>
    <row r="236" spans="1:27" ht="13">
      <c r="A236" s="939" t="s">
        <v>66</v>
      </c>
      <c r="B236" s="939"/>
      <c r="C236" s="938"/>
      <c r="D236" s="938"/>
      <c r="E236" s="938"/>
      <c r="F236" s="938"/>
      <c r="G236" s="938"/>
      <c r="H236" s="938"/>
      <c r="I236" s="938"/>
      <c r="J236" s="895">
        <f>I51</f>
        <v>2022</v>
      </c>
      <c r="K236" s="937">
        <f>J51</f>
        <v>2021</v>
      </c>
      <c r="L236" s="940">
        <f>K51</f>
        <v>2020</v>
      </c>
      <c r="M236" s="913">
        <v>11</v>
      </c>
      <c r="O236" s="914">
        <v>11</v>
      </c>
      <c r="P236" s="915"/>
      <c r="Q236" s="916" t="s">
        <v>56</v>
      </c>
      <c r="R236" s="917"/>
      <c r="S236" s="917"/>
      <c r="T236" s="917"/>
      <c r="U236" s="917"/>
      <c r="V236" s="917"/>
      <c r="W236" s="917"/>
      <c r="X236" s="917"/>
      <c r="Y236" s="917"/>
      <c r="Z236" s="917"/>
      <c r="AA236" s="918"/>
    </row>
    <row r="237" spans="1:27" ht="13">
      <c r="A237" s="939" t="s">
        <v>67</v>
      </c>
      <c r="B237" s="939"/>
      <c r="C237" s="938"/>
      <c r="D237" s="938"/>
      <c r="E237" s="938"/>
      <c r="F237" s="938"/>
      <c r="G237" s="938"/>
      <c r="H237" s="938"/>
      <c r="I237" s="938"/>
      <c r="J237" s="937">
        <f>P51</f>
        <v>2022</v>
      </c>
      <c r="K237" s="937">
        <f>Q51</f>
        <v>2021</v>
      </c>
      <c r="L237" s="937">
        <f>R51</f>
        <v>2020</v>
      </c>
      <c r="M237" s="913">
        <v>12</v>
      </c>
      <c r="O237" s="914">
        <v>12</v>
      </c>
      <c r="P237" s="915"/>
      <c r="Q237" s="916" t="s">
        <v>56</v>
      </c>
      <c r="R237" s="917"/>
      <c r="S237" s="917"/>
      <c r="T237" s="917"/>
      <c r="U237" s="917"/>
      <c r="V237" s="917"/>
      <c r="W237" s="917"/>
      <c r="X237" s="917"/>
      <c r="Y237" s="917"/>
      <c r="Z237" s="917"/>
      <c r="AA237" s="918"/>
    </row>
    <row r="238" spans="1:27" ht="13">
      <c r="A238" s="939" t="s">
        <v>68</v>
      </c>
      <c r="B238" s="939"/>
      <c r="C238" s="938"/>
      <c r="D238" s="938"/>
      <c r="E238" s="938"/>
      <c r="F238" s="938"/>
      <c r="G238" s="938"/>
      <c r="H238" s="938"/>
      <c r="I238" s="938"/>
      <c r="J238" s="937">
        <f>B66</f>
        <v>2022</v>
      </c>
      <c r="K238" s="937">
        <f>C66</f>
        <v>2021</v>
      </c>
      <c r="L238" s="937">
        <f>D66</f>
        <v>2020</v>
      </c>
      <c r="M238" s="913">
        <v>13</v>
      </c>
      <c r="O238" s="914">
        <v>13</v>
      </c>
      <c r="P238" s="915"/>
      <c r="Q238" s="916" t="s">
        <v>56</v>
      </c>
      <c r="R238" s="917"/>
      <c r="S238" s="917"/>
      <c r="T238" s="917"/>
      <c r="U238" s="917"/>
      <c r="V238" s="917"/>
      <c r="W238" s="917"/>
      <c r="X238" s="917"/>
      <c r="Y238" s="917"/>
      <c r="Z238" s="917"/>
      <c r="AA238" s="918"/>
    </row>
    <row r="239" spans="1:27" ht="13">
      <c r="A239" s="939" t="s">
        <v>69</v>
      </c>
      <c r="B239" s="939"/>
      <c r="C239" s="938"/>
      <c r="D239" s="938"/>
      <c r="E239" s="938"/>
      <c r="F239" s="938"/>
      <c r="G239" s="938"/>
      <c r="H239" s="938"/>
      <c r="I239" s="938"/>
      <c r="J239" s="937">
        <f>I66</f>
        <v>2022</v>
      </c>
      <c r="K239" s="937">
        <f>J66</f>
        <v>2021</v>
      </c>
      <c r="L239" s="937">
        <f>K66</f>
        <v>2020</v>
      </c>
      <c r="M239" s="913">
        <v>14</v>
      </c>
      <c r="O239" s="914">
        <v>14</v>
      </c>
      <c r="P239" s="915"/>
      <c r="Q239" s="916" t="s">
        <v>56</v>
      </c>
      <c r="R239" s="917"/>
      <c r="S239" s="917"/>
      <c r="T239" s="917"/>
      <c r="U239" s="917"/>
      <c r="V239" s="917"/>
      <c r="W239" s="917"/>
      <c r="X239" s="917"/>
      <c r="Y239" s="917"/>
      <c r="Z239" s="917"/>
      <c r="AA239" s="918"/>
    </row>
    <row r="240" spans="1:27" ht="13">
      <c r="A240" s="939" t="s">
        <v>70</v>
      </c>
      <c r="B240" s="939"/>
      <c r="C240" s="938"/>
      <c r="D240" s="938"/>
      <c r="E240" s="938"/>
      <c r="F240" s="938"/>
      <c r="G240" s="938"/>
      <c r="H240" s="938"/>
      <c r="I240" s="938"/>
      <c r="J240" s="937">
        <f>P66</f>
        <v>2022</v>
      </c>
      <c r="K240" s="937">
        <f>Q66</f>
        <v>2021</v>
      </c>
      <c r="L240" s="937">
        <f>R66</f>
        <v>2020</v>
      </c>
      <c r="M240" s="913">
        <v>15</v>
      </c>
      <c r="O240" s="914">
        <v>15</v>
      </c>
      <c r="P240" s="915"/>
      <c r="Q240" s="916" t="s">
        <v>56</v>
      </c>
      <c r="Z240" s="917"/>
      <c r="AA240" s="918"/>
    </row>
    <row r="241" spans="1:27" ht="13.5" thickBot="1">
      <c r="A241" s="939" t="s">
        <v>71</v>
      </c>
      <c r="B241" s="939"/>
      <c r="C241" s="938"/>
      <c r="D241" s="938"/>
      <c r="E241" s="938"/>
      <c r="F241" s="938"/>
      <c r="G241" s="938"/>
      <c r="H241" s="938"/>
      <c r="I241" s="938"/>
      <c r="J241" s="937">
        <f>B81</f>
        <v>2022</v>
      </c>
      <c r="K241" s="937">
        <f>C81</f>
        <v>2021</v>
      </c>
      <c r="L241" s="937">
        <f>D81</f>
        <v>2020</v>
      </c>
      <c r="M241" s="919">
        <v>16</v>
      </c>
      <c r="O241" s="914">
        <v>16</v>
      </c>
      <c r="P241" s="915"/>
      <c r="Q241" s="916" t="s">
        <v>56</v>
      </c>
      <c r="R241" s="917"/>
      <c r="S241" s="917"/>
      <c r="T241" s="917"/>
      <c r="U241" s="917"/>
      <c r="V241" s="917"/>
      <c r="W241" s="917"/>
      <c r="X241" s="917"/>
      <c r="Y241" s="917"/>
      <c r="Z241" s="921"/>
      <c r="AA241" s="922"/>
    </row>
    <row r="242" spans="1:27" ht="13.5" thickBot="1">
      <c r="A242" s="1695">
        <f>VLOOKUP(A225,A226:M241,13,(FALSE))</f>
        <v>16</v>
      </c>
      <c r="B242" s="1696"/>
      <c r="C242" s="1696"/>
      <c r="D242" s="1696"/>
      <c r="E242" s="1696"/>
      <c r="F242" s="1696"/>
      <c r="G242" s="1696"/>
      <c r="H242" s="1696"/>
      <c r="I242" s="1696"/>
      <c r="J242" s="1696"/>
      <c r="K242" s="1696"/>
      <c r="L242" s="1696"/>
      <c r="M242" s="1697"/>
      <c r="O242" s="1698" t="str">
        <f>VLOOKUP(O225,O226:AA242,3,FALSE)</f>
        <v>Hasil pengujian waktu Pengisian tertelusur ke Satuan Internasional ( SI ) melalui PT KALIMAN</v>
      </c>
      <c r="P242" s="1699"/>
      <c r="Q242" s="1699"/>
      <c r="R242" s="1699"/>
      <c r="S242" s="1699"/>
      <c r="T242" s="1699"/>
      <c r="U242" s="1699"/>
      <c r="V242" s="1699"/>
      <c r="W242" s="1699"/>
      <c r="X242" s="1699"/>
      <c r="Y242" s="1699"/>
      <c r="Z242" s="1699"/>
      <c r="AA242" s="1700"/>
    </row>
    <row r="243" spans="1:27" ht="14.5">
      <c r="A243" s="923"/>
      <c r="B243" s="923"/>
      <c r="C243" s="924"/>
      <c r="D243" s="789"/>
      <c r="E243" s="789"/>
      <c r="F243" s="789"/>
      <c r="G243" s="789"/>
      <c r="H243" s="794"/>
      <c r="I243" s="794"/>
      <c r="J243" s="794"/>
      <c r="K243" s="794"/>
      <c r="L243" s="794"/>
      <c r="M243" s="923"/>
      <c r="N243" s="794"/>
    </row>
    <row r="244" spans="1:27" ht="14">
      <c r="A244" s="920"/>
      <c r="B244" s="920"/>
    </row>
  </sheetData>
  <mergeCells count="109">
    <mergeCell ref="B4:D4"/>
    <mergeCell ref="I4:K4"/>
    <mergeCell ref="P4:R4"/>
    <mergeCell ref="A17:F17"/>
    <mergeCell ref="H17:M17"/>
    <mergeCell ref="O17:T17"/>
    <mergeCell ref="A2:T2"/>
    <mergeCell ref="A3:D3"/>
    <mergeCell ref="E3:E5"/>
    <mergeCell ref="F3:F5"/>
    <mergeCell ref="H3:K3"/>
    <mergeCell ref="L3:L5"/>
    <mergeCell ref="M3:M5"/>
    <mergeCell ref="O3:R3"/>
    <mergeCell ref="S3:S5"/>
    <mergeCell ref="T3:T5"/>
    <mergeCell ref="O18:R18"/>
    <mergeCell ref="S18:S20"/>
    <mergeCell ref="T18:T20"/>
    <mergeCell ref="B19:D19"/>
    <mergeCell ref="I19:K19"/>
    <mergeCell ref="P19:R19"/>
    <mergeCell ref="A18:D18"/>
    <mergeCell ref="E18:E20"/>
    <mergeCell ref="F18:F20"/>
    <mergeCell ref="H18:K18"/>
    <mergeCell ref="L18:L20"/>
    <mergeCell ref="M18:M20"/>
    <mergeCell ref="O34:R34"/>
    <mergeCell ref="S34:S36"/>
    <mergeCell ref="T34:T36"/>
    <mergeCell ref="B35:D35"/>
    <mergeCell ref="I35:K35"/>
    <mergeCell ref="P35:R35"/>
    <mergeCell ref="A34:D34"/>
    <mergeCell ref="E34:E36"/>
    <mergeCell ref="F34:F36"/>
    <mergeCell ref="H34:K34"/>
    <mergeCell ref="L34:L36"/>
    <mergeCell ref="M34:M36"/>
    <mergeCell ref="O49:R49"/>
    <mergeCell ref="S49:S51"/>
    <mergeCell ref="T49:T51"/>
    <mergeCell ref="B50:D50"/>
    <mergeCell ref="I50:K50"/>
    <mergeCell ref="P50:R50"/>
    <mergeCell ref="A48:F48"/>
    <mergeCell ref="H48:M48"/>
    <mergeCell ref="A49:D49"/>
    <mergeCell ref="E49:E51"/>
    <mergeCell ref="F49:F51"/>
    <mergeCell ref="H49:K49"/>
    <mergeCell ref="L49:L51"/>
    <mergeCell ref="M49:M51"/>
    <mergeCell ref="O64:R64"/>
    <mergeCell ref="S64:S66"/>
    <mergeCell ref="T64:T66"/>
    <mergeCell ref="B65:D65"/>
    <mergeCell ref="I65:K65"/>
    <mergeCell ref="P65:R65"/>
    <mergeCell ref="A64:D64"/>
    <mergeCell ref="E64:E66"/>
    <mergeCell ref="F64:F66"/>
    <mergeCell ref="H64:K64"/>
    <mergeCell ref="L64:L66"/>
    <mergeCell ref="M64:M66"/>
    <mergeCell ref="A79:D79"/>
    <mergeCell ref="E79:E81"/>
    <mergeCell ref="F79:F81"/>
    <mergeCell ref="B80:D80"/>
    <mergeCell ref="A96:T96"/>
    <mergeCell ref="A99:A101"/>
    <mergeCell ref="B99:B101"/>
    <mergeCell ref="C99:C100"/>
    <mergeCell ref="D99:F100"/>
    <mergeCell ref="G99:G101"/>
    <mergeCell ref="A134:A149"/>
    <mergeCell ref="K134:K149"/>
    <mergeCell ref="A150:A165"/>
    <mergeCell ref="K150:K165"/>
    <mergeCell ref="A166:A181"/>
    <mergeCell ref="K166:K181"/>
    <mergeCell ref="R99:R101"/>
    <mergeCell ref="S99:S101"/>
    <mergeCell ref="A102:A117"/>
    <mergeCell ref="K102:K111"/>
    <mergeCell ref="A118:A133"/>
    <mergeCell ref="K118:K133"/>
    <mergeCell ref="H99:H101"/>
    <mergeCell ref="K99:K101"/>
    <mergeCell ref="L99:L101"/>
    <mergeCell ref="M99:M100"/>
    <mergeCell ref="N99:P100"/>
    <mergeCell ref="Q99:Q101"/>
    <mergeCell ref="A215:E215"/>
    <mergeCell ref="G215:K215"/>
    <mergeCell ref="J225:L225"/>
    <mergeCell ref="O225:AA225"/>
    <mergeCell ref="A242:M242"/>
    <mergeCell ref="O242:AA242"/>
    <mergeCell ref="A182:A197"/>
    <mergeCell ref="B200:F200"/>
    <mergeCell ref="J200:M200"/>
    <mergeCell ref="B201:D201"/>
    <mergeCell ref="E201:E202"/>
    <mergeCell ref="F201:G201"/>
    <mergeCell ref="H201:H202"/>
    <mergeCell ref="J201:K201"/>
    <mergeCell ref="M201:M202"/>
  </mergeCells>
  <pageMargins left="0.7" right="0.7" top="0.75" bottom="0.75" header="0.3" footer="0.3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29A9-FFC2-4DA3-8B91-2128F6931C78}">
  <sheetPr>
    <tabColor rgb="FF00B050"/>
  </sheetPr>
  <dimension ref="A1:O61"/>
  <sheetViews>
    <sheetView topLeftCell="A43" zoomScale="88" zoomScaleNormal="88" zoomScaleSheetLayoutView="90" workbookViewId="0">
      <selection activeCell="K3" sqref="K3"/>
    </sheetView>
  </sheetViews>
  <sheetFormatPr defaultColWidth="9.26953125" defaultRowHeight="12.5"/>
  <cols>
    <col min="1" max="1" width="18.26953125" style="1206" customWidth="1"/>
    <col min="2" max="2" width="26.26953125" style="1206" customWidth="1"/>
    <col min="3" max="3" width="3.26953125" style="1206" customWidth="1"/>
    <col min="4" max="4" width="11.54296875" style="1206" customWidth="1"/>
    <col min="5" max="5" width="9.453125" style="1206" customWidth="1"/>
    <col min="6" max="6" width="22.54296875" style="1206" customWidth="1"/>
    <col min="7" max="7" width="9.26953125" style="1206"/>
    <col min="8" max="8" width="18.7265625" style="1206" customWidth="1"/>
    <col min="9" max="9" width="12.26953125" style="1206" customWidth="1"/>
    <col min="10" max="16384" width="9.26953125" style="1206"/>
  </cols>
  <sheetData>
    <row r="1" spans="1:15" ht="18.5">
      <c r="H1" s="1207" t="str">
        <f>IF(Penyelia!K106&lt;70,"TIDAK LAIK","LAIK")</f>
        <v>LAIK</v>
      </c>
      <c r="I1" s="1208"/>
      <c r="J1" s="1208"/>
    </row>
    <row r="2" spans="1:15" ht="30">
      <c r="A2" s="1787" t="s">
        <v>512</v>
      </c>
      <c r="B2" s="1787"/>
      <c r="C2" s="1787"/>
      <c r="D2" s="1787"/>
      <c r="E2" s="1787"/>
      <c r="F2" s="1787"/>
      <c r="H2" s="1209"/>
      <c r="I2" s="1788"/>
      <c r="J2" s="1789"/>
    </row>
    <row r="3" spans="1:15" ht="14">
      <c r="A3" s="1790" t="str">
        <f>"Nomor : 18 /"&amp;" "&amp;[2]ID!I2</f>
        <v>Nomor : 18 / 1 / VIII - 22 / E - 008.27 DL</v>
      </c>
      <c r="B3" s="1790"/>
      <c r="C3" s="1790"/>
      <c r="D3" s="1790"/>
      <c r="E3" s="1790"/>
      <c r="F3" s="1790"/>
    </row>
    <row r="4" spans="1:15" ht="13">
      <c r="C4" s="1206" t="s">
        <v>513</v>
      </c>
      <c r="D4" s="1791" t="str">
        <f>[2]ID!E11</f>
        <v>-</v>
      </c>
      <c r="E4" s="1791"/>
      <c r="F4" s="1791"/>
      <c r="H4" s="1210"/>
      <c r="I4" s="1210"/>
      <c r="J4" s="1210"/>
    </row>
    <row r="5" spans="1:15" ht="14.5">
      <c r="H5" s="1792"/>
      <c r="I5" s="1792"/>
      <c r="J5" s="1792"/>
    </row>
    <row r="6" spans="1:15" ht="14">
      <c r="A6" s="1211" t="s">
        <v>514</v>
      </c>
      <c r="B6" s="1212" t="s">
        <v>515</v>
      </c>
      <c r="C6" s="1213"/>
      <c r="D6" s="1785" t="s">
        <v>516</v>
      </c>
      <c r="E6" s="1786"/>
      <c r="F6" s="1214" t="str">
        <f>MID(A3,SEARCH("E - ",A3),LEN(A3))</f>
        <v>E - 008.27 DL</v>
      </c>
    </row>
    <row r="7" spans="1:15" ht="14">
      <c r="A7" s="1215"/>
      <c r="B7" s="1215"/>
      <c r="C7" s="1215"/>
    </row>
    <row r="8" spans="1:15" ht="14">
      <c r="A8" s="1794" t="s">
        <v>187</v>
      </c>
      <c r="B8" s="1794"/>
      <c r="C8" s="1216" t="s">
        <v>188</v>
      </c>
      <c r="D8" s="1795" t="str">
        <f>[2]LH!E5</f>
        <v>-</v>
      </c>
      <c r="E8" s="1794"/>
      <c r="F8" s="1794"/>
      <c r="I8" s="1796"/>
      <c r="J8" s="1796"/>
    </row>
    <row r="9" spans="1:15" ht="14.25" customHeight="1">
      <c r="A9" s="1794" t="s">
        <v>517</v>
      </c>
      <c r="B9" s="1794"/>
      <c r="C9" s="1216" t="s">
        <v>188</v>
      </c>
      <c r="D9" s="1795" t="str">
        <f>[2]LH!E6</f>
        <v>-</v>
      </c>
      <c r="E9" s="1794"/>
      <c r="F9" s="1794"/>
      <c r="I9" s="1796"/>
      <c r="J9" s="1796"/>
    </row>
    <row r="10" spans="1:15" ht="15" customHeight="1">
      <c r="A10" s="1794" t="s">
        <v>518</v>
      </c>
      <c r="B10" s="1794"/>
      <c r="C10" s="1216" t="s">
        <v>188</v>
      </c>
      <c r="D10" s="1795" t="str">
        <f>[2]LH!E7</f>
        <v>-</v>
      </c>
      <c r="E10" s="1794"/>
      <c r="F10" s="1794"/>
      <c r="I10" s="1797"/>
      <c r="J10" s="1798"/>
      <c r="O10" s="1217"/>
    </row>
    <row r="11" spans="1:15" s="1208" customFormat="1" ht="14.5" hidden="1">
      <c r="A11" s="1799" t="s">
        <v>519</v>
      </c>
      <c r="B11" s="1799"/>
      <c r="C11" s="1218" t="s">
        <v>188</v>
      </c>
      <c r="D11" s="1219" t="str">
        <f>I11&amp;"    "&amp;J11&amp;""</f>
        <v xml:space="preserve">    </v>
      </c>
      <c r="E11" s="1219"/>
      <c r="F11" s="1220">
        <f>J11</f>
        <v>0</v>
      </c>
      <c r="I11" s="1221"/>
      <c r="J11" s="1222"/>
      <c r="O11" s="1222"/>
    </row>
    <row r="12" spans="1:15" s="1208" customFormat="1" ht="14.5" hidden="1">
      <c r="A12" s="1799" t="s">
        <v>175</v>
      </c>
      <c r="B12" s="1799"/>
      <c r="C12" s="1218" t="s">
        <v>188</v>
      </c>
      <c r="D12" s="1223"/>
      <c r="E12" s="1223"/>
      <c r="F12" s="1220"/>
      <c r="I12" s="1224"/>
      <c r="J12" s="1222"/>
      <c r="O12" s="1222"/>
    </row>
    <row r="13" spans="1:15" ht="14.5">
      <c r="A13" s="1225"/>
      <c r="B13" s="1225"/>
      <c r="C13" s="1215"/>
      <c r="I13" s="1793"/>
      <c r="J13" s="1793"/>
      <c r="O13" s="1217"/>
    </row>
    <row r="14" spans="1:15" ht="28.5" customHeight="1">
      <c r="A14" s="1226" t="s">
        <v>520</v>
      </c>
      <c r="B14" s="1227"/>
      <c r="C14" s="1215"/>
      <c r="D14" s="1785" t="s">
        <v>521</v>
      </c>
      <c r="E14" s="1786"/>
      <c r="F14" s="1228"/>
      <c r="I14" s="1798"/>
      <c r="J14" s="1798"/>
      <c r="O14" s="1217"/>
    </row>
    <row r="15" spans="1:15" ht="14.5">
      <c r="A15" s="1229"/>
      <c r="B15" s="1215"/>
      <c r="C15" s="1215"/>
      <c r="D15" s="1215"/>
      <c r="E15" s="1215"/>
      <c r="I15" s="1801"/>
      <c r="J15" s="1801"/>
    </row>
    <row r="16" spans="1:15" s="1208" customFormat="1" ht="42.75" customHeight="1">
      <c r="A16" s="1802" t="s">
        <v>522</v>
      </c>
      <c r="B16" s="1802"/>
      <c r="C16" s="1230" t="s">
        <v>188</v>
      </c>
      <c r="D16" s="1803" t="s">
        <v>523</v>
      </c>
      <c r="E16" s="1803"/>
      <c r="F16" s="1803"/>
      <c r="H16" s="1231"/>
      <c r="I16" s="1804"/>
      <c r="J16" s="1805"/>
    </row>
    <row r="17" spans="1:10" ht="14.5">
      <c r="A17" s="1794" t="str">
        <f>"Nama Ruang "</f>
        <v xml:space="preserve">Nama Ruang </v>
      </c>
      <c r="B17" s="1794"/>
      <c r="C17" s="1216" t="s">
        <v>188</v>
      </c>
      <c r="D17" s="1806" t="str">
        <f>[2]LH!E11</f>
        <v>KL.MK -16</v>
      </c>
      <c r="E17" s="1807"/>
      <c r="F17" s="1807"/>
      <c r="H17" s="1808"/>
      <c r="I17" s="1808"/>
      <c r="J17" s="1808"/>
    </row>
    <row r="18" spans="1:10" ht="14.5">
      <c r="A18" s="1794" t="s">
        <v>192</v>
      </c>
      <c r="B18" s="1794"/>
      <c r="C18" s="1216" t="s">
        <v>188</v>
      </c>
      <c r="D18" s="1800" t="str">
        <f>[2]LH!E8</f>
        <v>-</v>
      </c>
      <c r="E18" s="1800"/>
      <c r="F18" s="1800"/>
      <c r="H18" s="1232"/>
      <c r="I18" s="1232"/>
      <c r="J18" s="1232"/>
    </row>
    <row r="19" spans="1:10" ht="14.25" customHeight="1">
      <c r="A19" s="1794" t="str">
        <f>"Tanggal "&amp;B50</f>
        <v>Tanggal Pengujian</v>
      </c>
      <c r="B19" s="1794"/>
      <c r="C19" s="1216" t="s">
        <v>188</v>
      </c>
      <c r="D19" s="1800" t="str">
        <f>[2]LH!E9</f>
        <v>-</v>
      </c>
      <c r="E19" s="1800"/>
      <c r="F19" s="1800"/>
    </row>
    <row r="20" spans="1:10" ht="14">
      <c r="A20" s="1794" t="str">
        <f>"Penanggungjawab "&amp;B50</f>
        <v>Penanggungjawab Pengujian</v>
      </c>
      <c r="B20" s="1794"/>
      <c r="C20" s="1216" t="s">
        <v>188</v>
      </c>
      <c r="D20" s="1794" t="e">
        <f>[2]LH!#REF!</f>
        <v>#REF!</v>
      </c>
      <c r="E20" s="1794"/>
      <c r="F20" s="1794"/>
    </row>
    <row r="21" spans="1:10" ht="14.5">
      <c r="A21" s="1794" t="str">
        <f>"Lokasi "&amp;B50</f>
        <v>Lokasi Pengujian</v>
      </c>
      <c r="B21" s="1794"/>
      <c r="C21" s="1216" t="s">
        <v>188</v>
      </c>
      <c r="D21" s="1806" t="str">
        <f>[2]LH!E10</f>
        <v>-</v>
      </c>
      <c r="E21" s="1807"/>
      <c r="F21" s="1807"/>
      <c r="H21" s="1233"/>
    </row>
    <row r="22" spans="1:10" ht="31.5" customHeight="1">
      <c r="A22" s="1807" t="str">
        <f>"Hasil "&amp;B50</f>
        <v>Hasil Pengujian</v>
      </c>
      <c r="B22" s="1807"/>
      <c r="C22" s="1234" t="s">
        <v>188</v>
      </c>
      <c r="D22" s="1809" t="s">
        <v>524</v>
      </c>
      <c r="E22" s="1809"/>
      <c r="F22" s="1809"/>
    </row>
    <row r="23" spans="1:10" ht="14">
      <c r="A23" s="1794" t="s">
        <v>196</v>
      </c>
      <c r="B23" s="1794"/>
      <c r="C23" s="1216" t="s">
        <v>188</v>
      </c>
      <c r="D23" s="1794" t="str">
        <f>D4</f>
        <v>-</v>
      </c>
      <c r="E23" s="1794"/>
      <c r="F23" s="1794"/>
    </row>
    <row r="26" spans="1:10" ht="26.25" customHeight="1">
      <c r="D26" s="1235" t="s">
        <v>525</v>
      </c>
      <c r="E26" s="1811">
        <f ca="1">TODAY()</f>
        <v>45196</v>
      </c>
      <c r="F26" s="1811"/>
    </row>
    <row r="27" spans="1:10" ht="14">
      <c r="D27" s="1794" t="s">
        <v>526</v>
      </c>
      <c r="E27" s="1794"/>
      <c r="F27" s="1794"/>
    </row>
    <row r="28" spans="1:10" ht="14">
      <c r="D28" s="1794" t="s">
        <v>527</v>
      </c>
      <c r="E28" s="1794"/>
      <c r="F28" s="1794"/>
    </row>
    <row r="29" spans="1:10" ht="14">
      <c r="D29" s="1236"/>
      <c r="E29" s="1236"/>
    </row>
    <row r="30" spans="1:10" ht="14">
      <c r="D30" s="1236"/>
      <c r="E30" s="1236"/>
    </row>
    <row r="31" spans="1:10" ht="14">
      <c r="D31" s="1236"/>
      <c r="E31" s="1236"/>
    </row>
    <row r="32" spans="1:10" ht="14">
      <c r="D32" s="1794" t="s">
        <v>528</v>
      </c>
      <c r="E32" s="1794"/>
      <c r="F32" s="1794"/>
    </row>
    <row r="33" spans="1:6" ht="14">
      <c r="D33" s="1810" t="s">
        <v>529</v>
      </c>
      <c r="E33" s="1810"/>
      <c r="F33" s="1810"/>
    </row>
    <row r="36" spans="1:6" ht="13">
      <c r="A36" s="1237"/>
      <c r="B36" s="1237"/>
      <c r="C36" s="1237"/>
      <c r="D36" s="1237"/>
      <c r="E36" s="1237"/>
      <c r="F36" s="1237"/>
    </row>
    <row r="42" spans="1:6" ht="13" thickBot="1"/>
    <row r="43" spans="1:6" ht="31.5" customHeight="1">
      <c r="A43" s="1238" t="s">
        <v>530</v>
      </c>
      <c r="B43" s="1239" t="str">
        <f>MID([2]ID!I2,SEARCH("E - ",[2]ID!I2),LEN([2]ID!I2))</f>
        <v>E - 008.27 DL</v>
      </c>
    </row>
    <row r="44" spans="1:6">
      <c r="A44" s="1240"/>
      <c r="B44" s="1241"/>
    </row>
    <row r="45" spans="1:6" ht="24" customHeight="1">
      <c r="A45" s="1242" t="s">
        <v>531</v>
      </c>
      <c r="B45" s="1243" t="str">
        <f>[2]ID!A1</f>
        <v>INPUT DATA KALIBRASI HEART RATE MONITOR</v>
      </c>
    </row>
    <row r="46" spans="1:6" ht="39" customHeight="1">
      <c r="A46" s="1242" t="s">
        <v>532</v>
      </c>
      <c r="B46" s="1244" t="str">
        <f>IF(B45="INPUT DATA PENGUJIAN DENTAL UNIT",B47,B48)</f>
        <v>SERTIFIKAT PENGUJIAN</v>
      </c>
    </row>
    <row r="47" spans="1:6" ht="22.5" customHeight="1">
      <c r="A47" s="1242" t="s">
        <v>533</v>
      </c>
      <c r="B47" s="1241" t="s">
        <v>534</v>
      </c>
    </row>
    <row r="48" spans="1:6">
      <c r="A48" s="1240"/>
      <c r="B48" s="1241" t="s">
        <v>512</v>
      </c>
    </row>
    <row r="49" spans="1:2">
      <c r="A49" s="1240"/>
      <c r="B49" s="1241"/>
    </row>
    <row r="50" spans="1:2" ht="48" customHeight="1">
      <c r="A50" s="1242" t="s">
        <v>535</v>
      </c>
      <c r="B50" s="1241" t="str">
        <f>IF(RIGHT(A2,10)=" KALIBRASI","Kalibrasi","Pengujian")</f>
        <v>Pengujian</v>
      </c>
    </row>
    <row r="51" spans="1:2">
      <c r="A51" s="1240"/>
      <c r="B51" s="1241"/>
    </row>
    <row r="52" spans="1:2" s="1246" customFormat="1" ht="34.5" customHeight="1">
      <c r="A52" s="1242" t="s">
        <v>536</v>
      </c>
      <c r="B52" s="1245" t="s">
        <v>537</v>
      </c>
    </row>
    <row r="53" spans="1:2">
      <c r="A53" s="1240"/>
      <c r="B53" s="1241"/>
    </row>
    <row r="54" spans="1:2" ht="50.25" customHeight="1">
      <c r="A54" s="1247" t="s">
        <v>538</v>
      </c>
      <c r="B54" s="1248" t="e">
        <f>DATE(YEAR(D19)+1,MONTH(D19),DAY(D19))</f>
        <v>#VALUE!</v>
      </c>
    </row>
    <row r="55" spans="1:2" ht="27" customHeight="1">
      <c r="A55" s="1242" t="s">
        <v>539</v>
      </c>
      <c r="B55" s="1249" t="e">
        <f>TEXT(B54,"d mmmm yyyy")</f>
        <v>#VALUE!</v>
      </c>
    </row>
    <row r="56" spans="1:2">
      <c r="A56" s="1240"/>
      <c r="B56" s="1241"/>
    </row>
    <row r="57" spans="1:2" ht="30" customHeight="1">
      <c r="A57" s="1247" t="s">
        <v>540</v>
      </c>
      <c r="B57" s="1250" t="e">
        <f>IF(B46=B47,B58,B59)</f>
        <v>#VALUE!</v>
      </c>
    </row>
    <row r="58" spans="1:2" ht="14">
      <c r="A58" s="1240" t="s">
        <v>541</v>
      </c>
      <c r="B58" s="1251" t="e">
        <f>CONCATENATE(B60,B55)</f>
        <v>#VALUE!</v>
      </c>
    </row>
    <row r="59" spans="1:2" ht="14">
      <c r="A59" s="1240"/>
      <c r="B59" s="1251" t="e">
        <f>CONCATENATE(B61,B55)</f>
        <v>#VALUE!</v>
      </c>
    </row>
    <row r="60" spans="1:2" ht="42" customHeight="1">
      <c r="A60" s="1252" t="s">
        <v>533</v>
      </c>
      <c r="B60" s="1251" t="s">
        <v>542</v>
      </c>
    </row>
    <row r="61" spans="1:2" ht="39.75" customHeight="1" thickBot="1">
      <c r="A61" s="1253"/>
      <c r="B61" s="1254" t="s">
        <v>543</v>
      </c>
    </row>
  </sheetData>
  <sheetProtection formatRows="0"/>
  <mergeCells count="44">
    <mergeCell ref="D33:F33"/>
    <mergeCell ref="A23:B23"/>
    <mergeCell ref="D23:F23"/>
    <mergeCell ref="E26:F26"/>
    <mergeCell ref="D27:F27"/>
    <mergeCell ref="D28:F28"/>
    <mergeCell ref="D32:F32"/>
    <mergeCell ref="A20:B20"/>
    <mergeCell ref="D20:F20"/>
    <mergeCell ref="A21:B21"/>
    <mergeCell ref="D21:F21"/>
    <mergeCell ref="A22:B22"/>
    <mergeCell ref="D22:F22"/>
    <mergeCell ref="A19:B19"/>
    <mergeCell ref="D19:F19"/>
    <mergeCell ref="D14:E14"/>
    <mergeCell ref="I14:J14"/>
    <mergeCell ref="I15:J15"/>
    <mergeCell ref="A16:B16"/>
    <mergeCell ref="D16:F16"/>
    <mergeCell ref="I16:J16"/>
    <mergeCell ref="A17:B17"/>
    <mergeCell ref="D17:F17"/>
    <mergeCell ref="H17:J17"/>
    <mergeCell ref="A18:B18"/>
    <mergeCell ref="D18:F18"/>
    <mergeCell ref="I13:J13"/>
    <mergeCell ref="A8:B8"/>
    <mergeCell ref="D8:F8"/>
    <mergeCell ref="I8:J8"/>
    <mergeCell ref="A9:B9"/>
    <mergeCell ref="D9:F9"/>
    <mergeCell ref="I9:J9"/>
    <mergeCell ref="A10:B10"/>
    <mergeCell ref="D10:F10"/>
    <mergeCell ref="I10:J10"/>
    <mergeCell ref="A11:B11"/>
    <mergeCell ref="A12:B12"/>
    <mergeCell ref="D6:E6"/>
    <mergeCell ref="A2:F2"/>
    <mergeCell ref="I2:J2"/>
    <mergeCell ref="A3:F3"/>
    <mergeCell ref="D4:F4"/>
    <mergeCell ref="H5:J5"/>
  </mergeCells>
  <dataValidations count="3">
    <dataValidation type="list" allowBlank="1" showInputMessage="1" showErrorMessage="1" sqref="J12" xr:uid="{1C4D1DB0-FC39-46E6-9508-01C10CE3327D}">
      <formula1>$O$9:$O$14</formula1>
    </dataValidation>
    <dataValidation type="list" allowBlank="1" showInputMessage="1" showErrorMessage="1" sqref="J11" xr:uid="{F61DFEC2-04AF-4306-92E8-7F89AA0C6126}">
      <formula1>$M$2:$M$22</formula1>
    </dataValidation>
    <dataValidation type="list" allowBlank="1" showInputMessage="1" showErrorMessage="1" sqref="A2:F2" xr:uid="{259FB605-DC8A-49C2-9EC3-57677E00C435}">
      <formula1>"SERTIFIKAT KALIBRASI,SERTIFIKAT PENGUJIAN"</formula1>
    </dataValidation>
  </dataValidations>
  <pageMargins left="0.6" right="0.3" top="1.57" bottom="0" header="0.5" footer="0.6"/>
  <pageSetup paperSize="9" orientation="portrait" horizontalDpi="0" verticalDpi="0" r:id="rId1"/>
  <headerFooter>
    <oddFooter>&amp;L&amp;"Times New Roman,Bold"Sertifikat ini terdiri dari 2 halaman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271B-C18F-423F-88C5-EE1C926B32B2}">
  <sheetPr>
    <tabColor rgb="FF00B050"/>
  </sheetPr>
  <dimension ref="A1:AX220"/>
  <sheetViews>
    <sheetView topLeftCell="A128" zoomScale="78" zoomScaleNormal="78" zoomScaleSheetLayoutView="77" workbookViewId="0">
      <selection activeCell="F184" sqref="F184"/>
    </sheetView>
  </sheetViews>
  <sheetFormatPr defaultColWidth="9" defaultRowHeight="12.5"/>
  <cols>
    <col min="1" max="1" width="9.7265625" style="117" customWidth="1"/>
    <col min="2" max="7" width="9.81640625" style="117" customWidth="1"/>
    <col min="8" max="8" width="9.81640625" style="1448" customWidth="1"/>
    <col min="9" max="14" width="9.81640625" style="117" customWidth="1"/>
    <col min="15" max="15" width="14" style="117" customWidth="1"/>
    <col min="16" max="16" width="9.81640625" style="1448" customWidth="1"/>
    <col min="17" max="23" width="9.81640625" style="117" customWidth="1"/>
    <col min="24" max="24" width="9" style="1448"/>
    <col min="25" max="16384" width="9" style="117"/>
  </cols>
  <sheetData>
    <row r="1" spans="1:25" ht="48" customHeight="1">
      <c r="A1" s="1812" t="s">
        <v>138</v>
      </c>
      <c r="B1" s="1813"/>
      <c r="C1" s="1813"/>
      <c r="D1" s="1813"/>
      <c r="E1" s="1813"/>
      <c r="F1" s="1813"/>
      <c r="G1" s="1813"/>
      <c r="H1" s="1813"/>
      <c r="I1" s="1813"/>
      <c r="J1" s="1813"/>
      <c r="K1" s="1813"/>
      <c r="L1" s="1813"/>
      <c r="M1" s="1813"/>
      <c r="N1" s="1813"/>
      <c r="O1" s="1813"/>
      <c r="P1" s="1813"/>
      <c r="Q1" s="1813"/>
      <c r="R1" s="1813"/>
      <c r="S1" s="1813"/>
      <c r="T1" s="1813"/>
      <c r="U1" s="1813"/>
      <c r="V1" s="1813"/>
      <c r="W1" s="1814"/>
      <c r="Y1" s="117" t="s">
        <v>146</v>
      </c>
    </row>
    <row r="2" spans="1:25" ht="25.5" customHeight="1">
      <c r="A2" s="1815">
        <v>1</v>
      </c>
      <c r="B2" s="1818" t="str">
        <f>A167</f>
        <v>Electrical Safety Analyzer, Merek : Fluke, Model : ESA 620, SN : 1837056</v>
      </c>
      <c r="C2" s="1818"/>
      <c r="D2" s="1818"/>
      <c r="E2" s="1818"/>
      <c r="F2" s="1818"/>
      <c r="G2" s="1818"/>
      <c r="H2" s="1449"/>
      <c r="I2" s="1815">
        <v>2</v>
      </c>
      <c r="J2" s="1818" t="str">
        <f>A168</f>
        <v>Electrical Safety Analyzer, Merek : Fluke, Model : ESA 620, SN : 1834020</v>
      </c>
      <c r="K2" s="1818"/>
      <c r="L2" s="1818"/>
      <c r="M2" s="1818"/>
      <c r="N2" s="1818"/>
      <c r="O2" s="1818"/>
      <c r="P2" s="1449"/>
      <c r="Q2" s="1815">
        <v>3</v>
      </c>
      <c r="R2" s="1818" t="str">
        <f>A169</f>
        <v>Electrical Safety Analyzer, Merek : Fluke, Model : ESA 615, SN : 2853077</v>
      </c>
      <c r="S2" s="1818"/>
      <c r="T2" s="1818"/>
      <c r="U2" s="1818"/>
      <c r="V2" s="1818"/>
      <c r="W2" s="1818"/>
    </row>
    <row r="3" spans="1:25" ht="15" customHeight="1">
      <c r="A3" s="1816"/>
      <c r="B3" s="1819" t="s">
        <v>141</v>
      </c>
      <c r="C3" s="1819"/>
      <c r="D3" s="1819"/>
      <c r="E3" s="1819"/>
      <c r="F3" s="1450"/>
      <c r="G3" s="1450"/>
      <c r="H3" s="1451"/>
      <c r="I3" s="1816"/>
      <c r="J3" s="1819" t="s">
        <v>141</v>
      </c>
      <c r="K3" s="1819"/>
      <c r="L3" s="1819"/>
      <c r="M3" s="1819"/>
      <c r="N3" s="1450"/>
      <c r="O3" s="1450"/>
      <c r="P3" s="1451"/>
      <c r="Q3" s="1816"/>
      <c r="R3" s="1819" t="s">
        <v>141</v>
      </c>
      <c r="S3" s="1819"/>
      <c r="T3" s="1819"/>
      <c r="U3" s="1819"/>
      <c r="V3" s="1452"/>
      <c r="W3" s="1452"/>
    </row>
    <row r="4" spans="1:25" ht="12.75" customHeight="1">
      <c r="A4" s="1816"/>
      <c r="B4" s="1820" t="s">
        <v>142</v>
      </c>
      <c r="C4" s="1821"/>
      <c r="D4" s="1821"/>
      <c r="E4" s="1822"/>
      <c r="F4" s="1453" t="s">
        <v>143</v>
      </c>
      <c r="G4" s="1453" t="s">
        <v>81</v>
      </c>
      <c r="H4" s="1454"/>
      <c r="I4" s="1816"/>
      <c r="J4" s="1820" t="s">
        <v>142</v>
      </c>
      <c r="K4" s="1821"/>
      <c r="L4" s="1821"/>
      <c r="M4" s="1822"/>
      <c r="N4" s="1453" t="s">
        <v>143</v>
      </c>
      <c r="O4" s="1453" t="s">
        <v>81</v>
      </c>
      <c r="P4" s="1454"/>
      <c r="Q4" s="1816"/>
      <c r="R4" s="1820" t="s">
        <v>142</v>
      </c>
      <c r="S4" s="1821"/>
      <c r="T4" s="1821"/>
      <c r="U4" s="1822"/>
      <c r="V4" s="1453" t="s">
        <v>143</v>
      </c>
      <c r="W4" s="1453" t="s">
        <v>81</v>
      </c>
    </row>
    <row r="5" spans="1:25" ht="15" customHeight="1">
      <c r="A5" s="1816"/>
      <c r="B5" s="1452" t="s">
        <v>145</v>
      </c>
      <c r="C5" s="1455">
        <v>2022</v>
      </c>
      <c r="D5" s="1455">
        <v>2020</v>
      </c>
      <c r="E5" s="1455">
        <v>2019</v>
      </c>
      <c r="F5" s="1453"/>
      <c r="G5" s="1453"/>
      <c r="H5" s="1454"/>
      <c r="I5" s="1816"/>
      <c r="J5" s="1452" t="s">
        <v>145</v>
      </c>
      <c r="K5" s="1455">
        <v>2022</v>
      </c>
      <c r="L5" s="1455">
        <v>2019</v>
      </c>
      <c r="M5" s="1456">
        <v>2017</v>
      </c>
      <c r="N5" s="1453"/>
      <c r="O5" s="1453"/>
      <c r="P5" s="1454"/>
      <c r="Q5" s="1816"/>
      <c r="R5" s="1452" t="s">
        <v>145</v>
      </c>
      <c r="S5" s="1453">
        <v>2018</v>
      </c>
      <c r="T5" s="1453">
        <v>2021</v>
      </c>
      <c r="U5" s="1453">
        <v>2022</v>
      </c>
      <c r="V5" s="1453"/>
      <c r="W5" s="1453"/>
    </row>
    <row r="6" spans="1:25" ht="15" customHeight="1">
      <c r="A6" s="1816"/>
      <c r="B6" s="1457">
        <v>150</v>
      </c>
      <c r="C6" s="1458">
        <v>0.35</v>
      </c>
      <c r="D6" s="1458">
        <v>0.31</v>
      </c>
      <c r="E6" s="1458">
        <v>0.76</v>
      </c>
      <c r="F6" s="1459">
        <f t="shared" ref="F6:F11" si="0">0.5*(MAX(C6:E6)-MIN(C6:E6))</f>
        <v>0.22500000000000001</v>
      </c>
      <c r="G6" s="1460">
        <f>B6*$H$6</f>
        <v>1.8</v>
      </c>
      <c r="H6" s="1454">
        <f>1.2/100</f>
        <v>1.2E-2</v>
      </c>
      <c r="I6" s="1816"/>
      <c r="J6" s="1457">
        <v>150</v>
      </c>
      <c r="K6" s="1461">
        <v>0.22</v>
      </c>
      <c r="L6" s="1462">
        <v>0.15</v>
      </c>
      <c r="M6" s="1462">
        <v>0.23</v>
      </c>
      <c r="N6" s="1459">
        <f t="shared" ref="N6:N11" si="1">0.5*(MAX(K6:M6)-MIN(K6:M6))</f>
        <v>4.0000000000000008E-2</v>
      </c>
      <c r="O6" s="1460">
        <f>J6*$P$6</f>
        <v>1.8</v>
      </c>
      <c r="P6" s="1454">
        <f>1.2/100</f>
        <v>1.2E-2</v>
      </c>
      <c r="Q6" s="1816"/>
      <c r="R6" s="1463">
        <v>150</v>
      </c>
      <c r="S6" s="1464">
        <v>-7.0000000000000007E-2</v>
      </c>
      <c r="T6" s="1464">
        <v>-1.6</v>
      </c>
      <c r="U6" s="1464">
        <v>-1.43</v>
      </c>
      <c r="V6" s="1459">
        <f t="shared" ref="V6:V11" si="2">0.5*(MAX(S6:U6)-MIN(S6:U6))</f>
        <v>0.76500000000000001</v>
      </c>
      <c r="W6" s="1465">
        <f>R6*$X$6</f>
        <v>1.8</v>
      </c>
      <c r="X6" s="1448">
        <f>1.2/100</f>
        <v>1.2E-2</v>
      </c>
    </row>
    <row r="7" spans="1:25" ht="12.75" customHeight="1">
      <c r="A7" s="1816"/>
      <c r="B7" s="1457">
        <v>180</v>
      </c>
      <c r="C7" s="1458">
        <v>-0.1</v>
      </c>
      <c r="D7" s="1458">
        <v>0.1</v>
      </c>
      <c r="E7" s="1458">
        <v>-0.03</v>
      </c>
      <c r="F7" s="1459">
        <f t="shared" si="0"/>
        <v>0.1</v>
      </c>
      <c r="G7" s="1460">
        <f t="shared" ref="G7:G11" si="3">B7*$H$6</f>
        <v>2.16</v>
      </c>
      <c r="H7" s="1454"/>
      <c r="I7" s="1816"/>
      <c r="J7" s="1457">
        <v>180</v>
      </c>
      <c r="K7" s="1461">
        <v>0.1</v>
      </c>
      <c r="L7" s="1462">
        <v>0.12</v>
      </c>
      <c r="M7" s="1462">
        <v>-0.06</v>
      </c>
      <c r="N7" s="1459">
        <f t="shared" si="1"/>
        <v>0.09</v>
      </c>
      <c r="O7" s="1460">
        <f t="shared" ref="O7:O11" si="4">J7*$P$6</f>
        <v>2.16</v>
      </c>
      <c r="P7" s="1454"/>
      <c r="Q7" s="1816"/>
      <c r="R7" s="1466">
        <v>180</v>
      </c>
      <c r="S7" s="1464">
        <v>-0.13</v>
      </c>
      <c r="T7" s="1464">
        <v>-1.9</v>
      </c>
      <c r="U7" s="1464">
        <v>-1.81</v>
      </c>
      <c r="V7" s="1459">
        <f t="shared" si="2"/>
        <v>0.88500000000000001</v>
      </c>
      <c r="W7" s="1465">
        <f t="shared" ref="W7:W11" si="5">R7*$X$6</f>
        <v>2.16</v>
      </c>
    </row>
    <row r="8" spans="1:25" ht="12.75" customHeight="1">
      <c r="A8" s="1816"/>
      <c r="B8" s="1457">
        <v>200</v>
      </c>
      <c r="C8" s="1458">
        <v>-0.17</v>
      </c>
      <c r="D8" s="1458">
        <v>-0.04</v>
      </c>
      <c r="E8" s="1458">
        <v>-0.16</v>
      </c>
      <c r="F8" s="1459">
        <f t="shared" si="0"/>
        <v>6.5000000000000002E-2</v>
      </c>
      <c r="G8" s="1460">
        <f t="shared" si="3"/>
        <v>2.4</v>
      </c>
      <c r="H8" s="1454"/>
      <c r="I8" s="1816"/>
      <c r="J8" s="1457">
        <v>200</v>
      </c>
      <c r="K8" s="1461">
        <v>0.09</v>
      </c>
      <c r="L8" s="1462">
        <v>0.06</v>
      </c>
      <c r="M8" s="1462">
        <v>-0.18</v>
      </c>
      <c r="N8" s="1459">
        <f t="shared" si="1"/>
        <v>0.13500000000000001</v>
      </c>
      <c r="O8" s="1460">
        <f t="shared" si="4"/>
        <v>2.4</v>
      </c>
      <c r="P8" s="1454"/>
      <c r="Q8" s="1816"/>
      <c r="R8" s="1466">
        <v>200</v>
      </c>
      <c r="S8" s="1464">
        <v>-0.26</v>
      </c>
      <c r="T8" s="1464">
        <v>-2.14</v>
      </c>
      <c r="U8" s="1464">
        <v>-2.0499999999999998</v>
      </c>
      <c r="V8" s="1459">
        <f t="shared" si="2"/>
        <v>0.94000000000000006</v>
      </c>
      <c r="W8" s="1465">
        <f t="shared" si="5"/>
        <v>2.4</v>
      </c>
    </row>
    <row r="9" spans="1:25" ht="12.75" customHeight="1">
      <c r="A9" s="1816"/>
      <c r="B9" s="1457">
        <v>220</v>
      </c>
      <c r="C9" s="1458">
        <v>-0.27</v>
      </c>
      <c r="D9" s="1458">
        <v>-0.28000000000000003</v>
      </c>
      <c r="E9" s="1458">
        <v>-0.18</v>
      </c>
      <c r="F9" s="1459">
        <f t="shared" si="0"/>
        <v>5.0000000000000017E-2</v>
      </c>
      <c r="G9" s="1460">
        <f t="shared" si="3"/>
        <v>2.64</v>
      </c>
      <c r="H9" s="1454"/>
      <c r="I9" s="1816"/>
      <c r="J9" s="1457">
        <v>220</v>
      </c>
      <c r="K9" s="1461">
        <v>0.53</v>
      </c>
      <c r="L9" s="1462">
        <v>0.05</v>
      </c>
      <c r="M9" s="1462">
        <v>-0.03</v>
      </c>
      <c r="N9" s="1459">
        <f t="shared" si="1"/>
        <v>0.28000000000000003</v>
      </c>
      <c r="O9" s="1460">
        <f t="shared" si="4"/>
        <v>2.64</v>
      </c>
      <c r="P9" s="1454"/>
      <c r="Q9" s="1816"/>
      <c r="R9" s="1466">
        <v>220</v>
      </c>
      <c r="S9" s="1464">
        <v>-0.28999999999999998</v>
      </c>
      <c r="T9" s="1464">
        <v>-3.44</v>
      </c>
      <c r="U9" s="1464">
        <v>-2.29</v>
      </c>
      <c r="V9" s="1459">
        <f t="shared" si="2"/>
        <v>1.575</v>
      </c>
      <c r="W9" s="1465">
        <f t="shared" si="5"/>
        <v>2.64</v>
      </c>
    </row>
    <row r="10" spans="1:25" ht="12.75" customHeight="1">
      <c r="A10" s="1816"/>
      <c r="B10" s="1457">
        <v>230</v>
      </c>
      <c r="C10" s="1458">
        <v>0.64</v>
      </c>
      <c r="D10" s="1458">
        <v>-0.2</v>
      </c>
      <c r="E10" s="1458">
        <v>-0.26</v>
      </c>
      <c r="F10" s="1459">
        <f t="shared" si="0"/>
        <v>0.45</v>
      </c>
      <c r="G10" s="1460">
        <f t="shared" si="3"/>
        <v>2.7600000000000002</v>
      </c>
      <c r="H10" s="1454"/>
      <c r="I10" s="1816"/>
      <c r="J10" s="1457">
        <v>230</v>
      </c>
      <c r="K10" s="1461">
        <v>1.08</v>
      </c>
      <c r="L10" s="1458">
        <v>9.9999999999999995E-7</v>
      </c>
      <c r="M10" s="1458">
        <v>0.05</v>
      </c>
      <c r="N10" s="1459">
        <f t="shared" si="1"/>
        <v>0.53999950000000008</v>
      </c>
      <c r="O10" s="1460">
        <f t="shared" si="4"/>
        <v>2.7600000000000002</v>
      </c>
      <c r="P10" s="1454"/>
      <c r="Q10" s="1816"/>
      <c r="R10" s="1466">
        <v>230</v>
      </c>
      <c r="S10" s="1464">
        <v>-0.23</v>
      </c>
      <c r="T10" s="1464">
        <v>-2.52</v>
      </c>
      <c r="U10" s="1464">
        <v>-11.79</v>
      </c>
      <c r="V10" s="1459">
        <f t="shared" si="2"/>
        <v>5.7799999999999994</v>
      </c>
      <c r="W10" s="1465">
        <f t="shared" si="5"/>
        <v>2.7600000000000002</v>
      </c>
    </row>
    <row r="11" spans="1:25" ht="12.75" customHeight="1">
      <c r="A11" s="1816"/>
      <c r="B11" s="1457">
        <v>250</v>
      </c>
      <c r="C11" s="1458">
        <v>-0.36</v>
      </c>
      <c r="D11" s="1458">
        <v>-0.32</v>
      </c>
      <c r="E11" s="1458">
        <v>9.9999999999999995E-7</v>
      </c>
      <c r="F11" s="1459">
        <f t="shared" si="0"/>
        <v>0.18000049999999998</v>
      </c>
      <c r="G11" s="1460">
        <f t="shared" si="3"/>
        <v>3</v>
      </c>
      <c r="H11" s="1454"/>
      <c r="I11" s="1816"/>
      <c r="J11" s="1457">
        <v>250</v>
      </c>
      <c r="K11" s="1461">
        <v>-0.01</v>
      </c>
      <c r="L11" s="1458">
        <v>9.9999999999999995E-7</v>
      </c>
      <c r="M11" s="1458">
        <v>9.9999999999999995E-7</v>
      </c>
      <c r="N11" s="1459">
        <f t="shared" si="1"/>
        <v>5.0004999999999997E-3</v>
      </c>
      <c r="O11" s="1460">
        <f t="shared" si="4"/>
        <v>3</v>
      </c>
      <c r="P11" s="1454"/>
      <c r="Q11" s="1816"/>
      <c r="R11" s="1466">
        <v>250</v>
      </c>
      <c r="S11" s="1464">
        <v>9.9999999999999995E-7</v>
      </c>
      <c r="T11" s="1467">
        <v>9.9999999999999995E-7</v>
      </c>
      <c r="U11" s="1467">
        <v>9.9999999999999995E-7</v>
      </c>
      <c r="V11" s="1459">
        <f t="shared" si="2"/>
        <v>0</v>
      </c>
      <c r="W11" s="1465">
        <f t="shared" si="5"/>
        <v>3</v>
      </c>
    </row>
    <row r="12" spans="1:25" ht="12.75" customHeight="1">
      <c r="A12" s="1816"/>
      <c r="B12" s="1823" t="s">
        <v>148</v>
      </c>
      <c r="C12" s="1824"/>
      <c r="D12" s="1824"/>
      <c r="E12" s="1825"/>
      <c r="F12" s="1453" t="s">
        <v>143</v>
      </c>
      <c r="G12" s="1453" t="s">
        <v>81</v>
      </c>
      <c r="H12" s="1454"/>
      <c r="I12" s="1816"/>
      <c r="J12" s="1823" t="s">
        <v>148</v>
      </c>
      <c r="K12" s="1824"/>
      <c r="L12" s="1824"/>
      <c r="M12" s="1825"/>
      <c r="N12" s="1453" t="s">
        <v>143</v>
      </c>
      <c r="O12" s="1453" t="s">
        <v>81</v>
      </c>
      <c r="P12" s="1454"/>
      <c r="Q12" s="1816"/>
      <c r="R12" s="1823" t="s">
        <v>148</v>
      </c>
      <c r="S12" s="1824"/>
      <c r="T12" s="1824"/>
      <c r="U12" s="1825"/>
      <c r="V12" s="1453" t="s">
        <v>143</v>
      </c>
      <c r="W12" s="1453" t="s">
        <v>81</v>
      </c>
    </row>
    <row r="13" spans="1:25" ht="15" customHeight="1">
      <c r="A13" s="1816"/>
      <c r="B13" s="1452" t="s">
        <v>150</v>
      </c>
      <c r="C13" s="1453">
        <f>C5</f>
        <v>2022</v>
      </c>
      <c r="D13" s="1453">
        <f>D5</f>
        <v>2020</v>
      </c>
      <c r="E13" s="1453">
        <f>E5</f>
        <v>2019</v>
      </c>
      <c r="F13" s="1453"/>
      <c r="G13" s="1453"/>
      <c r="H13" s="1454"/>
      <c r="I13" s="1816"/>
      <c r="J13" s="1452" t="s">
        <v>150</v>
      </c>
      <c r="K13" s="1453">
        <f>K5</f>
        <v>2022</v>
      </c>
      <c r="L13" s="1453">
        <f>L5</f>
        <v>2019</v>
      </c>
      <c r="M13" s="1453">
        <f>M5</f>
        <v>2017</v>
      </c>
      <c r="N13" s="1453"/>
      <c r="O13" s="1453"/>
      <c r="P13" s="1454"/>
      <c r="Q13" s="1816"/>
      <c r="R13" s="1452" t="s">
        <v>150</v>
      </c>
      <c r="S13" s="1453">
        <f>S5</f>
        <v>2018</v>
      </c>
      <c r="T13" s="1453">
        <f>T5</f>
        <v>2021</v>
      </c>
      <c r="U13" s="1453">
        <f>U5</f>
        <v>2022</v>
      </c>
      <c r="V13" s="1453"/>
      <c r="W13" s="1453"/>
    </row>
    <row r="14" spans="1:25" ht="12.75" customHeight="1">
      <c r="A14" s="1816"/>
      <c r="B14" s="1468">
        <v>9.9999999999999995E-7</v>
      </c>
      <c r="C14" s="1468">
        <v>9.9999999999999995E-7</v>
      </c>
      <c r="D14" s="1468">
        <v>9.9999999999999995E-7</v>
      </c>
      <c r="E14" s="1469">
        <v>0</v>
      </c>
      <c r="F14" s="1459">
        <f t="shared" ref="F14:F19" si="6">0.5*(MAX(C14:E14)-MIN(C14:E14))</f>
        <v>4.9999999999999998E-7</v>
      </c>
      <c r="G14" s="1470">
        <f>B14*$H$14</f>
        <v>5.8999999999999999E-9</v>
      </c>
      <c r="H14" s="1454">
        <f>0.59/100</f>
        <v>5.8999999999999999E-3</v>
      </c>
      <c r="I14" s="1816"/>
      <c r="J14" s="1471">
        <v>9.9999999999999995E-7</v>
      </c>
      <c r="K14" s="1464">
        <v>9.9999999999999995E-7</v>
      </c>
      <c r="L14" s="1464">
        <v>9.9999999999999995E-7</v>
      </c>
      <c r="M14" s="1472">
        <v>9.9999999999999995E-7</v>
      </c>
      <c r="N14" s="1459">
        <f t="shared" ref="N14:N19" si="7">0.5*(MAX(K14:M14)-MIN(K14:M14))</f>
        <v>0</v>
      </c>
      <c r="O14" s="1470">
        <f>J14*$P$14</f>
        <v>5.8999999999999999E-9</v>
      </c>
      <c r="P14" s="1454">
        <f>0.59/100</f>
        <v>5.8999999999999999E-3</v>
      </c>
      <c r="Q14" s="1816"/>
      <c r="R14" s="1464">
        <v>9.9999999999999995E-7</v>
      </c>
      <c r="S14" s="1460">
        <v>9.9999999999999995E-7</v>
      </c>
      <c r="T14" s="1472">
        <v>9.9999999999999995E-7</v>
      </c>
      <c r="U14" s="1472">
        <v>9.9999999999999995E-7</v>
      </c>
      <c r="V14" s="1459">
        <f t="shared" ref="V14:V19" si="8">0.5*(MAX(S14:U14)-MIN(S14:U14))</f>
        <v>0</v>
      </c>
      <c r="W14" s="1470">
        <f>R14*$X$14</f>
        <v>5.8999999999999999E-9</v>
      </c>
      <c r="X14" s="1448">
        <f>0.59/100</f>
        <v>5.8999999999999999E-3</v>
      </c>
    </row>
    <row r="15" spans="1:25" ht="12.75" customHeight="1">
      <c r="A15" s="1816"/>
      <c r="B15" s="1466">
        <v>50</v>
      </c>
      <c r="C15" s="1458">
        <v>4</v>
      </c>
      <c r="D15" s="1458">
        <v>0.1</v>
      </c>
      <c r="E15" s="1458">
        <v>-0.06</v>
      </c>
      <c r="F15" s="1459">
        <f t="shared" si="6"/>
        <v>2.0299999999999998</v>
      </c>
      <c r="G15" s="1470">
        <f t="shared" ref="G15:G19" si="9">B15*$H$14</f>
        <v>0.29499999999999998</v>
      </c>
      <c r="H15" s="1454"/>
      <c r="I15" s="1816"/>
      <c r="J15" s="1466">
        <v>50</v>
      </c>
      <c r="K15" s="1461">
        <v>1</v>
      </c>
      <c r="L15" s="1462">
        <v>-0.08</v>
      </c>
      <c r="M15" s="1462">
        <v>0.1</v>
      </c>
      <c r="N15" s="1459">
        <f t="shared" si="7"/>
        <v>0.54</v>
      </c>
      <c r="O15" s="1470">
        <f>J15*$P$14</f>
        <v>0.29499999999999998</v>
      </c>
      <c r="P15" s="1454"/>
      <c r="Q15" s="1816"/>
      <c r="R15" s="1466">
        <v>50</v>
      </c>
      <c r="S15" s="1464">
        <v>2</v>
      </c>
      <c r="T15" s="1464">
        <v>2.1</v>
      </c>
      <c r="U15" s="1464">
        <v>9.1</v>
      </c>
      <c r="V15" s="1459">
        <f t="shared" si="8"/>
        <v>3.55</v>
      </c>
      <c r="W15" s="1470">
        <f t="shared" ref="W15:W19" si="10">R15*$X$14</f>
        <v>0.29499999999999998</v>
      </c>
    </row>
    <row r="16" spans="1:25" ht="12.75" customHeight="1">
      <c r="A16" s="1816"/>
      <c r="B16" s="1466">
        <v>100</v>
      </c>
      <c r="C16" s="1458">
        <v>3.6</v>
      </c>
      <c r="D16" s="1458">
        <v>0.2</v>
      </c>
      <c r="E16" s="1458">
        <v>-0.06</v>
      </c>
      <c r="F16" s="1459">
        <f t="shared" si="6"/>
        <v>1.83</v>
      </c>
      <c r="G16" s="1470">
        <f t="shared" si="9"/>
        <v>0.59</v>
      </c>
      <c r="H16" s="1454"/>
      <c r="I16" s="1816"/>
      <c r="J16" s="1466">
        <v>100</v>
      </c>
      <c r="K16" s="1461">
        <v>-0.9</v>
      </c>
      <c r="L16" s="1458">
        <v>-7.0000000000000007E-2</v>
      </c>
      <c r="M16" s="1458">
        <v>2.2000000000000002</v>
      </c>
      <c r="N16" s="1459">
        <f t="shared" si="7"/>
        <v>1.55</v>
      </c>
      <c r="O16" s="1470">
        <f t="shared" ref="O16:O19" si="11">J16*$P$14</f>
        <v>0.59</v>
      </c>
      <c r="P16" s="1454"/>
      <c r="Q16" s="1816"/>
      <c r="R16" s="1466">
        <v>100</v>
      </c>
      <c r="S16" s="1464">
        <v>2</v>
      </c>
      <c r="T16" s="1464">
        <v>2.2999999999999998</v>
      </c>
      <c r="U16" s="1464">
        <v>6</v>
      </c>
      <c r="V16" s="1459">
        <f t="shared" si="8"/>
        <v>2</v>
      </c>
      <c r="W16" s="1470">
        <f t="shared" si="10"/>
        <v>0.59</v>
      </c>
    </row>
    <row r="17" spans="1:24" ht="12.75" customHeight="1">
      <c r="A17" s="1816"/>
      <c r="B17" s="1466">
        <v>200</v>
      </c>
      <c r="C17" s="1458">
        <v>2.2000000000000002</v>
      </c>
      <c r="D17" s="1458">
        <v>0.4</v>
      </c>
      <c r="E17" s="1458">
        <v>9.9999999999999995E-7</v>
      </c>
      <c r="F17" s="1459">
        <f t="shared" si="6"/>
        <v>1.0999995</v>
      </c>
      <c r="G17" s="1470">
        <f t="shared" si="9"/>
        <v>1.18</v>
      </c>
      <c r="H17" s="1454"/>
      <c r="I17" s="1816"/>
      <c r="J17" s="1466">
        <v>200</v>
      </c>
      <c r="K17" s="1461">
        <v>-6.4</v>
      </c>
      <c r="L17" s="1462">
        <v>-0.1</v>
      </c>
      <c r="M17" s="1462">
        <v>3.3</v>
      </c>
      <c r="N17" s="1459">
        <f t="shared" si="7"/>
        <v>4.8499999999999996</v>
      </c>
      <c r="O17" s="1470">
        <f t="shared" si="11"/>
        <v>1.18</v>
      </c>
      <c r="P17" s="1454"/>
      <c r="Q17" s="1816"/>
      <c r="R17" s="1466">
        <v>200</v>
      </c>
      <c r="S17" s="1464">
        <v>3.6</v>
      </c>
      <c r="T17" s="1464">
        <v>2.5</v>
      </c>
      <c r="U17" s="1464">
        <v>-3.6</v>
      </c>
      <c r="V17" s="1459">
        <f t="shared" si="8"/>
        <v>3.6</v>
      </c>
      <c r="W17" s="1470">
        <f t="shared" si="10"/>
        <v>1.18</v>
      </c>
    </row>
    <row r="18" spans="1:24" ht="12.75" customHeight="1">
      <c r="A18" s="1816"/>
      <c r="B18" s="1466">
        <v>500</v>
      </c>
      <c r="C18" s="1458">
        <v>-2</v>
      </c>
      <c r="D18" s="1458">
        <v>3.8</v>
      </c>
      <c r="E18" s="1458">
        <v>-0.9</v>
      </c>
      <c r="F18" s="1459">
        <f t="shared" si="6"/>
        <v>2.9</v>
      </c>
      <c r="G18" s="1470">
        <f t="shared" si="9"/>
        <v>2.9499999999999997</v>
      </c>
      <c r="H18" s="1454"/>
      <c r="I18" s="1816"/>
      <c r="J18" s="1466">
        <v>500</v>
      </c>
      <c r="K18" s="1461">
        <v>-21.7</v>
      </c>
      <c r="L18" s="1462">
        <v>0.8</v>
      </c>
      <c r="M18" s="1462">
        <v>2</v>
      </c>
      <c r="N18" s="1459">
        <f t="shared" si="7"/>
        <v>11.85</v>
      </c>
      <c r="O18" s="1470">
        <f t="shared" si="11"/>
        <v>2.9499999999999997</v>
      </c>
      <c r="P18" s="1454"/>
      <c r="Q18" s="1816"/>
      <c r="R18" s="1466">
        <v>500</v>
      </c>
      <c r="S18" s="1464">
        <v>2.9</v>
      </c>
      <c r="T18" s="1464">
        <v>4.3</v>
      </c>
      <c r="U18" s="1464">
        <v>-18.8</v>
      </c>
      <c r="V18" s="1459">
        <f t="shared" si="8"/>
        <v>11.55</v>
      </c>
      <c r="W18" s="1470">
        <f t="shared" si="10"/>
        <v>2.9499999999999997</v>
      </c>
    </row>
    <row r="19" spans="1:24" ht="12.75" customHeight="1">
      <c r="A19" s="1816"/>
      <c r="B19" s="1466">
        <v>1000</v>
      </c>
      <c r="C19" s="1458">
        <v>-26</v>
      </c>
      <c r="D19" s="1458">
        <v>9.9999999999999995E-7</v>
      </c>
      <c r="E19" s="1458">
        <v>9.9999999999999995E-7</v>
      </c>
      <c r="F19" s="1459">
        <f t="shared" si="6"/>
        <v>13.000000500000001</v>
      </c>
      <c r="G19" s="1470">
        <f t="shared" si="9"/>
        <v>5.8999999999999995</v>
      </c>
      <c r="H19" s="1454"/>
      <c r="I19" s="1816"/>
      <c r="J19" s="1466">
        <v>1000</v>
      </c>
      <c r="K19" s="1473">
        <v>-6.7000000000000004E-2</v>
      </c>
      <c r="L19" s="1458">
        <v>9.9999999999999995E-7</v>
      </c>
      <c r="M19" s="1458">
        <v>9.9999999999999995E-7</v>
      </c>
      <c r="N19" s="1459">
        <f t="shared" si="7"/>
        <v>3.3500500000000002E-2</v>
      </c>
      <c r="O19" s="1470">
        <f t="shared" si="11"/>
        <v>5.8999999999999995</v>
      </c>
      <c r="P19" s="1454"/>
      <c r="Q19" s="1816"/>
      <c r="R19" s="1466">
        <v>1000</v>
      </c>
      <c r="S19" s="1464">
        <v>3</v>
      </c>
      <c r="T19" s="1464">
        <v>2</v>
      </c>
      <c r="U19" s="1464">
        <v>-47</v>
      </c>
      <c r="V19" s="1459">
        <f t="shared" si="8"/>
        <v>25</v>
      </c>
      <c r="W19" s="1470">
        <f t="shared" si="10"/>
        <v>5.8999999999999995</v>
      </c>
    </row>
    <row r="20" spans="1:24" ht="12.75" customHeight="1">
      <c r="A20" s="1816"/>
      <c r="B20" s="1823" t="s">
        <v>152</v>
      </c>
      <c r="C20" s="1824"/>
      <c r="D20" s="1824"/>
      <c r="E20" s="1825"/>
      <c r="F20" s="1453" t="s">
        <v>143</v>
      </c>
      <c r="G20" s="1453" t="s">
        <v>81</v>
      </c>
      <c r="H20" s="1454"/>
      <c r="I20" s="1816"/>
      <c r="J20" s="1823" t="str">
        <f>B20</f>
        <v>Main-PE</v>
      </c>
      <c r="K20" s="1824"/>
      <c r="L20" s="1824"/>
      <c r="M20" s="1825"/>
      <c r="N20" s="1453" t="s">
        <v>143</v>
      </c>
      <c r="O20" s="1453" t="s">
        <v>81</v>
      </c>
      <c r="P20" s="1454"/>
      <c r="Q20" s="1816"/>
      <c r="R20" s="1823" t="str">
        <f>B20</f>
        <v>Main-PE</v>
      </c>
      <c r="S20" s="1824"/>
      <c r="T20" s="1824"/>
      <c r="U20" s="1825"/>
      <c r="V20" s="1453" t="s">
        <v>143</v>
      </c>
      <c r="W20" s="1453" t="s">
        <v>81</v>
      </c>
    </row>
    <row r="21" spans="1:24" ht="15" customHeight="1">
      <c r="A21" s="1816"/>
      <c r="B21" s="1452" t="s">
        <v>153</v>
      </c>
      <c r="C21" s="1453">
        <v>2019</v>
      </c>
      <c r="D21" s="1453">
        <v>2019</v>
      </c>
      <c r="E21" s="1453">
        <v>2015</v>
      </c>
      <c r="F21" s="1453"/>
      <c r="G21" s="1453"/>
      <c r="H21" s="1454"/>
      <c r="I21" s="1816"/>
      <c r="J21" s="1452" t="s">
        <v>153</v>
      </c>
      <c r="K21" s="1453">
        <f>K5</f>
        <v>2022</v>
      </c>
      <c r="L21" s="1453">
        <f>L5</f>
        <v>2019</v>
      </c>
      <c r="M21" s="1453">
        <f>M5</f>
        <v>2017</v>
      </c>
      <c r="N21" s="1453"/>
      <c r="O21" s="1453"/>
      <c r="P21" s="1454"/>
      <c r="Q21" s="1816"/>
      <c r="R21" s="1452" t="s">
        <v>153</v>
      </c>
      <c r="S21" s="1453">
        <f>S5</f>
        <v>2018</v>
      </c>
      <c r="T21" s="1453">
        <f>T5</f>
        <v>2021</v>
      </c>
      <c r="U21" s="1453">
        <f>U5</f>
        <v>2022</v>
      </c>
      <c r="V21" s="1453"/>
      <c r="W21" s="1453"/>
    </row>
    <row r="22" spans="1:24" ht="12.75" customHeight="1">
      <c r="A22" s="1816"/>
      <c r="B22" s="1466">
        <v>10</v>
      </c>
      <c r="C22" s="1458">
        <v>9.9999999999999995E-7</v>
      </c>
      <c r="D22" s="1458">
        <v>-1E-3</v>
      </c>
      <c r="E22" s="1458">
        <v>9.9999999999999995E-7</v>
      </c>
      <c r="F22" s="1459">
        <f t="shared" ref="F22:F25" si="12">0.5*(MAX(C22:E22)-MIN(C22:E22))</f>
        <v>5.0049999999999997E-4</v>
      </c>
      <c r="G22" s="1471">
        <v>1.4</v>
      </c>
      <c r="H22" s="1454"/>
      <c r="I22" s="1816"/>
      <c r="J22" s="1466">
        <v>10</v>
      </c>
      <c r="K22" s="1461">
        <v>0</v>
      </c>
      <c r="L22" s="1458">
        <v>0.1</v>
      </c>
      <c r="M22" s="1458">
        <v>9.9999999999999995E-7</v>
      </c>
      <c r="N22" s="1459">
        <f t="shared" ref="N22:N25" si="13">0.5*(MAX(K22:M22)-MIN(K22:M22))</f>
        <v>0.05</v>
      </c>
      <c r="O22" s="1464">
        <f>J22*$P$22</f>
        <v>5.8999999999999997E-2</v>
      </c>
      <c r="P22" s="1454">
        <f>0.59/100</f>
        <v>5.8999999999999999E-3</v>
      </c>
      <c r="Q22" s="1816"/>
      <c r="R22" s="1466">
        <v>10</v>
      </c>
      <c r="S22" s="1464">
        <v>9.9999999999999995E-7</v>
      </c>
      <c r="T22" s="1464">
        <v>0.26</v>
      </c>
      <c r="U22" s="1464">
        <v>0</v>
      </c>
      <c r="V22" s="1459">
        <f t="shared" ref="V22:V25" si="14">0.5*(MAX(S22:U22)-MIN(S22:U22))</f>
        <v>0.13</v>
      </c>
      <c r="W22" s="1471">
        <f>R22*$X$22</f>
        <v>0.17</v>
      </c>
      <c r="X22" s="1448">
        <f>1.7/100</f>
        <v>1.7000000000000001E-2</v>
      </c>
    </row>
    <row r="23" spans="1:24" ht="12.75" customHeight="1">
      <c r="A23" s="1816"/>
      <c r="B23" s="1466">
        <v>20</v>
      </c>
      <c r="C23" s="1458">
        <v>0.1</v>
      </c>
      <c r="D23" s="1458">
        <v>9.9999999999999995E-7</v>
      </c>
      <c r="E23" s="1458">
        <v>9.9999999999999995E-7</v>
      </c>
      <c r="F23" s="1459">
        <f t="shared" si="12"/>
        <v>4.9999500000000002E-2</v>
      </c>
      <c r="G23" s="1471">
        <v>1.4</v>
      </c>
      <c r="H23" s="1454"/>
      <c r="I23" s="1816"/>
      <c r="J23" s="1466">
        <v>20</v>
      </c>
      <c r="K23" s="1461">
        <v>0.1</v>
      </c>
      <c r="L23" s="1458">
        <v>0.2</v>
      </c>
      <c r="M23" s="1458">
        <v>0.1</v>
      </c>
      <c r="N23" s="1459">
        <f t="shared" si="13"/>
        <v>0.05</v>
      </c>
      <c r="O23" s="1464">
        <f t="shared" ref="O23:O25" si="15">J23*$P$22</f>
        <v>0.11799999999999999</v>
      </c>
      <c r="P23" s="1454"/>
      <c r="Q23" s="1816"/>
      <c r="R23" s="1466">
        <v>20</v>
      </c>
      <c r="S23" s="1464">
        <v>0</v>
      </c>
      <c r="T23" s="1467">
        <v>9.9999999999999995E-7</v>
      </c>
      <c r="U23" s="1467">
        <v>0</v>
      </c>
      <c r="V23" s="1459">
        <f t="shared" si="14"/>
        <v>4.9999999999999998E-7</v>
      </c>
      <c r="W23" s="1471">
        <f t="shared" ref="W23:W25" si="16">R23*$X$22</f>
        <v>0.34</v>
      </c>
    </row>
    <row r="24" spans="1:24" ht="12.75" customHeight="1">
      <c r="A24" s="1816"/>
      <c r="B24" s="1466">
        <v>50</v>
      </c>
      <c r="C24" s="1458">
        <v>0.3</v>
      </c>
      <c r="D24" s="1458">
        <v>9.9999999999999995E-7</v>
      </c>
      <c r="E24" s="1458">
        <v>9.9999999999999995E-7</v>
      </c>
      <c r="F24" s="1459">
        <f t="shared" si="12"/>
        <v>0.14999950000000001</v>
      </c>
      <c r="G24" s="1471">
        <v>1.4</v>
      </c>
      <c r="H24" s="1454"/>
      <c r="I24" s="1816"/>
      <c r="J24" s="1466">
        <v>50</v>
      </c>
      <c r="K24" s="1461">
        <v>0.2</v>
      </c>
      <c r="L24" s="1458">
        <v>0.3</v>
      </c>
      <c r="M24" s="1458">
        <v>0.1</v>
      </c>
      <c r="N24" s="1459">
        <f t="shared" si="13"/>
        <v>9.9999999999999992E-2</v>
      </c>
      <c r="O24" s="1464">
        <f t="shared" si="15"/>
        <v>0.29499999999999998</v>
      </c>
      <c r="P24" s="1454"/>
      <c r="Q24" s="1816"/>
      <c r="R24" s="1466">
        <v>50</v>
      </c>
      <c r="S24" s="1464">
        <v>0.3</v>
      </c>
      <c r="T24" s="1464">
        <v>0.16</v>
      </c>
      <c r="U24" s="1464">
        <v>0.1</v>
      </c>
      <c r="V24" s="1459">
        <f t="shared" si="14"/>
        <v>9.9999999999999992E-2</v>
      </c>
      <c r="W24" s="1471">
        <f t="shared" si="16"/>
        <v>0.85000000000000009</v>
      </c>
    </row>
    <row r="25" spans="1:24" ht="12.75" customHeight="1">
      <c r="A25" s="1816"/>
      <c r="B25" s="1466">
        <v>100</v>
      </c>
      <c r="C25" s="1458">
        <v>0.4</v>
      </c>
      <c r="D25" s="1458">
        <v>9.9999999999999995E-7</v>
      </c>
      <c r="E25" s="1458">
        <v>9.9999999999999995E-7</v>
      </c>
      <c r="F25" s="1459">
        <f t="shared" si="12"/>
        <v>0.19999950000000002</v>
      </c>
      <c r="G25" s="1471">
        <v>1.4</v>
      </c>
      <c r="H25" s="1454"/>
      <c r="I25" s="1816"/>
      <c r="J25" s="1466">
        <v>100</v>
      </c>
      <c r="K25" s="1461">
        <v>0.2</v>
      </c>
      <c r="L25" s="1458">
        <v>0.3</v>
      </c>
      <c r="M25" s="1458">
        <v>9.9999999999999995E-7</v>
      </c>
      <c r="N25" s="1459">
        <f t="shared" si="13"/>
        <v>0.14999950000000001</v>
      </c>
      <c r="O25" s="1464">
        <f t="shared" si="15"/>
        <v>0.59</v>
      </c>
      <c r="P25" s="1454"/>
      <c r="Q25" s="1816"/>
      <c r="R25" s="1466">
        <v>100</v>
      </c>
      <c r="S25" s="1464">
        <v>0.6</v>
      </c>
      <c r="T25" s="1464">
        <v>0.06</v>
      </c>
      <c r="U25" s="1464">
        <v>0.1</v>
      </c>
      <c r="V25" s="1459">
        <f t="shared" si="14"/>
        <v>0.27</v>
      </c>
      <c r="W25" s="1471">
        <f t="shared" si="16"/>
        <v>1.7000000000000002</v>
      </c>
    </row>
    <row r="26" spans="1:24" ht="12.75" customHeight="1">
      <c r="A26" s="1816"/>
      <c r="B26" s="1823" t="s">
        <v>154</v>
      </c>
      <c r="C26" s="1824"/>
      <c r="D26" s="1824"/>
      <c r="E26" s="1825"/>
      <c r="F26" s="1453" t="s">
        <v>143</v>
      </c>
      <c r="G26" s="1453" t="s">
        <v>81</v>
      </c>
      <c r="H26" s="1454"/>
      <c r="I26" s="1816"/>
      <c r="J26" s="1823" t="str">
        <f>B26</f>
        <v>Resistance</v>
      </c>
      <c r="K26" s="1824"/>
      <c r="L26" s="1824"/>
      <c r="M26" s="1825"/>
      <c r="N26" s="1453" t="s">
        <v>143</v>
      </c>
      <c r="O26" s="1453" t="s">
        <v>81</v>
      </c>
      <c r="P26" s="1454"/>
      <c r="Q26" s="1816"/>
      <c r="R26" s="1823" t="str">
        <f>B26</f>
        <v>Resistance</v>
      </c>
      <c r="S26" s="1824"/>
      <c r="T26" s="1824"/>
      <c r="U26" s="1825"/>
      <c r="V26" s="1453" t="s">
        <v>143</v>
      </c>
      <c r="W26" s="1453" t="s">
        <v>81</v>
      </c>
    </row>
    <row r="27" spans="1:24" ht="15" customHeight="1">
      <c r="A27" s="1816"/>
      <c r="B27" s="1452" t="s">
        <v>155</v>
      </c>
      <c r="C27" s="1453">
        <f>C5</f>
        <v>2022</v>
      </c>
      <c r="D27" s="1453">
        <f>D5</f>
        <v>2020</v>
      </c>
      <c r="E27" s="1453">
        <f>E5</f>
        <v>2019</v>
      </c>
      <c r="F27" s="1453"/>
      <c r="G27" s="1453"/>
      <c r="H27" s="1454"/>
      <c r="I27" s="1816"/>
      <c r="J27" s="1452" t="s">
        <v>155</v>
      </c>
      <c r="K27" s="1453">
        <f>K5</f>
        <v>2022</v>
      </c>
      <c r="L27" s="1453">
        <f>L5</f>
        <v>2019</v>
      </c>
      <c r="M27" s="1453">
        <f>M5</f>
        <v>2017</v>
      </c>
      <c r="N27" s="1453"/>
      <c r="O27" s="1453"/>
      <c r="P27" s="1454"/>
      <c r="Q27" s="1816"/>
      <c r="R27" s="1452" t="s">
        <v>155</v>
      </c>
      <c r="S27" s="1453">
        <f>S5</f>
        <v>2018</v>
      </c>
      <c r="T27" s="1453">
        <f>T5</f>
        <v>2021</v>
      </c>
      <c r="U27" s="1453">
        <f>U5</f>
        <v>2022</v>
      </c>
      <c r="V27" s="1453"/>
      <c r="W27" s="1453"/>
    </row>
    <row r="28" spans="1:24" ht="12.75" customHeight="1">
      <c r="A28" s="1816"/>
      <c r="B28" s="1466">
        <v>0.01</v>
      </c>
      <c r="C28" s="1474">
        <v>-2E-3</v>
      </c>
      <c r="D28" s="1474">
        <v>9.9999999999999995E-7</v>
      </c>
      <c r="E28" s="1474">
        <v>9.9999999999999995E-7</v>
      </c>
      <c r="F28" s="1459">
        <f t="shared" ref="F28:F31" si="17">0.5*(MAX(C28:E28)-MIN(C28:E28))</f>
        <v>1.0005000000000001E-3</v>
      </c>
      <c r="G28" s="1466">
        <f>B28*$H$28</f>
        <v>1.2E-4</v>
      </c>
      <c r="H28" s="1454">
        <f>1.2/100</f>
        <v>1.2E-2</v>
      </c>
      <c r="I28" s="1816"/>
      <c r="J28" s="1466">
        <v>0.01</v>
      </c>
      <c r="K28" s="1473">
        <v>0</v>
      </c>
      <c r="L28" s="1474">
        <v>9.9999999999999995E-7</v>
      </c>
      <c r="M28" s="1474">
        <v>9.9999999999999995E-7</v>
      </c>
      <c r="N28" s="1459">
        <f t="shared" ref="N28:N31" si="18">0.5*(MAX(K28:M28)-MIN(K28:M28))</f>
        <v>4.9999999999999998E-7</v>
      </c>
      <c r="O28" s="1466">
        <f>J28*$P$28</f>
        <v>1.2E-4</v>
      </c>
      <c r="P28" s="1475">
        <f>1.2/100</f>
        <v>1.2E-2</v>
      </c>
      <c r="Q28" s="1816"/>
      <c r="R28" s="1466">
        <v>0.01</v>
      </c>
      <c r="S28" s="1476">
        <v>9.9999999999999995E-7</v>
      </c>
      <c r="T28" s="1467">
        <v>9.9999999999999995E-7</v>
      </c>
      <c r="U28" s="1467">
        <v>0</v>
      </c>
      <c r="V28" s="1459">
        <f t="shared" ref="V28:V31" si="19">0.5*(MAX(S28:U28)-MIN(S28:U28))</f>
        <v>4.9999999999999998E-7</v>
      </c>
      <c r="W28" s="1477">
        <f>R28*$X$28</f>
        <v>1.2E-4</v>
      </c>
      <c r="X28" s="1448">
        <f>1.2/100</f>
        <v>1.2E-2</v>
      </c>
    </row>
    <row r="29" spans="1:24" ht="12.75" customHeight="1">
      <c r="A29" s="1816"/>
      <c r="B29" s="1466">
        <v>0.1</v>
      </c>
      <c r="C29" s="1474">
        <v>1E-3</v>
      </c>
      <c r="D29" s="1474">
        <v>-1E-3</v>
      </c>
      <c r="E29" s="1474">
        <v>2E-3</v>
      </c>
      <c r="F29" s="1459">
        <f t="shared" si="17"/>
        <v>1.5E-3</v>
      </c>
      <c r="G29" s="1466">
        <f t="shared" ref="G29:G31" si="20">B29*$H$28</f>
        <v>1.2000000000000001E-3</v>
      </c>
      <c r="H29" s="1454"/>
      <c r="I29" s="1816"/>
      <c r="J29" s="1466">
        <v>0.1</v>
      </c>
      <c r="K29" s="1473">
        <v>5.0000000000000001E-3</v>
      </c>
      <c r="L29" s="1474">
        <v>6.0000000000000001E-3</v>
      </c>
      <c r="M29" s="1474">
        <v>5.0000000000000001E-3</v>
      </c>
      <c r="N29" s="1459">
        <f t="shared" si="18"/>
        <v>5.0000000000000001E-4</v>
      </c>
      <c r="O29" s="1466">
        <f t="shared" ref="O29:O31" si="21">J29*$P$28</f>
        <v>1.2000000000000001E-3</v>
      </c>
      <c r="P29" s="1454"/>
      <c r="Q29" s="1816"/>
      <c r="R29" s="1466">
        <v>0.1</v>
      </c>
      <c r="S29" s="1476">
        <v>9.9999999999999995E-7</v>
      </c>
      <c r="T29" s="1467">
        <v>9.9999999999999995E-7</v>
      </c>
      <c r="U29" s="1467">
        <v>-2E-3</v>
      </c>
      <c r="V29" s="1459">
        <f t="shared" si="19"/>
        <v>1.0005000000000001E-3</v>
      </c>
      <c r="W29" s="1477">
        <f t="shared" ref="W29:W31" si="22">R29*$X$28</f>
        <v>1.2000000000000001E-3</v>
      </c>
    </row>
    <row r="30" spans="1:24" ht="12.75" customHeight="1">
      <c r="A30" s="1816"/>
      <c r="B30" s="1466">
        <v>1</v>
      </c>
      <c r="C30" s="1474">
        <v>4.0000000000000001E-3</v>
      </c>
      <c r="D30" s="1474">
        <v>4.0000000000000001E-3</v>
      </c>
      <c r="E30" s="1474">
        <v>1.2E-2</v>
      </c>
      <c r="F30" s="1459">
        <f t="shared" si="17"/>
        <v>4.0000000000000001E-3</v>
      </c>
      <c r="G30" s="1466">
        <f t="shared" si="20"/>
        <v>1.2E-2</v>
      </c>
      <c r="H30" s="1454"/>
      <c r="I30" s="1816"/>
      <c r="J30" s="1466">
        <v>1</v>
      </c>
      <c r="K30" s="1473">
        <v>5.8000000000000003E-2</v>
      </c>
      <c r="L30" s="1474">
        <v>4.4999999999999998E-2</v>
      </c>
      <c r="M30" s="1474">
        <v>5.5E-2</v>
      </c>
      <c r="N30" s="1459">
        <f t="shared" si="18"/>
        <v>6.5000000000000023E-3</v>
      </c>
      <c r="O30" s="1466">
        <f t="shared" si="21"/>
        <v>1.2E-2</v>
      </c>
      <c r="P30" s="1454"/>
      <c r="Q30" s="1816"/>
      <c r="R30" s="1466">
        <v>1</v>
      </c>
      <c r="S30" s="1476">
        <v>9.9999999999999995E-7</v>
      </c>
      <c r="T30" s="1476">
        <v>6.0000000000000001E-3</v>
      </c>
      <c r="U30" s="1476">
        <v>-1.2E-2</v>
      </c>
      <c r="V30" s="1459">
        <f t="shared" si="19"/>
        <v>9.0000000000000011E-3</v>
      </c>
      <c r="W30" s="1477">
        <f t="shared" si="22"/>
        <v>1.2E-2</v>
      </c>
    </row>
    <row r="31" spans="1:24" ht="12.75" customHeight="1">
      <c r="A31" s="1817"/>
      <c r="B31" s="1466">
        <v>2</v>
      </c>
      <c r="C31" s="1474">
        <v>1.2E-2</v>
      </c>
      <c r="D31" s="1474">
        <v>7.0000000000000001E-3</v>
      </c>
      <c r="E31" s="1474">
        <v>9.9999999999999995E-7</v>
      </c>
      <c r="F31" s="1459">
        <f t="shared" si="17"/>
        <v>5.9995000000000005E-3</v>
      </c>
      <c r="G31" s="1466">
        <f t="shared" si="20"/>
        <v>2.4E-2</v>
      </c>
      <c r="H31" s="1454"/>
      <c r="I31" s="1817"/>
      <c r="J31" s="1466">
        <v>2</v>
      </c>
      <c r="K31" s="1473">
        <v>0.113</v>
      </c>
      <c r="L31" s="1474">
        <v>9.9999999999999995E-7</v>
      </c>
      <c r="M31" s="1474">
        <v>9.9999999999999995E-7</v>
      </c>
      <c r="N31" s="1459">
        <f t="shared" si="18"/>
        <v>5.6499500000000001E-2</v>
      </c>
      <c r="O31" s="1478">
        <f t="shared" si="21"/>
        <v>2.4E-2</v>
      </c>
      <c r="P31" s="1454"/>
      <c r="Q31" s="1817"/>
      <c r="R31" s="1466">
        <v>2</v>
      </c>
      <c r="S31" s="1476">
        <v>9.9999999999999995E-7</v>
      </c>
      <c r="T31" s="1476">
        <v>1.2999999999999999E-2</v>
      </c>
      <c r="U31" s="1476">
        <v>-8.0000000000000002E-3</v>
      </c>
      <c r="V31" s="1459">
        <f t="shared" si="19"/>
        <v>1.0499999999999999E-2</v>
      </c>
      <c r="W31" s="1477">
        <f t="shared" si="22"/>
        <v>2.4E-2</v>
      </c>
    </row>
    <row r="32" spans="1:24" s="323" customFormat="1" ht="19.5" customHeight="1">
      <c r="A32" s="1479"/>
      <c r="B32" s="993"/>
      <c r="C32" s="993"/>
      <c r="E32" s="993"/>
      <c r="F32" s="993"/>
      <c r="G32" s="993"/>
      <c r="H32" s="1480"/>
      <c r="I32" s="993"/>
      <c r="J32" s="993"/>
      <c r="K32" s="993"/>
      <c r="M32" s="993"/>
      <c r="N32" s="993"/>
      <c r="O32" s="993"/>
      <c r="P32" s="1480"/>
      <c r="Q32" s="993"/>
      <c r="R32" s="993"/>
      <c r="S32" s="993"/>
      <c r="U32" s="993"/>
      <c r="V32" s="993"/>
      <c r="W32" s="1481"/>
      <c r="X32" s="1482"/>
    </row>
    <row r="33" spans="1:24" ht="30" customHeight="1">
      <c r="A33" s="1815">
        <v>4</v>
      </c>
      <c r="B33" s="1826" t="str">
        <f>A170</f>
        <v>Electrical Safety Analyzer, Merek : Fluke, Model : ESA 615, SN : 2853078</v>
      </c>
      <c r="C33" s="1826"/>
      <c r="D33" s="1826"/>
      <c r="E33" s="1826"/>
      <c r="F33" s="1826"/>
      <c r="G33" s="1826"/>
      <c r="H33" s="1483"/>
      <c r="I33" s="1815">
        <v>5</v>
      </c>
      <c r="J33" s="1818" t="str">
        <f>A171</f>
        <v>Electrical Safety Analyzer, Merek : Fluke, Model : ESA 615, SN : 3148907</v>
      </c>
      <c r="K33" s="1818"/>
      <c r="L33" s="1818"/>
      <c r="M33" s="1818"/>
      <c r="N33" s="1818"/>
      <c r="O33" s="1818"/>
      <c r="P33" s="1449"/>
      <c r="Q33" s="1815">
        <v>6</v>
      </c>
      <c r="R33" s="1826" t="str">
        <f>A172</f>
        <v>Electrical Safety Analyzer, Merek : Fluke, Model : ESA 615, SN : 3148908</v>
      </c>
      <c r="S33" s="1826"/>
      <c r="T33" s="1826"/>
      <c r="U33" s="1826"/>
      <c r="V33" s="1826"/>
      <c r="W33" s="1826"/>
    </row>
    <row r="34" spans="1:24" ht="15" customHeight="1">
      <c r="A34" s="1816"/>
      <c r="B34" s="1827" t="s">
        <v>141</v>
      </c>
      <c r="C34" s="1827"/>
      <c r="D34" s="1827"/>
      <c r="E34" s="1827"/>
      <c r="F34" s="1484"/>
      <c r="G34" s="1484"/>
      <c r="H34" s="1451"/>
      <c r="I34" s="1816"/>
      <c r="J34" s="1827" t="s">
        <v>141</v>
      </c>
      <c r="K34" s="1827"/>
      <c r="L34" s="1827"/>
      <c r="M34" s="1827"/>
      <c r="N34" s="1484"/>
      <c r="O34" s="1484"/>
      <c r="P34" s="1451"/>
      <c r="Q34" s="1816"/>
      <c r="R34" s="1827" t="s">
        <v>141</v>
      </c>
      <c r="S34" s="1827"/>
      <c r="T34" s="1827"/>
      <c r="U34" s="1827"/>
      <c r="V34" s="1484"/>
      <c r="W34" s="1484"/>
    </row>
    <row r="35" spans="1:24" ht="12.75" customHeight="1">
      <c r="A35" s="1816"/>
      <c r="B35" s="1820" t="s">
        <v>142</v>
      </c>
      <c r="C35" s="1821"/>
      <c r="D35" s="1821"/>
      <c r="E35" s="1822"/>
      <c r="F35" s="1453" t="s">
        <v>143</v>
      </c>
      <c r="G35" s="1453" t="s">
        <v>81</v>
      </c>
      <c r="H35" s="1454"/>
      <c r="I35" s="1816"/>
      <c r="J35" s="1820" t="s">
        <v>142</v>
      </c>
      <c r="K35" s="1821"/>
      <c r="L35" s="1821"/>
      <c r="M35" s="1822"/>
      <c r="N35" s="1453" t="s">
        <v>143</v>
      </c>
      <c r="O35" s="1453" t="s">
        <v>81</v>
      </c>
      <c r="P35" s="1454"/>
      <c r="Q35" s="1816"/>
      <c r="R35" s="1820" t="s">
        <v>142</v>
      </c>
      <c r="S35" s="1821"/>
      <c r="T35" s="1821"/>
      <c r="U35" s="1822"/>
      <c r="V35" s="1453" t="s">
        <v>143</v>
      </c>
      <c r="W35" s="1453" t="s">
        <v>81</v>
      </c>
    </row>
    <row r="36" spans="1:24" ht="15" customHeight="1">
      <c r="A36" s="1816"/>
      <c r="B36" s="1452" t="s">
        <v>145</v>
      </c>
      <c r="C36" s="1455">
        <v>2022</v>
      </c>
      <c r="D36" s="1455">
        <v>2021</v>
      </c>
      <c r="E36" s="1455">
        <v>2019</v>
      </c>
      <c r="F36" s="1453"/>
      <c r="G36" s="1453"/>
      <c r="H36" s="1454"/>
      <c r="I36" s="1816"/>
      <c r="J36" s="1452" t="s">
        <v>145</v>
      </c>
      <c r="K36" s="1455">
        <v>2022</v>
      </c>
      <c r="L36" s="1455">
        <v>2021</v>
      </c>
      <c r="M36" s="1455">
        <v>2019</v>
      </c>
      <c r="N36" s="1453"/>
      <c r="O36" s="1453"/>
      <c r="P36" s="1454"/>
      <c r="Q36" s="1816"/>
      <c r="R36" s="1485" t="s">
        <v>145</v>
      </c>
      <c r="S36" s="1455">
        <v>2023</v>
      </c>
      <c r="T36" s="1455">
        <v>2022</v>
      </c>
      <c r="U36" s="1455">
        <v>2019</v>
      </c>
      <c r="V36" s="1453"/>
      <c r="W36" s="1453"/>
    </row>
    <row r="37" spans="1:24" ht="12.75" customHeight="1">
      <c r="A37" s="1816"/>
      <c r="B37" s="1466">
        <v>150</v>
      </c>
      <c r="C37" s="1461">
        <v>0.08</v>
      </c>
      <c r="D37" s="1462">
        <v>-0.05</v>
      </c>
      <c r="E37" s="1462">
        <v>0.11</v>
      </c>
      <c r="F37" s="1459">
        <f>0.5*(MAX(C37:E37)-MIN(C37:E37))</f>
        <v>0.08</v>
      </c>
      <c r="G37" s="1470">
        <f>B37*$H$37</f>
        <v>1.8</v>
      </c>
      <c r="H37" s="1454">
        <f>1.2/100</f>
        <v>1.2E-2</v>
      </c>
      <c r="I37" s="1816"/>
      <c r="J37" s="1486">
        <v>150</v>
      </c>
      <c r="K37" s="1462">
        <v>0.02</v>
      </c>
      <c r="L37" s="1462">
        <v>0.25</v>
      </c>
      <c r="M37" s="1462">
        <v>0.02</v>
      </c>
      <c r="N37" s="1459">
        <f t="shared" ref="N37:N42" si="23">0.5*(MAX(K37:M37)-MIN(K37:M37))</f>
        <v>0.115</v>
      </c>
      <c r="O37" s="1470">
        <f>J37*$P$37</f>
        <v>1.8</v>
      </c>
      <c r="P37" s="1454">
        <f>1.2/100</f>
        <v>1.2E-2</v>
      </c>
      <c r="Q37" s="1816"/>
      <c r="R37" s="1457">
        <v>150</v>
      </c>
      <c r="S37" s="1462">
        <v>0.14000000000000001</v>
      </c>
      <c r="T37" s="1462">
        <v>0.15</v>
      </c>
      <c r="U37" s="1462">
        <v>-0.15</v>
      </c>
      <c r="V37" s="1459">
        <f t="shared" ref="V37:V42" si="24">0.5*(MAX(S37:U37)-MIN(S37:U37))</f>
        <v>0.15</v>
      </c>
      <c r="W37" s="1465">
        <f>R37*$X$37</f>
        <v>1.8</v>
      </c>
      <c r="X37" s="1448">
        <f>1.2/100</f>
        <v>1.2E-2</v>
      </c>
    </row>
    <row r="38" spans="1:24" ht="12.75" customHeight="1">
      <c r="A38" s="1816"/>
      <c r="B38" s="1466">
        <v>180</v>
      </c>
      <c r="C38" s="1461">
        <v>0.11</v>
      </c>
      <c r="D38" s="1462">
        <v>-0.04</v>
      </c>
      <c r="E38" s="1462">
        <v>0.03</v>
      </c>
      <c r="F38" s="1459">
        <f t="shared" ref="F38:F42" si="25">0.5*(MAX(C38:E38)-MIN(C38:E38))</f>
        <v>7.4999999999999997E-2</v>
      </c>
      <c r="G38" s="1470">
        <f t="shared" ref="G38:G42" si="26">B38*$H$37</f>
        <v>2.16</v>
      </c>
      <c r="H38" s="1454"/>
      <c r="I38" s="1816"/>
      <c r="J38" s="1486">
        <v>180</v>
      </c>
      <c r="K38" s="1462">
        <v>-0.08</v>
      </c>
      <c r="L38" s="1462">
        <v>0.09</v>
      </c>
      <c r="M38" s="1462">
        <v>0.1</v>
      </c>
      <c r="N38" s="1459">
        <f t="shared" si="23"/>
        <v>0.09</v>
      </c>
      <c r="O38" s="1470">
        <f t="shared" ref="O38:O42" si="27">J38*$P$37</f>
        <v>2.16</v>
      </c>
      <c r="P38" s="1454"/>
      <c r="Q38" s="1816"/>
      <c r="R38" s="1457">
        <v>180</v>
      </c>
      <c r="S38" s="1462">
        <v>0.17</v>
      </c>
      <c r="T38" s="1462">
        <v>0.17</v>
      </c>
      <c r="U38" s="1462">
        <v>-0.11</v>
      </c>
      <c r="V38" s="1459">
        <f t="shared" si="24"/>
        <v>0.14000000000000001</v>
      </c>
      <c r="W38" s="1465">
        <f t="shared" ref="W38:W42" si="28">R38*$X$37</f>
        <v>2.16</v>
      </c>
    </row>
    <row r="39" spans="1:24" ht="12.75" customHeight="1">
      <c r="A39" s="1816"/>
      <c r="B39" s="1466">
        <v>200</v>
      </c>
      <c r="C39" s="1461">
        <v>0.11</v>
      </c>
      <c r="D39" s="1462">
        <v>-0.67</v>
      </c>
      <c r="E39" s="1462">
        <v>0.05</v>
      </c>
      <c r="F39" s="1459">
        <f t="shared" si="25"/>
        <v>0.39</v>
      </c>
      <c r="G39" s="1470">
        <f t="shared" si="26"/>
        <v>2.4</v>
      </c>
      <c r="H39" s="1454"/>
      <c r="I39" s="1816"/>
      <c r="J39" s="1486">
        <v>200</v>
      </c>
      <c r="K39" s="1462">
        <v>-0.12</v>
      </c>
      <c r="L39" s="1462">
        <v>0.18</v>
      </c>
      <c r="M39" s="1462">
        <v>-0.03</v>
      </c>
      <c r="N39" s="1459">
        <f t="shared" si="23"/>
        <v>0.15</v>
      </c>
      <c r="O39" s="1470">
        <f t="shared" si="27"/>
        <v>2.4</v>
      </c>
      <c r="P39" s="1454"/>
      <c r="Q39" s="1816"/>
      <c r="R39" s="1457">
        <v>200</v>
      </c>
      <c r="S39" s="1462">
        <v>0.08</v>
      </c>
      <c r="T39" s="1462">
        <v>0.1</v>
      </c>
      <c r="U39" s="1462">
        <v>-0.1</v>
      </c>
      <c r="V39" s="1459">
        <f t="shared" si="24"/>
        <v>0.1</v>
      </c>
      <c r="W39" s="1465">
        <f t="shared" si="28"/>
        <v>2.4</v>
      </c>
    </row>
    <row r="40" spans="1:24" ht="12.75" customHeight="1">
      <c r="A40" s="1816"/>
      <c r="B40" s="1466">
        <v>220</v>
      </c>
      <c r="C40" s="1461">
        <v>0.13</v>
      </c>
      <c r="D40" s="1462">
        <v>9.9999999999999995E-7</v>
      </c>
      <c r="E40" s="1462">
        <v>0.1</v>
      </c>
      <c r="F40" s="1459">
        <f t="shared" si="25"/>
        <v>6.4999500000000002E-2</v>
      </c>
      <c r="G40" s="1470">
        <f t="shared" si="26"/>
        <v>2.64</v>
      </c>
      <c r="H40" s="1454"/>
      <c r="I40" s="1816"/>
      <c r="J40" s="1486">
        <v>220</v>
      </c>
      <c r="K40" s="1462">
        <v>-0.17</v>
      </c>
      <c r="L40" s="1462">
        <v>0.56000000000000005</v>
      </c>
      <c r="M40" s="1462">
        <v>0.38</v>
      </c>
      <c r="N40" s="1459">
        <f t="shared" si="23"/>
        <v>0.36500000000000005</v>
      </c>
      <c r="O40" s="1470">
        <f t="shared" si="27"/>
        <v>2.64</v>
      </c>
      <c r="P40" s="1454"/>
      <c r="Q40" s="1816"/>
      <c r="R40" s="1457">
        <v>220</v>
      </c>
      <c r="S40" s="1462">
        <v>0.06</v>
      </c>
      <c r="T40" s="1462">
        <v>7.0000000000000007E-2</v>
      </c>
      <c r="U40" s="1462">
        <v>-0.13</v>
      </c>
      <c r="V40" s="1459">
        <f t="shared" si="24"/>
        <v>0.1</v>
      </c>
      <c r="W40" s="1465">
        <f t="shared" si="28"/>
        <v>2.64</v>
      </c>
    </row>
    <row r="41" spans="1:24" ht="12.75" customHeight="1">
      <c r="A41" s="1816"/>
      <c r="B41" s="1466">
        <v>230</v>
      </c>
      <c r="C41" s="1461">
        <v>0.11</v>
      </c>
      <c r="D41" s="1462">
        <v>-0.11</v>
      </c>
      <c r="E41" s="1462">
        <v>1.1100000000000001</v>
      </c>
      <c r="F41" s="1459">
        <f t="shared" si="25"/>
        <v>0.6100000000000001</v>
      </c>
      <c r="G41" s="1470">
        <f t="shared" si="26"/>
        <v>2.7600000000000002</v>
      </c>
      <c r="H41" s="1454"/>
      <c r="I41" s="1816"/>
      <c r="J41" s="1486">
        <v>230</v>
      </c>
      <c r="K41" s="1462">
        <v>-0.14000000000000001</v>
      </c>
      <c r="L41" s="1462">
        <v>0.73</v>
      </c>
      <c r="M41" s="1462">
        <v>-0.16</v>
      </c>
      <c r="N41" s="1459">
        <f t="shared" si="23"/>
        <v>0.44500000000000001</v>
      </c>
      <c r="O41" s="1470">
        <f t="shared" si="27"/>
        <v>2.7600000000000002</v>
      </c>
      <c r="P41" s="1454"/>
      <c r="Q41" s="1816"/>
      <c r="R41" s="1457">
        <v>230</v>
      </c>
      <c r="S41" s="1462">
        <v>0.04</v>
      </c>
      <c r="T41" s="1462">
        <v>0.08</v>
      </c>
      <c r="U41" s="1462">
        <v>-0.15</v>
      </c>
      <c r="V41" s="1459">
        <f t="shared" si="24"/>
        <v>0.11499999999999999</v>
      </c>
      <c r="W41" s="1465">
        <f t="shared" si="28"/>
        <v>2.7600000000000002</v>
      </c>
    </row>
    <row r="42" spans="1:24" ht="12.75" customHeight="1">
      <c r="A42" s="1816"/>
      <c r="B42" s="1466">
        <v>250</v>
      </c>
      <c r="C42" s="1461">
        <v>0</v>
      </c>
      <c r="D42" s="1462">
        <v>9.9999999999999995E-7</v>
      </c>
      <c r="E42" s="1462">
        <v>9.9999999999999995E-7</v>
      </c>
      <c r="F42" s="1459">
        <f t="shared" si="25"/>
        <v>4.9999999999999998E-7</v>
      </c>
      <c r="G42" s="1470">
        <f t="shared" si="26"/>
        <v>3</v>
      </c>
      <c r="H42" s="1454"/>
      <c r="I42" s="1816"/>
      <c r="J42" s="1486">
        <v>250</v>
      </c>
      <c r="K42" s="1462">
        <v>-0.31</v>
      </c>
      <c r="L42" s="1462">
        <v>9.9999999999999995E-7</v>
      </c>
      <c r="M42" s="1462">
        <v>9.9999999999999995E-7</v>
      </c>
      <c r="N42" s="1459">
        <f t="shared" si="23"/>
        <v>0.15500049999999999</v>
      </c>
      <c r="O42" s="1470">
        <f t="shared" si="27"/>
        <v>3</v>
      </c>
      <c r="P42" s="1454"/>
      <c r="Q42" s="1816"/>
      <c r="R42" s="1457">
        <v>250</v>
      </c>
      <c r="S42" s="1462">
        <v>0</v>
      </c>
      <c r="T42" s="1462">
        <v>0</v>
      </c>
      <c r="U42" s="1462">
        <v>9.9999999999999995E-7</v>
      </c>
      <c r="V42" s="1459">
        <f t="shared" si="24"/>
        <v>4.9999999999999998E-7</v>
      </c>
      <c r="W42" s="1465">
        <f t="shared" si="28"/>
        <v>3</v>
      </c>
    </row>
    <row r="43" spans="1:24" ht="12.75" customHeight="1">
      <c r="A43" s="1816"/>
      <c r="B43" s="1823" t="s">
        <v>148</v>
      </c>
      <c r="C43" s="1824"/>
      <c r="D43" s="1824"/>
      <c r="E43" s="1825"/>
      <c r="F43" s="1453" t="s">
        <v>143</v>
      </c>
      <c r="G43" s="1453" t="s">
        <v>81</v>
      </c>
      <c r="H43" s="1454"/>
      <c r="I43" s="1816"/>
      <c r="J43" s="1823" t="s">
        <v>148</v>
      </c>
      <c r="K43" s="1824"/>
      <c r="L43" s="1824"/>
      <c r="M43" s="1825"/>
      <c r="N43" s="1453" t="s">
        <v>143</v>
      </c>
      <c r="O43" s="1453" t="s">
        <v>81</v>
      </c>
      <c r="P43" s="1454"/>
      <c r="Q43" s="1816"/>
      <c r="R43" s="1823" t="s">
        <v>148</v>
      </c>
      <c r="S43" s="1824"/>
      <c r="T43" s="1824"/>
      <c r="U43" s="1825"/>
      <c r="V43" s="1453" t="s">
        <v>143</v>
      </c>
      <c r="W43" s="1453" t="s">
        <v>81</v>
      </c>
    </row>
    <row r="44" spans="1:24" ht="15" customHeight="1">
      <c r="A44" s="1816"/>
      <c r="B44" s="1452" t="s">
        <v>150</v>
      </c>
      <c r="C44" s="1453">
        <f>C36</f>
        <v>2022</v>
      </c>
      <c r="D44" s="1453">
        <f>D36</f>
        <v>2021</v>
      </c>
      <c r="E44" s="1453">
        <f>E36</f>
        <v>2019</v>
      </c>
      <c r="F44" s="1453"/>
      <c r="G44" s="1453"/>
      <c r="H44" s="1454"/>
      <c r="I44" s="1816"/>
      <c r="J44" s="1452" t="s">
        <v>150</v>
      </c>
      <c r="K44" s="1453">
        <f>K36</f>
        <v>2022</v>
      </c>
      <c r="L44" s="1453">
        <f>L36</f>
        <v>2021</v>
      </c>
      <c r="M44" s="1453">
        <f>M36</f>
        <v>2019</v>
      </c>
      <c r="N44" s="1453"/>
      <c r="O44" s="1453"/>
      <c r="P44" s="1454"/>
      <c r="Q44" s="1816"/>
      <c r="R44" s="1452" t="s">
        <v>150</v>
      </c>
      <c r="S44" s="1453">
        <f>S36</f>
        <v>2023</v>
      </c>
      <c r="T44" s="1453">
        <f>T36</f>
        <v>2022</v>
      </c>
      <c r="U44" s="1453">
        <f>U36</f>
        <v>2019</v>
      </c>
      <c r="V44" s="1453"/>
      <c r="W44" s="1453"/>
    </row>
    <row r="45" spans="1:24" ht="12.75" customHeight="1">
      <c r="A45" s="1816"/>
      <c r="B45" s="1466">
        <v>0</v>
      </c>
      <c r="C45" s="1461">
        <v>0</v>
      </c>
      <c r="D45" s="1462">
        <v>9.9999999999999995E-7</v>
      </c>
      <c r="E45" s="1458">
        <v>9.9999999999999995E-7</v>
      </c>
      <c r="F45" s="1459">
        <f>0.5*(MAX(C45:E45)-MIN(C45:E45))</f>
        <v>4.9999999999999998E-7</v>
      </c>
      <c r="G45" s="1470">
        <f>B45*$H$45</f>
        <v>0</v>
      </c>
      <c r="H45" s="1454">
        <f>0.59/100</f>
        <v>5.8999999999999999E-3</v>
      </c>
      <c r="I45" s="1816"/>
      <c r="J45" s="1487">
        <v>1.0000000000000001E-5</v>
      </c>
      <c r="K45" s="1462">
        <v>0</v>
      </c>
      <c r="L45" s="1462">
        <v>9.9999999999999995E-7</v>
      </c>
      <c r="M45" s="1462">
        <v>9.9999999999999995E-7</v>
      </c>
      <c r="N45" s="1459">
        <f t="shared" ref="N45:N50" si="29">0.5*(MAX(K45:M45)-MIN(K45:M45))</f>
        <v>4.9999999999999998E-7</v>
      </c>
      <c r="O45" s="1470">
        <f>J45*$P$45</f>
        <v>5.9000000000000006E-8</v>
      </c>
      <c r="P45" s="1454">
        <f>0.59/100</f>
        <v>5.8999999999999999E-3</v>
      </c>
      <c r="Q45" s="1816"/>
      <c r="R45" s="1471">
        <v>9.9999999999999995E-7</v>
      </c>
      <c r="S45" s="1465">
        <v>9.9999999999999995E-7</v>
      </c>
      <c r="T45" s="1465">
        <v>9.9999999999999995E-7</v>
      </c>
      <c r="U45" s="1465">
        <v>9.9999999999999995E-7</v>
      </c>
      <c r="V45" s="1459">
        <f t="shared" ref="V45:V50" si="30">0.5*(MAX(S45:U45)-MIN(S45:U45))</f>
        <v>0</v>
      </c>
      <c r="W45" s="1470">
        <f>R45*$X$45</f>
        <v>5.8999999999999999E-9</v>
      </c>
      <c r="X45" s="1448">
        <f>0.59/100</f>
        <v>5.8999999999999999E-3</v>
      </c>
    </row>
    <row r="46" spans="1:24" ht="12.75" customHeight="1">
      <c r="A46" s="1816"/>
      <c r="B46" s="1466">
        <v>50</v>
      </c>
      <c r="C46" s="1461">
        <v>2.2999999999999998</v>
      </c>
      <c r="D46" s="1462">
        <v>-0.3</v>
      </c>
      <c r="E46" s="1462">
        <v>-0.28999999999999998</v>
      </c>
      <c r="F46" s="1459">
        <f t="shared" ref="F46:F50" si="31">0.5*(MAX(C46:E46)-MIN(C46:E46))</f>
        <v>1.2999999999999998</v>
      </c>
      <c r="G46" s="1470">
        <f t="shared" ref="G46:G50" si="32">B46*$H$45</f>
        <v>0.29499999999999998</v>
      </c>
      <c r="H46" s="1454"/>
      <c r="I46" s="1816"/>
      <c r="J46" s="1486">
        <v>50</v>
      </c>
      <c r="K46" s="1462">
        <v>4.0999999999999996</v>
      </c>
      <c r="L46" s="1462">
        <v>0.3</v>
      </c>
      <c r="M46" s="1462">
        <v>-0.33</v>
      </c>
      <c r="N46" s="1459">
        <f t="shared" si="29"/>
        <v>2.2149999999999999</v>
      </c>
      <c r="O46" s="1470">
        <f t="shared" ref="O46:O50" si="33">J46*$P$45</f>
        <v>0.29499999999999998</v>
      </c>
      <c r="P46" s="1454"/>
      <c r="Q46" s="1816"/>
      <c r="R46" s="1466">
        <v>50</v>
      </c>
      <c r="S46" s="1461">
        <v>4.5</v>
      </c>
      <c r="T46" s="1462">
        <v>19.100000000000001</v>
      </c>
      <c r="U46" s="1462">
        <v>0.02</v>
      </c>
      <c r="V46" s="1459">
        <f t="shared" si="30"/>
        <v>9.5400000000000009</v>
      </c>
      <c r="W46" s="1470">
        <f t="shared" ref="W46:W50" si="34">R46*$X$45</f>
        <v>0.29499999999999998</v>
      </c>
    </row>
    <row r="47" spans="1:24" ht="12.75" customHeight="1">
      <c r="A47" s="1816"/>
      <c r="B47" s="1466">
        <v>100</v>
      </c>
      <c r="C47" s="1461">
        <v>4.0999999999999996</v>
      </c>
      <c r="D47" s="1462">
        <v>-0.4</v>
      </c>
      <c r="E47" s="1462">
        <v>-0.35</v>
      </c>
      <c r="F47" s="1459">
        <f t="shared" si="31"/>
        <v>2.25</v>
      </c>
      <c r="G47" s="1470">
        <f t="shared" si="32"/>
        <v>0.59</v>
      </c>
      <c r="H47" s="1454"/>
      <c r="I47" s="1816"/>
      <c r="J47" s="1486">
        <v>100</v>
      </c>
      <c r="K47" s="1462">
        <v>5</v>
      </c>
      <c r="L47" s="1462">
        <v>-0.1</v>
      </c>
      <c r="M47" s="1462">
        <v>-0.42</v>
      </c>
      <c r="N47" s="1459">
        <f t="shared" si="29"/>
        <v>2.71</v>
      </c>
      <c r="O47" s="1470">
        <f t="shared" si="33"/>
        <v>0.59</v>
      </c>
      <c r="P47" s="1454"/>
      <c r="Q47" s="1816"/>
      <c r="R47" s="1466">
        <v>100</v>
      </c>
      <c r="S47" s="1461">
        <v>6.2</v>
      </c>
      <c r="T47" s="1462">
        <v>18.399999999999999</v>
      </c>
      <c r="U47" s="1462">
        <v>0.22</v>
      </c>
      <c r="V47" s="1459">
        <f t="shared" si="30"/>
        <v>9.09</v>
      </c>
      <c r="W47" s="1470">
        <f t="shared" si="34"/>
        <v>0.59</v>
      </c>
    </row>
    <row r="48" spans="1:24" ht="12.75" customHeight="1">
      <c r="A48" s="1816"/>
      <c r="B48" s="1466">
        <v>200</v>
      </c>
      <c r="C48" s="1461">
        <v>5</v>
      </c>
      <c r="D48" s="1462">
        <v>0.3</v>
      </c>
      <c r="E48" s="1462">
        <v>0.8</v>
      </c>
      <c r="F48" s="1459">
        <f t="shared" si="31"/>
        <v>2.35</v>
      </c>
      <c r="G48" s="1470">
        <f t="shared" si="32"/>
        <v>1.18</v>
      </c>
      <c r="H48" s="1454"/>
      <c r="I48" s="1816"/>
      <c r="J48" s="1486">
        <v>200</v>
      </c>
      <c r="K48" s="1462">
        <v>7.7</v>
      </c>
      <c r="L48" s="1462">
        <v>1.3</v>
      </c>
      <c r="M48" s="1462">
        <v>1.3</v>
      </c>
      <c r="N48" s="1459">
        <f t="shared" si="29"/>
        <v>3.2</v>
      </c>
      <c r="O48" s="1470">
        <f t="shared" si="33"/>
        <v>1.18</v>
      </c>
      <c r="P48" s="1454"/>
      <c r="Q48" s="1816"/>
      <c r="R48" s="1466">
        <v>200</v>
      </c>
      <c r="S48" s="1461">
        <v>9.4</v>
      </c>
      <c r="T48" s="1462">
        <v>14.4</v>
      </c>
      <c r="U48" s="1462">
        <v>0.8</v>
      </c>
      <c r="V48" s="1459">
        <f t="shared" si="30"/>
        <v>6.8</v>
      </c>
      <c r="W48" s="1470">
        <f t="shared" si="34"/>
        <v>1.18</v>
      </c>
    </row>
    <row r="49" spans="1:24" ht="12.75" customHeight="1">
      <c r="A49" s="1816"/>
      <c r="B49" s="1466">
        <v>500</v>
      </c>
      <c r="C49" s="1461">
        <v>3.5</v>
      </c>
      <c r="D49" s="1462">
        <v>0.2</v>
      </c>
      <c r="E49" s="1462">
        <v>1.2</v>
      </c>
      <c r="F49" s="1459">
        <f t="shared" si="31"/>
        <v>1.65</v>
      </c>
      <c r="G49" s="1470">
        <f t="shared" si="32"/>
        <v>2.9499999999999997</v>
      </c>
      <c r="H49" s="1454"/>
      <c r="I49" s="1816"/>
      <c r="J49" s="1486">
        <v>500</v>
      </c>
      <c r="K49" s="1462">
        <v>5.7</v>
      </c>
      <c r="L49" s="1462">
        <v>0.7</v>
      </c>
      <c r="M49" s="1462">
        <v>0.7</v>
      </c>
      <c r="N49" s="1459">
        <f t="shared" si="29"/>
        <v>2.5</v>
      </c>
      <c r="O49" s="1470">
        <f t="shared" si="33"/>
        <v>2.9499999999999997</v>
      </c>
      <c r="P49" s="1454"/>
      <c r="Q49" s="1816"/>
      <c r="R49" s="1466">
        <v>500</v>
      </c>
      <c r="S49" s="1461">
        <v>10.8</v>
      </c>
      <c r="T49" s="1462">
        <v>6.2</v>
      </c>
      <c r="U49" s="1462">
        <v>1.1000000000000001</v>
      </c>
      <c r="V49" s="1459">
        <f t="shared" si="30"/>
        <v>4.8500000000000005</v>
      </c>
      <c r="W49" s="1470">
        <f t="shared" si="34"/>
        <v>2.9499999999999997</v>
      </c>
    </row>
    <row r="50" spans="1:24" ht="12.75" customHeight="1">
      <c r="A50" s="1816"/>
      <c r="B50" s="1466">
        <v>1000</v>
      </c>
      <c r="C50" s="1461">
        <v>-1</v>
      </c>
      <c r="D50" s="1462">
        <v>2</v>
      </c>
      <c r="E50" s="1462">
        <v>2</v>
      </c>
      <c r="F50" s="1459">
        <f t="shared" si="31"/>
        <v>1.5</v>
      </c>
      <c r="G50" s="1470">
        <f t="shared" si="32"/>
        <v>5.8999999999999995</v>
      </c>
      <c r="H50" s="1454"/>
      <c r="I50" s="1816"/>
      <c r="J50" s="1486">
        <v>1000</v>
      </c>
      <c r="K50" s="1462">
        <v>-88</v>
      </c>
      <c r="L50" s="1462">
        <v>9.9999999999999995E-7</v>
      </c>
      <c r="M50" s="1462">
        <v>9.9999999999999995E-7</v>
      </c>
      <c r="N50" s="1459">
        <f t="shared" si="29"/>
        <v>44.000000499999999</v>
      </c>
      <c r="O50" s="1470">
        <f t="shared" si="33"/>
        <v>5.8999999999999995</v>
      </c>
      <c r="P50" s="1454"/>
      <c r="Q50" s="1816"/>
      <c r="R50" s="1466">
        <v>1000</v>
      </c>
      <c r="S50" s="1461">
        <v>-88</v>
      </c>
      <c r="T50" s="1462">
        <v>0</v>
      </c>
      <c r="U50" s="1462">
        <v>9.9999999999999995E-7</v>
      </c>
      <c r="V50" s="1459">
        <f t="shared" si="30"/>
        <v>44.000000499999999</v>
      </c>
      <c r="W50" s="1470">
        <f t="shared" si="34"/>
        <v>5.8999999999999995</v>
      </c>
    </row>
    <row r="51" spans="1:24" ht="12.75" customHeight="1">
      <c r="A51" s="1816"/>
      <c r="B51" s="1823" t="str">
        <f>B20</f>
        <v>Main-PE</v>
      </c>
      <c r="C51" s="1824"/>
      <c r="D51" s="1824"/>
      <c r="E51" s="1825"/>
      <c r="F51" s="1453" t="s">
        <v>143</v>
      </c>
      <c r="G51" s="1453" t="s">
        <v>81</v>
      </c>
      <c r="H51" s="1454"/>
      <c r="I51" s="1816"/>
      <c r="J51" s="1823" t="str">
        <f>B51</f>
        <v>Main-PE</v>
      </c>
      <c r="K51" s="1824"/>
      <c r="L51" s="1824"/>
      <c r="M51" s="1825"/>
      <c r="N51" s="1453" t="s">
        <v>143</v>
      </c>
      <c r="O51" s="1453" t="s">
        <v>81</v>
      </c>
      <c r="P51" s="1454"/>
      <c r="Q51" s="1816"/>
      <c r="R51" s="1823" t="str">
        <f>J51</f>
        <v>Main-PE</v>
      </c>
      <c r="S51" s="1824"/>
      <c r="T51" s="1824"/>
      <c r="U51" s="1825"/>
      <c r="V51" s="1453" t="s">
        <v>143</v>
      </c>
      <c r="W51" s="1453" t="s">
        <v>81</v>
      </c>
    </row>
    <row r="52" spans="1:24" ht="15" customHeight="1">
      <c r="A52" s="1816"/>
      <c r="B52" s="1452" t="s">
        <v>153</v>
      </c>
      <c r="C52" s="1453">
        <f>C36</f>
        <v>2022</v>
      </c>
      <c r="D52" s="1453">
        <f>D36</f>
        <v>2021</v>
      </c>
      <c r="E52" s="1453">
        <f>E36</f>
        <v>2019</v>
      </c>
      <c r="F52" s="1453"/>
      <c r="G52" s="1453"/>
      <c r="H52" s="1454"/>
      <c r="I52" s="1816"/>
      <c r="J52" s="1452" t="s">
        <v>153</v>
      </c>
      <c r="K52" s="1453">
        <f>K36</f>
        <v>2022</v>
      </c>
      <c r="L52" s="1453">
        <f>L36</f>
        <v>2021</v>
      </c>
      <c r="M52" s="1453">
        <f>M36</f>
        <v>2019</v>
      </c>
      <c r="N52" s="1453"/>
      <c r="O52" s="1453"/>
      <c r="P52" s="1454"/>
      <c r="Q52" s="1816"/>
      <c r="R52" s="1452" t="s">
        <v>153</v>
      </c>
      <c r="S52" s="1453">
        <f>S36</f>
        <v>2023</v>
      </c>
      <c r="T52" s="1453">
        <f>T36</f>
        <v>2022</v>
      </c>
      <c r="U52" s="1453">
        <f>U36</f>
        <v>2019</v>
      </c>
      <c r="V52" s="1453"/>
      <c r="W52" s="1453"/>
    </row>
    <row r="53" spans="1:24" ht="12.75" customHeight="1">
      <c r="A53" s="1816"/>
      <c r="B53" s="1466">
        <v>10</v>
      </c>
      <c r="C53" s="1461">
        <v>0</v>
      </c>
      <c r="D53" s="1462">
        <v>9.9999999999999995E-7</v>
      </c>
      <c r="E53" s="1462">
        <v>0.1</v>
      </c>
      <c r="F53" s="1459">
        <f>0.5*(MAX(C53:E53)-MIN(C53:E53))</f>
        <v>0.05</v>
      </c>
      <c r="G53" s="1471">
        <f>B53*$H$53</f>
        <v>0.17</v>
      </c>
      <c r="H53" s="1454">
        <f>1.7/100</f>
        <v>1.7000000000000001E-2</v>
      </c>
      <c r="I53" s="1816"/>
      <c r="J53" s="1466">
        <v>10</v>
      </c>
      <c r="K53" s="1462">
        <v>0</v>
      </c>
      <c r="L53" s="1462">
        <v>9.9999999999999995E-7</v>
      </c>
      <c r="M53" s="1462">
        <v>0.1</v>
      </c>
      <c r="N53" s="1459">
        <f>0.5*(MAX(K53:M53)-MIN(K53:M53))</f>
        <v>0.05</v>
      </c>
      <c r="O53" s="1471">
        <f>J53*$P$53</f>
        <v>0.17</v>
      </c>
      <c r="P53" s="1454">
        <f>1.7/100</f>
        <v>1.7000000000000001E-2</v>
      </c>
      <c r="Q53" s="1816"/>
      <c r="R53" s="1466">
        <v>9.9999999999999995E-7</v>
      </c>
      <c r="S53" s="1461">
        <v>0</v>
      </c>
      <c r="T53" s="1462">
        <v>0.1</v>
      </c>
      <c r="U53" s="1462">
        <v>0.1</v>
      </c>
      <c r="V53" s="1459">
        <f t="shared" ref="V53:V56" si="35">0.5*(MAX(S53:U53)-MIN(S53:U53))</f>
        <v>0.05</v>
      </c>
      <c r="W53" s="1471">
        <f>R53*$X$53</f>
        <v>1.7E-8</v>
      </c>
      <c r="X53" s="1448">
        <f>1.7/100</f>
        <v>1.7000000000000001E-2</v>
      </c>
    </row>
    <row r="54" spans="1:24" ht="12.75" customHeight="1">
      <c r="A54" s="1816"/>
      <c r="B54" s="1466">
        <v>20</v>
      </c>
      <c r="C54" s="1461">
        <v>0.1</v>
      </c>
      <c r="D54" s="1462">
        <v>0.1</v>
      </c>
      <c r="E54" s="1462">
        <v>0.2</v>
      </c>
      <c r="F54" s="1459">
        <f t="shared" ref="F54:F56" si="36">0.5*(MAX(C54:E54)-MIN(C54:E54))</f>
        <v>0.05</v>
      </c>
      <c r="G54" s="1471">
        <f t="shared" ref="G54:G56" si="37">B54*$H$53</f>
        <v>0.34</v>
      </c>
      <c r="H54" s="1454"/>
      <c r="I54" s="1816"/>
      <c r="J54" s="1466">
        <v>20</v>
      </c>
      <c r="K54" s="1462">
        <v>0.1</v>
      </c>
      <c r="L54" s="1462">
        <v>0.1</v>
      </c>
      <c r="M54" s="1462">
        <v>0.1</v>
      </c>
      <c r="N54" s="1459">
        <f>0.5*(MAX(K54:M54)-MIN(K54:M54))</f>
        <v>0</v>
      </c>
      <c r="O54" s="1471">
        <f t="shared" ref="O54:O56" si="38">J54*$P$53</f>
        <v>0.34</v>
      </c>
      <c r="P54" s="1454"/>
      <c r="Q54" s="1816"/>
      <c r="R54" s="1466">
        <v>20</v>
      </c>
      <c r="S54" s="1461">
        <v>0.1</v>
      </c>
      <c r="T54" s="1462">
        <v>0.1</v>
      </c>
      <c r="U54" s="1462">
        <v>0.1</v>
      </c>
      <c r="V54" s="1459">
        <f t="shared" si="35"/>
        <v>0</v>
      </c>
      <c r="W54" s="1471">
        <f t="shared" ref="W54:W56" si="39">R54*$X$53</f>
        <v>0.34</v>
      </c>
    </row>
    <row r="55" spans="1:24" ht="12.75" customHeight="1">
      <c r="A55" s="1816"/>
      <c r="B55" s="1466">
        <v>50</v>
      </c>
      <c r="C55" s="1461">
        <v>0.4</v>
      </c>
      <c r="D55" s="1462">
        <v>0.4</v>
      </c>
      <c r="E55" s="1462">
        <v>0.5</v>
      </c>
      <c r="F55" s="1459">
        <f t="shared" si="36"/>
        <v>4.9999999999999989E-2</v>
      </c>
      <c r="G55" s="1471">
        <f t="shared" si="37"/>
        <v>0.85000000000000009</v>
      </c>
      <c r="H55" s="1454"/>
      <c r="I55" s="1816"/>
      <c r="J55" s="1466">
        <v>50</v>
      </c>
      <c r="K55" s="1462">
        <v>0.3</v>
      </c>
      <c r="L55" s="1462">
        <v>0.6</v>
      </c>
      <c r="M55" s="1462">
        <v>0.4</v>
      </c>
      <c r="N55" s="1459">
        <f>0.5*(MAX(K55:M55)-MIN(K55:M55))</f>
        <v>0.15</v>
      </c>
      <c r="O55" s="1471">
        <f t="shared" si="38"/>
        <v>0.85000000000000009</v>
      </c>
      <c r="P55" s="1454"/>
      <c r="Q55" s="1816"/>
      <c r="R55" s="1466">
        <v>50</v>
      </c>
      <c r="S55" s="1461">
        <v>0.1</v>
      </c>
      <c r="T55" s="1462">
        <v>0.3</v>
      </c>
      <c r="U55" s="1462">
        <v>0.3</v>
      </c>
      <c r="V55" s="1459">
        <f t="shared" si="35"/>
        <v>9.9999999999999992E-2</v>
      </c>
      <c r="W55" s="1471">
        <f t="shared" si="39"/>
        <v>0.85000000000000009</v>
      </c>
    </row>
    <row r="56" spans="1:24" ht="12.75" customHeight="1">
      <c r="A56" s="1816"/>
      <c r="B56" s="1466">
        <v>100</v>
      </c>
      <c r="C56" s="1461">
        <v>0.8</v>
      </c>
      <c r="D56" s="1462">
        <v>1.4</v>
      </c>
      <c r="E56" s="1462">
        <v>1</v>
      </c>
      <c r="F56" s="1459">
        <f t="shared" si="36"/>
        <v>0.29999999999999993</v>
      </c>
      <c r="G56" s="1471">
        <f t="shared" si="37"/>
        <v>1.7000000000000002</v>
      </c>
      <c r="H56" s="1454"/>
      <c r="I56" s="1816"/>
      <c r="J56" s="1466">
        <v>100</v>
      </c>
      <c r="K56" s="1462">
        <v>0.4</v>
      </c>
      <c r="L56" s="1462">
        <v>1.5</v>
      </c>
      <c r="M56" s="1462">
        <v>0.8</v>
      </c>
      <c r="N56" s="1459">
        <f>0.5*(MAX(K56:M56)-MIN(K56:M56))</f>
        <v>0.55000000000000004</v>
      </c>
      <c r="O56" s="1471">
        <f t="shared" si="38"/>
        <v>1.7000000000000002</v>
      </c>
      <c r="P56" s="1454"/>
      <c r="Q56" s="1816"/>
      <c r="R56" s="1466">
        <v>100</v>
      </c>
      <c r="S56" s="1461">
        <v>2</v>
      </c>
      <c r="T56" s="1462">
        <v>0.6</v>
      </c>
      <c r="U56" s="1462">
        <v>0.6</v>
      </c>
      <c r="V56" s="1459">
        <f t="shared" si="35"/>
        <v>0.7</v>
      </c>
      <c r="W56" s="1471">
        <f t="shared" si="39"/>
        <v>1.7000000000000002</v>
      </c>
    </row>
    <row r="57" spans="1:24" ht="12.75" customHeight="1">
      <c r="A57" s="1816"/>
      <c r="B57" s="1823" t="str">
        <f>B26</f>
        <v>Resistance</v>
      </c>
      <c r="C57" s="1824"/>
      <c r="D57" s="1824"/>
      <c r="E57" s="1825"/>
      <c r="F57" s="1453" t="s">
        <v>143</v>
      </c>
      <c r="G57" s="1453" t="s">
        <v>81</v>
      </c>
      <c r="H57" s="1454"/>
      <c r="I57" s="1816"/>
      <c r="J57" s="1823" t="str">
        <f>B57</f>
        <v>Resistance</v>
      </c>
      <c r="K57" s="1824"/>
      <c r="L57" s="1824"/>
      <c r="M57" s="1825"/>
      <c r="N57" s="1453" t="s">
        <v>143</v>
      </c>
      <c r="O57" s="1453" t="s">
        <v>81</v>
      </c>
      <c r="P57" s="1454"/>
      <c r="Q57" s="1816"/>
      <c r="R57" s="1823" t="str">
        <f>J57</f>
        <v>Resistance</v>
      </c>
      <c r="S57" s="1824"/>
      <c r="T57" s="1824"/>
      <c r="U57" s="1825"/>
      <c r="V57" s="1453" t="s">
        <v>143</v>
      </c>
      <c r="W57" s="1453" t="s">
        <v>81</v>
      </c>
    </row>
    <row r="58" spans="1:24" ht="15" customHeight="1">
      <c r="A58" s="1816"/>
      <c r="B58" s="1452" t="s">
        <v>155</v>
      </c>
      <c r="C58" s="1453">
        <f>C36</f>
        <v>2022</v>
      </c>
      <c r="D58" s="1453">
        <f>D36</f>
        <v>2021</v>
      </c>
      <c r="E58" s="1453">
        <f>E36</f>
        <v>2019</v>
      </c>
      <c r="F58" s="1453"/>
      <c r="G58" s="1453"/>
      <c r="H58" s="1454"/>
      <c r="I58" s="1816"/>
      <c r="J58" s="1452" t="s">
        <v>155</v>
      </c>
      <c r="K58" s="1453">
        <f>K36</f>
        <v>2022</v>
      </c>
      <c r="L58" s="1453">
        <f>L36</f>
        <v>2021</v>
      </c>
      <c r="M58" s="1453">
        <f>M36</f>
        <v>2019</v>
      </c>
      <c r="N58" s="1453"/>
      <c r="O58" s="1453"/>
      <c r="P58" s="1454"/>
      <c r="Q58" s="1816"/>
      <c r="R58" s="1452" t="s">
        <v>155</v>
      </c>
      <c r="S58" s="1453">
        <f>S36</f>
        <v>2023</v>
      </c>
      <c r="T58" s="1453">
        <f>T36</f>
        <v>2022</v>
      </c>
      <c r="U58" s="1453">
        <f>U36</f>
        <v>2019</v>
      </c>
      <c r="V58" s="1453"/>
      <c r="W58" s="1453"/>
    </row>
    <row r="59" spans="1:24" ht="12.75" customHeight="1">
      <c r="A59" s="1816"/>
      <c r="B59" s="1466">
        <v>0.01</v>
      </c>
      <c r="C59" s="1473">
        <v>0</v>
      </c>
      <c r="D59" s="1488">
        <v>9.9999999999999995E-7</v>
      </c>
      <c r="E59" s="1488">
        <v>9.9999999999999995E-7</v>
      </c>
      <c r="F59" s="1459">
        <f>0.5*(MAX(C59:E59)-MIN(C59:E59))</f>
        <v>4.9999999999999998E-7</v>
      </c>
      <c r="G59" s="1466">
        <f>B59*$H$59</f>
        <v>1.2E-4</v>
      </c>
      <c r="H59" s="1454">
        <f>1.2/100</f>
        <v>1.2E-2</v>
      </c>
      <c r="I59" s="1816"/>
      <c r="J59" s="1486">
        <v>0.01</v>
      </c>
      <c r="K59" s="1488">
        <v>0</v>
      </c>
      <c r="L59" s="1488">
        <v>9.9999999999999995E-7</v>
      </c>
      <c r="M59" s="1488">
        <v>9.9999999999999995E-7</v>
      </c>
      <c r="N59" s="1459">
        <f>0.5*(MAX(K59:M59)-MIN(K59:M59))</f>
        <v>4.9999999999999998E-7</v>
      </c>
      <c r="O59" s="1466">
        <f>J59*$P$59</f>
        <v>1.2E-4</v>
      </c>
      <c r="P59" s="1454">
        <f>1.2/100</f>
        <v>1.2E-2</v>
      </c>
      <c r="Q59" s="1816"/>
      <c r="R59" s="1466">
        <v>0.01</v>
      </c>
      <c r="S59" s="1473">
        <v>0</v>
      </c>
      <c r="T59" s="1488">
        <v>0</v>
      </c>
      <c r="U59" s="1488">
        <v>9.9999999999999995E-7</v>
      </c>
      <c r="V59" s="1459">
        <f t="shared" ref="V59:V62" si="40">0.5*(MAX(S59:U59)-MIN(S59:U59))</f>
        <v>4.9999999999999998E-7</v>
      </c>
      <c r="W59" s="1466">
        <f>R59*$X$59</f>
        <v>1.2E-4</v>
      </c>
      <c r="X59" s="1489">
        <f>1.2/100</f>
        <v>1.2E-2</v>
      </c>
    </row>
    <row r="60" spans="1:24" ht="12.75" customHeight="1">
      <c r="A60" s="1816"/>
      <c r="B60" s="1466">
        <v>0.1</v>
      </c>
      <c r="C60" s="1473">
        <v>0</v>
      </c>
      <c r="D60" s="1488">
        <v>-2E-3</v>
      </c>
      <c r="E60" s="1488">
        <v>9.9999999999999995E-7</v>
      </c>
      <c r="F60" s="1459">
        <f t="shared" ref="F60:F62" si="41">0.5*(MAX(C60:E60)-MIN(C60:E60))</f>
        <v>1.0005000000000001E-3</v>
      </c>
      <c r="G60" s="1466">
        <f t="shared" ref="G60:G62" si="42">B60*$H$59</f>
        <v>1.2000000000000001E-3</v>
      </c>
      <c r="H60" s="1454"/>
      <c r="I60" s="1816"/>
      <c r="J60" s="1486">
        <v>0.1</v>
      </c>
      <c r="K60" s="1488">
        <v>-6.0000000000000001E-3</v>
      </c>
      <c r="L60" s="1488">
        <v>5.0000000000000001E-3</v>
      </c>
      <c r="M60" s="1488">
        <v>2E-3</v>
      </c>
      <c r="N60" s="1459">
        <f>0.5*(MAX(K60:M60)-MIN(K60:M60))</f>
        <v>5.4999999999999997E-3</v>
      </c>
      <c r="O60" s="1466">
        <f t="shared" ref="O60:O62" si="43">J60*$P$59</f>
        <v>1.2000000000000001E-3</v>
      </c>
      <c r="P60" s="1454"/>
      <c r="Q60" s="1816"/>
      <c r="R60" s="1466">
        <v>0.1</v>
      </c>
      <c r="S60" s="1473">
        <v>0</v>
      </c>
      <c r="T60" s="1488">
        <v>-3.0000000000000001E-3</v>
      </c>
      <c r="U60" s="1488">
        <v>-2E-3</v>
      </c>
      <c r="V60" s="1459">
        <f t="shared" si="40"/>
        <v>1.5E-3</v>
      </c>
      <c r="W60" s="1466">
        <f t="shared" ref="W60:W62" si="44">R60*$X$59</f>
        <v>1.2000000000000001E-3</v>
      </c>
    </row>
    <row r="61" spans="1:24" ht="12.75" customHeight="1">
      <c r="A61" s="1816"/>
      <c r="B61" s="1466">
        <v>1</v>
      </c>
      <c r="C61" s="1473">
        <v>-2E-3</v>
      </c>
      <c r="D61" s="1488">
        <v>-8.0000000000000002E-3</v>
      </c>
      <c r="E61" s="1488">
        <v>-1E-3</v>
      </c>
      <c r="F61" s="1459">
        <f t="shared" si="41"/>
        <v>3.5000000000000001E-3</v>
      </c>
      <c r="G61" s="1466">
        <f t="shared" si="42"/>
        <v>1.2E-2</v>
      </c>
      <c r="H61" s="1454"/>
      <c r="I61" s="1816"/>
      <c r="J61" s="1486">
        <v>1</v>
      </c>
      <c r="K61" s="1488">
        <v>-2E-3</v>
      </c>
      <c r="L61" s="1488">
        <v>1.7999999999999999E-2</v>
      </c>
      <c r="M61" s="1488">
        <v>1.2E-2</v>
      </c>
      <c r="N61" s="1459">
        <f t="shared" ref="N61:N62" si="45">0.5*(MAX(K61:M61)-MIN(K61:M61))</f>
        <v>9.9999999999999985E-3</v>
      </c>
      <c r="O61" s="1466">
        <f t="shared" si="43"/>
        <v>1.2E-2</v>
      </c>
      <c r="P61" s="1454"/>
      <c r="Q61" s="1816"/>
      <c r="R61" s="1466">
        <v>1</v>
      </c>
      <c r="S61" s="1473">
        <v>-6.0000000000000001E-3</v>
      </c>
      <c r="T61" s="1488">
        <v>-7.0000000000000001E-3</v>
      </c>
      <c r="U61" s="1488">
        <v>-1E-3</v>
      </c>
      <c r="V61" s="1459">
        <f t="shared" si="40"/>
        <v>3.0000000000000001E-3</v>
      </c>
      <c r="W61" s="1466">
        <f t="shared" si="44"/>
        <v>1.2E-2</v>
      </c>
    </row>
    <row r="62" spans="1:24" ht="12.75" customHeight="1">
      <c r="A62" s="1817"/>
      <c r="B62" s="1466">
        <v>2</v>
      </c>
      <c r="C62" s="1473">
        <v>-6.0000000000000001E-3</v>
      </c>
      <c r="D62" s="1488">
        <v>-7.0000000000000001E-3</v>
      </c>
      <c r="E62" s="1488">
        <v>9.9999999999999995E-7</v>
      </c>
      <c r="F62" s="1459">
        <f t="shared" si="41"/>
        <v>3.5005000000000001E-3</v>
      </c>
      <c r="G62" s="1466">
        <f t="shared" si="42"/>
        <v>2.4E-2</v>
      </c>
      <c r="H62" s="1454" t="s">
        <v>146</v>
      </c>
      <c r="I62" s="1817"/>
      <c r="J62" s="1486">
        <v>2</v>
      </c>
      <c r="K62" s="1490">
        <v>-4.0000000000000001E-3</v>
      </c>
      <c r="L62" s="1490">
        <v>0.113</v>
      </c>
      <c r="M62" s="1490">
        <v>9.9999999999999995E-7</v>
      </c>
      <c r="N62" s="1459">
        <f t="shared" si="45"/>
        <v>5.8500000000000003E-2</v>
      </c>
      <c r="O62" s="1466">
        <f t="shared" si="43"/>
        <v>2.4E-2</v>
      </c>
      <c r="P62" s="1454"/>
      <c r="Q62" s="1817"/>
      <c r="R62" s="1466">
        <v>2</v>
      </c>
      <c r="S62" s="1473">
        <v>-7.0000000000000001E-3</v>
      </c>
      <c r="T62" s="1488">
        <v>-7.0000000000000001E-3</v>
      </c>
      <c r="U62" s="1488">
        <v>9.9999999999999995E-7</v>
      </c>
      <c r="V62" s="1459">
        <f t="shared" si="40"/>
        <v>3.5005000000000001E-3</v>
      </c>
      <c r="W62" s="1466">
        <f t="shared" si="44"/>
        <v>2.4E-2</v>
      </c>
    </row>
    <row r="63" spans="1:24" s="323" customFormat="1" ht="15.5">
      <c r="A63" s="1491"/>
      <c r="B63" s="1492"/>
      <c r="C63" s="1493"/>
      <c r="E63" s="1493"/>
      <c r="F63" s="1493"/>
      <c r="G63" s="1493"/>
      <c r="H63" s="1480"/>
      <c r="I63" s="1432"/>
      <c r="J63" s="1494"/>
      <c r="K63" s="1493"/>
      <c r="M63" s="1493"/>
      <c r="N63" s="1493"/>
      <c r="O63" s="1493"/>
      <c r="P63" s="1480"/>
      <c r="Q63" s="1432"/>
      <c r="R63" s="1492"/>
      <c r="S63" s="1493"/>
      <c r="U63" s="993"/>
      <c r="V63" s="993"/>
      <c r="W63" s="1481"/>
      <c r="X63" s="1482"/>
    </row>
    <row r="64" spans="1:24" ht="30" customHeight="1">
      <c r="A64" s="1815">
        <v>7</v>
      </c>
      <c r="B64" s="1826" t="str">
        <f>A173</f>
        <v>Electrical Safety Analyzer, Merek : Fluke, Model : ESA 615, SN : 3699030</v>
      </c>
      <c r="C64" s="1826"/>
      <c r="D64" s="1826"/>
      <c r="E64" s="1826"/>
      <c r="F64" s="1826"/>
      <c r="G64" s="1826"/>
      <c r="H64" s="1449"/>
      <c r="I64" s="1815">
        <v>8</v>
      </c>
      <c r="J64" s="1818" t="str">
        <f>A174</f>
        <v>Electrical Safety Analyzer, Merek : Fluke, Model : ESA 615, SN : 4670010</v>
      </c>
      <c r="K64" s="1818"/>
      <c r="L64" s="1818"/>
      <c r="M64" s="1818"/>
      <c r="N64" s="1818"/>
      <c r="O64" s="1818"/>
      <c r="P64" s="1449"/>
      <c r="Q64" s="1815">
        <v>9</v>
      </c>
      <c r="R64" s="1818" t="str">
        <f>A175</f>
        <v>Electrical Safety Analyzer, Merek : Fluke, Model : ESA 615, SN : 4669058</v>
      </c>
      <c r="S64" s="1818"/>
      <c r="T64" s="1818"/>
      <c r="U64" s="1818"/>
      <c r="V64" s="1818"/>
      <c r="W64" s="1818"/>
    </row>
    <row r="65" spans="1:26" ht="15" customHeight="1">
      <c r="A65" s="1816"/>
      <c r="B65" s="1827" t="s">
        <v>141</v>
      </c>
      <c r="C65" s="1827"/>
      <c r="D65" s="1827"/>
      <c r="E65" s="1827"/>
      <c r="F65" s="1484"/>
      <c r="G65" s="1484"/>
      <c r="H65" s="1451"/>
      <c r="I65" s="1816"/>
      <c r="J65" s="1828" t="s">
        <v>141</v>
      </c>
      <c r="K65" s="1829"/>
      <c r="L65" s="1829"/>
      <c r="M65" s="1830"/>
      <c r="N65" s="1485"/>
      <c r="O65" s="1485"/>
      <c r="P65" s="1451"/>
      <c r="Q65" s="1816"/>
      <c r="R65" s="1827" t="s">
        <v>141</v>
      </c>
      <c r="S65" s="1827"/>
      <c r="T65" s="1827"/>
      <c r="U65" s="1827"/>
      <c r="V65" s="1485"/>
      <c r="W65" s="1485"/>
    </row>
    <row r="66" spans="1:26" ht="12.75" customHeight="1">
      <c r="A66" s="1816"/>
      <c r="B66" s="1820" t="s">
        <v>142</v>
      </c>
      <c r="C66" s="1821"/>
      <c r="D66" s="1821"/>
      <c r="E66" s="1822"/>
      <c r="F66" s="1453" t="s">
        <v>143</v>
      </c>
      <c r="G66" s="1453" t="s">
        <v>81</v>
      </c>
      <c r="H66" s="1454"/>
      <c r="I66" s="1816"/>
      <c r="J66" s="1820" t="s">
        <v>142</v>
      </c>
      <c r="K66" s="1821"/>
      <c r="L66" s="1821"/>
      <c r="M66" s="1822"/>
      <c r="N66" s="1453" t="s">
        <v>143</v>
      </c>
      <c r="O66" s="1453" t="s">
        <v>81</v>
      </c>
      <c r="P66" s="1454"/>
      <c r="Q66" s="1816"/>
      <c r="R66" s="1820" t="s">
        <v>142</v>
      </c>
      <c r="S66" s="1821"/>
      <c r="T66" s="1821"/>
      <c r="U66" s="1822"/>
      <c r="V66" s="1453" t="s">
        <v>143</v>
      </c>
      <c r="W66" s="1453" t="s">
        <v>81</v>
      </c>
    </row>
    <row r="67" spans="1:26" ht="15" customHeight="1">
      <c r="A67" s="1816"/>
      <c r="B67" s="1452" t="s">
        <v>145</v>
      </c>
      <c r="C67" s="1455">
        <v>2023</v>
      </c>
      <c r="D67" s="1455">
        <v>2022</v>
      </c>
      <c r="E67" s="1455">
        <v>2020</v>
      </c>
      <c r="F67" s="1453"/>
      <c r="G67" s="1453"/>
      <c r="H67" s="1454"/>
      <c r="I67" s="1816"/>
      <c r="J67" s="1452" t="s">
        <v>145</v>
      </c>
      <c r="K67" s="1453">
        <v>2023</v>
      </c>
      <c r="L67" s="1455">
        <v>2022</v>
      </c>
      <c r="M67" s="1455">
        <v>2020</v>
      </c>
      <c r="N67" s="1453"/>
      <c r="O67" s="1453"/>
      <c r="P67" s="1454"/>
      <c r="Q67" s="1816"/>
      <c r="R67" s="1452" t="s">
        <v>145</v>
      </c>
      <c r="S67" s="1453">
        <v>2019</v>
      </c>
      <c r="T67" s="1455">
        <v>2022</v>
      </c>
      <c r="U67" s="1455">
        <v>2020</v>
      </c>
      <c r="V67" s="1453"/>
      <c r="W67" s="1453"/>
    </row>
    <row r="68" spans="1:26" ht="12.75" customHeight="1">
      <c r="A68" s="1816"/>
      <c r="B68" s="1457">
        <v>150</v>
      </c>
      <c r="C68" s="1461">
        <v>0.14000000000000001</v>
      </c>
      <c r="D68" s="1458">
        <v>0.36</v>
      </c>
      <c r="E68" s="1458">
        <v>0.21</v>
      </c>
      <c r="F68" s="1459">
        <f t="shared" ref="F68:F73" si="46">0.5*(MAX(C68:E68)-MIN(C68:E68))</f>
        <v>0.10999999999999999</v>
      </c>
      <c r="G68" s="1465">
        <f>B68*$H$68</f>
        <v>1.8</v>
      </c>
      <c r="H68" s="1454">
        <f>1.2/100</f>
        <v>1.2E-2</v>
      </c>
      <c r="I68" s="1816"/>
      <c r="J68" s="1457">
        <v>150</v>
      </c>
      <c r="K68" s="1460">
        <v>-0.17</v>
      </c>
      <c r="L68" s="1495">
        <v>-0.08</v>
      </c>
      <c r="M68" s="1495">
        <v>-0.17</v>
      </c>
      <c r="N68" s="1459">
        <f>0.5*(MAX(K68:M68)-MIN(K68:M68))</f>
        <v>4.5000000000000005E-2</v>
      </c>
      <c r="O68" s="1459">
        <f>J68*$P$68</f>
        <v>1.8</v>
      </c>
      <c r="P68" s="1454">
        <f>1.2/100</f>
        <v>1.2E-2</v>
      </c>
      <c r="Q68" s="1816"/>
      <c r="R68" s="1457">
        <v>150</v>
      </c>
      <c r="S68" s="1460">
        <v>9.9999999999999995E-7</v>
      </c>
      <c r="T68" s="1495">
        <v>-0.17</v>
      </c>
      <c r="U68" s="1495">
        <v>-0.24</v>
      </c>
      <c r="V68" s="1459">
        <f t="shared" ref="V68:V73" si="47">0.5*(MAX(S68:U68)-MIN(S68:U68))</f>
        <v>0.1200005</v>
      </c>
      <c r="W68" s="1459">
        <f>R68*$X$68</f>
        <v>1.8</v>
      </c>
      <c r="X68" s="1448">
        <f>1.2/100</f>
        <v>1.2E-2</v>
      </c>
    </row>
    <row r="69" spans="1:26" ht="12.75" customHeight="1">
      <c r="A69" s="1816"/>
      <c r="B69" s="1457">
        <v>180</v>
      </c>
      <c r="C69" s="1461">
        <v>0.34</v>
      </c>
      <c r="D69" s="1458">
        <v>0.46</v>
      </c>
      <c r="E69" s="1458">
        <v>0.33</v>
      </c>
      <c r="F69" s="1459">
        <f t="shared" si="46"/>
        <v>6.5000000000000002E-2</v>
      </c>
      <c r="G69" s="1465">
        <f t="shared" ref="G69:G73" si="48">B69*$H$68</f>
        <v>2.16</v>
      </c>
      <c r="H69" s="1454"/>
      <c r="I69" s="1816"/>
      <c r="J69" s="1457">
        <v>180</v>
      </c>
      <c r="K69" s="1460">
        <v>-0.16</v>
      </c>
      <c r="L69" s="1495">
        <v>-0.2</v>
      </c>
      <c r="M69" s="1495">
        <v>-0.22</v>
      </c>
      <c r="N69" s="1459">
        <f t="shared" ref="N69:N73" si="49">0.5*(MAX(K69:M69)-MIN(K69:M69))</f>
        <v>0.03</v>
      </c>
      <c r="O69" s="1459">
        <f t="shared" ref="O69:O73" si="50">J69*$P$68</f>
        <v>2.16</v>
      </c>
      <c r="P69" s="1454"/>
      <c r="Q69" s="1816"/>
      <c r="R69" s="1457">
        <v>180</v>
      </c>
      <c r="S69" s="1460">
        <v>9.9999999999999995E-7</v>
      </c>
      <c r="T69" s="1495">
        <v>-0.39</v>
      </c>
      <c r="U69" s="1495">
        <v>-0.14000000000000001</v>
      </c>
      <c r="V69" s="1459">
        <f t="shared" si="47"/>
        <v>0.19500049999999999</v>
      </c>
      <c r="W69" s="1459">
        <f t="shared" ref="W69:W72" si="51">R69*$X$68</f>
        <v>2.16</v>
      </c>
    </row>
    <row r="70" spans="1:26" ht="12.75" customHeight="1">
      <c r="A70" s="1816"/>
      <c r="B70" s="1457">
        <v>200</v>
      </c>
      <c r="C70" s="1461">
        <v>0.42</v>
      </c>
      <c r="D70" s="1458">
        <v>0.52</v>
      </c>
      <c r="E70" s="1458">
        <v>0.34</v>
      </c>
      <c r="F70" s="1459">
        <f t="shared" si="46"/>
        <v>0.09</v>
      </c>
      <c r="G70" s="1465">
        <f t="shared" si="48"/>
        <v>2.4</v>
      </c>
      <c r="H70" s="1454"/>
      <c r="I70" s="1816"/>
      <c r="J70" s="1457">
        <v>200</v>
      </c>
      <c r="K70" s="1460">
        <v>0.1</v>
      </c>
      <c r="L70" s="1458">
        <v>-0.25</v>
      </c>
      <c r="M70" s="1458">
        <v>-0.33</v>
      </c>
      <c r="N70" s="1459">
        <f t="shared" si="49"/>
        <v>0.21500000000000002</v>
      </c>
      <c r="O70" s="1459">
        <f t="shared" si="50"/>
        <v>2.4</v>
      </c>
      <c r="P70" s="1454"/>
      <c r="Q70" s="1816"/>
      <c r="R70" s="1457">
        <v>200</v>
      </c>
      <c r="S70" s="1460">
        <v>9.9999999999999995E-7</v>
      </c>
      <c r="T70" s="1458">
        <v>-0.23</v>
      </c>
      <c r="U70" s="1458">
        <v>-0.33</v>
      </c>
      <c r="V70" s="1459">
        <f t="shared" si="47"/>
        <v>0.16500049999999999</v>
      </c>
      <c r="W70" s="1459">
        <f t="shared" si="51"/>
        <v>2.4</v>
      </c>
    </row>
    <row r="71" spans="1:26" ht="12.75" customHeight="1">
      <c r="A71" s="1816"/>
      <c r="B71" s="1457">
        <v>220</v>
      </c>
      <c r="C71" s="1461">
        <v>0.32</v>
      </c>
      <c r="D71" s="1458">
        <v>0.57999999999999996</v>
      </c>
      <c r="E71" s="1458">
        <v>0.37</v>
      </c>
      <c r="F71" s="1459">
        <f t="shared" si="46"/>
        <v>0.12999999999999998</v>
      </c>
      <c r="G71" s="1465">
        <f t="shared" si="48"/>
        <v>2.64</v>
      </c>
      <c r="H71" s="1454"/>
      <c r="I71" s="1816"/>
      <c r="J71" s="1457">
        <v>220</v>
      </c>
      <c r="K71" s="1460">
        <v>-0.35</v>
      </c>
      <c r="L71" s="1458">
        <v>-0.28999999999999998</v>
      </c>
      <c r="M71" s="1458">
        <v>-0.39</v>
      </c>
      <c r="N71" s="1459">
        <f t="shared" si="49"/>
        <v>5.0000000000000017E-2</v>
      </c>
      <c r="O71" s="1459">
        <f t="shared" si="50"/>
        <v>2.64</v>
      </c>
      <c r="P71" s="1454"/>
      <c r="Q71" s="1816"/>
      <c r="R71" s="1457">
        <v>220</v>
      </c>
      <c r="S71" s="1460">
        <v>9.9999999999999995E-7</v>
      </c>
      <c r="T71" s="1458">
        <v>-0.16</v>
      </c>
      <c r="U71" s="1458">
        <v>-0.45</v>
      </c>
      <c r="V71" s="1459">
        <f t="shared" si="47"/>
        <v>0.22500049999999999</v>
      </c>
      <c r="W71" s="1459">
        <f t="shared" si="51"/>
        <v>2.64</v>
      </c>
    </row>
    <row r="72" spans="1:26" ht="12.75" customHeight="1">
      <c r="A72" s="1816"/>
      <c r="B72" s="1457">
        <v>230</v>
      </c>
      <c r="C72" s="1461">
        <v>0.38</v>
      </c>
      <c r="D72" s="1458">
        <v>0.47</v>
      </c>
      <c r="E72" s="1458">
        <v>0.47</v>
      </c>
      <c r="F72" s="1459">
        <f t="shared" si="46"/>
        <v>4.4999999999999984E-2</v>
      </c>
      <c r="G72" s="1465">
        <f t="shared" si="48"/>
        <v>2.7600000000000002</v>
      </c>
      <c r="H72" s="1454"/>
      <c r="I72" s="1816"/>
      <c r="J72" s="1457">
        <v>230</v>
      </c>
      <c r="K72" s="1460">
        <v>-0.37</v>
      </c>
      <c r="L72" s="1458">
        <v>-0.34</v>
      </c>
      <c r="M72" s="1458">
        <v>-0.39</v>
      </c>
      <c r="N72" s="1459">
        <f t="shared" si="49"/>
        <v>2.4999999999999994E-2</v>
      </c>
      <c r="O72" s="1459">
        <f t="shared" si="50"/>
        <v>2.7600000000000002</v>
      </c>
      <c r="P72" s="1454"/>
      <c r="Q72" s="1816"/>
      <c r="R72" s="1457">
        <v>230</v>
      </c>
      <c r="S72" s="1460">
        <v>9.9999999999999995E-7</v>
      </c>
      <c r="T72" s="1458">
        <v>-0.15</v>
      </c>
      <c r="U72" s="1458">
        <v>-0.54</v>
      </c>
      <c r="V72" s="1459">
        <f t="shared" si="47"/>
        <v>0.27000050000000003</v>
      </c>
      <c r="W72" s="1459">
        <f t="shared" si="51"/>
        <v>2.7600000000000002</v>
      </c>
    </row>
    <row r="73" spans="1:26" ht="12.75" customHeight="1">
      <c r="A73" s="1816"/>
      <c r="B73" s="1457">
        <v>250</v>
      </c>
      <c r="C73" s="1461">
        <v>0.44</v>
      </c>
      <c r="D73" s="1458">
        <v>0</v>
      </c>
      <c r="E73" s="1458">
        <v>0.38</v>
      </c>
      <c r="F73" s="1459">
        <f t="shared" si="46"/>
        <v>0.22</v>
      </c>
      <c r="G73" s="1465">
        <f t="shared" si="48"/>
        <v>3</v>
      </c>
      <c r="H73" s="1454"/>
      <c r="I73" s="1816"/>
      <c r="J73" s="1457">
        <v>250</v>
      </c>
      <c r="K73" s="1460">
        <v>9.9999999999999995E-7</v>
      </c>
      <c r="L73" s="1458">
        <v>9.9999999999999995E-7</v>
      </c>
      <c r="M73" s="1458">
        <v>-0.39</v>
      </c>
      <c r="N73" s="1459">
        <f t="shared" si="49"/>
        <v>0.19500049999999999</v>
      </c>
      <c r="O73" s="1459">
        <f t="shared" si="50"/>
        <v>3</v>
      </c>
      <c r="P73" s="1454"/>
      <c r="Q73" s="1816"/>
      <c r="R73" s="1457">
        <v>250</v>
      </c>
      <c r="S73" s="1460">
        <v>9.9999999999999995E-7</v>
      </c>
      <c r="T73" s="1458">
        <v>9.9999999999999995E-7</v>
      </c>
      <c r="U73" s="1458">
        <v>-0.49</v>
      </c>
      <c r="V73" s="1459">
        <f t="shared" si="47"/>
        <v>0.24500049999999998</v>
      </c>
      <c r="W73" s="1459" t="s">
        <v>10</v>
      </c>
    </row>
    <row r="74" spans="1:26" ht="12.75" customHeight="1">
      <c r="A74" s="1816"/>
      <c r="B74" s="1823" t="s">
        <v>148</v>
      </c>
      <c r="C74" s="1824"/>
      <c r="D74" s="1824"/>
      <c r="E74" s="1825"/>
      <c r="F74" s="1453" t="s">
        <v>143</v>
      </c>
      <c r="G74" s="1453" t="s">
        <v>81</v>
      </c>
      <c r="H74" s="1454"/>
      <c r="I74" s="1816"/>
      <c r="J74" s="1823" t="s">
        <v>148</v>
      </c>
      <c r="K74" s="1824"/>
      <c r="L74" s="1824"/>
      <c r="M74" s="1825"/>
      <c r="N74" s="1453" t="s">
        <v>143</v>
      </c>
      <c r="O74" s="1453" t="s">
        <v>81</v>
      </c>
      <c r="P74" s="1454"/>
      <c r="Q74" s="1816"/>
      <c r="R74" s="1823" t="s">
        <v>148</v>
      </c>
      <c r="S74" s="1824"/>
      <c r="T74" s="1824"/>
      <c r="U74" s="1825"/>
      <c r="V74" s="1453" t="s">
        <v>143</v>
      </c>
      <c r="W74" s="1453" t="s">
        <v>81</v>
      </c>
      <c r="Z74" s="1496"/>
    </row>
    <row r="75" spans="1:26" ht="15" customHeight="1">
      <c r="A75" s="1816"/>
      <c r="B75" s="1452" t="s">
        <v>150</v>
      </c>
      <c r="C75" s="1453">
        <f>C67</f>
        <v>2023</v>
      </c>
      <c r="D75" s="1453">
        <f>D67</f>
        <v>2022</v>
      </c>
      <c r="E75" s="1453">
        <f>E67</f>
        <v>2020</v>
      </c>
      <c r="F75" s="1453"/>
      <c r="G75" s="1453"/>
      <c r="H75" s="1454"/>
      <c r="I75" s="1816"/>
      <c r="J75" s="1452" t="s">
        <v>150</v>
      </c>
      <c r="K75" s="1453">
        <f>K67</f>
        <v>2023</v>
      </c>
      <c r="L75" s="1453">
        <f>L67</f>
        <v>2022</v>
      </c>
      <c r="M75" s="1453">
        <f>M67</f>
        <v>2020</v>
      </c>
      <c r="N75" s="1453"/>
      <c r="O75" s="1453"/>
      <c r="P75" s="1454"/>
      <c r="Q75" s="1816"/>
      <c r="R75" s="1452" t="s">
        <v>150</v>
      </c>
      <c r="S75" s="1453">
        <f>S67</f>
        <v>2019</v>
      </c>
      <c r="T75" s="1455">
        <f>T67</f>
        <v>2022</v>
      </c>
      <c r="U75" s="1455">
        <f>U67</f>
        <v>2020</v>
      </c>
      <c r="V75" s="1453"/>
      <c r="W75" s="1453"/>
    </row>
    <row r="76" spans="1:26" ht="12.75" customHeight="1">
      <c r="A76" s="1816"/>
      <c r="B76" s="1471">
        <v>9.9999999999999995E-7</v>
      </c>
      <c r="C76" s="1461">
        <v>0</v>
      </c>
      <c r="D76" s="1458">
        <v>0</v>
      </c>
      <c r="E76" s="1458">
        <v>9.9999999999999995E-7</v>
      </c>
      <c r="F76" s="1459">
        <f t="shared" ref="F76:F81" si="52">0.5*(MAX(C76:E76)-MIN(C76:E76))</f>
        <v>4.9999999999999998E-7</v>
      </c>
      <c r="G76" s="1470">
        <f>B76*$H$76</f>
        <v>5.8999999999999999E-9</v>
      </c>
      <c r="H76" s="1454">
        <f>0.59/100</f>
        <v>5.8999999999999999E-3</v>
      </c>
      <c r="I76" s="1816"/>
      <c r="J76" s="1471">
        <v>9.9999999999999995E-7</v>
      </c>
      <c r="K76" s="1464">
        <v>9.9999999999999995E-7</v>
      </c>
      <c r="L76" s="1458">
        <v>0</v>
      </c>
      <c r="M76" s="1458">
        <v>9.9999999999999995E-7</v>
      </c>
      <c r="N76" s="1459">
        <f t="shared" ref="N76:N81" si="53">0.5*(MAX(K76:M76)-MIN(K76:M76))</f>
        <v>4.9999999999999998E-7</v>
      </c>
      <c r="O76" s="1459">
        <f>J76*$P$76</f>
        <v>5.8999999999999999E-9</v>
      </c>
      <c r="P76" s="1454">
        <f>0.59/100</f>
        <v>5.8999999999999999E-3</v>
      </c>
      <c r="Q76" s="1816"/>
      <c r="R76" s="1471">
        <v>9.9999999999999995E-7</v>
      </c>
      <c r="S76" s="1464">
        <v>9.9999999999999995E-7</v>
      </c>
      <c r="T76" s="1458">
        <v>9.9999999999999995E-7</v>
      </c>
      <c r="U76" s="1458">
        <v>9.9999999999999995E-7</v>
      </c>
      <c r="V76" s="1459">
        <f t="shared" ref="V76:V81" si="54">0.5*(MAX(S76:U76)-MIN(S76:U76))</f>
        <v>0</v>
      </c>
      <c r="W76" s="1459">
        <f>R76*$X$76</f>
        <v>5.8999999999999999E-9</v>
      </c>
      <c r="X76" s="1448">
        <f>0.59/100</f>
        <v>5.8999999999999999E-3</v>
      </c>
    </row>
    <row r="77" spans="1:26" ht="12.75" customHeight="1">
      <c r="A77" s="1816"/>
      <c r="B77" s="1466">
        <v>50</v>
      </c>
      <c r="C77" s="1461">
        <v>5</v>
      </c>
      <c r="D77" s="1458">
        <v>1.9</v>
      </c>
      <c r="E77" s="1458">
        <v>1.7</v>
      </c>
      <c r="F77" s="1459">
        <f t="shared" si="52"/>
        <v>1.65</v>
      </c>
      <c r="G77" s="1470">
        <f t="shared" ref="G77:G81" si="55">B77*$H$76</f>
        <v>0.29499999999999998</v>
      </c>
      <c r="H77" s="1454"/>
      <c r="I77" s="1816"/>
      <c r="J77" s="1466">
        <v>50</v>
      </c>
      <c r="K77" s="1464">
        <v>4.0999999999999996</v>
      </c>
      <c r="L77" s="1458">
        <v>4.9000000000000004</v>
      </c>
      <c r="M77" s="1458">
        <v>0.8</v>
      </c>
      <c r="N77" s="1459">
        <f t="shared" si="53"/>
        <v>2.0500000000000003</v>
      </c>
      <c r="O77" s="1459">
        <f t="shared" ref="O77:O81" si="56">J77*$P$76</f>
        <v>0.29499999999999998</v>
      </c>
      <c r="P77" s="1454"/>
      <c r="Q77" s="1816"/>
      <c r="R77" s="1466">
        <v>50</v>
      </c>
      <c r="S77" s="1464">
        <v>9.9999999999999995E-7</v>
      </c>
      <c r="T77" s="1458">
        <v>6.6</v>
      </c>
      <c r="U77" s="1458">
        <v>0.9</v>
      </c>
      <c r="V77" s="1459">
        <f t="shared" si="54"/>
        <v>3.2999994999999998</v>
      </c>
      <c r="W77" s="1459">
        <f t="shared" ref="W77:W81" si="57">R77*$X$76</f>
        <v>0.29499999999999998</v>
      </c>
    </row>
    <row r="78" spans="1:26" ht="12.75" customHeight="1">
      <c r="A78" s="1816"/>
      <c r="B78" s="1466">
        <v>100</v>
      </c>
      <c r="C78" s="1461">
        <v>6.2</v>
      </c>
      <c r="D78" s="1458">
        <v>1.7</v>
      </c>
      <c r="E78" s="1458">
        <v>1.7</v>
      </c>
      <c r="F78" s="1459">
        <f t="shared" si="52"/>
        <v>2.25</v>
      </c>
      <c r="G78" s="1470">
        <f t="shared" si="55"/>
        <v>0.59</v>
      </c>
      <c r="H78" s="1454"/>
      <c r="I78" s="1816"/>
      <c r="J78" s="1466">
        <v>100</v>
      </c>
      <c r="K78" s="1464">
        <v>6</v>
      </c>
      <c r="L78" s="1458">
        <v>9.1999999999999993</v>
      </c>
      <c r="M78" s="1458">
        <v>1.7</v>
      </c>
      <c r="N78" s="1459">
        <f t="shared" si="53"/>
        <v>3.7499999999999996</v>
      </c>
      <c r="O78" s="1459">
        <f t="shared" si="56"/>
        <v>0.59</v>
      </c>
      <c r="P78" s="1454"/>
      <c r="Q78" s="1816"/>
      <c r="R78" s="1466">
        <v>100</v>
      </c>
      <c r="S78" s="1464">
        <v>9.9999999999999995E-7</v>
      </c>
      <c r="T78" s="1458">
        <v>5</v>
      </c>
      <c r="U78" s="1458">
        <v>2.1</v>
      </c>
      <c r="V78" s="1459">
        <f t="shared" si="54"/>
        <v>2.4999994999999999</v>
      </c>
      <c r="W78" s="1459">
        <f t="shared" si="57"/>
        <v>0.59</v>
      </c>
    </row>
    <row r="79" spans="1:26" ht="12.75" customHeight="1">
      <c r="A79" s="1816"/>
      <c r="B79" s="1466">
        <v>200</v>
      </c>
      <c r="C79" s="1461">
        <v>8.6</v>
      </c>
      <c r="D79" s="1458">
        <v>1.5</v>
      </c>
      <c r="E79" s="1458">
        <v>0.4</v>
      </c>
      <c r="F79" s="1459">
        <f t="shared" si="52"/>
        <v>4.0999999999999996</v>
      </c>
      <c r="G79" s="1470">
        <f t="shared" si="55"/>
        <v>1.18</v>
      </c>
      <c r="H79" s="1454"/>
      <c r="I79" s="1816"/>
      <c r="J79" s="1466">
        <v>500</v>
      </c>
      <c r="K79" s="1464">
        <v>9</v>
      </c>
      <c r="L79" s="1458">
        <v>-0.2</v>
      </c>
      <c r="M79" s="1458">
        <v>3.4</v>
      </c>
      <c r="N79" s="1459">
        <f t="shared" si="53"/>
        <v>4.5999999999999996</v>
      </c>
      <c r="O79" s="1459">
        <f t="shared" si="56"/>
        <v>2.9499999999999997</v>
      </c>
      <c r="P79" s="1454"/>
      <c r="Q79" s="1816"/>
      <c r="R79" s="1466">
        <v>500</v>
      </c>
      <c r="S79" s="1464">
        <v>9.9999999999999995E-7</v>
      </c>
      <c r="T79" s="1458">
        <v>-8.1999999999999993</v>
      </c>
      <c r="U79" s="1458">
        <v>3.7</v>
      </c>
      <c r="V79" s="1459">
        <f t="shared" si="54"/>
        <v>5.9499999999999993</v>
      </c>
      <c r="W79" s="1459">
        <f t="shared" si="57"/>
        <v>2.9499999999999997</v>
      </c>
    </row>
    <row r="80" spans="1:26" ht="12.75" customHeight="1">
      <c r="A80" s="1816"/>
      <c r="B80" s="1466">
        <v>500</v>
      </c>
      <c r="C80" s="1461">
        <v>9.3000000000000007</v>
      </c>
      <c r="D80" s="1458">
        <v>0.9</v>
      </c>
      <c r="E80" s="1458">
        <v>3</v>
      </c>
      <c r="F80" s="1459">
        <f t="shared" si="52"/>
        <v>4.2</v>
      </c>
      <c r="G80" s="1470">
        <f t="shared" si="55"/>
        <v>2.9499999999999997</v>
      </c>
      <c r="H80" s="1454"/>
      <c r="I80" s="1816"/>
      <c r="J80" s="1466">
        <v>500</v>
      </c>
      <c r="K80" s="1464">
        <v>9.5</v>
      </c>
      <c r="L80" s="1458">
        <v>-25.1</v>
      </c>
      <c r="M80" s="1458">
        <v>7.2</v>
      </c>
      <c r="N80" s="1459">
        <f t="shared" si="53"/>
        <v>17.3</v>
      </c>
      <c r="O80" s="1459">
        <f t="shared" si="56"/>
        <v>2.9499999999999997</v>
      </c>
      <c r="P80" s="1454"/>
      <c r="Q80" s="1816"/>
      <c r="R80" s="1466">
        <v>500</v>
      </c>
      <c r="S80" s="1464">
        <v>9.9999999999999995E-7</v>
      </c>
      <c r="T80" s="1458">
        <v>-31.8</v>
      </c>
      <c r="U80" s="1458">
        <v>8.3000000000000007</v>
      </c>
      <c r="V80" s="1459">
        <f t="shared" si="54"/>
        <v>20.05</v>
      </c>
      <c r="W80" s="1459">
        <f t="shared" si="57"/>
        <v>2.9499999999999997</v>
      </c>
    </row>
    <row r="81" spans="1:24" ht="12.75" customHeight="1">
      <c r="A81" s="1816"/>
      <c r="B81" s="1466">
        <v>1000</v>
      </c>
      <c r="C81" s="1461">
        <v>-88</v>
      </c>
      <c r="D81" s="1458">
        <v>0</v>
      </c>
      <c r="E81" s="1458">
        <v>9.9999999999999995E-7</v>
      </c>
      <c r="F81" s="1459">
        <f t="shared" si="52"/>
        <v>44.000000499999999</v>
      </c>
      <c r="G81" s="1470">
        <f t="shared" si="55"/>
        <v>5.8999999999999995</v>
      </c>
      <c r="H81" s="1454"/>
      <c r="I81" s="1816"/>
      <c r="J81" s="1466">
        <v>1000</v>
      </c>
      <c r="K81" s="1464">
        <v>9.9999999999999995E-7</v>
      </c>
      <c r="L81" s="1458">
        <v>-6.6000000000000003E-2</v>
      </c>
      <c r="M81" s="1458">
        <v>9.9999999999999995E-7</v>
      </c>
      <c r="N81" s="1459">
        <f t="shared" si="53"/>
        <v>3.3000500000000002E-2</v>
      </c>
      <c r="O81" s="1459">
        <f t="shared" si="56"/>
        <v>5.8999999999999995</v>
      </c>
      <c r="P81" s="1454"/>
      <c r="Q81" s="1816"/>
      <c r="R81" s="1466">
        <v>1000</v>
      </c>
      <c r="S81" s="1464">
        <v>9.9999999999999995E-7</v>
      </c>
      <c r="T81" s="1458">
        <v>-74</v>
      </c>
      <c r="U81" s="1458">
        <v>9.9999999999999995E-7</v>
      </c>
      <c r="V81" s="1459">
        <f t="shared" si="54"/>
        <v>37.000000499999999</v>
      </c>
      <c r="W81" s="1459">
        <f t="shared" si="57"/>
        <v>5.8999999999999995</v>
      </c>
    </row>
    <row r="82" spans="1:24" ht="12.75" customHeight="1">
      <c r="A82" s="1816"/>
      <c r="B82" s="1823" t="s">
        <v>152</v>
      </c>
      <c r="C82" s="1824"/>
      <c r="D82" s="1824"/>
      <c r="E82" s="1825"/>
      <c r="F82" s="1453" t="s">
        <v>143</v>
      </c>
      <c r="G82" s="1453" t="s">
        <v>81</v>
      </c>
      <c r="H82" s="1454"/>
      <c r="I82" s="1816"/>
      <c r="J82" s="1823" t="s">
        <v>152</v>
      </c>
      <c r="K82" s="1824"/>
      <c r="L82" s="1824"/>
      <c r="M82" s="1825"/>
      <c r="N82" s="1453" t="s">
        <v>143</v>
      </c>
      <c r="O82" s="1453" t="s">
        <v>81</v>
      </c>
      <c r="P82" s="1454"/>
      <c r="Q82" s="1816"/>
      <c r="R82" s="1823" t="str">
        <f>B82</f>
        <v>Main-PE</v>
      </c>
      <c r="S82" s="1824"/>
      <c r="T82" s="1824"/>
      <c r="U82" s="1825"/>
      <c r="V82" s="1453" t="s">
        <v>143</v>
      </c>
      <c r="W82" s="1453" t="s">
        <v>81</v>
      </c>
    </row>
    <row r="83" spans="1:24" ht="15" customHeight="1">
      <c r="A83" s="1816"/>
      <c r="B83" s="1452" t="s">
        <v>153</v>
      </c>
      <c r="C83" s="1453">
        <f>C75</f>
        <v>2023</v>
      </c>
      <c r="D83" s="1453">
        <f>D75</f>
        <v>2022</v>
      </c>
      <c r="E83" s="1453">
        <f>E75</f>
        <v>2020</v>
      </c>
      <c r="F83" s="1453"/>
      <c r="G83" s="1453"/>
      <c r="H83" s="1454"/>
      <c r="I83" s="1816"/>
      <c r="J83" s="1452" t="s">
        <v>153</v>
      </c>
      <c r="K83" s="1453">
        <f>K67</f>
        <v>2023</v>
      </c>
      <c r="L83" s="1453">
        <f>L67</f>
        <v>2022</v>
      </c>
      <c r="M83" s="1453">
        <f>M67</f>
        <v>2020</v>
      </c>
      <c r="N83" s="1453"/>
      <c r="O83" s="1453"/>
      <c r="P83" s="1454"/>
      <c r="Q83" s="1816"/>
      <c r="R83" s="1452" t="s">
        <v>153</v>
      </c>
      <c r="S83" s="1453">
        <f>S67</f>
        <v>2019</v>
      </c>
      <c r="T83" s="1455">
        <f>T67</f>
        <v>2022</v>
      </c>
      <c r="U83" s="1455">
        <f>U67</f>
        <v>2020</v>
      </c>
      <c r="V83" s="1453"/>
      <c r="W83" s="1453"/>
    </row>
    <row r="84" spans="1:24" ht="12.75" customHeight="1">
      <c r="A84" s="1816"/>
      <c r="B84" s="1466">
        <v>10</v>
      </c>
      <c r="C84" s="1461">
        <v>0</v>
      </c>
      <c r="D84" s="1458">
        <v>0</v>
      </c>
      <c r="E84" s="1458">
        <v>9.9999999999999995E-7</v>
      </c>
      <c r="F84" s="1459">
        <f t="shared" ref="F84:F87" si="58">0.5*(MAX(C84:E84)-MIN(C84:E84))</f>
        <v>4.9999999999999998E-7</v>
      </c>
      <c r="G84" s="1471">
        <f>B84*$H$84</f>
        <v>0.17</v>
      </c>
      <c r="H84" s="1454">
        <f>1.7/100</f>
        <v>1.7000000000000001E-2</v>
      </c>
      <c r="I84" s="1816"/>
      <c r="J84" s="1466">
        <v>10</v>
      </c>
      <c r="K84" s="1464">
        <v>9.9999999999999995E-7</v>
      </c>
      <c r="L84" s="1458">
        <v>9.9999999999999995E-7</v>
      </c>
      <c r="M84" s="1458">
        <v>9.9999999999999995E-7</v>
      </c>
      <c r="N84" s="1459">
        <f t="shared" ref="N84:N87" si="59">0.5*(MAX(K84:M84)-MIN(K84:M84))</f>
        <v>0</v>
      </c>
      <c r="O84" s="1459">
        <f>J84*$P$84</f>
        <v>0.17</v>
      </c>
      <c r="P84" s="1454">
        <f>1.7/100</f>
        <v>1.7000000000000001E-2</v>
      </c>
      <c r="Q84" s="1816"/>
      <c r="R84" s="1466">
        <v>10</v>
      </c>
      <c r="S84" s="1464">
        <v>9.9999999999999995E-7</v>
      </c>
      <c r="T84" s="1458">
        <v>9.9999999999999995E-7</v>
      </c>
      <c r="U84" s="1458">
        <v>9.9999999999999995E-7</v>
      </c>
      <c r="V84" s="1459">
        <f t="shared" ref="V84:V87" si="60">0.5*(MAX(S84:U84)-MIN(S84:U84))</f>
        <v>0</v>
      </c>
      <c r="W84" s="1459">
        <f>R84*$X$84</f>
        <v>0.17</v>
      </c>
      <c r="X84" s="1448">
        <v>1.7000000000000001E-2</v>
      </c>
    </row>
    <row r="85" spans="1:24" ht="12.75" customHeight="1">
      <c r="A85" s="1816"/>
      <c r="B85" s="1466">
        <v>20</v>
      </c>
      <c r="C85" s="1461">
        <v>0.1</v>
      </c>
      <c r="D85" s="1458">
        <v>0.1</v>
      </c>
      <c r="E85" s="1458">
        <v>9.9999999999999995E-7</v>
      </c>
      <c r="F85" s="1459">
        <f t="shared" si="58"/>
        <v>4.9999500000000002E-2</v>
      </c>
      <c r="G85" s="1471">
        <f t="shared" ref="G85:G87" si="61">B85*$H$84</f>
        <v>0.34</v>
      </c>
      <c r="H85" s="1454"/>
      <c r="I85" s="1816"/>
      <c r="J85" s="1466">
        <v>20</v>
      </c>
      <c r="K85" s="1464">
        <v>1E-3</v>
      </c>
      <c r="L85" s="1458">
        <v>9.9999999999999995E-7</v>
      </c>
      <c r="M85" s="1458">
        <v>9.9999999999999995E-7</v>
      </c>
      <c r="N85" s="1459">
        <f t="shared" si="59"/>
        <v>4.9950000000000005E-4</v>
      </c>
      <c r="O85" s="1459">
        <f t="shared" ref="O85:O86" si="62">J85*$P$84</f>
        <v>0.34</v>
      </c>
      <c r="P85" s="1454"/>
      <c r="Q85" s="1816"/>
      <c r="R85" s="1466">
        <v>20</v>
      </c>
      <c r="S85" s="1464">
        <v>9.9999999999999995E-7</v>
      </c>
      <c r="T85" s="1458">
        <v>9.9999999999999995E-7</v>
      </c>
      <c r="U85" s="1458">
        <v>9.9999999999999995E-7</v>
      </c>
      <c r="V85" s="1459">
        <f t="shared" si="60"/>
        <v>0</v>
      </c>
      <c r="W85" s="1459">
        <f t="shared" ref="W85:W86" si="63">R85*$X$84</f>
        <v>0.34</v>
      </c>
    </row>
    <row r="86" spans="1:24" ht="12.75" customHeight="1">
      <c r="A86" s="1816"/>
      <c r="B86" s="1466">
        <v>50</v>
      </c>
      <c r="C86" s="1461">
        <v>0.3</v>
      </c>
      <c r="D86" s="1458">
        <v>0.5</v>
      </c>
      <c r="E86" s="1458">
        <v>9.9999999999999995E-7</v>
      </c>
      <c r="F86" s="1459">
        <f t="shared" si="58"/>
        <v>0.24999950000000001</v>
      </c>
      <c r="G86" s="1471">
        <f t="shared" si="61"/>
        <v>0.85000000000000009</v>
      </c>
      <c r="H86" s="1454"/>
      <c r="I86" s="1816"/>
      <c r="J86" s="1466">
        <v>50</v>
      </c>
      <c r="K86" s="1464">
        <v>0.2</v>
      </c>
      <c r="L86" s="1458">
        <v>0.2</v>
      </c>
      <c r="M86" s="1458">
        <v>9.9999999999999995E-7</v>
      </c>
      <c r="N86" s="1459">
        <f t="shared" si="59"/>
        <v>9.9999500000000005E-2</v>
      </c>
      <c r="O86" s="1459">
        <f t="shared" si="62"/>
        <v>0.85000000000000009</v>
      </c>
      <c r="P86" s="1454"/>
      <c r="Q86" s="1816"/>
      <c r="R86" s="1466">
        <v>50</v>
      </c>
      <c r="S86" s="1464">
        <v>9.9999999999999995E-7</v>
      </c>
      <c r="T86" s="1458">
        <v>0.2</v>
      </c>
      <c r="U86" s="1458">
        <v>9.9999999999999995E-7</v>
      </c>
      <c r="V86" s="1459">
        <f t="shared" si="60"/>
        <v>9.9999500000000005E-2</v>
      </c>
      <c r="W86" s="1459">
        <f t="shared" si="63"/>
        <v>0.85000000000000009</v>
      </c>
    </row>
    <row r="87" spans="1:24" ht="12.75" customHeight="1">
      <c r="A87" s="1816"/>
      <c r="B87" s="1466">
        <v>100</v>
      </c>
      <c r="C87" s="1461">
        <v>0.8</v>
      </c>
      <c r="D87" s="1458">
        <v>0.9</v>
      </c>
      <c r="E87" s="1458">
        <v>9.9999999999999995E-7</v>
      </c>
      <c r="F87" s="1459">
        <f t="shared" si="58"/>
        <v>0.4499995</v>
      </c>
      <c r="G87" s="1471">
        <f t="shared" si="61"/>
        <v>1.7000000000000002</v>
      </c>
      <c r="H87" s="1454"/>
      <c r="I87" s="1816"/>
      <c r="J87" s="1466">
        <v>100</v>
      </c>
      <c r="K87" s="1464">
        <v>1.1000000000000001</v>
      </c>
      <c r="L87" s="1458">
        <v>0.6</v>
      </c>
      <c r="M87" s="1458">
        <v>9.9999999999999995E-7</v>
      </c>
      <c r="N87" s="1459">
        <f t="shared" si="59"/>
        <v>0.54999950000000009</v>
      </c>
      <c r="O87" s="1459">
        <f>J87*$P$84</f>
        <v>1.7000000000000002</v>
      </c>
      <c r="P87" s="1454"/>
      <c r="Q87" s="1816"/>
      <c r="R87" s="1466">
        <v>100</v>
      </c>
      <c r="S87" s="1464">
        <v>9.9999999999999995E-7</v>
      </c>
      <c r="T87" s="1458">
        <v>0.4</v>
      </c>
      <c r="U87" s="1458">
        <v>9.9999999999999995E-7</v>
      </c>
      <c r="V87" s="1459">
        <f t="shared" si="60"/>
        <v>0.19999950000000002</v>
      </c>
      <c r="W87" s="1459">
        <f>R87*$X$84</f>
        <v>1.7000000000000002</v>
      </c>
    </row>
    <row r="88" spans="1:24" ht="12.75" customHeight="1">
      <c r="A88" s="1816"/>
      <c r="B88" s="1823" t="s">
        <v>154</v>
      </c>
      <c r="C88" s="1824"/>
      <c r="D88" s="1824"/>
      <c r="E88" s="1825"/>
      <c r="F88" s="1453" t="s">
        <v>143</v>
      </c>
      <c r="G88" s="1453" t="s">
        <v>81</v>
      </c>
      <c r="H88" s="1454"/>
      <c r="I88" s="1816"/>
      <c r="J88" s="1823" t="s">
        <v>154</v>
      </c>
      <c r="K88" s="1824"/>
      <c r="L88" s="1824"/>
      <c r="M88" s="1825"/>
      <c r="N88" s="1453" t="s">
        <v>143</v>
      </c>
      <c r="O88" s="1453" t="s">
        <v>81</v>
      </c>
      <c r="P88" s="1454"/>
      <c r="Q88" s="1816"/>
      <c r="R88" s="1823" t="str">
        <f>B88</f>
        <v>Resistance</v>
      </c>
      <c r="S88" s="1824"/>
      <c r="T88" s="1824"/>
      <c r="U88" s="1825"/>
      <c r="V88" s="1453" t="s">
        <v>143</v>
      </c>
      <c r="W88" s="1453" t="s">
        <v>81</v>
      </c>
    </row>
    <row r="89" spans="1:24" ht="15" customHeight="1">
      <c r="A89" s="1816"/>
      <c r="B89" s="1452" t="s">
        <v>155</v>
      </c>
      <c r="C89" s="1453">
        <f>C67</f>
        <v>2023</v>
      </c>
      <c r="D89" s="1453">
        <f>D67</f>
        <v>2022</v>
      </c>
      <c r="E89" s="1453">
        <f>E67</f>
        <v>2020</v>
      </c>
      <c r="F89" s="1453"/>
      <c r="G89" s="1453"/>
      <c r="H89" s="1454"/>
      <c r="I89" s="1816"/>
      <c r="J89" s="1452" t="s">
        <v>155</v>
      </c>
      <c r="K89" s="1453">
        <f>K67</f>
        <v>2023</v>
      </c>
      <c r="L89" s="1453">
        <f>L67</f>
        <v>2022</v>
      </c>
      <c r="M89" s="1453">
        <f>M67</f>
        <v>2020</v>
      </c>
      <c r="N89" s="1453"/>
      <c r="O89" s="1453"/>
      <c r="P89" s="1454"/>
      <c r="Q89" s="1816"/>
      <c r="R89" s="1452" t="s">
        <v>155</v>
      </c>
      <c r="S89" s="1453">
        <f>S67</f>
        <v>2019</v>
      </c>
      <c r="T89" s="1455">
        <f>T67</f>
        <v>2022</v>
      </c>
      <c r="U89" s="1455">
        <f>U67</f>
        <v>2020</v>
      </c>
      <c r="V89" s="1453"/>
      <c r="W89" s="1453"/>
    </row>
    <row r="90" spans="1:24" ht="12.75" customHeight="1">
      <c r="A90" s="1816"/>
      <c r="B90" s="1466">
        <v>0.01</v>
      </c>
      <c r="C90" s="1473">
        <v>0</v>
      </c>
      <c r="D90" s="1474">
        <v>0</v>
      </c>
      <c r="E90" s="1474">
        <v>9.9999999999999995E-7</v>
      </c>
      <c r="F90" s="1459">
        <f t="shared" ref="F90:F93" si="64">0.5*(MAX(C90:E90)-MIN(C90:E90))</f>
        <v>4.9999999999999998E-7</v>
      </c>
      <c r="G90" s="1466">
        <f>B90*$H$90</f>
        <v>1.2E-4</v>
      </c>
      <c r="H90" s="1454">
        <f>1.2/100</f>
        <v>1.2E-2</v>
      </c>
      <c r="I90" s="1816"/>
      <c r="J90" s="1466">
        <v>0.01</v>
      </c>
      <c r="K90" s="1466">
        <v>9.9999999999999995E-7</v>
      </c>
      <c r="L90" s="1467">
        <v>9.9999999999999995E-7</v>
      </c>
      <c r="M90" s="1467">
        <v>9.9999999999999995E-7</v>
      </c>
      <c r="N90" s="1459">
        <f t="shared" ref="N90:N93" si="65">0.5*(MAX(K90:M90)-MIN(K90:M90))</f>
        <v>0</v>
      </c>
      <c r="O90" s="1466">
        <f>J90*$P$90</f>
        <v>1.2E-4</v>
      </c>
      <c r="P90" s="1454">
        <f>1.2/100</f>
        <v>1.2E-2</v>
      </c>
      <c r="Q90" s="1816"/>
      <c r="R90" s="1466">
        <v>0.01</v>
      </c>
      <c r="S90" s="1466">
        <v>9.9999999999999995E-7</v>
      </c>
      <c r="T90" s="1474">
        <v>-1E-3</v>
      </c>
      <c r="U90" s="1474">
        <v>-1E-3</v>
      </c>
      <c r="V90" s="1459">
        <f t="shared" ref="V90:V93" si="66">0.5*(MAX(S90:U90)-MIN(S90:U90))</f>
        <v>5.0049999999999997E-4</v>
      </c>
      <c r="W90" s="1466">
        <f>R90*$X$90</f>
        <v>1.2E-4</v>
      </c>
      <c r="X90" s="1448">
        <f>1.2/100</f>
        <v>1.2E-2</v>
      </c>
    </row>
    <row r="91" spans="1:24" ht="12.75" customHeight="1">
      <c r="A91" s="1816"/>
      <c r="B91" s="1466">
        <v>0.1</v>
      </c>
      <c r="C91" s="1473">
        <v>8.0000000000000002E-3</v>
      </c>
      <c r="D91" s="1474">
        <v>3.0000000000000001E-3</v>
      </c>
      <c r="E91" s="1474">
        <v>9.9999999999999995E-7</v>
      </c>
      <c r="F91" s="1459">
        <f t="shared" si="64"/>
        <v>3.9995000000000005E-3</v>
      </c>
      <c r="G91" s="1466">
        <f t="shared" ref="G91:G93" si="67">B91*$H$90</f>
        <v>1.2000000000000001E-3</v>
      </c>
      <c r="H91" s="1454"/>
      <c r="I91" s="1816"/>
      <c r="J91" s="1466">
        <v>0.1</v>
      </c>
      <c r="K91" s="1466">
        <v>1E-3</v>
      </c>
      <c r="L91" s="1467">
        <v>-2E-3</v>
      </c>
      <c r="M91" s="1467">
        <v>1E-3</v>
      </c>
      <c r="N91" s="1459">
        <f t="shared" si="65"/>
        <v>1.5E-3</v>
      </c>
      <c r="O91" s="1466">
        <f t="shared" ref="O91:O93" si="68">J91*$P$90</f>
        <v>1.2000000000000001E-3</v>
      </c>
      <c r="P91" s="1454"/>
      <c r="Q91" s="1816"/>
      <c r="R91" s="1466">
        <v>0.1</v>
      </c>
      <c r="S91" s="1466">
        <v>9.9999999999999995E-7</v>
      </c>
      <c r="T91" s="1474">
        <v>4.0000000000000001E-3</v>
      </c>
      <c r="U91" s="1474">
        <v>-3.0000000000000001E-3</v>
      </c>
      <c r="V91" s="1459">
        <f t="shared" si="66"/>
        <v>3.5000000000000001E-3</v>
      </c>
      <c r="W91" s="1466">
        <f t="shared" ref="W91:W93" si="69">R91*$X$90</f>
        <v>1.2000000000000001E-3</v>
      </c>
    </row>
    <row r="92" spans="1:24" ht="12.75" customHeight="1">
      <c r="A92" s="1816"/>
      <c r="B92" s="1466">
        <v>1</v>
      </c>
      <c r="C92" s="1473">
        <v>-6.0000000000000001E-3</v>
      </c>
      <c r="D92" s="1474">
        <v>2E-3</v>
      </c>
      <c r="E92" s="1474">
        <v>-2E-3</v>
      </c>
      <c r="F92" s="1459">
        <f t="shared" si="64"/>
        <v>4.0000000000000001E-3</v>
      </c>
      <c r="G92" s="1466">
        <f t="shared" si="67"/>
        <v>1.2E-2</v>
      </c>
      <c r="H92" s="1454"/>
      <c r="I92" s="1816"/>
      <c r="J92" s="1466">
        <v>1</v>
      </c>
      <c r="K92" s="1466">
        <v>-5.0000000000000001E-3</v>
      </c>
      <c r="L92" s="1467">
        <v>-1E-3</v>
      </c>
      <c r="M92" s="1467">
        <v>9.9999999999999995E-7</v>
      </c>
      <c r="N92" s="1459">
        <f t="shared" si="65"/>
        <v>2.5005000000000001E-3</v>
      </c>
      <c r="O92" s="1466">
        <f t="shared" si="68"/>
        <v>1.2E-2</v>
      </c>
      <c r="P92" s="1454"/>
      <c r="Q92" s="1816"/>
      <c r="R92" s="1466">
        <v>1</v>
      </c>
      <c r="S92" s="1466">
        <v>9.9999999999999995E-7</v>
      </c>
      <c r="T92" s="1474">
        <v>5.0000000000000001E-3</v>
      </c>
      <c r="U92" s="1474">
        <v>1E-3</v>
      </c>
      <c r="V92" s="1459">
        <f t="shared" si="66"/>
        <v>2.4995E-3</v>
      </c>
      <c r="W92" s="1466">
        <f t="shared" si="69"/>
        <v>1.2E-2</v>
      </c>
    </row>
    <row r="93" spans="1:24" ht="12.75" customHeight="1">
      <c r="A93" s="1817"/>
      <c r="B93" s="1466">
        <v>2</v>
      </c>
      <c r="C93" s="1473">
        <v>-8.0000000000000002E-3</v>
      </c>
      <c r="D93" s="1474">
        <v>-1E-3</v>
      </c>
      <c r="E93" s="1474">
        <v>9.9999999999999995E-7</v>
      </c>
      <c r="F93" s="1459">
        <f t="shared" si="64"/>
        <v>4.0004999999999997E-3</v>
      </c>
      <c r="G93" s="1466">
        <f t="shared" si="67"/>
        <v>2.4E-2</v>
      </c>
      <c r="H93" s="1454"/>
      <c r="I93" s="1817"/>
      <c r="J93" s="1466">
        <v>2</v>
      </c>
      <c r="K93" s="1466">
        <v>-3.0000000000000001E-3</v>
      </c>
      <c r="L93" s="1467">
        <v>-6.0000000000000001E-3</v>
      </c>
      <c r="M93" s="1467">
        <v>9.9999999999999995E-7</v>
      </c>
      <c r="N93" s="1459">
        <f t="shared" si="65"/>
        <v>3.0005000000000001E-3</v>
      </c>
      <c r="O93" s="1466">
        <f t="shared" si="68"/>
        <v>2.4E-2</v>
      </c>
      <c r="P93" s="1454"/>
      <c r="Q93" s="1817"/>
      <c r="R93" s="1466">
        <v>2</v>
      </c>
      <c r="S93" s="1466">
        <v>9.9999999999999995E-7</v>
      </c>
      <c r="T93" s="1474">
        <v>5.0000000000000001E-3</v>
      </c>
      <c r="U93" s="1474">
        <v>-1E-3</v>
      </c>
      <c r="V93" s="1459">
        <f t="shared" si="66"/>
        <v>3.0000000000000001E-3</v>
      </c>
      <c r="W93" s="1466">
        <f t="shared" si="69"/>
        <v>2.4E-2</v>
      </c>
    </row>
    <row r="94" spans="1:24" s="323" customFormat="1" ht="15.5">
      <c r="A94" s="1491"/>
      <c r="B94" s="1492"/>
      <c r="C94" s="1493"/>
      <c r="E94" s="1493"/>
      <c r="F94" s="1493"/>
      <c r="G94" s="1493"/>
      <c r="H94" s="1480"/>
      <c r="I94" s="1432"/>
      <c r="J94" s="1494"/>
      <c r="K94" s="1493"/>
      <c r="M94" s="1493"/>
      <c r="N94" s="1493"/>
      <c r="O94" s="1493"/>
      <c r="P94" s="1480"/>
      <c r="Q94" s="1432"/>
      <c r="R94" s="1492"/>
      <c r="S94" s="1493"/>
      <c r="U94" s="993"/>
      <c r="V94" s="993"/>
      <c r="W94" s="1481"/>
      <c r="X94" s="1482"/>
    </row>
    <row r="95" spans="1:24" ht="30" customHeight="1">
      <c r="A95" s="1815">
        <v>10</v>
      </c>
      <c r="B95" s="1826" t="str">
        <f>A176</f>
        <v>Electrical Safety Analyzer, Merek : Fluke, Model : ESA 615, SN : 5838068</v>
      </c>
      <c r="C95" s="1826"/>
      <c r="D95" s="1826"/>
      <c r="E95" s="1826"/>
      <c r="F95" s="1826"/>
      <c r="G95" s="1826"/>
      <c r="H95" s="1449"/>
      <c r="I95" s="1815">
        <v>11</v>
      </c>
      <c r="J95" s="1831" t="str">
        <f>A177</f>
        <v>Electrical Safety Analyzer 11</v>
      </c>
      <c r="K95" s="1831"/>
      <c r="L95" s="1831"/>
      <c r="M95" s="1831"/>
      <c r="N95" s="1831"/>
      <c r="O95" s="1831"/>
      <c r="P95" s="1449"/>
      <c r="Q95" s="1815">
        <v>12</v>
      </c>
      <c r="R95" s="1831" t="str">
        <f>A178</f>
        <v>Electrical Safety Analyzer 12</v>
      </c>
      <c r="S95" s="1831"/>
      <c r="T95" s="1831"/>
      <c r="U95" s="1831"/>
      <c r="V95" s="1831"/>
      <c r="W95" s="1831"/>
    </row>
    <row r="96" spans="1:24" ht="15" customHeight="1">
      <c r="A96" s="1816"/>
      <c r="B96" s="1827" t="s">
        <v>141</v>
      </c>
      <c r="C96" s="1827"/>
      <c r="D96" s="1827"/>
      <c r="E96" s="1827"/>
      <c r="F96" s="1484"/>
      <c r="G96" s="1484"/>
      <c r="H96" s="1451"/>
      <c r="I96" s="1816"/>
      <c r="J96" s="1819" t="s">
        <v>141</v>
      </c>
      <c r="K96" s="1819"/>
      <c r="L96" s="1819"/>
      <c r="M96" s="1819"/>
      <c r="N96" s="1485"/>
      <c r="O96" s="1485"/>
      <c r="P96" s="1451"/>
      <c r="Q96" s="1816"/>
      <c r="R96" s="1827" t="s">
        <v>141</v>
      </c>
      <c r="S96" s="1827"/>
      <c r="T96" s="1827"/>
      <c r="U96" s="1827"/>
      <c r="V96" s="1485"/>
      <c r="W96" s="1485"/>
    </row>
    <row r="97" spans="1:23" ht="12.75" customHeight="1">
      <c r="A97" s="1816"/>
      <c r="B97" s="1820" t="s">
        <v>142</v>
      </c>
      <c r="C97" s="1821"/>
      <c r="D97" s="1821"/>
      <c r="E97" s="1822"/>
      <c r="F97" s="1453" t="s">
        <v>143</v>
      </c>
      <c r="G97" s="1453" t="s">
        <v>81</v>
      </c>
      <c r="H97" s="1454"/>
      <c r="I97" s="1816"/>
      <c r="J97" s="1832" t="s">
        <v>142</v>
      </c>
      <c r="K97" s="1833"/>
      <c r="L97" s="1833"/>
      <c r="M97" s="1834"/>
      <c r="N97" s="1453" t="s">
        <v>143</v>
      </c>
      <c r="O97" s="1453" t="s">
        <v>81</v>
      </c>
      <c r="P97" s="1454"/>
      <c r="Q97" s="1816"/>
      <c r="R97" s="1820" t="s">
        <v>142</v>
      </c>
      <c r="S97" s="1821"/>
      <c r="T97" s="1821"/>
      <c r="U97" s="1822"/>
      <c r="V97" s="1453" t="s">
        <v>143</v>
      </c>
      <c r="W97" s="1453" t="s">
        <v>81</v>
      </c>
    </row>
    <row r="98" spans="1:23" ht="15" customHeight="1">
      <c r="A98" s="1816"/>
      <c r="B98" s="1452" t="s">
        <v>145</v>
      </c>
      <c r="C98" s="1453">
        <v>2023</v>
      </c>
      <c r="D98" s="1453">
        <v>2024</v>
      </c>
      <c r="E98" s="1453">
        <v>2025</v>
      </c>
      <c r="F98" s="1453"/>
      <c r="G98" s="1453"/>
      <c r="H98" s="1454"/>
      <c r="I98" s="1816"/>
      <c r="J98" s="1452" t="s">
        <v>145</v>
      </c>
      <c r="K98" s="1453">
        <v>2019</v>
      </c>
      <c r="L98" s="1453">
        <v>2019</v>
      </c>
      <c r="M98" s="1453">
        <v>2020</v>
      </c>
      <c r="N98" s="1453"/>
      <c r="O98" s="1453"/>
      <c r="P98" s="1454"/>
      <c r="Q98" s="1816"/>
      <c r="R98" s="1452" t="s">
        <v>145</v>
      </c>
      <c r="S98" s="1453">
        <v>2019</v>
      </c>
      <c r="T98" s="1453">
        <v>2019</v>
      </c>
      <c r="U98" s="1453">
        <v>2020</v>
      </c>
      <c r="V98" s="1453"/>
      <c r="W98" s="1453"/>
    </row>
    <row r="99" spans="1:23" ht="12.75" customHeight="1">
      <c r="A99" s="1816"/>
      <c r="B99" s="1457">
        <v>150</v>
      </c>
      <c r="C99" s="1497">
        <v>9.9999999999999995E-8</v>
      </c>
      <c r="D99" s="1497">
        <v>9.9999999999999995E-8</v>
      </c>
      <c r="E99" s="1497">
        <v>9.9999999999999995E-8</v>
      </c>
      <c r="F99" s="1459">
        <f t="shared" ref="F99:F104" si="70">0.5*(MAX(C99:E99)-MIN(C99:E99))</f>
        <v>0</v>
      </c>
      <c r="G99" s="1465">
        <v>1.2</v>
      </c>
      <c r="H99" s="1454"/>
      <c r="I99" s="1816"/>
      <c r="J99" s="1457">
        <v>150</v>
      </c>
      <c r="K99" s="1460">
        <v>9.9999999999999995E-7</v>
      </c>
      <c r="L99" s="1460">
        <v>9.9999999999999995E-7</v>
      </c>
      <c r="M99" s="1497">
        <v>-0.17</v>
      </c>
      <c r="N99" s="1459">
        <f>0.5*(MAX(K99:M99)-MIN(K99:M99))</f>
        <v>8.5000500000000007E-2</v>
      </c>
      <c r="O99" s="1497">
        <v>1.2</v>
      </c>
      <c r="P99" s="1454"/>
      <c r="Q99" s="1816"/>
      <c r="R99" s="1457">
        <v>150</v>
      </c>
      <c r="S99" s="1460">
        <v>9.9999999999999995E-7</v>
      </c>
      <c r="T99" s="1460">
        <v>9.9999999999999995E-7</v>
      </c>
      <c r="U99" s="1497">
        <v>-0.24</v>
      </c>
      <c r="V99" s="1459">
        <f t="shared" ref="V99:V104" si="71">0.5*(MAX(S99:U99)-MIN(S99:U99))</f>
        <v>0.1200005</v>
      </c>
      <c r="W99" s="1497">
        <v>1.2</v>
      </c>
    </row>
    <row r="100" spans="1:23" ht="12.75" customHeight="1">
      <c r="A100" s="1816"/>
      <c r="B100" s="1457">
        <v>180</v>
      </c>
      <c r="C100" s="1497">
        <v>9.9999999999999995E-8</v>
      </c>
      <c r="D100" s="1497">
        <v>9.9999999999999995E-8</v>
      </c>
      <c r="E100" s="1497">
        <v>9.9999999999999995E-8</v>
      </c>
      <c r="F100" s="1459">
        <f t="shared" si="70"/>
        <v>0</v>
      </c>
      <c r="G100" s="1465">
        <v>1.2</v>
      </c>
      <c r="H100" s="1454"/>
      <c r="I100" s="1816"/>
      <c r="J100" s="1457">
        <v>180</v>
      </c>
      <c r="K100" s="1460">
        <v>9.9999999999999995E-7</v>
      </c>
      <c r="L100" s="1460">
        <v>9.9999999999999995E-7</v>
      </c>
      <c r="M100" s="1472">
        <v>-0.22</v>
      </c>
      <c r="N100" s="1459">
        <f t="shared" ref="N100:N104" si="72">0.5*(MAX(K100:M100)-MIN(K100:M100))</f>
        <v>0.1100005</v>
      </c>
      <c r="O100" s="1497">
        <v>1.2</v>
      </c>
      <c r="P100" s="1454"/>
      <c r="Q100" s="1816"/>
      <c r="R100" s="1457">
        <v>180</v>
      </c>
      <c r="S100" s="1460">
        <v>9.9999999999999995E-7</v>
      </c>
      <c r="T100" s="1460">
        <v>9.9999999999999995E-7</v>
      </c>
      <c r="U100" s="1472">
        <v>-0.14000000000000001</v>
      </c>
      <c r="V100" s="1459">
        <f t="shared" si="71"/>
        <v>7.0000500000000007E-2</v>
      </c>
      <c r="W100" s="1497">
        <v>1.2</v>
      </c>
    </row>
    <row r="101" spans="1:23" ht="12.75" customHeight="1">
      <c r="A101" s="1816"/>
      <c r="B101" s="1457">
        <v>200</v>
      </c>
      <c r="C101" s="1497">
        <v>9.9999999999999995E-8</v>
      </c>
      <c r="D101" s="1497">
        <v>9.9999999999999995E-8</v>
      </c>
      <c r="E101" s="1497">
        <v>9.9999999999999995E-8</v>
      </c>
      <c r="F101" s="1459">
        <f t="shared" si="70"/>
        <v>0</v>
      </c>
      <c r="G101" s="1465">
        <v>1.2</v>
      </c>
      <c r="H101" s="1454"/>
      <c r="I101" s="1816"/>
      <c r="J101" s="1457">
        <v>200</v>
      </c>
      <c r="K101" s="1460">
        <v>9.9999999999999995E-7</v>
      </c>
      <c r="L101" s="1460">
        <v>9.9999999999999995E-7</v>
      </c>
      <c r="M101" s="1472">
        <v>-0.33</v>
      </c>
      <c r="N101" s="1459">
        <f t="shared" si="72"/>
        <v>0.16500049999999999</v>
      </c>
      <c r="O101" s="1497">
        <v>1.2</v>
      </c>
      <c r="P101" s="1454"/>
      <c r="Q101" s="1816"/>
      <c r="R101" s="1457">
        <v>200</v>
      </c>
      <c r="S101" s="1460">
        <v>9.9999999999999995E-7</v>
      </c>
      <c r="T101" s="1460">
        <v>9.9999999999999995E-7</v>
      </c>
      <c r="U101" s="1472">
        <v>-0.33</v>
      </c>
      <c r="V101" s="1459">
        <f t="shared" si="71"/>
        <v>0.16500049999999999</v>
      </c>
      <c r="W101" s="1497">
        <v>1.2</v>
      </c>
    </row>
    <row r="102" spans="1:23" ht="12.75" customHeight="1">
      <c r="A102" s="1816"/>
      <c r="B102" s="1457">
        <v>220</v>
      </c>
      <c r="C102" s="1497">
        <v>9.9999999999999995E-8</v>
      </c>
      <c r="D102" s="1497">
        <v>9.9999999999999995E-8</v>
      </c>
      <c r="E102" s="1497">
        <v>9.9999999999999995E-8</v>
      </c>
      <c r="F102" s="1459">
        <f t="shared" si="70"/>
        <v>0</v>
      </c>
      <c r="G102" s="1465">
        <v>1.2</v>
      </c>
      <c r="H102" s="1454"/>
      <c r="I102" s="1816"/>
      <c r="J102" s="1457">
        <v>220</v>
      </c>
      <c r="K102" s="1460">
        <v>9.9999999999999995E-7</v>
      </c>
      <c r="L102" s="1460">
        <v>9.9999999999999995E-7</v>
      </c>
      <c r="M102" s="1472">
        <v>-0.39</v>
      </c>
      <c r="N102" s="1459">
        <f t="shared" si="72"/>
        <v>0.19500049999999999</v>
      </c>
      <c r="O102" s="1497">
        <v>1.2</v>
      </c>
      <c r="P102" s="1454"/>
      <c r="Q102" s="1816"/>
      <c r="R102" s="1457">
        <v>220</v>
      </c>
      <c r="S102" s="1460">
        <v>9.9999999999999995E-7</v>
      </c>
      <c r="T102" s="1460">
        <v>9.9999999999999995E-7</v>
      </c>
      <c r="U102" s="1472">
        <v>-0.45</v>
      </c>
      <c r="V102" s="1459">
        <f t="shared" si="71"/>
        <v>0.22500049999999999</v>
      </c>
      <c r="W102" s="1497">
        <v>1.2</v>
      </c>
    </row>
    <row r="103" spans="1:23" ht="12.75" customHeight="1">
      <c r="A103" s="1816"/>
      <c r="B103" s="1457">
        <v>230</v>
      </c>
      <c r="C103" s="1497">
        <v>9.9999999999999995E-8</v>
      </c>
      <c r="D103" s="1497">
        <v>9.9999999999999995E-8</v>
      </c>
      <c r="E103" s="1497">
        <v>9.9999999999999995E-8</v>
      </c>
      <c r="F103" s="1459">
        <f t="shared" si="70"/>
        <v>0</v>
      </c>
      <c r="G103" s="1465">
        <v>1.2</v>
      </c>
      <c r="H103" s="1454"/>
      <c r="I103" s="1816"/>
      <c r="J103" s="1457">
        <v>230</v>
      </c>
      <c r="K103" s="1460">
        <v>9.9999999999999995E-7</v>
      </c>
      <c r="L103" s="1460">
        <v>9.9999999999999995E-7</v>
      </c>
      <c r="M103" s="1472">
        <v>-0.39</v>
      </c>
      <c r="N103" s="1459">
        <f t="shared" si="72"/>
        <v>0.19500049999999999</v>
      </c>
      <c r="O103" s="1497">
        <v>1.2</v>
      </c>
      <c r="P103" s="1454"/>
      <c r="Q103" s="1816"/>
      <c r="R103" s="1457">
        <v>230</v>
      </c>
      <c r="S103" s="1460">
        <v>9.9999999999999995E-7</v>
      </c>
      <c r="T103" s="1460">
        <v>9.9999999999999995E-7</v>
      </c>
      <c r="U103" s="1472">
        <v>-0.54</v>
      </c>
      <c r="V103" s="1459">
        <f t="shared" si="71"/>
        <v>0.27000050000000003</v>
      </c>
      <c r="W103" s="1497">
        <v>1.2</v>
      </c>
    </row>
    <row r="104" spans="1:23" ht="12.75" customHeight="1">
      <c r="A104" s="1816"/>
      <c r="B104" s="1457">
        <v>250</v>
      </c>
      <c r="C104" s="1497">
        <v>9.9999999999999995E-8</v>
      </c>
      <c r="D104" s="1497">
        <v>9.9999999999999995E-8</v>
      </c>
      <c r="E104" s="1497">
        <v>9.9999999999999995E-8</v>
      </c>
      <c r="F104" s="1459">
        <f t="shared" si="70"/>
        <v>0</v>
      </c>
      <c r="G104" s="1465">
        <v>1.2</v>
      </c>
      <c r="H104" s="1454"/>
      <c r="I104" s="1816"/>
      <c r="J104" s="1457">
        <v>250</v>
      </c>
      <c r="K104" s="1460">
        <v>9.9999999999999995E-7</v>
      </c>
      <c r="L104" s="1460">
        <v>9.9999999999999995E-7</v>
      </c>
      <c r="M104" s="1467">
        <v>9.9999999999999995E-7</v>
      </c>
      <c r="N104" s="1459">
        <f t="shared" si="72"/>
        <v>0</v>
      </c>
      <c r="O104" s="1497">
        <v>1.2</v>
      </c>
      <c r="P104" s="1454"/>
      <c r="Q104" s="1816"/>
      <c r="R104" s="1457">
        <v>250</v>
      </c>
      <c r="S104" s="1460">
        <v>9.9999999999999995E-7</v>
      </c>
      <c r="T104" s="1460">
        <v>9.9999999999999995E-7</v>
      </c>
      <c r="U104" s="1467">
        <v>9.9999999999999995E-7</v>
      </c>
      <c r="V104" s="1459">
        <f t="shared" si="71"/>
        <v>0</v>
      </c>
      <c r="W104" s="1497">
        <v>1.2</v>
      </c>
    </row>
    <row r="105" spans="1:23" ht="12.75" customHeight="1">
      <c r="A105" s="1816"/>
      <c r="B105" s="1823" t="s">
        <v>148</v>
      </c>
      <c r="C105" s="1824"/>
      <c r="D105" s="1824"/>
      <c r="E105" s="1825"/>
      <c r="F105" s="1453" t="s">
        <v>143</v>
      </c>
      <c r="G105" s="1453" t="s">
        <v>81</v>
      </c>
      <c r="H105" s="1454"/>
      <c r="I105" s="1816"/>
      <c r="J105" s="1823" t="s">
        <v>148</v>
      </c>
      <c r="K105" s="1824"/>
      <c r="L105" s="1824"/>
      <c r="M105" s="1825"/>
      <c r="N105" s="1453" t="s">
        <v>143</v>
      </c>
      <c r="O105" s="1453" t="s">
        <v>81</v>
      </c>
      <c r="P105" s="1454"/>
      <c r="Q105" s="1816"/>
      <c r="R105" s="1823" t="s">
        <v>148</v>
      </c>
      <c r="S105" s="1824"/>
      <c r="T105" s="1824"/>
      <c r="U105" s="1825"/>
      <c r="V105" s="1453" t="s">
        <v>143</v>
      </c>
      <c r="W105" s="1453" t="s">
        <v>81</v>
      </c>
    </row>
    <row r="106" spans="1:23" ht="15" customHeight="1">
      <c r="A106" s="1816"/>
      <c r="B106" s="1452" t="s">
        <v>150</v>
      </c>
      <c r="C106" s="1453">
        <f>C98</f>
        <v>2023</v>
      </c>
      <c r="D106" s="1453">
        <f>D98</f>
        <v>2024</v>
      </c>
      <c r="E106" s="1453">
        <f>E98</f>
        <v>2025</v>
      </c>
      <c r="F106" s="1453"/>
      <c r="G106" s="1453"/>
      <c r="H106" s="1454"/>
      <c r="I106" s="1816"/>
      <c r="J106" s="1452" t="s">
        <v>150</v>
      </c>
      <c r="K106" s="1453">
        <f>K98</f>
        <v>2019</v>
      </c>
      <c r="L106" s="1453">
        <f>L98</f>
        <v>2019</v>
      </c>
      <c r="M106" s="1453">
        <f>M98</f>
        <v>2020</v>
      </c>
      <c r="N106" s="1453"/>
      <c r="O106" s="1453"/>
      <c r="P106" s="1454"/>
      <c r="Q106" s="1816"/>
      <c r="R106" s="1452" t="s">
        <v>150</v>
      </c>
      <c r="S106" s="1453">
        <f>S98</f>
        <v>2019</v>
      </c>
      <c r="T106" s="1453">
        <f>T98</f>
        <v>2019</v>
      </c>
      <c r="U106" s="1453">
        <f>U98</f>
        <v>2020</v>
      </c>
      <c r="V106" s="1453"/>
      <c r="W106" s="1453"/>
    </row>
    <row r="107" spans="1:23" ht="12.75" customHeight="1">
      <c r="A107" s="1816"/>
      <c r="B107" s="1464">
        <v>9.9999999999999995E-7</v>
      </c>
      <c r="C107" s="1497">
        <v>9.9999999999999995E-8</v>
      </c>
      <c r="D107" s="1497">
        <v>9.9999999999999995E-8</v>
      </c>
      <c r="E107" s="1497">
        <v>9.9999999999999995E-8</v>
      </c>
      <c r="F107" s="1459">
        <f t="shared" ref="F107:F112" si="73">0.5*(MAX(C107:E107)-MIN(C107:E107))</f>
        <v>0</v>
      </c>
      <c r="G107" s="1470">
        <v>0.59</v>
      </c>
      <c r="H107" s="1454"/>
      <c r="I107" s="1816"/>
      <c r="J107" s="1471">
        <v>9.9999999999999995E-7</v>
      </c>
      <c r="K107" s="1464">
        <v>9.9999999999999995E-7</v>
      </c>
      <c r="L107" s="1464">
        <v>9.9999999999999995E-7</v>
      </c>
      <c r="M107" s="1467">
        <v>9.9999999999999995E-7</v>
      </c>
      <c r="N107" s="1459">
        <f t="shared" ref="N107:N112" si="74">0.5*(MAX(K107:M107)-MIN(K107:M107))</f>
        <v>0</v>
      </c>
      <c r="O107" s="1469">
        <v>0.59</v>
      </c>
      <c r="P107" s="1454"/>
      <c r="Q107" s="1816"/>
      <c r="R107" s="1471">
        <v>9.9999999999999995E-7</v>
      </c>
      <c r="S107" s="1464">
        <v>9.9999999999999995E-7</v>
      </c>
      <c r="T107" s="1464">
        <v>9.9999999999999995E-7</v>
      </c>
      <c r="U107" s="1467">
        <v>9.9999999999999995E-7</v>
      </c>
      <c r="V107" s="1459">
        <f t="shared" ref="V107:V112" si="75">0.5*(MAX(S107:U107)-MIN(S107:U107))</f>
        <v>0</v>
      </c>
      <c r="W107" s="1469">
        <v>0.59</v>
      </c>
    </row>
    <row r="108" spans="1:23" ht="12.75" customHeight="1">
      <c r="A108" s="1816"/>
      <c r="B108" s="1466">
        <v>50</v>
      </c>
      <c r="C108" s="1497">
        <v>9.9999999999999995E-8</v>
      </c>
      <c r="D108" s="1497">
        <v>9.9999999999999995E-8</v>
      </c>
      <c r="E108" s="1497">
        <v>9.9999999999999995E-8</v>
      </c>
      <c r="F108" s="1459">
        <f t="shared" si="73"/>
        <v>0</v>
      </c>
      <c r="G108" s="1470">
        <v>0.59</v>
      </c>
      <c r="H108" s="1454"/>
      <c r="I108" s="1816"/>
      <c r="J108" s="1466">
        <v>50</v>
      </c>
      <c r="K108" s="1464">
        <v>9.9999999999999995E-7</v>
      </c>
      <c r="L108" s="1464">
        <v>9.9999999999999995E-7</v>
      </c>
      <c r="M108" s="1472">
        <v>1.7</v>
      </c>
      <c r="N108" s="1459">
        <f t="shared" si="74"/>
        <v>0.84999950000000002</v>
      </c>
      <c r="O108" s="1469">
        <v>0.59</v>
      </c>
      <c r="P108" s="1454"/>
      <c r="Q108" s="1816"/>
      <c r="R108" s="1466">
        <v>50</v>
      </c>
      <c r="S108" s="1464">
        <v>9.9999999999999995E-7</v>
      </c>
      <c r="T108" s="1464">
        <v>9.9999999999999995E-7</v>
      </c>
      <c r="U108" s="1472">
        <v>2.1</v>
      </c>
      <c r="V108" s="1459">
        <f t="shared" si="75"/>
        <v>1.0499995</v>
      </c>
      <c r="W108" s="1472">
        <v>0.59</v>
      </c>
    </row>
    <row r="109" spans="1:23" ht="12.75" customHeight="1">
      <c r="A109" s="1816"/>
      <c r="B109" s="1466">
        <v>100</v>
      </c>
      <c r="C109" s="1497">
        <v>9.9999999999999995E-8</v>
      </c>
      <c r="D109" s="1497">
        <v>9.9999999999999995E-8</v>
      </c>
      <c r="E109" s="1497">
        <v>9.9999999999999995E-8</v>
      </c>
      <c r="F109" s="1459">
        <f t="shared" si="73"/>
        <v>0</v>
      </c>
      <c r="G109" s="1470">
        <v>0.59</v>
      </c>
      <c r="H109" s="1454"/>
      <c r="I109" s="1816"/>
      <c r="J109" s="1466">
        <v>100</v>
      </c>
      <c r="K109" s="1464">
        <v>9.9999999999999995E-7</v>
      </c>
      <c r="L109" s="1464">
        <v>9.9999999999999995E-7</v>
      </c>
      <c r="M109" s="1472">
        <v>3.4</v>
      </c>
      <c r="N109" s="1459">
        <f t="shared" si="74"/>
        <v>1.6999994999999999</v>
      </c>
      <c r="O109" s="1469">
        <v>0.59</v>
      </c>
      <c r="P109" s="1454"/>
      <c r="Q109" s="1816"/>
      <c r="R109" s="1466">
        <v>100</v>
      </c>
      <c r="S109" s="1464">
        <v>9.9999999999999995E-7</v>
      </c>
      <c r="T109" s="1464">
        <v>9.9999999999999995E-7</v>
      </c>
      <c r="U109" s="1472">
        <v>3.7</v>
      </c>
      <c r="V109" s="1459">
        <f t="shared" si="75"/>
        <v>1.8499995</v>
      </c>
      <c r="W109" s="1472">
        <v>0.59</v>
      </c>
    </row>
    <row r="110" spans="1:23" ht="12.75" customHeight="1">
      <c r="A110" s="1816"/>
      <c r="B110" s="1466">
        <v>200</v>
      </c>
      <c r="C110" s="1497">
        <v>9.9999999999999995E-8</v>
      </c>
      <c r="D110" s="1497">
        <v>9.9999999999999995E-8</v>
      </c>
      <c r="E110" s="1497">
        <v>9.9999999999999995E-8</v>
      </c>
      <c r="F110" s="1459">
        <f t="shared" si="73"/>
        <v>0</v>
      </c>
      <c r="G110" s="1470">
        <v>0.59</v>
      </c>
      <c r="H110" s="1454"/>
      <c r="I110" s="1816"/>
      <c r="J110" s="1466">
        <v>500</v>
      </c>
      <c r="K110" s="1464">
        <v>9.9999999999999995E-7</v>
      </c>
      <c r="L110" s="1464">
        <v>9.9999999999999995E-7</v>
      </c>
      <c r="M110" s="1472">
        <v>7.2</v>
      </c>
      <c r="N110" s="1459">
        <f t="shared" si="74"/>
        <v>3.5999995</v>
      </c>
      <c r="O110" s="1469">
        <v>0.59</v>
      </c>
      <c r="P110" s="1454"/>
      <c r="Q110" s="1816"/>
      <c r="R110" s="1466">
        <v>500</v>
      </c>
      <c r="S110" s="1464">
        <v>9.9999999999999995E-7</v>
      </c>
      <c r="T110" s="1464">
        <v>9.9999999999999995E-7</v>
      </c>
      <c r="U110" s="1472">
        <v>8.3000000000000007</v>
      </c>
      <c r="V110" s="1459">
        <f t="shared" si="75"/>
        <v>4.1499995000000007</v>
      </c>
      <c r="W110" s="1472">
        <v>0.59</v>
      </c>
    </row>
    <row r="111" spans="1:23" ht="12.75" customHeight="1">
      <c r="A111" s="1816"/>
      <c r="B111" s="1466">
        <v>500</v>
      </c>
      <c r="C111" s="1497">
        <v>9.9999999999999995E-8</v>
      </c>
      <c r="D111" s="1497">
        <v>9.9999999999999995E-8</v>
      </c>
      <c r="E111" s="1497">
        <v>9.9999999999999995E-8</v>
      </c>
      <c r="F111" s="1459">
        <f t="shared" si="73"/>
        <v>0</v>
      </c>
      <c r="G111" s="1470">
        <v>0.59</v>
      </c>
      <c r="H111" s="1454"/>
      <c r="I111" s="1816"/>
      <c r="J111" s="1466">
        <v>500</v>
      </c>
      <c r="K111" s="1464">
        <v>9.9999999999999995E-7</v>
      </c>
      <c r="L111" s="1464">
        <v>9.9999999999999995E-7</v>
      </c>
      <c r="M111" s="1472">
        <v>7.2</v>
      </c>
      <c r="N111" s="1459">
        <f t="shared" si="74"/>
        <v>3.5999995</v>
      </c>
      <c r="O111" s="1469">
        <v>0.59</v>
      </c>
      <c r="P111" s="1454"/>
      <c r="Q111" s="1816"/>
      <c r="R111" s="1466">
        <v>500</v>
      </c>
      <c r="S111" s="1464">
        <v>9.9999999999999995E-7</v>
      </c>
      <c r="T111" s="1464">
        <v>9.9999999999999995E-7</v>
      </c>
      <c r="U111" s="1472">
        <v>8.3000000000000007</v>
      </c>
      <c r="V111" s="1459">
        <f t="shared" si="75"/>
        <v>4.1499995000000007</v>
      </c>
      <c r="W111" s="1472">
        <v>0.59</v>
      </c>
    </row>
    <row r="112" spans="1:23" ht="12.75" customHeight="1">
      <c r="A112" s="1816"/>
      <c r="B112" s="1466">
        <v>1000</v>
      </c>
      <c r="C112" s="1497">
        <v>9.9999999999999995E-8</v>
      </c>
      <c r="D112" s="1497">
        <v>9.9999999999999995E-8</v>
      </c>
      <c r="E112" s="1497">
        <v>9.9999999999999995E-8</v>
      </c>
      <c r="F112" s="1459">
        <f t="shared" si="73"/>
        <v>0</v>
      </c>
      <c r="G112" s="1470">
        <v>0.59</v>
      </c>
      <c r="H112" s="1454"/>
      <c r="I112" s="1816"/>
      <c r="J112" s="1466">
        <v>1000</v>
      </c>
      <c r="K112" s="1464">
        <v>9.9999999999999995E-7</v>
      </c>
      <c r="L112" s="1464">
        <v>9.9999999999999995E-7</v>
      </c>
      <c r="M112" s="1472">
        <v>80</v>
      </c>
      <c r="N112" s="1459">
        <f t="shared" si="74"/>
        <v>39.999999500000001</v>
      </c>
      <c r="O112" s="1469">
        <v>0.59</v>
      </c>
      <c r="P112" s="1454"/>
      <c r="Q112" s="1816"/>
      <c r="R112" s="1466">
        <v>1000</v>
      </c>
      <c r="S112" s="1464">
        <v>9.9999999999999995E-7</v>
      </c>
      <c r="T112" s="1464">
        <v>9.9999999999999995E-7</v>
      </c>
      <c r="U112" s="1472">
        <v>-97</v>
      </c>
      <c r="V112" s="1459">
        <f t="shared" si="75"/>
        <v>48.500000499999999</v>
      </c>
      <c r="W112" s="1472">
        <v>0.59</v>
      </c>
    </row>
    <row r="113" spans="1:24" ht="12.75" customHeight="1">
      <c r="A113" s="1816"/>
      <c r="B113" s="1823" t="s">
        <v>152</v>
      </c>
      <c r="C113" s="1824"/>
      <c r="D113" s="1824"/>
      <c r="E113" s="1825"/>
      <c r="F113" s="1453" t="s">
        <v>143</v>
      </c>
      <c r="G113" s="1453" t="s">
        <v>81</v>
      </c>
      <c r="H113" s="1454"/>
      <c r="I113" s="1816"/>
      <c r="J113" s="1823" t="s">
        <v>152</v>
      </c>
      <c r="K113" s="1824"/>
      <c r="L113" s="1824"/>
      <c r="M113" s="1825"/>
      <c r="N113" s="1453" t="s">
        <v>143</v>
      </c>
      <c r="O113" s="1453" t="s">
        <v>81</v>
      </c>
      <c r="P113" s="1454"/>
      <c r="Q113" s="1816"/>
      <c r="R113" s="1823" t="s">
        <v>152</v>
      </c>
      <c r="S113" s="1824"/>
      <c r="T113" s="1824"/>
      <c r="U113" s="1825"/>
      <c r="V113" s="1453" t="s">
        <v>143</v>
      </c>
      <c r="W113" s="1453" t="s">
        <v>81</v>
      </c>
    </row>
    <row r="114" spans="1:24" ht="15" customHeight="1">
      <c r="A114" s="1816"/>
      <c r="B114" s="1452" t="s">
        <v>153</v>
      </c>
      <c r="C114" s="1453">
        <v>2020</v>
      </c>
      <c r="D114" s="1453">
        <v>2021</v>
      </c>
      <c r="E114" s="1453">
        <v>2018</v>
      </c>
      <c r="F114" s="1453"/>
      <c r="G114" s="1453"/>
      <c r="H114" s="1454"/>
      <c r="I114" s="1816"/>
      <c r="J114" s="1452" t="s">
        <v>153</v>
      </c>
      <c r="K114" s="1453">
        <f>K98</f>
        <v>2019</v>
      </c>
      <c r="L114" s="1453">
        <f>L98</f>
        <v>2019</v>
      </c>
      <c r="M114" s="1453">
        <f>M98</f>
        <v>2020</v>
      </c>
      <c r="N114" s="1453"/>
      <c r="O114" s="1453"/>
      <c r="P114" s="1454"/>
      <c r="Q114" s="1816"/>
      <c r="R114" s="1452" t="s">
        <v>153</v>
      </c>
      <c r="S114" s="1453">
        <f>S98</f>
        <v>2019</v>
      </c>
      <c r="T114" s="1453">
        <f>T98</f>
        <v>2019</v>
      </c>
      <c r="U114" s="1453">
        <f>U98</f>
        <v>2020</v>
      </c>
      <c r="V114" s="1453"/>
      <c r="W114" s="1453"/>
    </row>
    <row r="115" spans="1:24" ht="12.75" customHeight="1">
      <c r="A115" s="1816"/>
      <c r="B115" s="1466">
        <v>10</v>
      </c>
      <c r="C115" s="1497">
        <v>9.9999999999999995E-8</v>
      </c>
      <c r="D115" s="1497">
        <v>9.9999999999999995E-8</v>
      </c>
      <c r="E115" s="1497">
        <v>9.9999999999999995E-8</v>
      </c>
      <c r="F115" s="1459">
        <f t="shared" ref="F115:F118" si="76">0.5*(MAX(C115:E115)-MIN(C115:E115))</f>
        <v>0</v>
      </c>
      <c r="G115" s="1471">
        <v>1.7</v>
      </c>
      <c r="H115" s="1454"/>
      <c r="I115" s="1816"/>
      <c r="J115" s="1466">
        <v>10</v>
      </c>
      <c r="K115" s="1464">
        <v>9.9999999999999995E-7</v>
      </c>
      <c r="L115" s="1464">
        <v>9.9999999999999995E-7</v>
      </c>
      <c r="M115" s="1464">
        <v>9.9999999999999995E-7</v>
      </c>
      <c r="N115" s="1459">
        <f t="shared" ref="N115:N118" si="77">0.5*(MAX(K115:M115)-MIN(K115:M115))</f>
        <v>0</v>
      </c>
      <c r="O115" s="1472">
        <v>0</v>
      </c>
      <c r="P115" s="1454"/>
      <c r="Q115" s="1816"/>
      <c r="R115" s="1466">
        <v>10</v>
      </c>
      <c r="S115" s="1464">
        <v>9.9999999999999995E-7</v>
      </c>
      <c r="T115" s="1464">
        <v>9.9999999999999995E-7</v>
      </c>
      <c r="U115" s="1464">
        <v>9.9999999999999995E-7</v>
      </c>
      <c r="V115" s="1459">
        <f t="shared" ref="V115:V118" si="78">0.5*(MAX(S115:U115)-MIN(S115:U115))</f>
        <v>0</v>
      </c>
      <c r="W115" s="1472">
        <v>0</v>
      </c>
    </row>
    <row r="116" spans="1:24" ht="12.75" customHeight="1">
      <c r="A116" s="1816"/>
      <c r="B116" s="1466">
        <v>20</v>
      </c>
      <c r="C116" s="1497">
        <v>9.9999999999999995E-8</v>
      </c>
      <c r="D116" s="1497">
        <v>9.9999999999999995E-8</v>
      </c>
      <c r="E116" s="1497">
        <v>9.9999999999999995E-8</v>
      </c>
      <c r="F116" s="1459">
        <f t="shared" si="76"/>
        <v>0</v>
      </c>
      <c r="G116" s="1471">
        <v>1.7</v>
      </c>
      <c r="H116" s="1454"/>
      <c r="I116" s="1816"/>
      <c r="J116" s="1466">
        <v>20</v>
      </c>
      <c r="K116" s="1464">
        <v>9.9999999999999995E-7</v>
      </c>
      <c r="L116" s="1464">
        <v>9.9999999999999995E-7</v>
      </c>
      <c r="M116" s="1464">
        <v>9.9999999999999995E-7</v>
      </c>
      <c r="N116" s="1459">
        <f t="shared" si="77"/>
        <v>0</v>
      </c>
      <c r="O116" s="1472">
        <v>0</v>
      </c>
      <c r="P116" s="1454"/>
      <c r="Q116" s="1816"/>
      <c r="R116" s="1466">
        <v>20</v>
      </c>
      <c r="S116" s="1464">
        <v>9.9999999999999995E-7</v>
      </c>
      <c r="T116" s="1464">
        <v>9.9999999999999995E-7</v>
      </c>
      <c r="U116" s="1464">
        <v>9.9999999999999995E-7</v>
      </c>
      <c r="V116" s="1459">
        <f t="shared" si="78"/>
        <v>0</v>
      </c>
      <c r="W116" s="1472">
        <v>0</v>
      </c>
    </row>
    <row r="117" spans="1:24" ht="12.75" customHeight="1">
      <c r="A117" s="1816"/>
      <c r="B117" s="1466">
        <v>50</v>
      </c>
      <c r="C117" s="1497">
        <v>9.9999999999999995E-8</v>
      </c>
      <c r="D117" s="1497">
        <v>9.9999999999999995E-8</v>
      </c>
      <c r="E117" s="1497">
        <v>9.9999999999999995E-8</v>
      </c>
      <c r="F117" s="1459">
        <f t="shared" si="76"/>
        <v>0</v>
      </c>
      <c r="G117" s="1471">
        <v>1.7</v>
      </c>
      <c r="H117" s="1454"/>
      <c r="I117" s="1816"/>
      <c r="J117" s="1466">
        <v>50</v>
      </c>
      <c r="K117" s="1464">
        <v>9.9999999999999995E-7</v>
      </c>
      <c r="L117" s="1464">
        <v>9.9999999999999995E-7</v>
      </c>
      <c r="M117" s="1464">
        <v>9.9999999999999995E-7</v>
      </c>
      <c r="N117" s="1459">
        <f t="shared" si="77"/>
        <v>0</v>
      </c>
      <c r="O117" s="1472">
        <v>0</v>
      </c>
      <c r="P117" s="1454"/>
      <c r="Q117" s="1816"/>
      <c r="R117" s="1466">
        <v>50</v>
      </c>
      <c r="S117" s="1464">
        <v>9.9999999999999995E-7</v>
      </c>
      <c r="T117" s="1464">
        <v>9.9999999999999995E-7</v>
      </c>
      <c r="U117" s="1464">
        <v>9.9999999999999995E-7</v>
      </c>
      <c r="V117" s="1459">
        <f t="shared" si="78"/>
        <v>0</v>
      </c>
      <c r="W117" s="1472">
        <v>0</v>
      </c>
    </row>
    <row r="118" spans="1:24" ht="12.75" customHeight="1">
      <c r="A118" s="1816"/>
      <c r="B118" s="1466">
        <v>100</v>
      </c>
      <c r="C118" s="1497">
        <v>9.9999999999999995E-8</v>
      </c>
      <c r="D118" s="1497">
        <v>9.9999999999999995E-8</v>
      </c>
      <c r="E118" s="1497">
        <v>9.9999999999999995E-8</v>
      </c>
      <c r="F118" s="1459">
        <f t="shared" si="76"/>
        <v>0</v>
      </c>
      <c r="G118" s="1471">
        <v>1.7</v>
      </c>
      <c r="H118" s="1454"/>
      <c r="I118" s="1816"/>
      <c r="J118" s="1466">
        <v>100</v>
      </c>
      <c r="K118" s="1464">
        <v>9.9999999999999995E-7</v>
      </c>
      <c r="L118" s="1464">
        <v>9.9999999999999995E-7</v>
      </c>
      <c r="M118" s="1464">
        <v>9.9999999999999995E-7</v>
      </c>
      <c r="N118" s="1459">
        <f t="shared" si="77"/>
        <v>0</v>
      </c>
      <c r="O118" s="1472">
        <v>0</v>
      </c>
      <c r="P118" s="1454"/>
      <c r="Q118" s="1816"/>
      <c r="R118" s="1466">
        <v>100</v>
      </c>
      <c r="S118" s="1464">
        <v>9.9999999999999995E-7</v>
      </c>
      <c r="T118" s="1464">
        <v>9.9999999999999995E-7</v>
      </c>
      <c r="U118" s="1464">
        <v>9.9999999999999995E-7</v>
      </c>
      <c r="V118" s="1459">
        <f t="shared" si="78"/>
        <v>0</v>
      </c>
      <c r="W118" s="1472">
        <v>0</v>
      </c>
    </row>
    <row r="119" spans="1:24" ht="12.75" customHeight="1">
      <c r="A119" s="1816"/>
      <c r="B119" s="1823" t="s">
        <v>154</v>
      </c>
      <c r="C119" s="1824"/>
      <c r="D119" s="1824"/>
      <c r="E119" s="1825"/>
      <c r="F119" s="1453" t="s">
        <v>143</v>
      </c>
      <c r="G119" s="1453" t="s">
        <v>81</v>
      </c>
      <c r="H119" s="1454"/>
      <c r="I119" s="1816"/>
      <c r="J119" s="1823" t="s">
        <v>154</v>
      </c>
      <c r="K119" s="1824"/>
      <c r="L119" s="1824"/>
      <c r="M119" s="1825"/>
      <c r="N119" s="1453" t="s">
        <v>143</v>
      </c>
      <c r="O119" s="1453" t="s">
        <v>81</v>
      </c>
      <c r="P119" s="1454"/>
      <c r="Q119" s="1816"/>
      <c r="R119" s="1823" t="str">
        <f>B119</f>
        <v>Resistance</v>
      </c>
      <c r="S119" s="1824"/>
      <c r="T119" s="1824"/>
      <c r="U119" s="1825"/>
      <c r="V119" s="1453" t="s">
        <v>143</v>
      </c>
      <c r="W119" s="1453" t="s">
        <v>81</v>
      </c>
    </row>
    <row r="120" spans="1:24" ht="15" customHeight="1">
      <c r="A120" s="1816"/>
      <c r="B120" s="1452" t="s">
        <v>155</v>
      </c>
      <c r="C120" s="1453">
        <f>C98</f>
        <v>2023</v>
      </c>
      <c r="D120" s="1453">
        <f>D98</f>
        <v>2024</v>
      </c>
      <c r="E120" s="1453">
        <f>E98</f>
        <v>2025</v>
      </c>
      <c r="F120" s="1453"/>
      <c r="G120" s="1453"/>
      <c r="H120" s="1454"/>
      <c r="I120" s="1816"/>
      <c r="J120" s="1452" t="s">
        <v>155</v>
      </c>
      <c r="K120" s="1453">
        <f>K98</f>
        <v>2019</v>
      </c>
      <c r="L120" s="1453">
        <f>L98</f>
        <v>2019</v>
      </c>
      <c r="M120" s="1453">
        <f>M98</f>
        <v>2020</v>
      </c>
      <c r="N120" s="1453"/>
      <c r="O120" s="1453"/>
      <c r="P120" s="1454"/>
      <c r="Q120" s="1816"/>
      <c r="R120" s="1452" t="s">
        <v>155</v>
      </c>
      <c r="S120" s="1453">
        <f>S98</f>
        <v>2019</v>
      </c>
      <c r="T120" s="1453">
        <f>T98</f>
        <v>2019</v>
      </c>
      <c r="U120" s="1453">
        <f>U98</f>
        <v>2020</v>
      </c>
      <c r="V120" s="1453"/>
      <c r="W120" s="1453"/>
    </row>
    <row r="121" spans="1:24" ht="12.75" customHeight="1">
      <c r="A121" s="1816"/>
      <c r="B121" s="1466">
        <v>0.01</v>
      </c>
      <c r="C121" s="1497">
        <v>9.9999999999999995E-8</v>
      </c>
      <c r="D121" s="1497">
        <v>9.9999999999999995E-8</v>
      </c>
      <c r="E121" s="1497">
        <v>9.9999999999999995E-8</v>
      </c>
      <c r="F121" s="1459">
        <f t="shared" ref="F121:F124" si="79">0.5*(MAX(C121:E121)-MIN(C121:E121))</f>
        <v>0</v>
      </c>
      <c r="G121" s="1466">
        <v>1.2</v>
      </c>
      <c r="H121" s="1454"/>
      <c r="I121" s="1816"/>
      <c r="J121" s="1466">
        <v>0.01</v>
      </c>
      <c r="K121" s="1466">
        <v>9.9999999999999995E-7</v>
      </c>
      <c r="L121" s="1466">
        <v>9.9999999999999995E-7</v>
      </c>
      <c r="M121" s="1467">
        <v>9.9999999999999995E-7</v>
      </c>
      <c r="N121" s="1459">
        <f t="shared" ref="N121:N124" si="80">0.5*(MAX(K121:M121)-MIN(K121:M121))</f>
        <v>0</v>
      </c>
      <c r="O121" s="1498">
        <v>1.2</v>
      </c>
      <c r="P121" s="1454"/>
      <c r="Q121" s="1816"/>
      <c r="R121" s="1466">
        <v>0.01</v>
      </c>
      <c r="S121" s="1466">
        <v>9.9999999999999995E-7</v>
      </c>
      <c r="T121" s="1466">
        <v>9.9999999999999995E-7</v>
      </c>
      <c r="U121" s="1467">
        <v>9.9999999999999995E-7</v>
      </c>
      <c r="V121" s="1459">
        <f t="shared" ref="V121:V124" si="81">0.5*(MAX(S121:U121)-MIN(S121:U121))</f>
        <v>0</v>
      </c>
      <c r="W121" s="1499">
        <v>1.2</v>
      </c>
    </row>
    <row r="122" spans="1:24" ht="12.75" customHeight="1">
      <c r="A122" s="1816"/>
      <c r="B122" s="1466">
        <v>0.1</v>
      </c>
      <c r="C122" s="1497">
        <v>9.9999999999999995E-8</v>
      </c>
      <c r="D122" s="1497">
        <v>9.9999999999999995E-8</v>
      </c>
      <c r="E122" s="1497">
        <v>9.9999999999999995E-8</v>
      </c>
      <c r="F122" s="1459">
        <f t="shared" si="79"/>
        <v>0</v>
      </c>
      <c r="G122" s="1466">
        <v>1.2</v>
      </c>
      <c r="H122" s="1454"/>
      <c r="I122" s="1816"/>
      <c r="J122" s="1466">
        <v>0.1</v>
      </c>
      <c r="K122" s="1476">
        <v>9.9999999999999995E-7</v>
      </c>
      <c r="L122" s="1476">
        <v>9.9999999999999995E-7</v>
      </c>
      <c r="M122" s="1467">
        <v>-2E-3</v>
      </c>
      <c r="N122" s="1459">
        <f t="shared" si="80"/>
        <v>1.0005000000000001E-3</v>
      </c>
      <c r="O122" s="1498">
        <v>1.2</v>
      </c>
      <c r="P122" s="1454"/>
      <c r="Q122" s="1816"/>
      <c r="R122" s="1466">
        <v>0.1</v>
      </c>
      <c r="S122" s="1466">
        <v>9.9999999999999995E-7</v>
      </c>
      <c r="T122" s="1466">
        <v>9.9999999999999995E-7</v>
      </c>
      <c r="U122" s="1467">
        <v>-3.0000000000000001E-3</v>
      </c>
      <c r="V122" s="1459">
        <f t="shared" si="81"/>
        <v>1.5005000000000001E-3</v>
      </c>
      <c r="W122" s="1499">
        <v>1.2</v>
      </c>
    </row>
    <row r="123" spans="1:24" ht="12.75" customHeight="1">
      <c r="A123" s="1816"/>
      <c r="B123" s="1466">
        <v>1</v>
      </c>
      <c r="C123" s="1497">
        <v>9.9999999999999995E-8</v>
      </c>
      <c r="D123" s="1497">
        <v>9.9999999999999995E-8</v>
      </c>
      <c r="E123" s="1497">
        <v>9.9999999999999995E-8</v>
      </c>
      <c r="F123" s="1459">
        <f t="shared" si="79"/>
        <v>0</v>
      </c>
      <c r="G123" s="1466">
        <v>1.2</v>
      </c>
      <c r="H123" s="1454"/>
      <c r="I123" s="1816"/>
      <c r="J123" s="1466">
        <v>1</v>
      </c>
      <c r="K123" s="1476">
        <v>9.9999999999999995E-7</v>
      </c>
      <c r="L123" s="1476">
        <v>9.9999999999999995E-7</v>
      </c>
      <c r="M123" s="1467">
        <v>-1E-3</v>
      </c>
      <c r="N123" s="1459">
        <f t="shared" si="80"/>
        <v>5.0049999999999997E-4</v>
      </c>
      <c r="O123" s="1498">
        <v>1.2</v>
      </c>
      <c r="P123" s="1454"/>
      <c r="Q123" s="1816"/>
      <c r="R123" s="1466">
        <v>1</v>
      </c>
      <c r="S123" s="1466">
        <v>9.9999999999999995E-7</v>
      </c>
      <c r="T123" s="1466">
        <v>9.9999999999999995E-7</v>
      </c>
      <c r="U123" s="1467">
        <v>-1E-3</v>
      </c>
      <c r="V123" s="1459">
        <f t="shared" si="81"/>
        <v>5.0049999999999997E-4</v>
      </c>
      <c r="W123" s="1499">
        <v>1.2</v>
      </c>
    </row>
    <row r="124" spans="1:24" ht="12.75" customHeight="1">
      <c r="A124" s="1817"/>
      <c r="B124" s="1466">
        <v>2</v>
      </c>
      <c r="C124" s="1497">
        <v>9.9999999999999995E-8</v>
      </c>
      <c r="D124" s="1497">
        <v>9.9999999999999995E-8</v>
      </c>
      <c r="E124" s="1497">
        <v>9.9999999999999995E-8</v>
      </c>
      <c r="F124" s="1459">
        <f t="shared" si="79"/>
        <v>0</v>
      </c>
      <c r="G124" s="1466">
        <v>1.2</v>
      </c>
      <c r="H124" s="1454"/>
      <c r="I124" s="1817"/>
      <c r="J124" s="1466">
        <v>2</v>
      </c>
      <c r="K124" s="1476">
        <v>9.9999999999999995E-7</v>
      </c>
      <c r="L124" s="1476">
        <v>9.9999999999999995E-7</v>
      </c>
      <c r="M124" s="1467">
        <v>-6.0000000000000001E-3</v>
      </c>
      <c r="N124" s="1459">
        <f t="shared" si="80"/>
        <v>3.0005000000000001E-3</v>
      </c>
      <c r="O124" s="1498">
        <v>1.2</v>
      </c>
      <c r="P124" s="1454"/>
      <c r="Q124" s="1817"/>
      <c r="R124" s="1466">
        <v>2</v>
      </c>
      <c r="S124" s="1466">
        <v>9.9999999999999995E-7</v>
      </c>
      <c r="T124" s="1466">
        <v>9.9999999999999995E-7</v>
      </c>
      <c r="U124" s="1467">
        <v>-6.0000000000000001E-3</v>
      </c>
      <c r="V124" s="1459">
        <f t="shared" si="81"/>
        <v>3.0005000000000001E-3</v>
      </c>
      <c r="W124" s="1499">
        <v>1.2</v>
      </c>
    </row>
    <row r="125" spans="1:24" s="323" customFormat="1" ht="16" thickBot="1">
      <c r="A125" s="1491"/>
      <c r="B125" s="1492"/>
      <c r="C125" s="1493"/>
      <c r="E125" s="1493"/>
      <c r="F125" s="1493"/>
      <c r="G125" s="1493"/>
      <c r="H125" s="1480"/>
      <c r="I125" s="1432"/>
      <c r="J125" s="1494"/>
      <c r="K125" s="1493"/>
      <c r="M125" s="1493"/>
      <c r="N125" s="1493"/>
      <c r="O125" s="1493"/>
      <c r="P125" s="1480"/>
      <c r="Q125" s="1432"/>
      <c r="R125" s="1492"/>
      <c r="S125" s="1493"/>
      <c r="U125" s="993"/>
      <c r="V125" s="993"/>
      <c r="W125" s="1481"/>
      <c r="X125" s="1482"/>
    </row>
    <row r="126" spans="1:24" ht="16" thickBot="1">
      <c r="A126" s="1500"/>
      <c r="B126" s="1501"/>
      <c r="C126" s="1501"/>
      <c r="D126" s="1502"/>
      <c r="E126" s="1501"/>
      <c r="F126" s="1501"/>
      <c r="G126" s="1501"/>
      <c r="H126" s="1503"/>
      <c r="I126" s="1501"/>
      <c r="J126" s="1501"/>
      <c r="K126" s="1501"/>
      <c r="L126" s="1502"/>
      <c r="M126" s="1501"/>
      <c r="N126" s="1501"/>
      <c r="O126" s="1501"/>
      <c r="P126" s="1503"/>
      <c r="Q126" s="1501"/>
      <c r="R126" s="1501"/>
      <c r="S126" s="1501"/>
      <c r="T126" s="1502"/>
      <c r="U126" s="1504"/>
      <c r="V126" s="1504"/>
      <c r="W126" s="1505"/>
    </row>
    <row r="127" spans="1:24">
      <c r="A127" s="321"/>
      <c r="B127" s="1506"/>
      <c r="C127" s="1506"/>
    </row>
    <row r="128" spans="1:24" ht="15" customHeight="1"/>
    <row r="129" spans="1:19" ht="15.75" customHeight="1"/>
    <row r="131" spans="1:19" ht="16" thickBot="1">
      <c r="S131" s="1507"/>
    </row>
    <row r="132" spans="1:19" ht="30" customHeight="1">
      <c r="A132" s="1508">
        <f>IF($A$166=$A$167,A2,IF($A$166=$A$168,I2,IF($A$166=$A$169,Q2,IF($A$166=$A$170,A33,IF($A$166=$A$171,I33,IF($A$166=$A$172,Q33,IF($A$166=$A$173,A64,IF($A$166=$A$174,I64,IF($A$166=$A$175,Q64,IF($A$166=$A$176,A95,IF($A$166=$A$177,I95,Q95)))))))))))</f>
        <v>6</v>
      </c>
      <c r="B132" s="1847" t="str">
        <f>IF($A$166=$A$167,B2,IF($A$166=$A$168,J2,IF($A$166=$A$169,R2,IF($A$166=$A$170,B33,IF($A$166=$A$171,J33,IF($A$166=$A$172,R33,IF($A$166=$A$173,B64,IF($A$166=$A$174,J64,IF($A$166=$A$175,R64,IF($A$166=$A$176,B95,IF($A$166=$A$177,J95,R95)))))))))))</f>
        <v>Electrical Safety Analyzer, Merek : Fluke, Model : ESA 615, SN : 3148908</v>
      </c>
      <c r="C132" s="1848"/>
      <c r="D132" s="1848"/>
      <c r="E132" s="1848"/>
      <c r="F132" s="1848"/>
      <c r="G132" s="1849"/>
    </row>
    <row r="133" spans="1:19" ht="15.75" customHeight="1" thickBot="1">
      <c r="A133" s="1509"/>
      <c r="B133" s="1510" t="str">
        <f t="shared" ref="B133:G148" si="82">IF($A$166=$A$167,B3,IF($A$166=$A$168,J3,IF($A$166=$A$169,R3,IF($A$166=$A$170,B34,IF($A$166=$A$171,J34,IF($A$166=$A$172,R34,IF($A$166=$A$173,B65,IF($A$166=$A$174,J65,IF($A$166=$A$175,R65,IF($A$166=$A$176,B96,IF($A$166=$A$177,J96,R96)))))))))))</f>
        <v>KOREKSI ESA</v>
      </c>
      <c r="C133" s="1511"/>
      <c r="D133" s="1511"/>
      <c r="E133" s="1511"/>
      <c r="F133" s="1511"/>
      <c r="G133" s="1512"/>
      <c r="I133" s="323"/>
    </row>
    <row r="134" spans="1:19" ht="15.75" customHeight="1">
      <c r="A134" s="1509"/>
      <c r="B134" s="1513" t="str">
        <f t="shared" si="82"/>
        <v>Setting VAC</v>
      </c>
      <c r="C134" s="1514"/>
      <c r="D134" s="1514"/>
      <c r="E134" s="1515"/>
      <c r="F134" s="1516" t="str">
        <f>IF($A$166=$A$167,F4,IF($A$166=$A$168,N4,IF($A$166=$A$169,V4,IF($A$166=$A$170,F35,IF($A$166=$A$171,N35,IF($A$166=$A$172,V35,IF($A$166=$A$173,F66,IF($A$166=$A$174,N66,IF($A$166=$A$175,V66,IF($A$166=$A$176,F97,IF($A$166=$A$177,N97,V97)))))))))))</f>
        <v>Driff</v>
      </c>
      <c r="G134" s="1517" t="str">
        <f>IF($A$166=$A$167,G4,IF($A$166=$A$168,O4,IF($A$166=$A$169,W4,IF($A$166=$A$170,G35,IF($A$166=$A$171,O35,IF($A$166=$A$172,W35,IF($A$166=$A$173,G66,IF($A$166=$A$174,O66,IF($A$166=$A$175,W66,IF($A$166=$A$176,G97,IF($A$166=$A$177,O97,W97)))))))))))</f>
        <v>U95</v>
      </c>
      <c r="I134" s="1850" t="s">
        <v>137</v>
      </c>
      <c r="J134" s="1851"/>
      <c r="K134" s="1851"/>
      <c r="L134" s="1852"/>
      <c r="M134" s="1518"/>
      <c r="N134" s="1519" t="s">
        <v>134</v>
      </c>
      <c r="O134" s="1520" t="s">
        <v>135</v>
      </c>
      <c r="P134" s="1521" t="s">
        <v>136</v>
      </c>
    </row>
    <row r="135" spans="1:19" ht="12.75" customHeight="1">
      <c r="A135" s="1509"/>
      <c r="B135" s="1522" t="str">
        <f t="shared" si="82"/>
        <v>( V )</v>
      </c>
      <c r="C135" s="1516">
        <f t="shared" si="82"/>
        <v>2023</v>
      </c>
      <c r="D135" s="1516">
        <f t="shared" si="82"/>
        <v>2022</v>
      </c>
      <c r="E135" s="1516">
        <f t="shared" si="82"/>
        <v>2019</v>
      </c>
      <c r="F135" s="1516"/>
      <c r="G135" s="1517"/>
      <c r="I135" s="1523">
        <f>N137</f>
        <v>220</v>
      </c>
      <c r="J135" s="1524"/>
      <c r="K135" s="1525">
        <f>IF(I135="-","-",(FORECAST(I135,$E$136:$E$141,$B$136:$B$141)))</f>
        <v>-9.3383954198473312E-2</v>
      </c>
      <c r="L135" s="1526"/>
      <c r="M135" s="323"/>
      <c r="N135" s="1527"/>
      <c r="O135" s="1528"/>
      <c r="P135" s="1529"/>
    </row>
    <row r="136" spans="1:19" ht="16.5" customHeight="1" thickBot="1">
      <c r="A136" s="1509"/>
      <c r="B136" s="1522">
        <f t="shared" si="82"/>
        <v>150</v>
      </c>
      <c r="C136" s="1530">
        <f t="shared" si="82"/>
        <v>0.14000000000000001</v>
      </c>
      <c r="D136" s="1530">
        <f t="shared" si="82"/>
        <v>0.15</v>
      </c>
      <c r="E136" s="1530">
        <f t="shared" si="82"/>
        <v>-0.15</v>
      </c>
      <c r="F136" s="1516">
        <f t="shared" si="82"/>
        <v>0.15</v>
      </c>
      <c r="G136" s="1517">
        <f t="shared" si="82"/>
        <v>1.8</v>
      </c>
      <c r="I136" s="1841" t="s">
        <v>144</v>
      </c>
      <c r="J136" s="1842"/>
      <c r="K136" s="1842"/>
      <c r="L136" s="1843"/>
      <c r="M136" s="323"/>
      <c r="N136" s="1531"/>
      <c r="O136" s="1528"/>
      <c r="P136" s="1532"/>
    </row>
    <row r="137" spans="1:19" ht="15.75" customHeight="1">
      <c r="A137" s="1509"/>
      <c r="B137" s="1522">
        <f t="shared" si="82"/>
        <v>180</v>
      </c>
      <c r="C137" s="1530">
        <f t="shared" si="82"/>
        <v>0.17</v>
      </c>
      <c r="D137" s="1530">
        <f t="shared" si="82"/>
        <v>0.17</v>
      </c>
      <c r="E137" s="1530">
        <f t="shared" si="82"/>
        <v>-0.11</v>
      </c>
      <c r="F137" s="1516">
        <f t="shared" si="82"/>
        <v>0.14000000000000001</v>
      </c>
      <c r="G137" s="1517">
        <f t="shared" si="82"/>
        <v>2.16</v>
      </c>
      <c r="I137" s="1523" t="str">
        <f>N138</f>
        <v>OL</v>
      </c>
      <c r="J137" s="1524"/>
      <c r="K137" s="1525" t="str">
        <f>IF(I137="-","-",IF(I137="OL","OL",(FORECAST(I137,$E$152:$E$156,$B$152:$B$156))))</f>
        <v>OL</v>
      </c>
      <c r="L137" s="1526"/>
      <c r="M137" s="323"/>
      <c r="N137" s="1533">
        <f>ID!F16</f>
        <v>220</v>
      </c>
      <c r="O137" s="1534">
        <f>IF(N137="-","-",N137+K135)</f>
        <v>219.90661604580151</v>
      </c>
      <c r="P137" s="1535">
        <f>IF(N137="-","-",O137)</f>
        <v>219.90661604580151</v>
      </c>
      <c r="Q137" s="117" t="str">
        <f>TEXT(P137,"0.0")</f>
        <v>219.9</v>
      </c>
    </row>
    <row r="138" spans="1:19" ht="15.75" customHeight="1">
      <c r="A138" s="1509"/>
      <c r="B138" s="1522">
        <f t="shared" si="82"/>
        <v>200</v>
      </c>
      <c r="C138" s="1530">
        <f t="shared" si="82"/>
        <v>0.08</v>
      </c>
      <c r="D138" s="1530">
        <f t="shared" si="82"/>
        <v>0.1</v>
      </c>
      <c r="E138" s="1530">
        <f t="shared" si="82"/>
        <v>-0.1</v>
      </c>
      <c r="F138" s="1516">
        <f t="shared" si="82"/>
        <v>0.1</v>
      </c>
      <c r="G138" s="1517">
        <f t="shared" si="82"/>
        <v>2.4</v>
      </c>
      <c r="I138" s="1841" t="s">
        <v>147</v>
      </c>
      <c r="J138" s="1842"/>
      <c r="K138" s="1842"/>
      <c r="L138" s="1843"/>
      <c r="M138" s="323"/>
      <c r="N138" s="1536" t="str">
        <f>ID!J25</f>
        <v>OL</v>
      </c>
      <c r="O138" s="1537" t="str">
        <f>IF(N138="-","-",IF(N138="OL","OL",N138+K137))</f>
        <v>OL</v>
      </c>
      <c r="P138" s="1538" t="str">
        <f>IF(N138="OL","OL",IF(N138="NC","NC",IF(N138="OR","OR",IF(N138="-","-",O138))))</f>
        <v>OL</v>
      </c>
    </row>
    <row r="139" spans="1:19" ht="12.75" customHeight="1">
      <c r="A139" s="1509"/>
      <c r="B139" s="1522">
        <f t="shared" si="82"/>
        <v>220</v>
      </c>
      <c r="C139" s="1530">
        <f t="shared" si="82"/>
        <v>0.06</v>
      </c>
      <c r="D139" s="1530">
        <f t="shared" si="82"/>
        <v>7.0000000000000007E-2</v>
      </c>
      <c r="E139" s="1530">
        <f t="shared" si="82"/>
        <v>-0.13</v>
      </c>
      <c r="F139" s="1516">
        <f t="shared" si="82"/>
        <v>0.1</v>
      </c>
      <c r="G139" s="1517">
        <f t="shared" si="82"/>
        <v>2.64</v>
      </c>
      <c r="I139" s="1539">
        <f>N139</f>
        <v>0.1</v>
      </c>
      <c r="J139" s="1524"/>
      <c r="K139" s="1540">
        <f>IF(I139="-","-",(FORECAST(I139,$E$159:$E$162,$B$159:$B$162)))</f>
        <v>-1.0456245382560307E-3</v>
      </c>
      <c r="L139" s="1541"/>
      <c r="M139" s="323"/>
      <c r="N139" s="1536">
        <f>ID!J26</f>
        <v>0.1</v>
      </c>
      <c r="O139" s="1542">
        <f>IF(N139="-","-",IF(N139="OL","OL",N139+K139))</f>
        <v>9.8954375461743974E-2</v>
      </c>
      <c r="P139" s="1538">
        <f>IF(N139="OL","OL",IF(N139="NC","NC",IF(N139="-","-",O139)))</f>
        <v>9.8954375461743974E-2</v>
      </c>
    </row>
    <row r="140" spans="1:19" ht="12.75" customHeight="1">
      <c r="A140" s="1509"/>
      <c r="B140" s="1522">
        <f t="shared" si="82"/>
        <v>230</v>
      </c>
      <c r="C140" s="1530">
        <f t="shared" si="82"/>
        <v>0.04</v>
      </c>
      <c r="D140" s="1530">
        <f t="shared" si="82"/>
        <v>0.08</v>
      </c>
      <c r="E140" s="1530">
        <f t="shared" si="82"/>
        <v>-0.15</v>
      </c>
      <c r="F140" s="1516">
        <f t="shared" si="82"/>
        <v>0.11499999999999999</v>
      </c>
      <c r="G140" s="1517">
        <f t="shared" si="82"/>
        <v>2.7600000000000002</v>
      </c>
      <c r="I140" s="1841" t="s">
        <v>149</v>
      </c>
      <c r="J140" s="1842"/>
      <c r="K140" s="1842"/>
      <c r="L140" s="1843"/>
      <c r="M140" s="323"/>
      <c r="N140" s="1536" t="str">
        <f>ID!J27</f>
        <v>-</v>
      </c>
      <c r="O140" s="1534" t="str">
        <f>IF(N140="-","-",N140+K141)</f>
        <v>-</v>
      </c>
      <c r="P140" s="1543" t="str">
        <f>IF(N140="-","-",O140)</f>
        <v>-</v>
      </c>
    </row>
    <row r="141" spans="1:19" ht="12.75" customHeight="1" thickBot="1">
      <c r="A141" s="1509"/>
      <c r="B141" s="1522">
        <f t="shared" si="82"/>
        <v>250</v>
      </c>
      <c r="C141" s="1530">
        <f t="shared" si="82"/>
        <v>0</v>
      </c>
      <c r="D141" s="1530">
        <f t="shared" si="82"/>
        <v>0</v>
      </c>
      <c r="E141" s="1530">
        <f t="shared" si="82"/>
        <v>9.9999999999999995E-7</v>
      </c>
      <c r="F141" s="1516">
        <f t="shared" si="82"/>
        <v>4.9999999999999998E-7</v>
      </c>
      <c r="G141" s="1517">
        <f t="shared" si="82"/>
        <v>3</v>
      </c>
      <c r="I141" s="1544" t="str">
        <f>N140</f>
        <v>-</v>
      </c>
      <c r="J141" s="1524"/>
      <c r="K141" s="1545" t="str">
        <f>IF(I141="-","-",(FORECAST(I141,$E$144:$E$149,$B$144:$B$149)))</f>
        <v>-</v>
      </c>
      <c r="L141" s="1526"/>
      <c r="M141" s="323"/>
      <c r="N141" s="1536" t="str">
        <f>ID!J28</f>
        <v>-</v>
      </c>
      <c r="O141" s="1534" t="str">
        <f>IF(N141="-","-",N141+K143)</f>
        <v>-</v>
      </c>
      <c r="P141" s="1543" t="str">
        <f>IF(N141="-","-",O141)</f>
        <v>-</v>
      </c>
    </row>
    <row r="142" spans="1:19" ht="13.5" customHeight="1" thickBot="1">
      <c r="A142" s="1509"/>
      <c r="B142" s="1513" t="str">
        <f t="shared" si="82"/>
        <v>Current Leakage</v>
      </c>
      <c r="C142" s="1514"/>
      <c r="D142" s="1514"/>
      <c r="E142" s="1515"/>
      <c r="F142" s="1516" t="str">
        <f t="shared" si="82"/>
        <v>Driff</v>
      </c>
      <c r="G142" s="1517" t="str">
        <f t="shared" si="82"/>
        <v>U95</v>
      </c>
      <c r="I142" s="1841" t="s">
        <v>149</v>
      </c>
      <c r="J142" s="1842"/>
      <c r="K142" s="1842"/>
      <c r="L142" s="1843"/>
      <c r="M142" s="1546" t="s">
        <v>172</v>
      </c>
      <c r="N142" s="1547">
        <f>ID!P28</f>
        <v>10</v>
      </c>
      <c r="O142" s="1534">
        <f>IF(N142="-","-",N142+K145)</f>
        <v>10.326850490257243</v>
      </c>
      <c r="P142" s="1543">
        <f>IF(N142="-","-",O142)</f>
        <v>10.326850490257243</v>
      </c>
    </row>
    <row r="143" spans="1:19" ht="12.75" customHeight="1">
      <c r="A143" s="1509"/>
      <c r="B143" s="1522" t="str">
        <f t="shared" si="82"/>
        <v>( uA )</v>
      </c>
      <c r="C143" s="1516">
        <f t="shared" si="82"/>
        <v>2023</v>
      </c>
      <c r="D143" s="1516">
        <f t="shared" si="82"/>
        <v>2022</v>
      </c>
      <c r="E143" s="1516">
        <f t="shared" si="82"/>
        <v>2019</v>
      </c>
      <c r="F143" s="1516"/>
      <c r="G143" s="1517"/>
      <c r="I143" s="1544" t="str">
        <f>N141</f>
        <v>-</v>
      </c>
      <c r="J143" s="1524"/>
      <c r="K143" s="1545" t="str">
        <f>IF(I143="-","-",(FORECAST(I143,$E$144:$E$149,$B$144:$B$149)))</f>
        <v>-</v>
      </c>
      <c r="L143" s="1526"/>
      <c r="M143" s="1548" t="s">
        <v>544</v>
      </c>
      <c r="N143" s="1549">
        <f>P137</f>
        <v>219.90661604580151</v>
      </c>
      <c r="O143" s="1550">
        <f>IF(N143="-","-",(FORECAST(N143,G136:G141,B136:B141)))</f>
        <v>2.6388793925496183</v>
      </c>
      <c r="P143" s="1551" t="s">
        <v>163</v>
      </c>
      <c r="Q143" s="117" t="str">
        <f>TEXT(O143,"0.0")</f>
        <v>2.6</v>
      </c>
    </row>
    <row r="144" spans="1:19" ht="15.75" customHeight="1" thickBot="1">
      <c r="A144" s="1509"/>
      <c r="B144" s="1552">
        <f t="shared" si="82"/>
        <v>9.9999999999999995E-7</v>
      </c>
      <c r="C144" s="1553">
        <f t="shared" si="82"/>
        <v>9.9999999999999995E-7</v>
      </c>
      <c r="D144" s="1553">
        <f t="shared" si="82"/>
        <v>9.9999999999999995E-7</v>
      </c>
      <c r="E144" s="1553">
        <f t="shared" si="82"/>
        <v>9.9999999999999995E-7</v>
      </c>
      <c r="F144" s="1516">
        <f t="shared" si="82"/>
        <v>0</v>
      </c>
      <c r="G144" s="1517">
        <f t="shared" si="82"/>
        <v>5.8999999999999999E-9</v>
      </c>
      <c r="I144" s="1844" t="s">
        <v>149</v>
      </c>
      <c r="J144" s="1845"/>
      <c r="K144" s="1845"/>
      <c r="L144" s="1846"/>
      <c r="M144" s="1554"/>
      <c r="N144" s="1555" t="str">
        <f>P144&amp;FIXED(N143,1)&amp;P145&amp;FIXED(O143,1)&amp;P146&amp;P143</f>
        <v>( 219.9 ± 2.6 ) Volt</v>
      </c>
      <c r="O144" s="1556"/>
      <c r="P144" s="1557" t="s">
        <v>115</v>
      </c>
    </row>
    <row r="145" spans="1:17" ht="12.75" customHeight="1">
      <c r="A145" s="1509"/>
      <c r="B145" s="1522">
        <f t="shared" si="82"/>
        <v>50</v>
      </c>
      <c r="C145" s="1553">
        <f t="shared" si="82"/>
        <v>4.5</v>
      </c>
      <c r="D145" s="1553">
        <f t="shared" si="82"/>
        <v>19.100000000000001</v>
      </c>
      <c r="E145" s="1553">
        <f t="shared" si="82"/>
        <v>0.02</v>
      </c>
      <c r="F145" s="1516">
        <f t="shared" si="82"/>
        <v>9.5400000000000009</v>
      </c>
      <c r="G145" s="1517">
        <f t="shared" si="82"/>
        <v>0.29499999999999998</v>
      </c>
      <c r="I145" s="1558">
        <f>N142</f>
        <v>10</v>
      </c>
      <c r="J145" s="1559"/>
      <c r="K145" s="1560">
        <f>FORECAST(I145,$E$144:$E$149,$B$144:$B$149)</f>
        <v>0.32685049025724394</v>
      </c>
      <c r="L145" s="1560"/>
      <c r="M145" s="323"/>
      <c r="N145" s="1561"/>
      <c r="O145" s="324"/>
      <c r="P145" s="1562" t="s">
        <v>116</v>
      </c>
    </row>
    <row r="146" spans="1:17" ht="13.5" customHeight="1" thickBot="1">
      <c r="A146" s="1509"/>
      <c r="B146" s="1522">
        <f t="shared" si="82"/>
        <v>100</v>
      </c>
      <c r="C146" s="1553">
        <f t="shared" si="82"/>
        <v>6.2</v>
      </c>
      <c r="D146" s="1553">
        <f t="shared" si="82"/>
        <v>18.399999999999999</v>
      </c>
      <c r="E146" s="1553">
        <f t="shared" si="82"/>
        <v>0.22</v>
      </c>
      <c r="F146" s="1516">
        <f t="shared" si="82"/>
        <v>9.09</v>
      </c>
      <c r="G146" s="1517">
        <f t="shared" si="82"/>
        <v>0.59</v>
      </c>
      <c r="I146" s="1563"/>
      <c r="M146" s="323"/>
      <c r="N146" s="325"/>
      <c r="O146" s="325"/>
      <c r="P146" s="1564" t="s">
        <v>545</v>
      </c>
    </row>
    <row r="147" spans="1:17" ht="13.5" customHeight="1" thickBot="1">
      <c r="A147" s="1509"/>
      <c r="B147" s="1522">
        <f t="shared" si="82"/>
        <v>200</v>
      </c>
      <c r="C147" s="1553">
        <f t="shared" si="82"/>
        <v>9.4</v>
      </c>
      <c r="D147" s="1553">
        <f t="shared" si="82"/>
        <v>14.4</v>
      </c>
      <c r="E147" s="1553">
        <f t="shared" si="82"/>
        <v>0.8</v>
      </c>
      <c r="F147" s="1516">
        <f t="shared" si="82"/>
        <v>6.8</v>
      </c>
      <c r="G147" s="1517">
        <f t="shared" si="82"/>
        <v>1.18</v>
      </c>
      <c r="H147" s="1565"/>
      <c r="I147" s="1566"/>
      <c r="J147" s="1567"/>
      <c r="K147" s="1567"/>
      <c r="L147" s="1568"/>
      <c r="M147" s="1569"/>
      <c r="N147" s="1570">
        <f>MAX(N140:N145)</f>
        <v>219.90661604580151</v>
      </c>
      <c r="O147" s="1570">
        <f>MAX(P140:P142)</f>
        <v>10.326850490257243</v>
      </c>
      <c r="P147" s="1571">
        <f>IF(N147=0,"-",IF(N147=N147,O147,))</f>
        <v>10.326850490257243</v>
      </c>
    </row>
    <row r="148" spans="1:17" ht="12.75" customHeight="1">
      <c r="A148" s="1509"/>
      <c r="B148" s="1522">
        <f t="shared" si="82"/>
        <v>500</v>
      </c>
      <c r="C148" s="1553">
        <f t="shared" si="82"/>
        <v>10.8</v>
      </c>
      <c r="D148" s="1553">
        <f t="shared" si="82"/>
        <v>6.2</v>
      </c>
      <c r="E148" s="1553">
        <f t="shared" si="82"/>
        <v>1.1000000000000001</v>
      </c>
      <c r="F148" s="1516">
        <f t="shared" si="82"/>
        <v>4.8500000000000005</v>
      </c>
      <c r="G148" s="1517">
        <f t="shared" si="82"/>
        <v>2.9499999999999997</v>
      </c>
      <c r="I148" s="1572"/>
      <c r="J148" s="1572"/>
      <c r="K148" s="1572"/>
      <c r="L148" s="1518"/>
      <c r="M148" s="1518"/>
      <c r="N148" s="1518"/>
      <c r="O148" s="1518"/>
    </row>
    <row r="149" spans="1:17" ht="12.75" customHeight="1">
      <c r="A149" s="1509"/>
      <c r="B149" s="1522">
        <f t="shared" ref="B149:G149" si="83">IF($A$166=$A$167,B19,IF($A$166=$A$168,J19,IF($A$166=$A$169,R19,IF($A$166=$A$170,B50,IF($A$166=$A$171,J50,IF($A$166=$A$172,R50,IF($A$166=$A$173,B81,IF($A$166=$A$174,J81,IF($A$166=$A$175,R81,IF($A$166=$A$176,B112,IF($A$166=$A$177,J112,R112)))))))))))</f>
        <v>1000</v>
      </c>
      <c r="C149" s="1553">
        <f t="shared" si="83"/>
        <v>-88</v>
      </c>
      <c r="D149" s="1553">
        <f t="shared" si="83"/>
        <v>0</v>
      </c>
      <c r="E149" s="1553">
        <f t="shared" si="83"/>
        <v>9.9999999999999995E-7</v>
      </c>
      <c r="F149" s="1516">
        <f t="shared" si="83"/>
        <v>44.000000499999999</v>
      </c>
      <c r="G149" s="1517">
        <f t="shared" si="83"/>
        <v>5.8999999999999995</v>
      </c>
      <c r="H149" s="1573"/>
      <c r="I149" s="1574"/>
      <c r="J149" s="1574"/>
      <c r="K149" s="1575"/>
      <c r="L149" s="323"/>
      <c r="M149" s="323"/>
      <c r="N149" s="323"/>
      <c r="O149" s="323"/>
    </row>
    <row r="150" spans="1:17" ht="12.75" customHeight="1">
      <c r="A150" s="1509"/>
      <c r="B150" s="1513" t="str">
        <f>IF($A$166=$A$167,B20,IF($A$166=$A$168,J20,IF($A$166=$A$169,R20,IF($A$166=$A$170,B51,IF($A$166=$A$171,J51,IF($A$166=$A$172,R51,IF($A$166=$A$173,B82,IF($A$166=$A$174,J82,IF($A$166=$A$175,R82,IF($A$166=$A$176,B113,IF($A$166=$A$177,J113,R113)))))))))))</f>
        <v>Main-PE</v>
      </c>
      <c r="C150" s="1514"/>
      <c r="D150" s="1514"/>
      <c r="E150" s="1515"/>
      <c r="F150" s="1516" t="str">
        <f>IF($A$166=$A$167,F20,IF($A$166=$A$168,N20,IF($A$166=$A$169,V20,IF($A$166=$A$170,F51,IF($A$166=$A$171,N51,IF($A$166=$A$172,V51,IF($A$166=$A$173,F82,IF($A$166=$A$174,N82,IF($A$166=$A$175,V82,IF($A$166=$A$176,F113,IF($A$166=$A$177,N113,V113)))))))))))</f>
        <v>Driff</v>
      </c>
      <c r="G150" s="1517" t="str">
        <f>IF($A$166=$A$167,G20,IF($A$166=$A$168,O20,IF($A$166=$A$169,W20,IF($A$166=$A$170,G51,IF($A$166=$A$171,O51,IF($A$166=$A$172,W51,IF($A$166=$A$173,G82,IF($A$166=$A$174,O82,IF($A$166=$A$175,W82,IF($A$166=$A$176,G113,IF($A$166=$A$177,O113,W113)))))))))))</f>
        <v>U95</v>
      </c>
      <c r="L150" s="207"/>
      <c r="M150" s="207"/>
      <c r="N150" s="207"/>
      <c r="O150" s="207"/>
      <c r="P150" s="1576"/>
    </row>
    <row r="151" spans="1:17" ht="12.75" customHeight="1">
      <c r="A151" s="1509"/>
      <c r="B151" s="1522" t="str">
        <f>IF($A$166=$A$167,B21,IF($A$166=$A$168,J21,IF($A$166=$A$169,R21,IF($A$166=$A$170,B52,IF($A$166=$A$171,J52,IF($A$166=$A$172,R52,IF($A$166=$A$173,B83,IF($A$166=$A$174,J83,IF($A$166=$A$175,R83,IF($A$166=$A$176,B114,IF($A$166=$A$177,J114,R114)))))))))))</f>
        <v>( MΩ )</v>
      </c>
      <c r="C151" s="1516">
        <f>IF($A$166=$A$167,C21,IF($A$166=$A$168,K21,IF($A$166=$A$169,S21,IF($A$166=$A$170,C52,IF($A$166=$A$171,K52,IF($A$166=$A$172,S52,IF($A$166=$A$173,C83,IF($A$166=$A$174,K83,IF($A$166=$A$175,S83,IF($A$166=$A$176,C114,IF($A$166=$A$177,K114,S114)))))))))))</f>
        <v>2023</v>
      </c>
      <c r="D151" s="1516">
        <f>IF($A$166=$A$167,D21,IF($A$166=$A$168,L21,IF($A$166=$A$169,T21,IF($A$166=$A$170,D52,IF($A$166=$A$171,L52,IF($A$166=$A$172,T52,IF($A$166=$A$173,D83,IF($A$166=$A$174,L83,IF($A$166=$A$175,T83,IF($A$166=$A$176,D114,IF($A$166=$A$177,L114,T114)))))))))))</f>
        <v>2022</v>
      </c>
      <c r="E151" s="1516">
        <f>IF($A$166=$A$167,E21,IF($A$166=$A$168,M21,IF($A$166=$A$169,U21,IF($A$166=$A$170,E52,IF($A$166=$A$171,M52,IF($A$166=$A$172,U52,IF($A$166=$A$173,E83,IF($A$166=$A$174,M83,IF($A$166=$A$175,U83,IF($A$166=$A$176,E114,IF($A$166=$A$177,M114,U114)))))))))))</f>
        <v>2019</v>
      </c>
      <c r="F151" s="1516"/>
      <c r="G151" s="1517"/>
      <c r="H151" s="1573"/>
      <c r="I151" s="1574"/>
      <c r="J151" s="1574"/>
      <c r="K151" s="1575"/>
      <c r="L151" s="1574"/>
      <c r="M151" s="1574"/>
      <c r="N151" s="1574"/>
      <c r="O151" s="1575"/>
      <c r="P151" s="1577"/>
    </row>
    <row r="152" spans="1:17">
      <c r="B152" s="117">
        <v>0</v>
      </c>
      <c r="C152" s="117">
        <v>0</v>
      </c>
      <c r="D152" s="117">
        <v>0</v>
      </c>
      <c r="E152" s="117">
        <v>0</v>
      </c>
      <c r="F152" s="117">
        <v>0</v>
      </c>
      <c r="G152" s="117">
        <v>0</v>
      </c>
    </row>
    <row r="153" spans="1:17" ht="12.75" customHeight="1">
      <c r="A153" s="1509"/>
      <c r="B153" s="1522">
        <f t="shared" ref="B153:G162" si="84">IF($A$166=$A$167,B22,IF($A$166=$A$168,J22,IF($A$166=$A$169,R22,IF($A$166=$A$170,B53,IF($A$166=$A$171,J53,IF($A$166=$A$172,R53,IF($A$166=$A$173,B84,IF($A$166=$A$174,J84,IF($A$166=$A$175,R84,IF($A$166=$A$176,B115,IF($A$166=$A$177,J115,R115)))))))))))</f>
        <v>9.9999999999999995E-7</v>
      </c>
      <c r="C153" s="1516">
        <f t="shared" si="84"/>
        <v>0</v>
      </c>
      <c r="D153" s="1553">
        <f t="shared" si="84"/>
        <v>0.1</v>
      </c>
      <c r="E153" s="1553">
        <f t="shared" si="84"/>
        <v>0.1</v>
      </c>
      <c r="F153" s="1516">
        <f t="shared" si="84"/>
        <v>0.05</v>
      </c>
      <c r="G153" s="1517">
        <f t="shared" si="84"/>
        <v>1.7E-8</v>
      </c>
      <c r="L153" s="323"/>
      <c r="M153" s="1574"/>
      <c r="N153" s="323"/>
      <c r="O153" s="1575"/>
      <c r="P153" s="1578"/>
    </row>
    <row r="154" spans="1:17" ht="12.75" customHeight="1">
      <c r="A154" s="1509"/>
      <c r="B154" s="1522">
        <f t="shared" si="84"/>
        <v>20</v>
      </c>
      <c r="C154" s="1516">
        <f t="shared" si="84"/>
        <v>0.1</v>
      </c>
      <c r="D154" s="1516">
        <f t="shared" si="84"/>
        <v>0.1</v>
      </c>
      <c r="E154" s="1516">
        <f t="shared" si="84"/>
        <v>0.1</v>
      </c>
      <c r="F154" s="1516">
        <f t="shared" si="84"/>
        <v>0</v>
      </c>
      <c r="G154" s="1517">
        <f t="shared" si="84"/>
        <v>0.34</v>
      </c>
      <c r="H154" s="1573"/>
      <c r="I154" s="1574"/>
      <c r="J154" s="1574"/>
      <c r="K154" s="1575"/>
      <c r="L154" s="1574"/>
      <c r="M154" s="1574"/>
      <c r="N154" s="1574"/>
      <c r="O154" s="1575"/>
      <c r="P154" s="1577"/>
    </row>
    <row r="155" spans="1:17" ht="12.75" customHeight="1">
      <c r="A155" s="1509"/>
      <c r="B155" s="1522">
        <f t="shared" si="84"/>
        <v>50</v>
      </c>
      <c r="C155" s="1516">
        <f t="shared" si="84"/>
        <v>0.1</v>
      </c>
      <c r="D155" s="1516">
        <f t="shared" si="84"/>
        <v>0.3</v>
      </c>
      <c r="E155" s="1516">
        <f t="shared" si="84"/>
        <v>0.3</v>
      </c>
      <c r="F155" s="1516">
        <f t="shared" si="84"/>
        <v>9.9999999999999992E-2</v>
      </c>
      <c r="G155" s="1517">
        <f t="shared" si="84"/>
        <v>0.85000000000000009</v>
      </c>
      <c r="L155" s="323"/>
      <c r="M155" s="323"/>
      <c r="N155" s="323"/>
      <c r="O155" s="323"/>
    </row>
    <row r="156" spans="1:17" ht="12.75" customHeight="1">
      <c r="A156" s="1509"/>
      <c r="B156" s="1522">
        <f t="shared" si="84"/>
        <v>100</v>
      </c>
      <c r="C156" s="1516">
        <f t="shared" si="84"/>
        <v>2</v>
      </c>
      <c r="D156" s="1516">
        <f t="shared" si="84"/>
        <v>0.6</v>
      </c>
      <c r="E156" s="1516">
        <f t="shared" si="84"/>
        <v>0.6</v>
      </c>
      <c r="F156" s="1516">
        <f t="shared" si="84"/>
        <v>0.7</v>
      </c>
      <c r="G156" s="1517">
        <f t="shared" si="84"/>
        <v>1.7000000000000002</v>
      </c>
      <c r="H156" s="1579"/>
      <c r="I156" s="1580"/>
      <c r="J156" s="1580"/>
      <c r="K156" s="1581"/>
      <c r="L156" s="323"/>
      <c r="M156" s="323"/>
      <c r="N156" s="323"/>
      <c r="O156" s="323"/>
    </row>
    <row r="157" spans="1:17" ht="12.75" customHeight="1">
      <c r="A157" s="1509"/>
      <c r="B157" s="1513" t="str">
        <f t="shared" si="84"/>
        <v>Resistance</v>
      </c>
      <c r="C157" s="1514"/>
      <c r="D157" s="1514"/>
      <c r="E157" s="1515"/>
      <c r="F157" s="1516" t="str">
        <f>IF($A$166=$A$167,F26,IF($A$166=$A$168,N26,IF($A$166=$A$169,V26,IF($A$166=$A$170,F57,IF($A$166=$A$171,N57,IF($A$166=$A$172,V57,IF($A$166=$A$173,F88,IF($A$166=$A$174,N88,IF($A$166=$A$175,V88,IF($A$166=$A$176,F119,IF($A$166=$A$177,N119,V119)))))))))))</f>
        <v>Driff</v>
      </c>
      <c r="G157" s="1517" t="str">
        <f>IF($A$166=$A$167,G26,IF($A$166=$A$168,O26,IF($A$166=$A$169,W26,IF($A$166=$A$170,G57,IF($A$166=$A$171,O57,IF($A$166=$A$172,W57,IF($A$166=$A$173,G88,IF($A$166=$A$174,O88,IF($A$166=$A$175,W88,IF($A$166=$A$176,G119,IF($A$166=$A$177,O119,W119)))))))))))</f>
        <v>U95</v>
      </c>
      <c r="L157" s="1582"/>
      <c r="M157" s="1582"/>
      <c r="O157" s="323"/>
    </row>
    <row r="158" spans="1:17" ht="12.75" customHeight="1">
      <c r="A158" s="1509"/>
      <c r="B158" s="1522" t="str">
        <f t="shared" si="84"/>
        <v>( Ω )</v>
      </c>
      <c r="C158" s="1516">
        <f t="shared" si="84"/>
        <v>2023</v>
      </c>
      <c r="D158" s="1516">
        <f t="shared" si="84"/>
        <v>2022</v>
      </c>
      <c r="E158" s="1516">
        <f t="shared" si="84"/>
        <v>2019</v>
      </c>
      <c r="F158" s="1516"/>
      <c r="G158" s="1517"/>
      <c r="H158" s="1579"/>
      <c r="I158" s="1580"/>
      <c r="J158" s="1580"/>
      <c r="K158" s="1581"/>
      <c r="L158" s="1583"/>
      <c r="M158" s="323"/>
      <c r="N158" s="323"/>
      <c r="O158" s="323"/>
      <c r="Q158" s="323"/>
    </row>
    <row r="159" spans="1:17" ht="12.75" customHeight="1">
      <c r="A159" s="1509"/>
      <c r="B159" s="1522">
        <f t="shared" si="84"/>
        <v>0.01</v>
      </c>
      <c r="C159" s="1553">
        <f t="shared" si="84"/>
        <v>0</v>
      </c>
      <c r="D159" s="1553">
        <f t="shared" si="84"/>
        <v>0</v>
      </c>
      <c r="E159" s="1553">
        <f t="shared" si="84"/>
        <v>9.9999999999999995E-7</v>
      </c>
      <c r="F159" s="1516">
        <f t="shared" si="84"/>
        <v>4.9999999999999998E-7</v>
      </c>
      <c r="G159" s="1517">
        <f t="shared" si="84"/>
        <v>1.2E-4</v>
      </c>
      <c r="I159" s="323"/>
      <c r="J159" s="328"/>
      <c r="K159" s="328"/>
      <c r="L159" s="328"/>
      <c r="M159" s="329"/>
      <c r="N159" s="323"/>
      <c r="O159" s="323"/>
      <c r="P159" s="1482"/>
      <c r="Q159" s="323"/>
    </row>
    <row r="160" spans="1:17" ht="12.75" customHeight="1">
      <c r="A160" s="1509"/>
      <c r="B160" s="1522">
        <f t="shared" si="84"/>
        <v>0.1</v>
      </c>
      <c r="C160" s="1553">
        <f t="shared" si="84"/>
        <v>0</v>
      </c>
      <c r="D160" s="1553">
        <f t="shared" si="84"/>
        <v>-3.0000000000000001E-3</v>
      </c>
      <c r="E160" s="1553">
        <f t="shared" si="84"/>
        <v>-2E-3</v>
      </c>
      <c r="F160" s="1530">
        <f t="shared" si="84"/>
        <v>1.5E-3</v>
      </c>
      <c r="G160" s="1517">
        <f t="shared" si="84"/>
        <v>1.2000000000000001E-3</v>
      </c>
      <c r="I160" s="323"/>
      <c r="J160" s="329"/>
      <c r="K160" s="328"/>
      <c r="L160" s="329"/>
      <c r="M160" s="329"/>
      <c r="N160" s="323"/>
      <c r="O160" s="323"/>
      <c r="P160" s="1482"/>
      <c r="Q160" s="323"/>
    </row>
    <row r="161" spans="1:38" ht="15.75" customHeight="1">
      <c r="A161" s="1509"/>
      <c r="B161" s="1522">
        <f t="shared" si="84"/>
        <v>1</v>
      </c>
      <c r="C161" s="1553">
        <f t="shared" si="84"/>
        <v>-6.0000000000000001E-3</v>
      </c>
      <c r="D161" s="1553">
        <f t="shared" si="84"/>
        <v>-7.0000000000000001E-3</v>
      </c>
      <c r="E161" s="1553">
        <f t="shared" si="84"/>
        <v>-1E-3</v>
      </c>
      <c r="F161" s="1530">
        <f t="shared" si="84"/>
        <v>3.0000000000000001E-3</v>
      </c>
      <c r="G161" s="1517">
        <f t="shared" si="84"/>
        <v>1.2E-2</v>
      </c>
      <c r="I161" s="323"/>
      <c r="J161" s="328"/>
      <c r="K161" s="328"/>
      <c r="L161" s="328"/>
      <c r="M161" s="329"/>
      <c r="N161" s="323"/>
      <c r="O161" s="323"/>
      <c r="P161" s="1482"/>
      <c r="Q161" s="323"/>
    </row>
    <row r="162" spans="1:38" ht="13.5" customHeight="1" thickBot="1">
      <c r="A162" s="1584"/>
      <c r="B162" s="1585">
        <f t="shared" si="84"/>
        <v>2</v>
      </c>
      <c r="C162" s="1586">
        <f t="shared" si="84"/>
        <v>-7.0000000000000001E-3</v>
      </c>
      <c r="D162" s="1586">
        <f t="shared" si="84"/>
        <v>-7.0000000000000001E-3</v>
      </c>
      <c r="E162" s="1586">
        <f t="shared" si="84"/>
        <v>9.9999999999999995E-7</v>
      </c>
      <c r="F162" s="1587">
        <f t="shared" si="84"/>
        <v>3.5005000000000001E-3</v>
      </c>
      <c r="G162" s="1588">
        <f t="shared" si="84"/>
        <v>2.4E-2</v>
      </c>
      <c r="I162" s="323"/>
      <c r="J162" s="1431"/>
      <c r="K162" s="1431"/>
      <c r="L162" s="1431"/>
      <c r="M162" s="1431"/>
      <c r="N162" s="323"/>
      <c r="O162" s="323"/>
      <c r="P162" s="1482"/>
      <c r="Q162" s="323"/>
    </row>
    <row r="163" spans="1:38">
      <c r="I163" s="323"/>
      <c r="J163" s="328"/>
      <c r="K163" s="328"/>
      <c r="L163" s="328"/>
      <c r="M163" s="329"/>
      <c r="N163" s="323"/>
      <c r="O163" s="323"/>
      <c r="P163" s="1482"/>
      <c r="Q163" s="323"/>
    </row>
    <row r="164" spans="1:38">
      <c r="I164" s="323"/>
      <c r="J164" s="329"/>
      <c r="K164" s="328"/>
      <c r="L164" s="329"/>
      <c r="M164" s="329"/>
      <c r="N164" s="323"/>
      <c r="O164" s="323"/>
      <c r="P164" s="1482"/>
      <c r="Q164" s="323"/>
    </row>
    <row r="165" spans="1:38" ht="13" thickBot="1">
      <c r="I165" s="323"/>
      <c r="J165" s="328"/>
      <c r="K165" s="328"/>
      <c r="L165" s="328"/>
      <c r="M165" s="329"/>
      <c r="N165" s="323"/>
      <c r="O165" s="323"/>
      <c r="P165" s="1482"/>
      <c r="Q165" s="323"/>
    </row>
    <row r="166" spans="1:38" ht="15" customHeight="1">
      <c r="A166" s="1589" t="str">
        <f>ID!B97</f>
        <v>Electrical Safety Analyzer, Merek : Fluke, Model : ESA 615, SN : 3148908</v>
      </c>
      <c r="B166" s="1589"/>
      <c r="C166" s="1589"/>
      <c r="D166" s="1589"/>
      <c r="E166" s="1589"/>
      <c r="F166" s="1589"/>
      <c r="G166" s="1589"/>
      <c r="H166" s="1590"/>
      <c r="I166" s="1590"/>
      <c r="J166" s="1590"/>
      <c r="K166" s="1590"/>
      <c r="L166" s="1591"/>
      <c r="N166" s="1835">
        <f>A179</f>
        <v>6</v>
      </c>
      <c r="O166" s="1836"/>
      <c r="P166" s="1836"/>
      <c r="Q166" s="1836"/>
      <c r="R166" s="1836"/>
      <c r="S166" s="1836"/>
      <c r="T166" s="1836"/>
      <c r="U166" s="1836"/>
      <c r="V166" s="1836"/>
      <c r="W166" s="1836"/>
      <c r="X166" s="1836"/>
      <c r="Y166" s="1837"/>
    </row>
    <row r="167" spans="1:38" ht="14">
      <c r="A167" s="1592" t="s">
        <v>546</v>
      </c>
      <c r="B167" s="1593"/>
      <c r="C167" s="1594"/>
      <c r="D167" s="1595"/>
      <c r="E167" s="1595"/>
      <c r="F167" s="1595"/>
      <c r="G167" s="1595"/>
      <c r="H167" s="1596"/>
      <c r="I167" s="1597">
        <f>C5</f>
        <v>2022</v>
      </c>
      <c r="J167" s="1597">
        <f t="shared" ref="J167:K167" si="85">D5</f>
        <v>2020</v>
      </c>
      <c r="K167" s="1597">
        <f t="shared" si="85"/>
        <v>2019</v>
      </c>
      <c r="L167" s="1598">
        <v>1</v>
      </c>
      <c r="N167" s="1599">
        <v>1</v>
      </c>
      <c r="O167" s="1600" t="s">
        <v>547</v>
      </c>
      <c r="P167" s="1601"/>
      <c r="Q167" s="1602"/>
      <c r="R167" s="1602"/>
      <c r="S167" s="1602"/>
      <c r="T167" s="1602"/>
      <c r="U167" s="1602"/>
      <c r="V167" s="1602"/>
      <c r="W167" s="1602"/>
      <c r="X167" s="1601"/>
      <c r="Y167" s="1603"/>
    </row>
    <row r="168" spans="1:38" ht="14">
      <c r="A168" s="1592" t="s">
        <v>548</v>
      </c>
      <c r="B168" s="1593"/>
      <c r="C168" s="1594"/>
      <c r="D168" s="1595"/>
      <c r="E168" s="1595"/>
      <c r="F168" s="1595"/>
      <c r="G168" s="1595"/>
      <c r="H168" s="1596"/>
      <c r="I168" s="1597">
        <f>K5</f>
        <v>2022</v>
      </c>
      <c r="J168" s="1597">
        <f t="shared" ref="J168:K168" si="86">L5</f>
        <v>2019</v>
      </c>
      <c r="K168" s="1597">
        <f t="shared" si="86"/>
        <v>2017</v>
      </c>
      <c r="L168" s="1598">
        <v>2</v>
      </c>
      <c r="N168" s="1599">
        <v>2</v>
      </c>
      <c r="O168" s="1600" t="s">
        <v>547</v>
      </c>
      <c r="P168" s="1601"/>
      <c r="Q168" s="1602"/>
      <c r="R168" s="1602"/>
      <c r="S168" s="1602"/>
      <c r="T168" s="1602"/>
      <c r="U168" s="1602"/>
      <c r="V168" s="1602"/>
      <c r="W168" s="1602"/>
      <c r="X168" s="1601"/>
      <c r="Y168" s="1603"/>
      <c r="AL168" s="1604"/>
    </row>
    <row r="169" spans="1:38" ht="14">
      <c r="A169" s="1592" t="s">
        <v>173</v>
      </c>
      <c r="B169" s="1593"/>
      <c r="C169" s="1594"/>
      <c r="D169" s="1595"/>
      <c r="E169" s="1595"/>
      <c r="F169" s="1595"/>
      <c r="G169" s="1595"/>
      <c r="H169" s="1596"/>
      <c r="I169" s="1597">
        <f>S5</f>
        <v>2018</v>
      </c>
      <c r="J169" s="1597">
        <f t="shared" ref="J169:K169" si="87">T5</f>
        <v>2021</v>
      </c>
      <c r="K169" s="1597">
        <f t="shared" si="87"/>
        <v>2022</v>
      </c>
      <c r="L169" s="1598">
        <v>3</v>
      </c>
      <c r="N169" s="1599">
        <v>3</v>
      </c>
      <c r="O169" s="1600" t="s">
        <v>547</v>
      </c>
      <c r="P169" s="1601"/>
      <c r="Q169" s="1602"/>
      <c r="R169" s="1602"/>
      <c r="S169" s="1602"/>
      <c r="T169" s="1602"/>
      <c r="U169" s="1602"/>
      <c r="V169" s="1602"/>
      <c r="W169" s="1602"/>
      <c r="X169" s="1601"/>
      <c r="Y169" s="1603"/>
      <c r="AL169" s="1604"/>
    </row>
    <row r="170" spans="1:38" ht="14">
      <c r="A170" s="1592" t="s">
        <v>549</v>
      </c>
      <c r="B170" s="1593"/>
      <c r="C170" s="1594"/>
      <c r="D170" s="1595"/>
      <c r="E170" s="1595"/>
      <c r="F170" s="1595"/>
      <c r="G170" s="1595"/>
      <c r="H170" s="1596"/>
      <c r="I170" s="1597">
        <f>C36</f>
        <v>2022</v>
      </c>
      <c r="J170" s="1597">
        <f t="shared" ref="J170:K170" si="88">D36</f>
        <v>2021</v>
      </c>
      <c r="K170" s="1597">
        <f t="shared" si="88"/>
        <v>2019</v>
      </c>
      <c r="L170" s="1598">
        <v>4</v>
      </c>
      <c r="N170" s="1599">
        <v>4</v>
      </c>
      <c r="O170" s="1600" t="s">
        <v>547</v>
      </c>
      <c r="P170" s="1601"/>
      <c r="Q170" s="1602"/>
      <c r="R170" s="1602"/>
      <c r="S170" s="1602"/>
      <c r="T170" s="1602"/>
      <c r="U170" s="1602"/>
      <c r="V170" s="1602"/>
      <c r="W170" s="1602"/>
      <c r="X170" s="1601"/>
      <c r="Y170" s="1603"/>
      <c r="AL170" s="1604"/>
    </row>
    <row r="171" spans="1:38" ht="14">
      <c r="A171" s="1592" t="s">
        <v>550</v>
      </c>
      <c r="B171" s="1594"/>
      <c r="C171" s="1594"/>
      <c r="D171" s="1595"/>
      <c r="E171" s="1595"/>
      <c r="F171" s="1595"/>
      <c r="G171" s="1595"/>
      <c r="H171" s="1596"/>
      <c r="I171" s="1597">
        <f>K36</f>
        <v>2022</v>
      </c>
      <c r="J171" s="1597">
        <f t="shared" ref="J171:K171" si="89">L36</f>
        <v>2021</v>
      </c>
      <c r="K171" s="1597">
        <f t="shared" si="89"/>
        <v>2019</v>
      </c>
      <c r="L171" s="1598">
        <v>5</v>
      </c>
      <c r="N171" s="1599">
        <v>5</v>
      </c>
      <c r="O171" s="1600" t="s">
        <v>547</v>
      </c>
      <c r="P171" s="1601"/>
      <c r="Q171" s="1602"/>
      <c r="R171" s="1602"/>
      <c r="S171" s="1602"/>
      <c r="T171" s="1602"/>
      <c r="U171" s="1602"/>
      <c r="V171" s="1602"/>
      <c r="W171" s="1602"/>
      <c r="X171" s="1601"/>
      <c r="Y171" s="1603"/>
      <c r="AL171" s="1604"/>
    </row>
    <row r="172" spans="1:38" ht="14">
      <c r="A172" s="1592" t="s">
        <v>177</v>
      </c>
      <c r="B172" s="1594"/>
      <c r="C172" s="1594"/>
      <c r="D172" s="1595"/>
      <c r="E172" s="1595"/>
      <c r="F172" s="1595"/>
      <c r="G172" s="1595"/>
      <c r="H172" s="1596"/>
      <c r="I172" s="1597">
        <f>S36</f>
        <v>2023</v>
      </c>
      <c r="J172" s="1597">
        <f t="shared" ref="J172:K172" si="90">T36</f>
        <v>2022</v>
      </c>
      <c r="K172" s="1597">
        <f t="shared" si="90"/>
        <v>2019</v>
      </c>
      <c r="L172" s="1598">
        <v>6</v>
      </c>
      <c r="N172" s="1599">
        <v>6</v>
      </c>
      <c r="O172" s="1600" t="s">
        <v>547</v>
      </c>
      <c r="P172" s="1601"/>
      <c r="Q172" s="1602"/>
      <c r="R172" s="1602"/>
      <c r="S172" s="1602"/>
      <c r="T172" s="1602"/>
      <c r="U172" s="1602"/>
      <c r="V172" s="1602"/>
      <c r="W172" s="1602"/>
      <c r="X172" s="1601"/>
      <c r="Y172" s="1603"/>
      <c r="AL172" s="1604"/>
    </row>
    <row r="173" spans="1:38" ht="14">
      <c r="A173" s="1592" t="s">
        <v>178</v>
      </c>
      <c r="B173" s="1594"/>
      <c r="C173" s="1594"/>
      <c r="D173" s="1595"/>
      <c r="E173" s="1595"/>
      <c r="F173" s="1595"/>
      <c r="G173" s="1595"/>
      <c r="H173" s="1596"/>
      <c r="I173" s="1597">
        <f>C67</f>
        <v>2023</v>
      </c>
      <c r="J173" s="1597">
        <f t="shared" ref="J173:K173" si="91">D67</f>
        <v>2022</v>
      </c>
      <c r="K173" s="1597">
        <f t="shared" si="91"/>
        <v>2020</v>
      </c>
      <c r="L173" s="1598">
        <v>7</v>
      </c>
      <c r="N173" s="1599">
        <v>7</v>
      </c>
      <c r="O173" s="1600" t="s">
        <v>547</v>
      </c>
      <c r="P173" s="1601"/>
      <c r="Q173" s="1602"/>
      <c r="R173" s="1602"/>
      <c r="S173" s="1602"/>
      <c r="T173" s="1602"/>
      <c r="U173" s="1602"/>
      <c r="V173" s="1602"/>
      <c r="W173" s="1602"/>
      <c r="X173" s="1601"/>
      <c r="Y173" s="1603"/>
      <c r="AL173" s="1604"/>
    </row>
    <row r="174" spans="1:38" ht="14">
      <c r="A174" s="1592" t="s">
        <v>180</v>
      </c>
      <c r="B174" s="1594"/>
      <c r="C174" s="1594"/>
      <c r="D174" s="1595"/>
      <c r="E174" s="1595"/>
      <c r="F174" s="1595"/>
      <c r="G174" s="1595"/>
      <c r="H174" s="1596"/>
      <c r="I174" s="1605">
        <f>K67</f>
        <v>2023</v>
      </c>
      <c r="J174" s="1605">
        <f t="shared" ref="J174:K174" si="92">L67</f>
        <v>2022</v>
      </c>
      <c r="K174" s="1605">
        <f t="shared" si="92"/>
        <v>2020</v>
      </c>
      <c r="L174" s="1598">
        <v>8</v>
      </c>
      <c r="N174" s="1599">
        <v>8</v>
      </c>
      <c r="O174" s="1600" t="s">
        <v>547</v>
      </c>
      <c r="P174" s="1601"/>
      <c r="Q174" s="1602"/>
      <c r="R174" s="1602"/>
      <c r="S174" s="1602"/>
      <c r="T174" s="1602"/>
      <c r="U174" s="1602"/>
      <c r="V174" s="1602"/>
      <c r="W174" s="1602"/>
      <c r="X174" s="1601"/>
      <c r="Y174" s="1603"/>
      <c r="AL174" s="1604"/>
    </row>
    <row r="175" spans="1:38" ht="14">
      <c r="A175" s="1592" t="s">
        <v>179</v>
      </c>
      <c r="B175" s="1594"/>
      <c r="C175" s="1594"/>
      <c r="D175" s="1595"/>
      <c r="E175" s="1595"/>
      <c r="F175" s="1595"/>
      <c r="G175" s="1595"/>
      <c r="H175" s="1596"/>
      <c r="I175" s="1605">
        <f>S67</f>
        <v>2019</v>
      </c>
      <c r="J175" s="1605">
        <f t="shared" ref="J175:K175" si="93">T67</f>
        <v>2022</v>
      </c>
      <c r="K175" s="1605">
        <f t="shared" si="93"/>
        <v>2020</v>
      </c>
      <c r="L175" s="1598">
        <v>9</v>
      </c>
      <c r="N175" s="1599">
        <v>9</v>
      </c>
      <c r="O175" s="1600" t="s">
        <v>547</v>
      </c>
      <c r="P175" s="1601"/>
      <c r="Q175" s="1602"/>
      <c r="R175" s="1602"/>
      <c r="S175" s="1602"/>
      <c r="T175" s="1602"/>
      <c r="U175" s="1602"/>
      <c r="V175" s="1602"/>
      <c r="W175" s="1602"/>
      <c r="X175" s="1601"/>
      <c r="Y175" s="1603"/>
      <c r="AL175" s="1604"/>
    </row>
    <row r="176" spans="1:38" ht="14">
      <c r="A176" s="1592" t="s">
        <v>551</v>
      </c>
      <c r="B176" s="1594"/>
      <c r="C176" s="1594"/>
      <c r="D176" s="1595"/>
      <c r="E176" s="1595"/>
      <c r="F176" s="1595"/>
      <c r="G176" s="1595"/>
      <c r="H176" s="1596"/>
      <c r="I176" s="1605">
        <f>C98</f>
        <v>2023</v>
      </c>
      <c r="J176" s="1605">
        <f t="shared" ref="J176:K176" si="94">D98</f>
        <v>2024</v>
      </c>
      <c r="K176" s="1605">
        <f t="shared" si="94"/>
        <v>2025</v>
      </c>
      <c r="L176" s="1598">
        <v>10</v>
      </c>
      <c r="M176" s="1604"/>
      <c r="N176" s="1599">
        <v>10</v>
      </c>
      <c r="O176" s="1600" t="s">
        <v>547</v>
      </c>
      <c r="P176" s="1601"/>
      <c r="Q176" s="1602"/>
      <c r="R176" s="1602"/>
      <c r="S176" s="1602"/>
      <c r="T176" s="1602"/>
      <c r="U176" s="1602"/>
      <c r="V176" s="1602"/>
      <c r="W176" s="1602"/>
      <c r="X176" s="1601"/>
      <c r="Y176" s="1603"/>
      <c r="AL176" s="1604"/>
    </row>
    <row r="177" spans="1:50" ht="14">
      <c r="A177" s="1592" t="s">
        <v>183</v>
      </c>
      <c r="B177" s="1594"/>
      <c r="C177" s="1594"/>
      <c r="D177" s="1595"/>
      <c r="E177" s="1595"/>
      <c r="F177" s="1595"/>
      <c r="G177" s="1595"/>
      <c r="H177" s="1596"/>
      <c r="I177" s="1605">
        <f>K98</f>
        <v>2019</v>
      </c>
      <c r="J177" s="1605">
        <f t="shared" ref="J177:K177" si="95">L98</f>
        <v>2019</v>
      </c>
      <c r="K177" s="1605">
        <f t="shared" si="95"/>
        <v>2020</v>
      </c>
      <c r="L177" s="1598">
        <v>11</v>
      </c>
      <c r="N177" s="1599">
        <v>11</v>
      </c>
      <c r="O177" s="1600" t="s">
        <v>547</v>
      </c>
      <c r="P177" s="1601"/>
      <c r="Q177" s="1602"/>
      <c r="R177" s="1602"/>
      <c r="S177" s="1602"/>
      <c r="T177" s="1602"/>
      <c r="U177" s="1602"/>
      <c r="V177" s="1602"/>
      <c r="W177" s="1602"/>
      <c r="X177" s="1601"/>
      <c r="Y177" s="1603"/>
      <c r="AL177" s="1604"/>
    </row>
    <row r="178" spans="1:50" ht="14">
      <c r="A178" s="1592" t="s">
        <v>185</v>
      </c>
      <c r="B178" s="1594"/>
      <c r="C178" s="1594"/>
      <c r="D178" s="1595"/>
      <c r="E178" s="1595"/>
      <c r="F178" s="1595"/>
      <c r="G178" s="1595"/>
      <c r="H178" s="1596"/>
      <c r="I178" s="1605">
        <f>S98</f>
        <v>2019</v>
      </c>
      <c r="J178" s="1605">
        <f t="shared" ref="J178:K178" si="96">T98</f>
        <v>2019</v>
      </c>
      <c r="K178" s="1605">
        <f t="shared" si="96"/>
        <v>2020</v>
      </c>
      <c r="L178" s="1598">
        <v>12</v>
      </c>
      <c r="N178" s="1599">
        <v>12</v>
      </c>
      <c r="O178" s="1600" t="s">
        <v>547</v>
      </c>
      <c r="P178" s="1601"/>
      <c r="Q178" s="1602"/>
      <c r="R178" s="1602"/>
      <c r="S178" s="1602"/>
      <c r="T178" s="1602"/>
      <c r="U178" s="1602"/>
      <c r="V178" s="1602"/>
      <c r="W178" s="1602"/>
      <c r="X178" s="1601"/>
      <c r="Y178" s="1603"/>
      <c r="AL178" s="1604"/>
    </row>
    <row r="179" spans="1:50" ht="15.75" customHeight="1" thickBot="1">
      <c r="A179" s="1838">
        <f>VLOOKUP(A166,A167:L178,12,(FALSE))</f>
        <v>6</v>
      </c>
      <c r="B179" s="1839"/>
      <c r="C179" s="1839"/>
      <c r="D179" s="1839"/>
      <c r="E179" s="1839"/>
      <c r="F179" s="1839"/>
      <c r="G179" s="1839"/>
      <c r="H179" s="1839"/>
      <c r="I179" s="1839"/>
      <c r="J179" s="1839"/>
      <c r="K179" s="1839"/>
      <c r="L179" s="1840"/>
      <c r="O179" s="1606" t="str">
        <f>VLOOKUP(N166,N167:Y178,2,FALSE)</f>
        <v>Hasil pengukuran keselamatan listrik tertelusur ke Satuan Internasional ( SI ) melalui PT. Kaliman</v>
      </c>
      <c r="P179" s="1607"/>
      <c r="Q179" s="1607"/>
      <c r="R179" s="1607"/>
      <c r="S179" s="1607"/>
      <c r="T179" s="1607"/>
      <c r="U179" s="1607"/>
      <c r="V179" s="1607"/>
      <c r="W179" s="1607"/>
      <c r="X179" s="1607"/>
      <c r="Y179" s="1608"/>
      <c r="AL179" s="1604"/>
    </row>
    <row r="180" spans="1:50">
      <c r="AL180" s="1604"/>
    </row>
    <row r="181" spans="1:50" ht="14">
      <c r="A181" s="1609"/>
      <c r="AL181" s="1604"/>
    </row>
    <row r="182" spans="1:50">
      <c r="AA182" s="1604"/>
      <c r="AB182" s="1604"/>
      <c r="AC182" s="1604"/>
      <c r="AD182" s="1604"/>
      <c r="AE182" s="1604"/>
      <c r="AF182" s="1604"/>
      <c r="AG182" s="1604"/>
      <c r="AH182" s="1604"/>
      <c r="AI182" s="1604"/>
      <c r="AJ182" s="1604"/>
      <c r="AK182" s="1604"/>
      <c r="AL182" s="1604"/>
      <c r="AM182" s="1604"/>
      <c r="AN182" s="1604"/>
      <c r="AO182" s="1604"/>
      <c r="AP182" s="1604"/>
      <c r="AQ182" s="1604"/>
      <c r="AR182" s="1604"/>
      <c r="AS182" s="1604"/>
      <c r="AT182" s="1604"/>
      <c r="AU182" s="1604"/>
      <c r="AV182" s="1604"/>
      <c r="AW182" s="1604"/>
      <c r="AX182" s="1604"/>
    </row>
    <row r="215" spans="27:31">
      <c r="AA215" s="331"/>
      <c r="AB215" s="323"/>
      <c r="AC215" s="323"/>
      <c r="AD215" s="323"/>
      <c r="AE215" s="323"/>
    </row>
    <row r="216" spans="27:31">
      <c r="AA216" s="331"/>
      <c r="AB216" s="323"/>
      <c r="AC216" s="323"/>
      <c r="AD216" s="323"/>
      <c r="AE216" s="323"/>
    </row>
    <row r="217" spans="27:31">
      <c r="AA217" s="331"/>
      <c r="AB217" s="323"/>
      <c r="AC217" s="323"/>
      <c r="AD217" s="323"/>
      <c r="AE217" s="323"/>
    </row>
    <row r="218" spans="27:31">
      <c r="AA218" s="331"/>
      <c r="AB218" s="323"/>
      <c r="AC218" s="323"/>
      <c r="AD218" s="323"/>
      <c r="AE218" s="323"/>
    </row>
    <row r="219" spans="27:31">
      <c r="AA219" s="331"/>
      <c r="AB219" s="323"/>
      <c r="AC219" s="323"/>
      <c r="AD219" s="323"/>
      <c r="AE219" s="323"/>
    </row>
    <row r="220" spans="27:31" ht="13" thickBot="1">
      <c r="AA220" s="1610"/>
      <c r="AB220" s="1569"/>
      <c r="AC220" s="1569"/>
      <c r="AD220" s="1569"/>
      <c r="AE220" s="1569"/>
    </row>
  </sheetData>
  <mergeCells count="94">
    <mergeCell ref="N166:Y166"/>
    <mergeCell ref="A95:A124"/>
    <mergeCell ref="B95:G95"/>
    <mergeCell ref="A179:L179"/>
    <mergeCell ref="B119:E119"/>
    <mergeCell ref="J119:M119"/>
    <mergeCell ref="I140:L140"/>
    <mergeCell ref="I142:L142"/>
    <mergeCell ref="I144:L144"/>
    <mergeCell ref="R119:U119"/>
    <mergeCell ref="B132:G132"/>
    <mergeCell ref="I134:L134"/>
    <mergeCell ref="I136:L136"/>
    <mergeCell ref="I138:L138"/>
    <mergeCell ref="I95:I124"/>
    <mergeCell ref="J95:O95"/>
    <mergeCell ref="B113:E113"/>
    <mergeCell ref="J113:M113"/>
    <mergeCell ref="R113:U113"/>
    <mergeCell ref="R95:W95"/>
    <mergeCell ref="R96:U96"/>
    <mergeCell ref="R97:U97"/>
    <mergeCell ref="R105:U105"/>
    <mergeCell ref="Q95:Q124"/>
    <mergeCell ref="B96:E96"/>
    <mergeCell ref="J96:M96"/>
    <mergeCell ref="B97:E97"/>
    <mergeCell ref="J97:M97"/>
    <mergeCell ref="B105:E105"/>
    <mergeCell ref="J105:M105"/>
    <mergeCell ref="R43:U43"/>
    <mergeCell ref="R74:U74"/>
    <mergeCell ref="B57:E57"/>
    <mergeCell ref="J57:M57"/>
    <mergeCell ref="R57:U57"/>
    <mergeCell ref="R64:W64"/>
    <mergeCell ref="B51:E51"/>
    <mergeCell ref="J51:M51"/>
    <mergeCell ref="R51:U51"/>
    <mergeCell ref="R65:U65"/>
    <mergeCell ref="B66:E66"/>
    <mergeCell ref="J66:M66"/>
    <mergeCell ref="R66:U66"/>
    <mergeCell ref="Q64:Q93"/>
    <mergeCell ref="R82:U82"/>
    <mergeCell ref="R88:U88"/>
    <mergeCell ref="B82:E82"/>
    <mergeCell ref="A64:A93"/>
    <mergeCell ref="B64:G64"/>
    <mergeCell ref="I64:I93"/>
    <mergeCell ref="J64:O64"/>
    <mergeCell ref="B65:E65"/>
    <mergeCell ref="B74:E74"/>
    <mergeCell ref="J74:M74"/>
    <mergeCell ref="J65:M65"/>
    <mergeCell ref="B88:E88"/>
    <mergeCell ref="J88:M88"/>
    <mergeCell ref="J82:M82"/>
    <mergeCell ref="A33:A62"/>
    <mergeCell ref="B33:G33"/>
    <mergeCell ref="I33:I62"/>
    <mergeCell ref="J33:O33"/>
    <mergeCell ref="Q33:Q62"/>
    <mergeCell ref="B43:E43"/>
    <mergeCell ref="J43:M43"/>
    <mergeCell ref="R33:W33"/>
    <mergeCell ref="B34:E34"/>
    <mergeCell ref="J34:M34"/>
    <mergeCell ref="R34:U34"/>
    <mergeCell ref="B35:E35"/>
    <mergeCell ref="J35:M35"/>
    <mergeCell ref="R35:U35"/>
    <mergeCell ref="B20:E20"/>
    <mergeCell ref="J20:M20"/>
    <mergeCell ref="R20:U20"/>
    <mergeCell ref="B26:E26"/>
    <mergeCell ref="J26:M26"/>
    <mergeCell ref="R26:U26"/>
    <mergeCell ref="A1:W1"/>
    <mergeCell ref="A2:A31"/>
    <mergeCell ref="B2:G2"/>
    <mergeCell ref="I2:I31"/>
    <mergeCell ref="J2:O2"/>
    <mergeCell ref="Q2:Q31"/>
    <mergeCell ref="R2:W2"/>
    <mergeCell ref="B3:E3"/>
    <mergeCell ref="J3:M3"/>
    <mergeCell ref="R3:U3"/>
    <mergeCell ref="B4:E4"/>
    <mergeCell ref="J4:M4"/>
    <mergeCell ref="R4:U4"/>
    <mergeCell ref="B12:E12"/>
    <mergeCell ref="J12:M12"/>
    <mergeCell ref="R12:U12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9"/>
  <sheetViews>
    <sheetView showGridLines="0" view="pageBreakPreview" topLeftCell="A52" zoomScaleNormal="100" zoomScaleSheetLayoutView="100" zoomScalePageLayoutView="87" workbookViewId="0">
      <selection activeCell="A2" sqref="A2:M2"/>
    </sheetView>
  </sheetViews>
  <sheetFormatPr defaultColWidth="9.1796875" defaultRowHeight="13"/>
  <cols>
    <col min="1" max="1" width="5.81640625" style="4" customWidth="1"/>
    <col min="2" max="2" width="4.7265625" style="4" customWidth="1"/>
    <col min="3" max="3" width="13.1796875" style="4" customWidth="1"/>
    <col min="4" max="14" width="11" style="4" customWidth="1"/>
    <col min="15" max="15" width="10.453125" style="4" customWidth="1"/>
    <col min="16" max="16" width="8.453125" style="4" customWidth="1"/>
    <col min="17" max="17" width="9.1796875" style="493"/>
    <col min="18" max="16384" width="9.1796875" style="4"/>
  </cols>
  <sheetData>
    <row r="1" spans="1:17" ht="18">
      <c r="A1" s="1853" t="s">
        <v>572</v>
      </c>
      <c r="B1" s="1853"/>
      <c r="C1" s="1853"/>
      <c r="D1" s="1853"/>
      <c r="E1" s="1853"/>
      <c r="F1" s="1853"/>
      <c r="G1" s="1853"/>
      <c r="H1" s="1853"/>
      <c r="I1" s="1853"/>
      <c r="J1" s="1853"/>
      <c r="K1" s="1853"/>
      <c r="L1" s="1853"/>
      <c r="M1" s="1853"/>
      <c r="N1" s="502"/>
      <c r="O1" s="502"/>
      <c r="P1" s="502"/>
      <c r="Q1" s="502"/>
    </row>
    <row r="2" spans="1:17" ht="15.5">
      <c r="A2" s="1854" t="s">
        <v>186</v>
      </c>
      <c r="B2" s="1854"/>
      <c r="C2" s="1854"/>
      <c r="D2" s="1854"/>
      <c r="E2" s="1854"/>
      <c r="F2" s="1854"/>
      <c r="G2" s="1854"/>
      <c r="H2" s="1854"/>
      <c r="I2" s="1854"/>
      <c r="J2" s="1854"/>
      <c r="K2" s="1854"/>
      <c r="L2" s="1854"/>
      <c r="M2" s="1854"/>
      <c r="N2" s="503"/>
      <c r="O2" s="503"/>
      <c r="P2" s="503"/>
      <c r="Q2" s="503"/>
    </row>
    <row r="3" spans="1:17" ht="7.5" customHeight="1">
      <c r="B3" s="36" t="s">
        <v>146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7" ht="14">
      <c r="A4" s="37" t="s">
        <v>187</v>
      </c>
      <c r="B4" s="37"/>
      <c r="C4" s="37"/>
      <c r="D4" s="52" t="s">
        <v>188</v>
      </c>
      <c r="E4" s="40" t="s">
        <v>189</v>
      </c>
      <c r="F4" s="37"/>
      <c r="G4" s="37"/>
      <c r="H4" s="37"/>
      <c r="I4" s="37"/>
      <c r="J4" s="37"/>
      <c r="K4" s="37"/>
      <c r="L4" s="37"/>
      <c r="M4" s="37"/>
      <c r="O4" s="37"/>
      <c r="P4" s="37"/>
    </row>
    <row r="5" spans="1:17" ht="16.5" customHeight="1">
      <c r="A5" s="37" t="s">
        <v>190</v>
      </c>
      <c r="B5" s="37"/>
      <c r="C5" s="37"/>
      <c r="D5" s="52" t="s">
        <v>188</v>
      </c>
      <c r="E5" s="40" t="s">
        <v>189</v>
      </c>
      <c r="F5" s="37"/>
      <c r="G5" s="37"/>
      <c r="H5" s="37"/>
      <c r="I5" s="37"/>
      <c r="J5" s="37"/>
      <c r="K5" s="37"/>
      <c r="L5" s="37"/>
      <c r="M5" s="37"/>
      <c r="O5" s="37"/>
      <c r="P5" s="37"/>
    </row>
    <row r="6" spans="1:17" ht="16.5" customHeight="1">
      <c r="A6" s="37" t="s">
        <v>191</v>
      </c>
      <c r="B6" s="37"/>
      <c r="C6" s="37"/>
      <c r="D6" s="52" t="s">
        <v>188</v>
      </c>
      <c r="E6" s="40" t="s">
        <v>189</v>
      </c>
      <c r="F6" s="37"/>
      <c r="G6" s="37"/>
      <c r="H6" s="37"/>
      <c r="I6" s="37"/>
      <c r="J6" s="37"/>
      <c r="K6" s="37"/>
      <c r="L6" s="37"/>
      <c r="M6" s="37"/>
      <c r="O6" s="37"/>
      <c r="P6" s="37"/>
    </row>
    <row r="7" spans="1:17" ht="16.5" customHeight="1">
      <c r="A7" s="37" t="s">
        <v>192</v>
      </c>
      <c r="B7" s="37"/>
      <c r="C7" s="37"/>
      <c r="D7" s="52" t="s">
        <v>188</v>
      </c>
      <c r="E7" s="40" t="s">
        <v>189</v>
      </c>
      <c r="F7" s="37"/>
      <c r="G7" s="37"/>
      <c r="H7" s="37"/>
      <c r="I7" s="37"/>
      <c r="J7" s="37"/>
      <c r="K7" s="37"/>
      <c r="L7" s="37"/>
      <c r="M7" s="37"/>
      <c r="O7" s="37"/>
      <c r="P7" s="37"/>
    </row>
    <row r="8" spans="1:17" ht="16.5" customHeight="1">
      <c r="A8" s="37" t="s">
        <v>193</v>
      </c>
      <c r="B8" s="37"/>
      <c r="C8" s="37"/>
      <c r="D8" s="52" t="s">
        <v>188</v>
      </c>
      <c r="E8" s="40" t="s">
        <v>189</v>
      </c>
      <c r="F8" s="37"/>
      <c r="G8" s="37"/>
      <c r="H8" s="37"/>
      <c r="I8" s="37"/>
      <c r="J8" s="37"/>
      <c r="K8" s="37"/>
      <c r="L8" s="37"/>
      <c r="M8" s="37"/>
      <c r="O8" s="37"/>
      <c r="P8" s="37"/>
    </row>
    <row r="9" spans="1:17" ht="16.5" customHeight="1">
      <c r="A9" s="37" t="s">
        <v>194</v>
      </c>
      <c r="B9" s="37"/>
      <c r="C9" s="37"/>
      <c r="D9" s="52" t="s">
        <v>188</v>
      </c>
      <c r="E9" s="40" t="s">
        <v>189</v>
      </c>
      <c r="F9" s="37"/>
      <c r="G9" s="37"/>
      <c r="H9" s="37"/>
      <c r="I9" s="37"/>
      <c r="J9" s="37"/>
      <c r="K9" s="37"/>
      <c r="L9" s="37"/>
      <c r="M9" s="37"/>
      <c r="O9" s="37"/>
      <c r="P9" s="37"/>
    </row>
    <row r="10" spans="1:17" ht="16.5" customHeight="1">
      <c r="A10" s="37" t="s">
        <v>195</v>
      </c>
      <c r="B10" s="37"/>
      <c r="C10" s="37"/>
      <c r="D10" s="52" t="s">
        <v>188</v>
      </c>
      <c r="E10" s="40" t="s">
        <v>189</v>
      </c>
      <c r="F10" s="37"/>
      <c r="G10" s="37"/>
      <c r="H10" s="37"/>
      <c r="I10" s="37"/>
      <c r="J10" s="37"/>
      <c r="K10" s="37"/>
      <c r="L10" s="37"/>
      <c r="M10" s="37"/>
      <c r="O10" s="37"/>
      <c r="P10" s="37"/>
    </row>
    <row r="11" spans="1:17" ht="14">
      <c r="A11" s="37" t="s">
        <v>196</v>
      </c>
      <c r="B11" s="37"/>
      <c r="D11" s="47" t="s">
        <v>188</v>
      </c>
      <c r="E11" s="40" t="s">
        <v>197</v>
      </c>
    </row>
    <row r="12" spans="1:17" ht="14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O12" s="37"/>
      <c r="P12" s="37"/>
    </row>
    <row r="13" spans="1:17" ht="20.149999999999999" customHeight="1">
      <c r="A13" s="38" t="s">
        <v>198</v>
      </c>
      <c r="B13" s="38" t="s">
        <v>199</v>
      </c>
      <c r="C13" s="38"/>
      <c r="D13" s="37"/>
      <c r="E13" s="38"/>
      <c r="F13" s="1882" t="s">
        <v>200</v>
      </c>
      <c r="G13" s="1883"/>
      <c r="H13" s="1882" t="s">
        <v>201</v>
      </c>
      <c r="I13" s="1883"/>
      <c r="J13" s="44"/>
      <c r="K13" s="37"/>
      <c r="L13" s="37"/>
      <c r="M13" s="37"/>
      <c r="O13" s="37"/>
      <c r="P13" s="37"/>
    </row>
    <row r="14" spans="1:17" ht="20.149999999999999" customHeight="1">
      <c r="A14" s="37"/>
      <c r="B14" s="37" t="s">
        <v>202</v>
      </c>
      <c r="C14" s="37"/>
      <c r="D14" s="37"/>
      <c r="E14" s="37" t="s">
        <v>203</v>
      </c>
      <c r="F14" s="1884"/>
      <c r="G14" s="1885"/>
      <c r="H14" s="1884"/>
      <c r="I14" s="1885"/>
      <c r="J14" s="37" t="s">
        <v>204</v>
      </c>
      <c r="K14" s="37"/>
      <c r="L14" s="37"/>
      <c r="M14" s="37"/>
      <c r="O14" s="37"/>
      <c r="P14" s="37"/>
    </row>
    <row r="15" spans="1:17" ht="20.149999999999999" customHeight="1">
      <c r="A15" s="37"/>
      <c r="B15" s="37" t="s">
        <v>205</v>
      </c>
      <c r="C15" s="37"/>
      <c r="D15" s="37"/>
      <c r="E15" s="37" t="s">
        <v>188</v>
      </c>
      <c r="F15" s="1884"/>
      <c r="G15" s="1885"/>
      <c r="H15" s="1884"/>
      <c r="I15" s="1885"/>
      <c r="J15" s="37" t="s">
        <v>78</v>
      </c>
      <c r="K15" s="37"/>
      <c r="L15" s="37"/>
      <c r="M15" s="37"/>
      <c r="O15" s="37"/>
      <c r="P15" s="37"/>
    </row>
    <row r="16" spans="1:17" ht="20.149999999999999" customHeight="1">
      <c r="A16" s="37"/>
      <c r="B16" s="37" t="s">
        <v>206</v>
      </c>
      <c r="C16" s="37"/>
      <c r="D16" s="42"/>
      <c r="E16" s="37" t="s">
        <v>188</v>
      </c>
      <c r="F16" s="53"/>
      <c r="G16" s="54"/>
      <c r="H16" s="54"/>
      <c r="I16" s="55"/>
      <c r="J16" s="37" t="s">
        <v>163</v>
      </c>
      <c r="K16" s="37"/>
      <c r="L16" s="37"/>
      <c r="M16" s="37"/>
      <c r="O16" s="37"/>
      <c r="P16" s="37"/>
    </row>
    <row r="17" spans="1:17" ht="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O17" s="37"/>
      <c r="P17" s="37"/>
    </row>
    <row r="18" spans="1:17" ht="14">
      <c r="A18" s="38" t="s">
        <v>207</v>
      </c>
      <c r="B18" s="38" t="s">
        <v>208</v>
      </c>
      <c r="C18" s="38"/>
      <c r="D18" s="37"/>
      <c r="E18" s="38"/>
      <c r="F18" s="38"/>
      <c r="G18" s="38"/>
      <c r="H18" s="38"/>
      <c r="I18" s="37"/>
      <c r="J18" s="37"/>
      <c r="K18" s="37"/>
      <c r="L18" s="37"/>
      <c r="M18" s="37"/>
      <c r="O18" s="37"/>
      <c r="P18" s="37"/>
      <c r="Q18" s="504" t="s">
        <v>209</v>
      </c>
    </row>
    <row r="19" spans="1:17" ht="16.5" customHeight="1">
      <c r="A19" s="37"/>
      <c r="B19" s="37" t="s">
        <v>210</v>
      </c>
      <c r="C19" s="37"/>
      <c r="D19" s="37"/>
      <c r="E19" s="37" t="s">
        <v>211</v>
      </c>
      <c r="F19" s="37"/>
      <c r="G19" s="37"/>
      <c r="H19" s="1858" t="s">
        <v>212</v>
      </c>
      <c r="I19" s="1858"/>
      <c r="J19" s="1858"/>
      <c r="K19" s="1858"/>
      <c r="L19" s="1858"/>
      <c r="M19" s="500"/>
      <c r="N19" s="500"/>
      <c r="O19" s="37"/>
      <c r="P19" s="37"/>
      <c r="Q19" s="505">
        <v>5</v>
      </c>
    </row>
    <row r="20" spans="1:17" ht="16.5" customHeight="1">
      <c r="A20" s="37"/>
      <c r="B20" s="37" t="s">
        <v>213</v>
      </c>
      <c r="C20" s="37"/>
      <c r="D20" s="37"/>
      <c r="E20" s="37" t="s">
        <v>211</v>
      </c>
      <c r="F20" s="37"/>
      <c r="G20" s="37"/>
      <c r="H20" s="500"/>
      <c r="I20" s="500"/>
      <c r="J20" s="500"/>
      <c r="K20" s="500"/>
      <c r="L20" s="500"/>
      <c r="M20" s="500"/>
      <c r="N20" s="500"/>
      <c r="O20" s="37"/>
      <c r="P20" s="37"/>
      <c r="Q20" s="505">
        <v>5</v>
      </c>
    </row>
    <row r="21" spans="1:17" ht="6.75" customHeight="1">
      <c r="A21" s="38"/>
      <c r="B21" s="38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O21" s="37"/>
      <c r="P21" s="37"/>
    </row>
    <row r="22" spans="1:17" ht="14">
      <c r="A22" s="38" t="s">
        <v>133</v>
      </c>
      <c r="B22" s="38" t="s">
        <v>214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O22" s="37"/>
      <c r="P22" s="37"/>
    </row>
    <row r="23" spans="1:17" ht="20.149999999999999" customHeight="1">
      <c r="B23" s="1861" t="s">
        <v>99</v>
      </c>
      <c r="C23" s="609" t="s">
        <v>139</v>
      </c>
      <c r="D23" s="610"/>
      <c r="E23" s="610"/>
      <c r="F23" s="610"/>
      <c r="G23" s="610"/>
      <c r="H23" s="610"/>
      <c r="I23" s="1886" t="s">
        <v>140</v>
      </c>
      <c r="J23" s="1887"/>
      <c r="K23" s="1886" t="s">
        <v>215</v>
      </c>
      <c r="L23" s="1887"/>
      <c r="Q23" s="1898" t="s">
        <v>209</v>
      </c>
    </row>
    <row r="24" spans="1:17" ht="15" customHeight="1">
      <c r="B24" s="1862"/>
      <c r="C24" s="611"/>
      <c r="D24" s="612"/>
      <c r="E24" s="612"/>
      <c r="F24" s="612"/>
      <c r="G24" s="612"/>
      <c r="H24" s="612"/>
      <c r="I24" s="1890"/>
      <c r="J24" s="1891"/>
      <c r="K24" s="1888"/>
      <c r="L24" s="1889"/>
      <c r="Q24" s="1898"/>
    </row>
    <row r="25" spans="1:17" ht="20.149999999999999" customHeight="1">
      <c r="B25" s="56">
        <v>1</v>
      </c>
      <c r="C25" s="494" t="s">
        <v>216</v>
      </c>
      <c r="D25" s="495"/>
      <c r="E25" s="495"/>
      <c r="F25" s="495"/>
      <c r="G25" s="495"/>
      <c r="H25" s="495"/>
      <c r="I25" s="53"/>
      <c r="J25" s="57" t="s">
        <v>217</v>
      </c>
      <c r="K25" s="115" t="s">
        <v>218</v>
      </c>
      <c r="L25" s="57" t="s">
        <v>217</v>
      </c>
      <c r="Q25" s="506">
        <v>10</v>
      </c>
    </row>
    <row r="26" spans="1:17" ht="20.149999999999999" customHeight="1">
      <c r="B26" s="56">
        <v>2</v>
      </c>
      <c r="C26" s="494" t="s">
        <v>219</v>
      </c>
      <c r="D26" s="495"/>
      <c r="E26" s="495"/>
      <c r="F26" s="495"/>
      <c r="G26" s="495"/>
      <c r="H26" s="495"/>
      <c r="I26" s="53"/>
      <c r="J26" s="57" t="s">
        <v>176</v>
      </c>
      <c r="K26" s="115" t="s">
        <v>220</v>
      </c>
      <c r="L26" s="57" t="s">
        <v>176</v>
      </c>
      <c r="Q26" s="1904">
        <v>10</v>
      </c>
    </row>
    <row r="27" spans="1:17" ht="20.149999999999999" customHeight="1">
      <c r="B27" s="56">
        <v>3</v>
      </c>
      <c r="C27" s="494" t="s">
        <v>221</v>
      </c>
      <c r="D27" s="495"/>
      <c r="E27" s="495"/>
      <c r="F27" s="495"/>
      <c r="G27" s="495"/>
      <c r="H27" s="495"/>
      <c r="I27" s="53"/>
      <c r="J27" s="57" t="s">
        <v>176</v>
      </c>
      <c r="K27" s="115" t="s">
        <v>222</v>
      </c>
      <c r="L27" s="57" t="s">
        <v>176</v>
      </c>
      <c r="Q27" s="1904"/>
    </row>
    <row r="28" spans="1:17" ht="20.149999999999999" customHeight="1">
      <c r="B28" s="56">
        <v>4</v>
      </c>
      <c r="C28" s="494" t="s">
        <v>223</v>
      </c>
      <c r="D28" s="495"/>
      <c r="E28" s="495"/>
      <c r="F28" s="495"/>
      <c r="G28" s="495"/>
      <c r="H28" s="495"/>
      <c r="I28" s="53"/>
      <c r="J28" s="57" t="s">
        <v>224</v>
      </c>
      <c r="K28" s="115" t="s">
        <v>225</v>
      </c>
      <c r="L28" s="57" t="s">
        <v>224</v>
      </c>
      <c r="Q28" s="1893">
        <v>10</v>
      </c>
    </row>
    <row r="29" spans="1:17" ht="20.149999999999999" customHeight="1">
      <c r="B29" s="56">
        <v>5</v>
      </c>
      <c r="C29" s="494" t="s">
        <v>226</v>
      </c>
      <c r="D29" s="495"/>
      <c r="E29" s="495"/>
      <c r="F29" s="495"/>
      <c r="G29" s="495"/>
      <c r="H29" s="495"/>
      <c r="I29" s="53"/>
      <c r="J29" s="57" t="s">
        <v>224</v>
      </c>
      <c r="K29" s="115" t="s">
        <v>227</v>
      </c>
      <c r="L29" s="57" t="s">
        <v>224</v>
      </c>
      <c r="Q29" s="1893"/>
    </row>
    <row r="30" spans="1:17" ht="20.149999999999999" customHeight="1">
      <c r="B30" s="56">
        <v>6</v>
      </c>
      <c r="C30" s="494" t="s">
        <v>228</v>
      </c>
      <c r="D30" s="495"/>
      <c r="E30" s="495"/>
      <c r="F30" s="495"/>
      <c r="G30" s="495"/>
      <c r="H30" s="495"/>
      <c r="I30" s="53"/>
      <c r="J30" s="57" t="s">
        <v>224</v>
      </c>
      <c r="K30" s="115" t="s">
        <v>229</v>
      </c>
      <c r="L30" s="57" t="s">
        <v>224</v>
      </c>
      <c r="Q30" s="506">
        <v>10</v>
      </c>
    </row>
    <row r="31" spans="1:17" ht="14">
      <c r="B31" s="58"/>
      <c r="C31" s="37"/>
      <c r="D31" s="37"/>
      <c r="E31" s="37"/>
      <c r="F31" s="37"/>
      <c r="G31" s="37"/>
      <c r="H31" s="36"/>
      <c r="I31" s="37"/>
      <c r="J31" s="59" t="s">
        <v>230</v>
      </c>
      <c r="K31" s="501" t="s">
        <v>231</v>
      </c>
      <c r="L31" s="36"/>
    </row>
    <row r="32" spans="1:17" ht="14">
      <c r="B32" s="58"/>
      <c r="C32" s="37"/>
      <c r="D32" s="37"/>
      <c r="E32" s="37"/>
      <c r="F32" s="37"/>
      <c r="G32" s="37"/>
      <c r="H32" s="36"/>
      <c r="I32" s="37"/>
      <c r="J32" s="52" t="s">
        <v>232</v>
      </c>
      <c r="K32" s="501" t="s">
        <v>231</v>
      </c>
      <c r="L32" s="36"/>
    </row>
    <row r="33" spans="1:17" ht="14">
      <c r="A33" s="39" t="s">
        <v>233</v>
      </c>
      <c r="B33" s="39" t="s">
        <v>234</v>
      </c>
    </row>
    <row r="34" spans="1:17" ht="16.5" customHeight="1">
      <c r="B34" s="39" t="s">
        <v>235</v>
      </c>
      <c r="E34" s="62"/>
      <c r="F34" s="62"/>
      <c r="G34" s="62"/>
      <c r="H34" s="62"/>
      <c r="I34" s="62"/>
      <c r="J34" s="62"/>
      <c r="K34" s="62"/>
      <c r="L34" s="62"/>
      <c r="N34" s="141"/>
      <c r="O34" s="63"/>
      <c r="Q34" s="491"/>
    </row>
    <row r="35" spans="1:17" ht="16.5" customHeight="1">
      <c r="B35" s="1867" t="s">
        <v>99</v>
      </c>
      <c r="C35" s="1869" t="s">
        <v>139</v>
      </c>
      <c r="D35" s="1867" t="s">
        <v>236</v>
      </c>
      <c r="E35" s="1892" t="s">
        <v>237</v>
      </c>
      <c r="F35" s="1892"/>
      <c r="G35" s="1892"/>
      <c r="H35" s="1871" t="s">
        <v>238</v>
      </c>
      <c r="I35" s="62"/>
      <c r="J35" s="62"/>
      <c r="K35" s="62"/>
      <c r="L35" s="62"/>
      <c r="N35" s="141"/>
      <c r="O35" s="63"/>
      <c r="Q35" s="491"/>
    </row>
    <row r="36" spans="1:17" ht="16.5" customHeight="1">
      <c r="B36" s="1868"/>
      <c r="C36" s="1870"/>
      <c r="D36" s="1868"/>
      <c r="E36" s="607" t="s">
        <v>27</v>
      </c>
      <c r="F36" s="607" t="s">
        <v>29</v>
      </c>
      <c r="G36" s="607" t="s">
        <v>31</v>
      </c>
      <c r="H36" s="1872"/>
      <c r="I36" s="62"/>
      <c r="J36" s="62"/>
      <c r="K36" s="62"/>
      <c r="L36" s="62"/>
      <c r="N36" s="141"/>
      <c r="O36" s="63"/>
      <c r="Q36" s="491"/>
    </row>
    <row r="37" spans="1:17" ht="16.5" customHeight="1">
      <c r="B37" s="606">
        <v>1</v>
      </c>
      <c r="C37" s="1865" t="s">
        <v>239</v>
      </c>
      <c r="D37" s="606">
        <v>5</v>
      </c>
      <c r="E37" s="128"/>
      <c r="F37" s="128"/>
      <c r="G37" s="128"/>
      <c r="H37" s="1873" t="s">
        <v>240</v>
      </c>
      <c r="I37" s="605" t="s">
        <v>241</v>
      </c>
      <c r="J37" s="62"/>
      <c r="K37" s="62"/>
      <c r="L37" s="62"/>
      <c r="N37" s="141"/>
      <c r="O37" s="63"/>
      <c r="Q37" s="491"/>
    </row>
    <row r="38" spans="1:17" ht="16.5" customHeight="1">
      <c r="B38" s="606">
        <v>2</v>
      </c>
      <c r="C38" s="1865"/>
      <c r="D38" s="606">
        <v>10</v>
      </c>
      <c r="E38" s="128"/>
      <c r="F38" s="128"/>
      <c r="G38" s="128"/>
      <c r="H38" s="1873"/>
      <c r="I38" s="62"/>
      <c r="J38" s="62"/>
      <c r="K38" s="62"/>
      <c r="L38" s="62"/>
      <c r="N38" s="141"/>
      <c r="O38" s="63"/>
      <c r="Q38" s="491"/>
    </row>
    <row r="39" spans="1:17" ht="16.5" customHeight="1">
      <c r="B39" s="606">
        <v>3</v>
      </c>
      <c r="C39" s="1865"/>
      <c r="D39" s="606">
        <v>20</v>
      </c>
      <c r="E39" s="128"/>
      <c r="F39" s="128"/>
      <c r="G39" s="128"/>
      <c r="H39" s="1873"/>
      <c r="I39" s="62"/>
      <c r="J39" s="62"/>
      <c r="K39" s="62"/>
      <c r="L39" s="62"/>
      <c r="N39" s="141"/>
      <c r="O39" s="63"/>
      <c r="Q39" s="491"/>
    </row>
    <row r="40" spans="1:17" ht="16.5" customHeight="1">
      <c r="B40" s="606">
        <v>4</v>
      </c>
      <c r="C40" s="1865"/>
      <c r="D40" s="606">
        <v>30</v>
      </c>
      <c r="E40" s="128"/>
      <c r="F40" s="128"/>
      <c r="G40" s="128"/>
      <c r="H40" s="1873"/>
      <c r="I40" s="62"/>
      <c r="J40" s="62"/>
      <c r="K40" s="62"/>
      <c r="L40" s="62"/>
      <c r="N40" s="141"/>
      <c r="O40" s="63"/>
      <c r="Q40" s="491"/>
    </row>
    <row r="41" spans="1:17" ht="16.5" customHeight="1">
      <c r="B41" s="606">
        <v>5</v>
      </c>
      <c r="C41" s="1865"/>
      <c r="D41" s="606">
        <v>50</v>
      </c>
      <c r="E41" s="128"/>
      <c r="F41" s="128"/>
      <c r="G41" s="128"/>
      <c r="H41" s="1873"/>
      <c r="I41" s="62"/>
      <c r="J41" s="62"/>
      <c r="K41" s="62"/>
      <c r="L41" s="62"/>
      <c r="N41" s="141"/>
      <c r="O41" s="63"/>
      <c r="Q41" s="491"/>
    </row>
    <row r="42" spans="1:17" ht="16.5" customHeight="1">
      <c r="B42" s="606">
        <v>6</v>
      </c>
      <c r="C42" s="1865"/>
      <c r="D42" s="606">
        <v>100</v>
      </c>
      <c r="E42" s="128"/>
      <c r="F42" s="128"/>
      <c r="G42" s="128"/>
      <c r="H42" s="1873"/>
      <c r="I42" s="62"/>
      <c r="J42" s="62"/>
      <c r="K42" s="62"/>
      <c r="L42" s="62"/>
      <c r="N42" s="141"/>
      <c r="O42" s="63"/>
      <c r="Q42" s="491"/>
    </row>
    <row r="43" spans="1:17" ht="16.5" customHeight="1">
      <c r="B43" s="606">
        <v>7</v>
      </c>
      <c r="C43" s="1865"/>
      <c r="D43" s="606">
        <v>150</v>
      </c>
      <c r="E43" s="128"/>
      <c r="F43" s="128"/>
      <c r="G43" s="128"/>
      <c r="H43" s="1873"/>
      <c r="I43" s="62"/>
      <c r="J43" s="62"/>
      <c r="K43" s="62"/>
      <c r="L43" s="62"/>
      <c r="N43" s="141"/>
      <c r="O43" s="63"/>
      <c r="Q43" s="491"/>
    </row>
    <row r="44" spans="1:17" ht="16.5" customHeight="1">
      <c r="B44" s="606">
        <v>8</v>
      </c>
      <c r="C44" s="1865"/>
      <c r="D44" s="606">
        <v>200</v>
      </c>
      <c r="E44" s="128"/>
      <c r="F44" s="128"/>
      <c r="G44" s="128"/>
      <c r="H44" s="1873"/>
      <c r="I44" s="62"/>
      <c r="J44" s="62"/>
      <c r="K44" s="62"/>
      <c r="L44" s="62"/>
      <c r="N44" s="141"/>
      <c r="O44" s="63"/>
      <c r="Q44" s="491"/>
    </row>
    <row r="45" spans="1:17" ht="16.5" customHeight="1">
      <c r="B45" s="606">
        <v>9</v>
      </c>
      <c r="C45" s="1865"/>
      <c r="D45" s="606">
        <v>300</v>
      </c>
      <c r="E45" s="128"/>
      <c r="F45" s="128"/>
      <c r="G45" s="128"/>
      <c r="H45" s="1873"/>
      <c r="I45" s="62"/>
      <c r="J45" s="62"/>
      <c r="K45" s="62"/>
      <c r="L45" s="62"/>
      <c r="N45" s="141"/>
      <c r="O45" s="63"/>
      <c r="Q45" s="491"/>
    </row>
    <row r="46" spans="1:17" ht="16.5" customHeight="1">
      <c r="B46" s="140"/>
      <c r="C46" s="41"/>
      <c r="D46" s="135"/>
      <c r="E46" s="62"/>
      <c r="F46" s="62"/>
      <c r="G46" s="62"/>
      <c r="H46" s="62"/>
      <c r="I46" s="62"/>
      <c r="J46" s="62"/>
      <c r="K46" s="62"/>
      <c r="L46" s="62"/>
      <c r="N46" s="141"/>
      <c r="O46" s="63"/>
      <c r="Q46" s="491"/>
    </row>
    <row r="47" spans="1:17" ht="16.5" customHeight="1">
      <c r="B47" s="39" t="s">
        <v>242</v>
      </c>
      <c r="D47" s="39"/>
      <c r="E47" s="62"/>
      <c r="F47" s="62"/>
      <c r="G47" s="62"/>
      <c r="H47" s="62"/>
      <c r="I47" s="62"/>
      <c r="J47" s="62"/>
      <c r="K47" s="62"/>
      <c r="L47" s="62"/>
      <c r="N47" s="141"/>
      <c r="O47" s="63"/>
      <c r="Q47" s="491"/>
    </row>
    <row r="48" spans="1:17" ht="16.5" customHeight="1">
      <c r="B48" s="1867" t="s">
        <v>99</v>
      </c>
      <c r="C48" s="1869" t="s">
        <v>139</v>
      </c>
      <c r="D48" s="1874" t="s">
        <v>236</v>
      </c>
      <c r="E48" s="1880" t="s">
        <v>237</v>
      </c>
      <c r="F48" s="1880"/>
      <c r="G48" s="1880"/>
      <c r="H48" s="1880"/>
      <c r="I48" s="1880"/>
      <c r="J48" s="1881" t="s">
        <v>238</v>
      </c>
      <c r="K48" s="62"/>
      <c r="L48" s="62"/>
      <c r="N48" s="141"/>
      <c r="O48" s="63"/>
      <c r="Q48" s="491"/>
    </row>
    <row r="49" spans="2:17" ht="16.5" customHeight="1">
      <c r="B49" s="1868"/>
      <c r="C49" s="1870"/>
      <c r="D49" s="1875"/>
      <c r="E49" s="1880"/>
      <c r="F49" s="1880"/>
      <c r="G49" s="1880"/>
      <c r="H49" s="1880"/>
      <c r="I49" s="1880"/>
      <c r="J49" s="1881"/>
      <c r="K49" s="62"/>
      <c r="L49" s="62"/>
      <c r="N49" s="141"/>
      <c r="O49" s="63"/>
      <c r="Q49" s="491"/>
    </row>
    <row r="50" spans="2:17" ht="16.5" customHeight="1">
      <c r="B50" s="1863">
        <v>1</v>
      </c>
      <c r="C50" s="1865" t="s">
        <v>239</v>
      </c>
      <c r="D50" s="1866" t="s">
        <v>243</v>
      </c>
      <c r="E50" s="608">
        <v>1</v>
      </c>
      <c r="F50" s="608">
        <v>2</v>
      </c>
      <c r="G50" s="608">
        <v>3</v>
      </c>
      <c r="H50" s="608">
        <v>4</v>
      </c>
      <c r="I50" s="608">
        <v>5</v>
      </c>
      <c r="J50" s="1905" t="s">
        <v>240</v>
      </c>
      <c r="K50" s="784" t="s">
        <v>244</v>
      </c>
      <c r="L50" s="62"/>
      <c r="N50" s="141"/>
      <c r="O50" s="63"/>
      <c r="Q50" s="491"/>
    </row>
    <row r="51" spans="2:17" ht="16.5" customHeight="1">
      <c r="B51" s="1864"/>
      <c r="C51" s="1865"/>
      <c r="D51" s="1866"/>
      <c r="E51" s="608">
        <v>6</v>
      </c>
      <c r="F51" s="608">
        <v>7</v>
      </c>
      <c r="G51" s="608">
        <v>8</v>
      </c>
      <c r="H51" s="608">
        <v>9</v>
      </c>
      <c r="I51" s="608">
        <v>10</v>
      </c>
      <c r="J51" s="1906"/>
      <c r="K51" s="62"/>
      <c r="L51" s="62"/>
      <c r="N51" s="141"/>
      <c r="O51" s="63"/>
      <c r="Q51" s="491"/>
    </row>
    <row r="52" spans="2:17" ht="16.5" customHeight="1">
      <c r="B52" s="140"/>
      <c r="C52" s="41"/>
      <c r="D52" s="135"/>
      <c r="E52" s="62"/>
      <c r="F52" s="62"/>
      <c r="G52" s="62"/>
      <c r="H52" s="62"/>
      <c r="I52" s="62"/>
      <c r="J52" s="62"/>
      <c r="K52" s="62"/>
      <c r="L52" s="62"/>
      <c r="N52" s="141"/>
      <c r="O52" s="63"/>
      <c r="Q52" s="491"/>
    </row>
    <row r="53" spans="2:17" ht="16.5" customHeight="1">
      <c r="B53" s="39" t="s">
        <v>245</v>
      </c>
      <c r="D53" s="39"/>
      <c r="E53" s="62"/>
      <c r="F53" s="62"/>
      <c r="G53" s="62"/>
      <c r="H53" s="62"/>
      <c r="I53" s="62"/>
      <c r="J53" s="62"/>
      <c r="K53" s="62"/>
      <c r="L53" s="62"/>
      <c r="N53" s="141"/>
      <c r="O53" s="63"/>
      <c r="Q53" s="491"/>
    </row>
    <row r="54" spans="2:17" ht="16.5" customHeight="1">
      <c r="B54" s="613" t="s">
        <v>9</v>
      </c>
      <c r="C54" s="1907" t="s">
        <v>139</v>
      </c>
      <c r="D54" s="1907"/>
      <c r="E54" s="1909" t="s">
        <v>246</v>
      </c>
      <c r="F54" s="1909"/>
      <c r="G54" s="1892" t="s">
        <v>237</v>
      </c>
      <c r="H54" s="1892"/>
      <c r="I54" s="607" t="s">
        <v>238</v>
      </c>
      <c r="J54" s="62"/>
      <c r="K54" s="62"/>
      <c r="L54" s="62"/>
      <c r="N54" s="141"/>
      <c r="O54" s="63"/>
      <c r="Q54" s="491"/>
    </row>
    <row r="55" spans="2:17" ht="16.5" customHeight="1">
      <c r="B55" s="614">
        <v>1</v>
      </c>
      <c r="C55" s="1908" t="s">
        <v>247</v>
      </c>
      <c r="D55" s="1908"/>
      <c r="E55" s="1910" t="s">
        <v>248</v>
      </c>
      <c r="F55" s="1910"/>
      <c r="G55" s="1911"/>
      <c r="H55" s="1911"/>
      <c r="I55" s="128" t="s">
        <v>249</v>
      </c>
      <c r="J55" s="784" t="s">
        <v>244</v>
      </c>
      <c r="K55" s="62"/>
      <c r="L55" s="62"/>
      <c r="N55" s="141"/>
      <c r="O55" s="63"/>
      <c r="Q55" s="491"/>
    </row>
    <row r="56" spans="2:17" ht="16.5" customHeight="1">
      <c r="B56" s="344"/>
      <c r="C56" s="615"/>
      <c r="D56" s="615"/>
      <c r="E56" s="616"/>
      <c r="F56" s="616"/>
      <c r="G56" s="62"/>
      <c r="H56" s="62"/>
      <c r="I56" s="62"/>
      <c r="J56" s="62"/>
      <c r="K56" s="62"/>
      <c r="L56" s="62"/>
      <c r="N56" s="141"/>
      <c r="O56" s="63"/>
      <c r="Q56" s="491"/>
    </row>
    <row r="57" spans="2:17" ht="15" customHeight="1">
      <c r="B57" s="39" t="s">
        <v>250</v>
      </c>
      <c r="D57" s="40"/>
      <c r="E57" s="40"/>
      <c r="F57" s="40"/>
      <c r="G57" s="40"/>
      <c r="H57" s="40"/>
      <c r="I57" s="40"/>
      <c r="J57" s="40"/>
      <c r="K57" s="40"/>
      <c r="L57" s="39"/>
      <c r="M57" s="39"/>
      <c r="N57" s="39"/>
      <c r="O57" s="40"/>
      <c r="P57" s="40"/>
    </row>
    <row r="58" spans="2:17" s="3" customFormat="1" ht="15" customHeight="1">
      <c r="B58" s="1869" t="s">
        <v>99</v>
      </c>
      <c r="C58" s="1869" t="s">
        <v>139</v>
      </c>
      <c r="D58" s="1867" t="s">
        <v>251</v>
      </c>
      <c r="E58" s="1855" t="s">
        <v>252</v>
      </c>
      <c r="F58" s="1856"/>
      <c r="G58" s="1856"/>
      <c r="H58" s="1856"/>
      <c r="I58" s="1856"/>
      <c r="J58" s="1857"/>
      <c r="K58" s="1867" t="s">
        <v>238</v>
      </c>
      <c r="L58" s="497"/>
      <c r="M58" s="342"/>
      <c r="N58" s="342"/>
      <c r="Q58" s="1898" t="s">
        <v>209</v>
      </c>
    </row>
    <row r="59" spans="2:17" s="3" customFormat="1" ht="14">
      <c r="B59" s="1870"/>
      <c r="C59" s="1870"/>
      <c r="D59" s="1868"/>
      <c r="E59" s="1859" t="s">
        <v>27</v>
      </c>
      <c r="F59" s="1859" t="s">
        <v>29</v>
      </c>
      <c r="G59" s="1859" t="s">
        <v>31</v>
      </c>
      <c r="H59" s="1859" t="s">
        <v>33</v>
      </c>
      <c r="I59" s="1859" t="s">
        <v>35</v>
      </c>
      <c r="J59" s="1859" t="s">
        <v>37</v>
      </c>
      <c r="K59" s="1868"/>
      <c r="L59" s="498"/>
      <c r="M59" s="1899"/>
      <c r="N59" s="1899"/>
      <c r="Q59" s="1898"/>
    </row>
    <row r="60" spans="2:17" ht="14.25" customHeight="1">
      <c r="B60" s="1878"/>
      <c r="C60" s="1878"/>
      <c r="D60" s="1879"/>
      <c r="E60" s="1860"/>
      <c r="F60" s="1860"/>
      <c r="G60" s="1860"/>
      <c r="H60" s="1860"/>
      <c r="I60" s="1860"/>
      <c r="J60" s="1860"/>
      <c r="K60" s="1879"/>
      <c r="L60" s="498"/>
      <c r="M60" s="1899"/>
      <c r="N60" s="1899"/>
      <c r="Q60" s="1898"/>
    </row>
    <row r="61" spans="2:17" ht="16.5" customHeight="1">
      <c r="B61" s="1903">
        <v>1</v>
      </c>
      <c r="C61" s="1895" t="s">
        <v>253</v>
      </c>
      <c r="D61" s="129">
        <v>30</v>
      </c>
      <c r="E61" s="340"/>
      <c r="F61" s="340"/>
      <c r="G61" s="340"/>
      <c r="H61" s="340"/>
      <c r="I61" s="340"/>
      <c r="J61" s="340"/>
      <c r="K61" s="1900" t="s">
        <v>254</v>
      </c>
      <c r="L61" s="605" t="s">
        <v>255</v>
      </c>
      <c r="Q61" s="1893">
        <v>20</v>
      </c>
    </row>
    <row r="62" spans="2:17" ht="16.5" customHeight="1">
      <c r="B62" s="1896"/>
      <c r="C62" s="1896"/>
      <c r="D62" s="129">
        <v>60</v>
      </c>
      <c r="E62" s="340"/>
      <c r="F62" s="340"/>
      <c r="G62" s="340"/>
      <c r="H62" s="340"/>
      <c r="I62" s="340"/>
      <c r="J62" s="340"/>
      <c r="K62" s="1901"/>
      <c r="L62" s="499"/>
      <c r="Q62" s="1893"/>
    </row>
    <row r="63" spans="2:17" ht="15.75" customHeight="1">
      <c r="B63" s="1896"/>
      <c r="C63" s="1896"/>
      <c r="D63" s="129">
        <v>120</v>
      </c>
      <c r="E63" s="340"/>
      <c r="F63" s="340"/>
      <c r="G63" s="340"/>
      <c r="H63" s="340"/>
      <c r="I63" s="340"/>
      <c r="J63" s="340"/>
      <c r="K63" s="1901"/>
      <c r="L63" s="499"/>
      <c r="Q63" s="1893"/>
    </row>
    <row r="64" spans="2:17" ht="16.5" customHeight="1">
      <c r="B64" s="1897"/>
      <c r="C64" s="1897"/>
      <c r="D64" s="130">
        <v>180</v>
      </c>
      <c r="E64" s="340"/>
      <c r="F64" s="340"/>
      <c r="G64" s="340"/>
      <c r="H64" s="340"/>
      <c r="I64" s="340"/>
      <c r="J64" s="340"/>
      <c r="K64" s="1902"/>
      <c r="L64" s="499"/>
      <c r="Q64" s="1893"/>
    </row>
    <row r="65" spans="1:17" ht="7.5" customHeight="1">
      <c r="B65" s="136"/>
      <c r="C65" s="61"/>
      <c r="D65" s="135"/>
      <c r="E65" s="62"/>
      <c r="F65" s="62"/>
      <c r="G65" s="62"/>
      <c r="H65" s="62"/>
      <c r="I65" s="62"/>
      <c r="J65" s="62"/>
      <c r="K65" s="62"/>
      <c r="L65" s="39"/>
      <c r="M65" s="39"/>
      <c r="N65" s="39"/>
      <c r="Q65" s="490"/>
    </row>
    <row r="66" spans="1:17" ht="15" customHeight="1">
      <c r="B66" s="39" t="s">
        <v>567</v>
      </c>
      <c r="D66" s="40"/>
      <c r="E66" s="40"/>
      <c r="F66" s="40"/>
      <c r="G66" s="40"/>
      <c r="H66" s="40"/>
      <c r="I66" s="40"/>
      <c r="J66" s="40"/>
      <c r="K66" s="40"/>
      <c r="L66" s="39"/>
      <c r="M66" s="39"/>
      <c r="N66" s="39"/>
      <c r="O66" s="36"/>
      <c r="P66" s="36"/>
    </row>
    <row r="67" spans="1:17" ht="20.25" customHeight="1">
      <c r="B67" s="1869" t="s">
        <v>99</v>
      </c>
      <c r="C67" s="1869" t="s">
        <v>139</v>
      </c>
      <c r="D67" s="1867" t="s">
        <v>251</v>
      </c>
      <c r="E67" s="1855" t="s">
        <v>252</v>
      </c>
      <c r="F67" s="1856"/>
      <c r="G67" s="1856"/>
      <c r="H67" s="1856"/>
      <c r="I67" s="1856"/>
      <c r="J67" s="1857"/>
      <c r="K67" s="1867" t="s">
        <v>238</v>
      </c>
      <c r="L67" s="497"/>
      <c r="M67" s="342"/>
      <c r="N67" s="342"/>
      <c r="P67" s="37"/>
      <c r="Q67" s="1898" t="s">
        <v>209</v>
      </c>
    </row>
    <row r="68" spans="1:17" ht="14.25" customHeight="1">
      <c r="B68" s="1870"/>
      <c r="C68" s="1870"/>
      <c r="D68" s="1868"/>
      <c r="E68" s="1859" t="s">
        <v>27</v>
      </c>
      <c r="F68" s="1859" t="s">
        <v>29</v>
      </c>
      <c r="G68" s="1859" t="s">
        <v>31</v>
      </c>
      <c r="H68" s="1859" t="s">
        <v>33</v>
      </c>
      <c r="I68" s="1859" t="s">
        <v>35</v>
      </c>
      <c r="J68" s="1859" t="s">
        <v>37</v>
      </c>
      <c r="K68" s="1868"/>
      <c r="L68" s="498"/>
      <c r="M68" s="1899"/>
      <c r="N68" s="1899"/>
      <c r="P68" s="37"/>
      <c r="Q68" s="1898"/>
    </row>
    <row r="69" spans="1:17" ht="14.25" customHeight="1">
      <c r="B69" s="1878"/>
      <c r="C69" s="1878"/>
      <c r="D69" s="1879"/>
      <c r="E69" s="1860"/>
      <c r="F69" s="1860"/>
      <c r="G69" s="1860"/>
      <c r="H69" s="1860"/>
      <c r="I69" s="1860"/>
      <c r="J69" s="1860"/>
      <c r="K69" s="1879"/>
      <c r="L69" s="498"/>
      <c r="M69" s="1899"/>
      <c r="N69" s="1899"/>
      <c r="P69" s="37"/>
      <c r="Q69" s="1898"/>
    </row>
    <row r="70" spans="1:17" ht="17.25" customHeight="1">
      <c r="B70" s="1863">
        <v>1</v>
      </c>
      <c r="C70" s="1895" t="s">
        <v>259</v>
      </c>
      <c r="D70" s="129">
        <v>20</v>
      </c>
      <c r="E70" s="340"/>
      <c r="F70" s="340"/>
      <c r="G70" s="340"/>
      <c r="H70" s="340"/>
      <c r="I70" s="340"/>
      <c r="J70" s="340"/>
      <c r="K70" s="1900" t="s">
        <v>260</v>
      </c>
      <c r="L70" s="605" t="s">
        <v>255</v>
      </c>
      <c r="N70" s="141"/>
      <c r="P70" s="37"/>
      <c r="Q70" s="1893">
        <v>5</v>
      </c>
    </row>
    <row r="71" spans="1:17" ht="16.5" customHeight="1">
      <c r="B71" s="1894"/>
      <c r="C71" s="1896"/>
      <c r="D71" s="129">
        <v>30</v>
      </c>
      <c r="E71" s="340"/>
      <c r="F71" s="340"/>
      <c r="G71" s="340"/>
      <c r="H71" s="340"/>
      <c r="I71" s="340"/>
      <c r="J71" s="340"/>
      <c r="K71" s="1901"/>
      <c r="L71" s="499"/>
      <c r="N71" s="141"/>
      <c r="Q71" s="1893"/>
    </row>
    <row r="72" spans="1:17" ht="16.5" customHeight="1">
      <c r="B72" s="1894"/>
      <c r="C72" s="1896"/>
      <c r="D72" s="129">
        <v>40</v>
      </c>
      <c r="E72" s="340"/>
      <c r="F72" s="340"/>
      <c r="G72" s="340"/>
      <c r="H72" s="340"/>
      <c r="I72" s="340"/>
      <c r="J72" s="340"/>
      <c r="K72" s="1901"/>
      <c r="L72" s="499"/>
      <c r="N72" s="141"/>
      <c r="Q72" s="1893"/>
    </row>
    <row r="73" spans="1:17" ht="16.5" customHeight="1">
      <c r="B73" s="1864"/>
      <c r="C73" s="1897"/>
      <c r="D73" s="130">
        <v>60</v>
      </c>
      <c r="E73" s="340"/>
      <c r="F73" s="340"/>
      <c r="G73" s="340"/>
      <c r="H73" s="340"/>
      <c r="I73" s="340"/>
      <c r="J73" s="340"/>
      <c r="K73" s="1902"/>
      <c r="L73" s="499"/>
      <c r="N73" s="141"/>
      <c r="Q73" s="1893"/>
    </row>
    <row r="74" spans="1:17" ht="16.5" customHeight="1">
      <c r="B74" s="140"/>
      <c r="C74" s="41"/>
      <c r="D74" s="135"/>
      <c r="E74" s="62"/>
      <c r="F74" s="62"/>
      <c r="G74" s="62"/>
      <c r="H74" s="62"/>
      <c r="I74" s="62"/>
      <c r="J74" s="62"/>
      <c r="K74" s="62"/>
      <c r="L74" s="62"/>
      <c r="N74" s="141"/>
      <c r="O74" s="63"/>
      <c r="Q74" s="491"/>
    </row>
    <row r="75" spans="1:17" ht="14.25" customHeight="1">
      <c r="A75" s="135" t="s">
        <v>261</v>
      </c>
      <c r="B75" s="142" t="s">
        <v>174</v>
      </c>
      <c r="D75" s="135"/>
      <c r="E75" s="62"/>
      <c r="F75" s="62"/>
      <c r="G75" s="62"/>
      <c r="H75" s="62"/>
      <c r="I75" s="62"/>
      <c r="J75" s="62"/>
      <c r="K75" s="62"/>
      <c r="L75" s="39"/>
      <c r="M75" s="39"/>
      <c r="N75" s="39"/>
      <c r="O75" s="36"/>
      <c r="Q75" s="492"/>
    </row>
    <row r="76" spans="1:17" ht="17.25" customHeight="1">
      <c r="B76" s="1876" t="s">
        <v>262</v>
      </c>
      <c r="C76" s="1876"/>
      <c r="D76" s="1876"/>
      <c r="E76" s="1876"/>
      <c r="F76" s="1876"/>
      <c r="G76" s="1876"/>
      <c r="H76" s="1876"/>
      <c r="I76" s="1876"/>
      <c r="J76" s="1876"/>
      <c r="K76" s="1876"/>
      <c r="L76" s="39"/>
      <c r="M76" s="39"/>
      <c r="N76" s="39"/>
      <c r="O76" s="36"/>
      <c r="P76" s="36"/>
    </row>
    <row r="77" spans="1:17" ht="16.5" customHeight="1">
      <c r="B77" s="1877" t="s">
        <v>263</v>
      </c>
      <c r="C77" s="1877"/>
      <c r="D77" s="1877"/>
      <c r="E77" s="1877"/>
      <c r="F77" s="1877"/>
      <c r="G77" s="1877"/>
      <c r="H77" s="1877"/>
      <c r="I77" s="1877"/>
      <c r="J77" s="1877"/>
      <c r="K77" s="1877"/>
      <c r="L77" s="39"/>
      <c r="M77" s="39"/>
      <c r="N77" s="39"/>
    </row>
    <row r="78" spans="1:17" ht="16.5" customHeight="1">
      <c r="B78" s="1876" t="s">
        <v>264</v>
      </c>
      <c r="C78" s="1876"/>
      <c r="D78" s="1876"/>
      <c r="E78" s="1876"/>
      <c r="F78" s="1876"/>
      <c r="G78" s="1876"/>
      <c r="H78" s="1876"/>
      <c r="I78" s="1876"/>
      <c r="J78" s="1876"/>
      <c r="K78" s="1876"/>
      <c r="L78" s="39"/>
      <c r="M78" s="39"/>
      <c r="N78" s="39"/>
    </row>
    <row r="79" spans="1:17" ht="17.25" customHeight="1">
      <c r="B79" s="1877" t="s">
        <v>265</v>
      </c>
      <c r="C79" s="1877"/>
      <c r="D79" s="1877"/>
      <c r="E79" s="1877"/>
      <c r="F79" s="1877"/>
      <c r="G79" s="1877"/>
      <c r="H79" s="1877"/>
      <c r="I79" s="1877"/>
      <c r="J79" s="1877"/>
      <c r="K79" s="1877"/>
      <c r="L79" s="39"/>
      <c r="M79" s="39"/>
      <c r="N79" s="39"/>
    </row>
    <row r="80" spans="1:17" ht="14">
      <c r="B80" s="136"/>
      <c r="C80" s="61"/>
      <c r="D80" s="135"/>
      <c r="E80" s="62"/>
      <c r="F80" s="62"/>
      <c r="G80" s="62"/>
      <c r="H80" s="62"/>
      <c r="I80" s="62"/>
      <c r="J80" s="62"/>
      <c r="K80" s="62"/>
    </row>
    <row r="81" spans="1:19" ht="14">
      <c r="A81" s="135" t="s">
        <v>266</v>
      </c>
      <c r="B81" s="39" t="s">
        <v>267</v>
      </c>
      <c r="D81" s="135"/>
      <c r="E81" s="62"/>
      <c r="F81" s="62"/>
      <c r="G81" s="62"/>
      <c r="H81" s="62"/>
      <c r="I81" s="62"/>
      <c r="J81" s="62"/>
      <c r="K81" s="62"/>
    </row>
    <row r="82" spans="1:19" ht="14">
      <c r="A82" s="40"/>
      <c r="B82" s="50" t="s">
        <v>268</v>
      </c>
      <c r="D82" s="36"/>
      <c r="E82" s="9"/>
      <c r="F82" s="9"/>
      <c r="G82" s="36"/>
      <c r="H82" s="36"/>
      <c r="I82" s="36"/>
      <c r="J82" s="36"/>
      <c r="K82" s="36"/>
    </row>
    <row r="83" spans="1:19" ht="14">
      <c r="A83" s="40"/>
      <c r="B83" s="50" t="s">
        <v>269</v>
      </c>
      <c r="D83" s="36"/>
      <c r="E83" s="36"/>
      <c r="F83" s="36"/>
      <c r="G83" s="36"/>
      <c r="H83" s="36"/>
      <c r="I83" s="36"/>
      <c r="J83" s="36"/>
      <c r="K83" s="36"/>
    </row>
    <row r="84" spans="1:19" ht="14">
      <c r="A84" s="40"/>
      <c r="B84" s="50" t="s">
        <v>270</v>
      </c>
      <c r="D84" s="36"/>
      <c r="E84" s="36"/>
      <c r="F84" s="36"/>
      <c r="G84" s="36"/>
      <c r="H84" s="36"/>
      <c r="I84" s="36"/>
      <c r="J84" s="36"/>
      <c r="K84" s="36"/>
      <c r="S84" s="493"/>
    </row>
    <row r="85" spans="1:19" ht="14">
      <c r="A85" s="40"/>
      <c r="B85" s="50"/>
      <c r="C85" s="37" t="s">
        <v>271</v>
      </c>
      <c r="D85" s="36"/>
      <c r="E85" s="36"/>
      <c r="F85" s="36"/>
      <c r="G85" s="36"/>
      <c r="H85" s="36"/>
      <c r="I85" s="36"/>
      <c r="J85" s="36"/>
      <c r="K85" s="36"/>
      <c r="S85" s="493"/>
    </row>
    <row r="86" spans="1:19" ht="14">
      <c r="A86" s="9"/>
      <c r="B86" s="50" t="s">
        <v>272</v>
      </c>
      <c r="D86" s="135"/>
      <c r="E86" s="62"/>
      <c r="F86" s="62"/>
      <c r="G86" s="62"/>
      <c r="H86" s="62"/>
      <c r="I86" s="62"/>
      <c r="J86" s="62"/>
      <c r="K86" s="62"/>
    </row>
    <row r="87" spans="1:19" ht="14">
      <c r="A87" s="9"/>
      <c r="B87" s="50" t="s">
        <v>273</v>
      </c>
      <c r="D87" s="135"/>
      <c r="E87" s="62"/>
      <c r="F87" s="62"/>
      <c r="G87" s="62"/>
      <c r="H87" s="62"/>
      <c r="I87" s="62"/>
      <c r="J87" s="62"/>
      <c r="K87" s="62"/>
    </row>
    <row r="88" spans="1:19" ht="14">
      <c r="A88" s="9"/>
      <c r="B88" s="50" t="s">
        <v>274</v>
      </c>
      <c r="D88" s="135"/>
      <c r="E88" s="62"/>
      <c r="F88" s="62"/>
      <c r="G88" s="62"/>
      <c r="H88" s="62"/>
      <c r="I88" s="62"/>
      <c r="J88" s="62"/>
      <c r="K88" s="62"/>
    </row>
    <row r="89" spans="1:19" ht="14">
      <c r="A89" s="40"/>
      <c r="B89" s="50" t="s">
        <v>275</v>
      </c>
      <c r="D89" s="36"/>
      <c r="E89" s="36"/>
      <c r="F89" s="36"/>
      <c r="G89" s="36"/>
      <c r="H89" s="36"/>
      <c r="I89" s="36"/>
      <c r="J89" s="36"/>
      <c r="K89" s="36"/>
      <c r="L89" s="950"/>
      <c r="M89" s="950"/>
      <c r="N89" s="950"/>
    </row>
    <row r="90" spans="1:19" ht="14">
      <c r="A90" s="136"/>
      <c r="B90" s="49" t="s">
        <v>568</v>
      </c>
      <c r="D90" s="135"/>
      <c r="E90" s="62"/>
      <c r="F90" s="62"/>
      <c r="G90" s="62"/>
      <c r="H90" s="62"/>
      <c r="I90" s="62"/>
      <c r="J90" s="62"/>
      <c r="K90" s="62"/>
    </row>
    <row r="91" spans="1:19" ht="14">
      <c r="A91" s="9"/>
      <c r="B91" s="49" t="s">
        <v>569</v>
      </c>
      <c r="D91" s="9"/>
      <c r="E91" s="9"/>
      <c r="F91" s="9"/>
      <c r="G91" s="9"/>
      <c r="H91" s="9"/>
      <c r="I91" s="9"/>
      <c r="J91" s="9"/>
      <c r="K91" s="9"/>
    </row>
    <row r="92" spans="1:19" ht="14">
      <c r="A92" s="9"/>
      <c r="B92" s="40" t="s">
        <v>276</v>
      </c>
      <c r="D92" s="9"/>
      <c r="E92" s="9"/>
      <c r="F92" s="9"/>
      <c r="G92" s="9"/>
      <c r="H92" s="9"/>
      <c r="I92" s="9"/>
      <c r="J92" s="9"/>
      <c r="K92" s="9"/>
    </row>
    <row r="93" spans="1:19" ht="14">
      <c r="A93" s="9"/>
      <c r="B93" s="40" t="s">
        <v>277</v>
      </c>
      <c r="D93" s="9"/>
      <c r="E93" s="9"/>
      <c r="F93" s="9"/>
      <c r="G93" s="9"/>
      <c r="H93" s="9"/>
      <c r="I93" s="9"/>
      <c r="J93" s="9"/>
      <c r="K93" s="9"/>
    </row>
    <row r="94" spans="1:19" ht="14">
      <c r="A94" s="137"/>
      <c r="B94" s="40" t="s">
        <v>278</v>
      </c>
      <c r="D94" s="9"/>
      <c r="E94" s="9"/>
      <c r="F94" s="9"/>
      <c r="G94" s="9"/>
      <c r="H94" s="9"/>
      <c r="I94" s="9"/>
      <c r="J94" s="9"/>
      <c r="K94" s="9"/>
    </row>
    <row r="95" spans="1:19"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9" ht="14">
      <c r="A96" s="135" t="s">
        <v>279</v>
      </c>
      <c r="B96" s="39" t="s">
        <v>280</v>
      </c>
      <c r="D96" s="9"/>
      <c r="E96" s="9"/>
      <c r="F96" s="9"/>
      <c r="G96" s="9"/>
      <c r="H96" s="9"/>
      <c r="I96" s="9"/>
      <c r="J96" s="9"/>
      <c r="K96" s="9"/>
    </row>
    <row r="97" spans="1:16" ht="14">
      <c r="A97" s="40"/>
      <c r="B97" s="51" t="s">
        <v>281</v>
      </c>
      <c r="D97" s="9"/>
      <c r="E97" s="9"/>
      <c r="F97" s="9"/>
      <c r="G97" s="9"/>
      <c r="H97" s="9"/>
      <c r="I97" s="9"/>
      <c r="J97" s="9"/>
      <c r="K97" s="9"/>
      <c r="N97" s="11"/>
      <c r="P97" s="1"/>
    </row>
    <row r="98" spans="1:16">
      <c r="B98" s="9"/>
      <c r="C98" s="138"/>
      <c r="D98" s="137"/>
      <c r="E98" s="9"/>
      <c r="F98" s="9"/>
      <c r="G98" s="9"/>
      <c r="H98" s="9"/>
      <c r="I98" s="9"/>
      <c r="J98" s="9"/>
      <c r="K98" s="9"/>
      <c r="L98" s="2"/>
      <c r="M98" s="2"/>
      <c r="N98" s="2"/>
      <c r="O98" s="2"/>
      <c r="P98" s="2"/>
    </row>
    <row r="99" spans="1:16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</sheetData>
  <sheetProtection insertRows="0"/>
  <mergeCells count="77">
    <mergeCell ref="J50:J51"/>
    <mergeCell ref="C54:D54"/>
    <mergeCell ref="C55:D55"/>
    <mergeCell ref="E54:F54"/>
    <mergeCell ref="E55:F55"/>
    <mergeCell ref="G54:H54"/>
    <mergeCell ref="G55:H55"/>
    <mergeCell ref="Q23:Q24"/>
    <mergeCell ref="Q26:Q27"/>
    <mergeCell ref="Q28:Q29"/>
    <mergeCell ref="M59:M60"/>
    <mergeCell ref="Q58:Q60"/>
    <mergeCell ref="N59:N60"/>
    <mergeCell ref="Q61:Q64"/>
    <mergeCell ref="B70:B73"/>
    <mergeCell ref="C70:C73"/>
    <mergeCell ref="B67:B69"/>
    <mergeCell ref="Q70:Q73"/>
    <mergeCell ref="Q67:Q69"/>
    <mergeCell ref="M68:M69"/>
    <mergeCell ref="N68:N69"/>
    <mergeCell ref="F68:F69"/>
    <mergeCell ref="G68:G69"/>
    <mergeCell ref="H68:H69"/>
    <mergeCell ref="K61:K64"/>
    <mergeCell ref="B61:B64"/>
    <mergeCell ref="C61:C64"/>
    <mergeCell ref="K67:K69"/>
    <mergeCell ref="K70:K73"/>
    <mergeCell ref="B79:K79"/>
    <mergeCell ref="F13:G13"/>
    <mergeCell ref="F14:G14"/>
    <mergeCell ref="F15:G15"/>
    <mergeCell ref="H13:I13"/>
    <mergeCell ref="H14:I14"/>
    <mergeCell ref="H15:I15"/>
    <mergeCell ref="K23:L24"/>
    <mergeCell ref="K58:K60"/>
    <mergeCell ref="E59:E60"/>
    <mergeCell ref="F59:F60"/>
    <mergeCell ref="G59:G60"/>
    <mergeCell ref="I23:J24"/>
    <mergeCell ref="C67:C69"/>
    <mergeCell ref="E35:G35"/>
    <mergeCell ref="B76:K76"/>
    <mergeCell ref="H37:H45"/>
    <mergeCell ref="B48:B49"/>
    <mergeCell ref="C48:C49"/>
    <mergeCell ref="D48:D49"/>
    <mergeCell ref="B78:K78"/>
    <mergeCell ref="B77:K77"/>
    <mergeCell ref="B58:B60"/>
    <mergeCell ref="C58:C60"/>
    <mergeCell ref="D58:D60"/>
    <mergeCell ref="D67:D69"/>
    <mergeCell ref="E68:E69"/>
    <mergeCell ref="I68:I69"/>
    <mergeCell ref="J68:J69"/>
    <mergeCell ref="E67:J67"/>
    <mergeCell ref="E48:I49"/>
    <mergeCell ref="J48:J49"/>
    <mergeCell ref="A1:M1"/>
    <mergeCell ref="A2:M2"/>
    <mergeCell ref="E58:J58"/>
    <mergeCell ref="H19:L19"/>
    <mergeCell ref="H59:H60"/>
    <mergeCell ref="I59:I60"/>
    <mergeCell ref="J59:J60"/>
    <mergeCell ref="B23:B24"/>
    <mergeCell ref="B50:B51"/>
    <mergeCell ref="C50:C51"/>
    <mergeCell ref="D50:D51"/>
    <mergeCell ref="B35:B36"/>
    <mergeCell ref="C35:C36"/>
    <mergeCell ref="D35:D36"/>
    <mergeCell ref="C37:C45"/>
    <mergeCell ref="H35:H36"/>
  </mergeCells>
  <printOptions horizontalCentered="1"/>
  <pageMargins left="0.19685039370078741" right="7.874015748031496E-2" top="0.35433070866141736" bottom="0.23622047244094491" header="0.15748031496062992" footer="0.19685039370078741"/>
  <pageSetup paperSize="9" scale="74" orientation="portrait" horizontalDpi="4294967294" verticalDpi="4294967294" r:id="rId1"/>
  <headerFooter>
    <oddHeader>&amp;R&amp;8KL.LK.012-18 / REV : 0</oddHeader>
  </headerFooter>
  <rowBreaks count="1" manualBreakCount="1">
    <brk id="6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CBC1-4B37-44F2-BA03-E27C7FFB08CA}">
  <dimension ref="A2:F100"/>
  <sheetViews>
    <sheetView workbookViewId="0">
      <selection activeCell="B23" sqref="B23"/>
    </sheetView>
  </sheetViews>
  <sheetFormatPr defaultColWidth="9.1796875" defaultRowHeight="12.5"/>
  <cols>
    <col min="1" max="1" width="9.1796875" style="117"/>
    <col min="2" max="2" width="19" style="117" customWidth="1"/>
    <col min="3" max="4" width="39.81640625" style="117" customWidth="1"/>
    <col min="5" max="6" width="12.54296875" style="117" customWidth="1"/>
    <col min="7" max="16384" width="9.1796875" style="117"/>
  </cols>
  <sheetData>
    <row r="2" spans="1:6">
      <c r="A2" s="1912" t="s">
        <v>9</v>
      </c>
      <c r="B2" s="1912" t="s">
        <v>282</v>
      </c>
      <c r="C2" s="1912" t="s">
        <v>283</v>
      </c>
      <c r="D2" s="1912"/>
      <c r="E2" s="1913" t="s">
        <v>284</v>
      </c>
      <c r="F2" s="1913" t="s">
        <v>285</v>
      </c>
    </row>
    <row r="3" spans="1:6">
      <c r="A3" s="1912"/>
      <c r="B3" s="1912"/>
      <c r="C3" s="596" t="s">
        <v>286</v>
      </c>
      <c r="D3" s="596" t="s">
        <v>287</v>
      </c>
      <c r="E3" s="1913"/>
      <c r="F3" s="1913"/>
    </row>
    <row r="4" spans="1:6" ht="14">
      <c r="A4" s="596"/>
      <c r="B4" s="597"/>
      <c r="C4" s="598"/>
      <c r="D4" s="598"/>
      <c r="E4" s="599"/>
      <c r="F4" s="599"/>
    </row>
    <row r="5" spans="1:6">
      <c r="A5" s="596"/>
      <c r="B5" s="600"/>
      <c r="C5" s="601"/>
      <c r="D5" s="602"/>
      <c r="E5" s="599"/>
      <c r="F5" s="599"/>
    </row>
    <row r="6" spans="1:6">
      <c r="A6" s="596"/>
      <c r="B6" s="600"/>
      <c r="C6" s="603"/>
      <c r="D6" s="603"/>
      <c r="E6" s="599"/>
      <c r="F6" s="599"/>
    </row>
    <row r="7" spans="1:6">
      <c r="A7" s="596"/>
      <c r="B7" s="600"/>
      <c r="C7" s="596"/>
      <c r="D7" s="596"/>
      <c r="E7" s="599"/>
      <c r="F7" s="599"/>
    </row>
    <row r="8" spans="1:6">
      <c r="A8" s="596"/>
      <c r="B8" s="600"/>
      <c r="C8" s="596"/>
      <c r="D8" s="596"/>
      <c r="E8" s="599"/>
      <c r="F8" s="599"/>
    </row>
    <row r="9" spans="1:6">
      <c r="A9" s="596"/>
      <c r="B9" s="600"/>
      <c r="C9" s="596"/>
      <c r="D9" s="596"/>
      <c r="E9" s="599"/>
      <c r="F9" s="599"/>
    </row>
    <row r="10" spans="1:6">
      <c r="A10" s="596"/>
      <c r="B10" s="600"/>
      <c r="C10" s="596"/>
      <c r="D10" s="596"/>
      <c r="E10" s="599"/>
      <c r="F10" s="599"/>
    </row>
    <row r="11" spans="1:6">
      <c r="A11" s="596"/>
      <c r="B11" s="600"/>
      <c r="C11" s="596"/>
      <c r="D11" s="596"/>
      <c r="E11" s="599"/>
      <c r="F11" s="599"/>
    </row>
    <row r="12" spans="1:6">
      <c r="A12" s="596"/>
      <c r="B12" s="600"/>
      <c r="C12" s="596"/>
      <c r="D12" s="596"/>
      <c r="E12" s="599"/>
      <c r="F12" s="599"/>
    </row>
    <row r="13" spans="1:6">
      <c r="A13" s="596"/>
      <c r="B13" s="600"/>
      <c r="C13" s="596"/>
      <c r="D13" s="596"/>
      <c r="E13" s="599"/>
      <c r="F13" s="599"/>
    </row>
    <row r="14" spans="1:6">
      <c r="A14" s="596"/>
      <c r="B14" s="600"/>
      <c r="C14" s="596"/>
      <c r="D14" s="596"/>
      <c r="E14" s="599"/>
      <c r="F14" s="599"/>
    </row>
    <row r="15" spans="1:6">
      <c r="A15" s="596"/>
      <c r="B15" s="600"/>
      <c r="C15" s="596"/>
      <c r="D15" s="596"/>
      <c r="E15" s="599"/>
      <c r="F15" s="599"/>
    </row>
    <row r="16" spans="1:6">
      <c r="A16" s="596"/>
      <c r="B16" s="600"/>
      <c r="C16" s="596"/>
      <c r="D16" s="596"/>
      <c r="E16" s="599"/>
      <c r="F16" s="599"/>
    </row>
    <row r="17" spans="1:6">
      <c r="A17" s="596"/>
      <c r="B17" s="600"/>
      <c r="C17" s="596"/>
      <c r="D17" s="596"/>
      <c r="E17" s="599"/>
      <c r="F17" s="599"/>
    </row>
    <row r="18" spans="1:6">
      <c r="A18" s="596"/>
      <c r="B18" s="600"/>
      <c r="C18" s="596"/>
      <c r="D18" s="596"/>
      <c r="E18" s="599"/>
      <c r="F18" s="599"/>
    </row>
    <row r="19" spans="1:6">
      <c r="A19" s="596"/>
      <c r="B19" s="600"/>
      <c r="C19" s="596"/>
      <c r="D19" s="596"/>
      <c r="E19" s="599"/>
      <c r="F19" s="599"/>
    </row>
    <row r="20" spans="1:6">
      <c r="A20" s="596"/>
      <c r="B20" s="600"/>
      <c r="C20" s="596"/>
      <c r="D20" s="596"/>
      <c r="E20" s="599"/>
      <c r="F20" s="599"/>
    </row>
    <row r="21" spans="1:6">
      <c r="A21" s="596"/>
      <c r="B21" s="600"/>
      <c r="C21" s="596"/>
      <c r="D21" s="596"/>
      <c r="E21" s="599"/>
      <c r="F21" s="599"/>
    </row>
    <row r="22" spans="1:6">
      <c r="A22" s="596"/>
      <c r="B22" s="600"/>
      <c r="C22" s="596"/>
      <c r="D22" s="596"/>
      <c r="E22" s="599"/>
      <c r="F22" s="599"/>
    </row>
    <row r="23" spans="1:6">
      <c r="A23" s="596"/>
      <c r="B23" s="600"/>
      <c r="C23" s="596"/>
      <c r="D23" s="596"/>
      <c r="E23" s="599"/>
      <c r="F23" s="599"/>
    </row>
    <row r="24" spans="1:6">
      <c r="A24" s="596"/>
      <c r="B24" s="600"/>
      <c r="C24" s="596"/>
      <c r="D24" s="596"/>
      <c r="E24" s="599"/>
      <c r="F24" s="599"/>
    </row>
    <row r="25" spans="1:6">
      <c r="A25" s="596"/>
      <c r="B25" s="600"/>
      <c r="C25" s="596"/>
      <c r="D25" s="596"/>
      <c r="E25" s="599"/>
      <c r="F25" s="599"/>
    </row>
    <row r="26" spans="1:6">
      <c r="A26" s="596"/>
      <c r="B26" s="600"/>
      <c r="C26" s="596"/>
      <c r="D26" s="596"/>
      <c r="E26" s="599"/>
      <c r="F26" s="599"/>
    </row>
    <row r="27" spans="1:6">
      <c r="A27" s="596"/>
      <c r="B27" s="600"/>
      <c r="C27" s="596"/>
      <c r="D27" s="596"/>
      <c r="E27" s="599"/>
      <c r="F27" s="599"/>
    </row>
    <row r="28" spans="1:6">
      <c r="A28" s="596"/>
      <c r="B28" s="600"/>
      <c r="C28" s="596"/>
      <c r="D28" s="596"/>
      <c r="E28" s="599"/>
      <c r="F28" s="599"/>
    </row>
    <row r="29" spans="1:6">
      <c r="A29" s="596"/>
      <c r="B29" s="600"/>
      <c r="C29" s="596"/>
      <c r="D29" s="596"/>
      <c r="E29" s="599"/>
      <c r="F29" s="599"/>
    </row>
    <row r="30" spans="1:6">
      <c r="A30" s="596"/>
      <c r="B30" s="600"/>
      <c r="C30" s="596"/>
      <c r="D30" s="596"/>
      <c r="E30" s="599"/>
      <c r="F30" s="599"/>
    </row>
    <row r="31" spans="1:6">
      <c r="A31" s="596"/>
      <c r="B31" s="600"/>
      <c r="C31" s="596"/>
      <c r="D31" s="596"/>
      <c r="E31" s="599"/>
      <c r="F31" s="599"/>
    </row>
    <row r="100" spans="1:1">
      <c r="A100" s="604" t="s">
        <v>288</v>
      </c>
    </row>
  </sheetData>
  <mergeCells count="5">
    <mergeCell ref="A2:A3"/>
    <mergeCell ref="B2:B3"/>
    <mergeCell ref="C2:D2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E202"/>
  <sheetViews>
    <sheetView showGridLines="0" view="pageBreakPreview" topLeftCell="A79" zoomScale="65" zoomScaleNormal="100" zoomScaleSheetLayoutView="65" workbookViewId="0">
      <selection activeCell="C77" sqref="C77"/>
    </sheetView>
  </sheetViews>
  <sheetFormatPr defaultColWidth="9.1796875" defaultRowHeight="13"/>
  <cols>
    <col min="1" max="1" width="4.1796875" style="1261" customWidth="1"/>
    <col min="2" max="2" width="5.1796875" style="1261" customWidth="1"/>
    <col min="3" max="3" width="12.26953125" style="1261" customWidth="1"/>
    <col min="4" max="4" width="11.7265625" style="1261" customWidth="1"/>
    <col min="5" max="7" width="9.54296875" style="1261" customWidth="1"/>
    <col min="8" max="10" width="12.26953125" style="1261" customWidth="1"/>
    <col min="11" max="11" width="12.81640625" style="1261" customWidth="1"/>
    <col min="12" max="12" width="11.81640625" style="1261" customWidth="1"/>
    <col min="13" max="13" width="8.1796875" style="1261" customWidth="1"/>
    <col min="14" max="14" width="11.26953125" style="1261" customWidth="1"/>
    <col min="15" max="16384" width="9.1796875" style="1261"/>
  </cols>
  <sheetData>
    <row r="1" spans="1:31" ht="18">
      <c r="A1" s="1914" t="s">
        <v>573</v>
      </c>
      <c r="B1" s="1914"/>
      <c r="C1" s="1914"/>
      <c r="D1" s="1914"/>
      <c r="E1" s="1914"/>
      <c r="F1" s="1914"/>
      <c r="G1" s="1914"/>
      <c r="H1" s="1914"/>
      <c r="I1" s="1914"/>
      <c r="J1" s="1914"/>
      <c r="K1" s="1914"/>
      <c r="L1" s="1914"/>
      <c r="M1" s="1914"/>
      <c r="N1" s="1260"/>
    </row>
    <row r="2" spans="1:31" ht="15.5">
      <c r="A2" s="1262"/>
      <c r="B2" s="1262"/>
      <c r="C2" s="1262"/>
      <c r="H2" s="1263" t="str">
        <f>IF(Penyelia!K106&lt;70,'kata-kata'!B4,'kata-kata'!B3)</f>
        <v>Nomor Sertifikat : 16 /</v>
      </c>
      <c r="I2" s="1255" t="s">
        <v>289</v>
      </c>
      <c r="J2" s="1255"/>
      <c r="K2" s="1262"/>
      <c r="L2" s="1262"/>
      <c r="M2" s="1262"/>
    </row>
    <row r="3" spans="1:31">
      <c r="B3" s="1264"/>
      <c r="C3" s="1264"/>
      <c r="D3" s="1264"/>
      <c r="E3" s="1264"/>
      <c r="F3" s="1264"/>
      <c r="G3" s="1264"/>
      <c r="H3" s="1264"/>
      <c r="I3" s="1264"/>
      <c r="J3" s="1264"/>
      <c r="K3" s="1264"/>
      <c r="L3" s="1264"/>
      <c r="M3" s="1264"/>
    </row>
    <row r="4" spans="1:31" ht="14">
      <c r="A4" s="1265" t="str">
        <f>LK!A4</f>
        <v>Merek</v>
      </c>
      <c r="B4" s="1265"/>
      <c r="D4" s="1265"/>
      <c r="E4" s="1266" t="s">
        <v>188</v>
      </c>
      <c r="F4" s="1256" t="s">
        <v>290</v>
      </c>
      <c r="G4" s="992"/>
      <c r="H4" s="992"/>
      <c r="I4" s="992"/>
      <c r="J4" s="992"/>
      <c r="K4" s="1264"/>
      <c r="L4" s="1264"/>
      <c r="M4" s="1264"/>
    </row>
    <row r="5" spans="1:31" ht="14">
      <c r="A5" s="1265" t="str">
        <f>LK!A5</f>
        <v>Model/Tipe</v>
      </c>
      <c r="B5" s="1265"/>
      <c r="D5" s="1265"/>
      <c r="E5" s="1266" t="s">
        <v>188</v>
      </c>
      <c r="F5" s="1256" t="s">
        <v>291</v>
      </c>
      <c r="G5" s="992"/>
      <c r="H5" s="992"/>
      <c r="I5" s="992"/>
      <c r="J5" s="992"/>
      <c r="K5" s="1264"/>
      <c r="L5" s="1264"/>
      <c r="M5" s="1264"/>
      <c r="N5" s="1261" t="s">
        <v>146</v>
      </c>
    </row>
    <row r="6" spans="1:31" ht="14">
      <c r="A6" s="1265" t="str">
        <f>LK!A6</f>
        <v>No. Seri</v>
      </c>
      <c r="B6" s="1265"/>
      <c r="D6" s="1265"/>
      <c r="E6" s="1266" t="s">
        <v>188</v>
      </c>
      <c r="F6" s="1257">
        <v>123456</v>
      </c>
      <c r="G6" s="992"/>
      <c r="H6" s="992"/>
      <c r="I6" s="992"/>
      <c r="J6" s="992"/>
      <c r="K6" s="1264"/>
      <c r="L6" s="1264"/>
      <c r="M6" s="1264"/>
    </row>
    <row r="7" spans="1:31" ht="14">
      <c r="A7" s="1265" t="str">
        <f>LK!A7</f>
        <v>Tanggal Penerimaan Alat</v>
      </c>
      <c r="B7" s="1265"/>
      <c r="D7" s="1265"/>
      <c r="E7" s="1266" t="s">
        <v>188</v>
      </c>
      <c r="F7" s="1257">
        <v>2210</v>
      </c>
      <c r="G7" s="992"/>
      <c r="H7" s="992"/>
      <c r="I7" s="992"/>
      <c r="J7" s="992"/>
      <c r="K7" s="1264"/>
      <c r="L7" s="1264"/>
      <c r="M7" s="1264"/>
    </row>
    <row r="8" spans="1:31" ht="14">
      <c r="A8" s="1265" t="str">
        <f>LK!A8</f>
        <v>Tanggal Kalibrasi</v>
      </c>
      <c r="B8" s="1265"/>
      <c r="D8" s="1265"/>
      <c r="E8" s="1266" t="s">
        <v>188</v>
      </c>
      <c r="F8" s="1258" t="s">
        <v>292</v>
      </c>
      <c r="G8" s="992"/>
      <c r="H8" s="992"/>
      <c r="I8" s="992"/>
      <c r="J8" s="992"/>
      <c r="K8" s="1264"/>
      <c r="L8" s="1264"/>
      <c r="M8" s="1264"/>
    </row>
    <row r="9" spans="1:31" ht="14">
      <c r="A9" s="1265" t="str">
        <f>LK!A9</f>
        <v>Tempat Kalibrasi</v>
      </c>
      <c r="B9" s="1265"/>
      <c r="D9" s="1265"/>
      <c r="E9" s="1266" t="s">
        <v>188</v>
      </c>
      <c r="F9" s="1943" t="s">
        <v>293</v>
      </c>
      <c r="G9" s="1943"/>
      <c r="H9" s="1943"/>
      <c r="I9" s="1943"/>
      <c r="J9" s="1943"/>
      <c r="K9" s="1264"/>
      <c r="L9" s="1264"/>
      <c r="M9" s="1264"/>
    </row>
    <row r="10" spans="1:31" ht="14">
      <c r="A10" s="1265" t="s">
        <v>195</v>
      </c>
      <c r="B10" s="1265"/>
      <c r="D10" s="1265"/>
      <c r="E10" s="1266" t="s">
        <v>188</v>
      </c>
      <c r="F10" s="1655" t="s">
        <v>294</v>
      </c>
      <c r="G10" s="992"/>
      <c r="H10" s="992"/>
      <c r="I10" s="992"/>
      <c r="J10" s="1259"/>
      <c r="K10" s="1264"/>
      <c r="L10" s="1264"/>
      <c r="M10" s="1264"/>
    </row>
    <row r="11" spans="1:31" ht="14.5">
      <c r="A11" s="1265" t="s">
        <v>196</v>
      </c>
      <c r="B11" s="1265"/>
      <c r="D11" s="1265"/>
      <c r="E11" s="1266" t="s">
        <v>188</v>
      </c>
      <c r="F11" s="1267" t="s">
        <v>197</v>
      </c>
      <c r="G11" s="1265"/>
      <c r="H11" s="1265"/>
      <c r="I11" s="1265"/>
      <c r="J11" s="1265"/>
      <c r="K11" s="1264"/>
      <c r="L11" s="1264"/>
      <c r="M11" s="1264"/>
      <c r="O11" s="1679"/>
    </row>
    <row r="12" spans="1:31">
      <c r="A12" s="1264"/>
      <c r="B12" s="1264"/>
      <c r="D12" s="1264"/>
      <c r="E12" s="1264"/>
      <c r="F12" s="1264"/>
      <c r="G12" s="1264"/>
      <c r="H12" s="1264"/>
      <c r="I12" s="1264"/>
      <c r="J12" s="1264"/>
      <c r="K12" s="1264"/>
      <c r="L12" s="1264"/>
      <c r="M12" s="1264"/>
    </row>
    <row r="13" spans="1:31" ht="14">
      <c r="A13" s="1268" t="s">
        <v>198</v>
      </c>
      <c r="B13" s="1268" t="s">
        <v>199</v>
      </c>
      <c r="D13" s="1268"/>
      <c r="E13" s="1264"/>
      <c r="F13" s="1269" t="s">
        <v>286</v>
      </c>
      <c r="G13" s="1269" t="s">
        <v>287</v>
      </c>
      <c r="H13" s="1944" t="s">
        <v>134</v>
      </c>
      <c r="I13" s="1945"/>
      <c r="J13" s="1264"/>
      <c r="K13" s="1264"/>
      <c r="L13" s="1264"/>
    </row>
    <row r="14" spans="1:31" ht="14">
      <c r="A14" s="1265"/>
      <c r="B14" s="1265" t="s">
        <v>202</v>
      </c>
      <c r="D14" s="1265"/>
      <c r="E14" s="1266" t="s">
        <v>188</v>
      </c>
      <c r="F14" s="1667">
        <v>23.2</v>
      </c>
      <c r="G14" s="1667">
        <v>23.6</v>
      </c>
      <c r="H14" s="1946">
        <f>'DB Thermohygro'!R377</f>
        <v>23.295999999999999</v>
      </c>
      <c r="I14" s="1947"/>
      <c r="J14" s="1265" t="s">
        <v>204</v>
      </c>
      <c r="K14" s="1264"/>
      <c r="L14" s="1264"/>
      <c r="W14" s="1611"/>
      <c r="X14" s="1611"/>
      <c r="Y14" s="1611"/>
      <c r="Z14" s="1611"/>
      <c r="AA14" s="1611"/>
      <c r="AB14" s="1611"/>
      <c r="AC14" s="1611"/>
    </row>
    <row r="15" spans="1:31" ht="14">
      <c r="A15" s="1265"/>
      <c r="B15" s="1265" t="s">
        <v>205</v>
      </c>
      <c r="D15" s="1265"/>
      <c r="E15" s="1266" t="s">
        <v>188</v>
      </c>
      <c r="F15" s="1668">
        <v>67.5</v>
      </c>
      <c r="G15" s="1668">
        <v>66.400000000000006</v>
      </c>
      <c r="H15" s="1946">
        <f>'DB Thermohygro'!R378</f>
        <v>66.585499999999996</v>
      </c>
      <c r="I15" s="1947"/>
      <c r="J15" s="1265" t="s">
        <v>78</v>
      </c>
      <c r="K15" s="1264"/>
      <c r="L15" s="1264"/>
      <c r="O15" s="1270"/>
      <c r="P15" s="1270"/>
      <c r="W15" s="1611"/>
      <c r="X15" s="1611"/>
      <c r="Y15" s="1611"/>
      <c r="Z15" s="1611"/>
      <c r="AA15" s="1611"/>
      <c r="AB15" s="1611"/>
      <c r="AC15" s="1611"/>
      <c r="AE15" s="1270"/>
    </row>
    <row r="16" spans="1:31" ht="14">
      <c r="A16" s="1265"/>
      <c r="B16" s="1265" t="s">
        <v>206</v>
      </c>
      <c r="D16" s="1265"/>
      <c r="E16" s="1266" t="s">
        <v>188</v>
      </c>
      <c r="F16" s="1669">
        <v>220</v>
      </c>
      <c r="G16" s="1271"/>
      <c r="H16" s="1948"/>
      <c r="I16" s="1949"/>
      <c r="J16" s="1264" t="s">
        <v>163</v>
      </c>
      <c r="K16" s="1264"/>
      <c r="L16" s="1264"/>
      <c r="O16" s="1270"/>
      <c r="P16" s="1270"/>
      <c r="W16" s="1611"/>
      <c r="X16" s="1611"/>
      <c r="Y16" s="1612"/>
      <c r="Z16" s="1613"/>
      <c r="AA16" s="1611"/>
      <c r="AB16" s="1611"/>
      <c r="AC16" s="1611"/>
      <c r="AE16" s="1270"/>
    </row>
    <row r="17" spans="1:31" ht="14">
      <c r="A17" s="1265"/>
      <c r="B17" s="1265"/>
      <c r="D17" s="1265"/>
      <c r="E17" s="1264"/>
      <c r="F17" s="1265"/>
      <c r="G17" s="1265"/>
      <c r="H17" s="1265"/>
      <c r="I17" s="1264"/>
      <c r="J17" s="1264"/>
      <c r="K17" s="1264"/>
      <c r="L17" s="1264"/>
      <c r="M17" s="1264"/>
      <c r="O17" s="1270"/>
      <c r="P17" s="1270"/>
      <c r="W17" s="1611"/>
      <c r="X17" s="1611"/>
      <c r="Y17" s="1612"/>
      <c r="Z17" s="1611"/>
      <c r="AA17" s="1611"/>
      <c r="AB17" s="1611"/>
      <c r="AC17" s="1611"/>
      <c r="AE17" s="1270"/>
    </row>
    <row r="18" spans="1:31" ht="14">
      <c r="A18" s="1268" t="s">
        <v>207</v>
      </c>
      <c r="B18" s="1268" t="s">
        <v>208</v>
      </c>
      <c r="D18" s="1268"/>
      <c r="E18" s="1264"/>
      <c r="F18" s="1268"/>
      <c r="G18" s="1268"/>
      <c r="H18" s="1268"/>
      <c r="I18" s="1272"/>
      <c r="J18" s="1264"/>
      <c r="K18" s="1264"/>
      <c r="L18" s="1264"/>
      <c r="M18" s="1264"/>
      <c r="O18" s="1270"/>
      <c r="P18" s="1270"/>
      <c r="W18" s="1611"/>
      <c r="X18" s="1611"/>
      <c r="Y18" s="1614"/>
      <c r="Z18" s="1613"/>
      <c r="AA18" s="1611"/>
      <c r="AB18" s="1611"/>
      <c r="AC18" s="1611"/>
      <c r="AE18" s="1270"/>
    </row>
    <row r="19" spans="1:31" ht="14">
      <c r="A19" s="1265"/>
      <c r="B19" s="1265" t="str">
        <f>LK!B19</f>
        <v>1. Fisik</v>
      </c>
      <c r="D19" s="1265"/>
      <c r="E19" s="1266" t="s">
        <v>188</v>
      </c>
      <c r="F19" s="1418" t="s">
        <v>295</v>
      </c>
      <c r="G19" s="1265"/>
      <c r="H19" s="1265"/>
      <c r="I19" s="1264"/>
      <c r="J19" s="1264"/>
      <c r="K19" s="1264"/>
      <c r="L19" s="1264"/>
      <c r="M19" s="1264"/>
      <c r="O19" s="1270"/>
      <c r="W19" s="1611"/>
      <c r="X19" s="1611"/>
      <c r="Y19" s="1612"/>
      <c r="Z19" s="1615"/>
      <c r="AA19" s="1611"/>
      <c r="AB19" s="1611"/>
      <c r="AC19" s="1611"/>
      <c r="AE19" s="1270"/>
    </row>
    <row r="20" spans="1:31" ht="14">
      <c r="A20" s="1265"/>
      <c r="B20" s="1265" t="str">
        <f>LK!B20</f>
        <v>2. Fungsi</v>
      </c>
      <c r="D20" s="1265"/>
      <c r="E20" s="1266" t="s">
        <v>188</v>
      </c>
      <c r="F20" s="1418" t="s">
        <v>295</v>
      </c>
      <c r="G20" s="1265"/>
      <c r="H20" s="1265"/>
      <c r="I20" s="1264"/>
      <c r="J20" s="1264"/>
      <c r="K20" s="1264"/>
      <c r="L20" s="1264"/>
      <c r="M20" s="1264"/>
      <c r="O20" s="1270"/>
      <c r="W20" s="1611"/>
      <c r="X20" s="1611"/>
      <c r="Y20" s="1616"/>
      <c r="Z20" s="1613"/>
      <c r="AA20" s="1611"/>
      <c r="AB20" s="1611"/>
      <c r="AC20" s="1611"/>
      <c r="AE20" s="1270"/>
    </row>
    <row r="21" spans="1:31" ht="14">
      <c r="A21" s="1268"/>
      <c r="B21" s="1268"/>
      <c r="D21" s="1265"/>
      <c r="E21" s="1265"/>
      <c r="F21" s="1265"/>
      <c r="G21" s="1265"/>
      <c r="H21" s="1265"/>
      <c r="I21" s="1264"/>
      <c r="J21" s="1264"/>
      <c r="K21" s="1264"/>
      <c r="L21" s="1264"/>
      <c r="M21" s="1264"/>
      <c r="O21" s="1270"/>
      <c r="W21" s="1611"/>
      <c r="X21" s="1611"/>
      <c r="Y21" s="1611"/>
      <c r="Z21" s="1617"/>
      <c r="AA21" s="1611"/>
      <c r="AB21" s="1611"/>
      <c r="AC21" s="1611"/>
      <c r="AE21" s="1270"/>
    </row>
    <row r="22" spans="1:31" ht="14">
      <c r="A22" s="1268" t="s">
        <v>133</v>
      </c>
      <c r="B22" s="1268" t="s">
        <v>296</v>
      </c>
      <c r="D22" s="1265"/>
      <c r="E22" s="1265"/>
      <c r="F22" s="1265"/>
      <c r="G22" s="1265"/>
      <c r="H22" s="1265"/>
      <c r="I22" s="1264"/>
      <c r="J22" s="1264"/>
      <c r="K22" s="1264"/>
      <c r="L22" s="1264"/>
      <c r="M22" s="1264"/>
      <c r="N22" s="1274"/>
      <c r="O22" s="1275"/>
      <c r="W22" s="1611"/>
      <c r="X22" s="1611"/>
      <c r="Y22" s="1618"/>
      <c r="Z22" s="1619"/>
      <c r="AA22" s="1611"/>
      <c r="AB22" s="1611"/>
      <c r="AC22" s="1611"/>
      <c r="AE22" s="1270"/>
    </row>
    <row r="23" spans="1:31" ht="12.75" customHeight="1">
      <c r="B23" s="1932" t="s">
        <v>99</v>
      </c>
      <c r="C23" s="1938" t="s">
        <v>139</v>
      </c>
      <c r="D23" s="1939"/>
      <c r="E23" s="1939"/>
      <c r="F23" s="1939"/>
      <c r="G23" s="1939"/>
      <c r="H23" s="1939"/>
      <c r="I23" s="1939"/>
      <c r="J23" s="1928" t="s">
        <v>140</v>
      </c>
      <c r="K23" s="1929"/>
      <c r="L23" s="1928" t="s">
        <v>215</v>
      </c>
      <c r="M23" s="1929"/>
      <c r="N23" s="1274"/>
      <c r="O23" s="1275"/>
      <c r="W23" s="1611"/>
      <c r="X23" s="1611"/>
      <c r="Y23" s="1613"/>
      <c r="Z23" s="1611"/>
      <c r="AA23" s="1611"/>
      <c r="AB23" s="1611"/>
      <c r="AC23" s="1611"/>
      <c r="AE23" s="1270"/>
    </row>
    <row r="24" spans="1:31" ht="17.25" customHeight="1">
      <c r="B24" s="1934"/>
      <c r="C24" s="1940"/>
      <c r="D24" s="1941"/>
      <c r="E24" s="1941"/>
      <c r="F24" s="1941"/>
      <c r="G24" s="1941"/>
      <c r="H24" s="1941"/>
      <c r="I24" s="1941"/>
      <c r="J24" s="1930"/>
      <c r="K24" s="1931"/>
      <c r="L24" s="1930"/>
      <c r="M24" s="1931"/>
      <c r="O24" s="1275"/>
      <c r="W24" s="1611"/>
      <c r="X24" s="1611"/>
      <c r="Y24" s="1611"/>
      <c r="Z24" s="1611"/>
      <c r="AA24" s="1611"/>
      <c r="AB24" s="1611"/>
      <c r="AC24" s="1611"/>
      <c r="AE24" s="1270"/>
    </row>
    <row r="25" spans="1:31" ht="15.5">
      <c r="B25" s="1276">
        <v>1</v>
      </c>
      <c r="C25" s="1277" t="s">
        <v>216</v>
      </c>
      <c r="D25" s="1278"/>
      <c r="E25" s="1278"/>
      <c r="F25" s="1278"/>
      <c r="G25" s="1278"/>
      <c r="H25" s="1278"/>
      <c r="I25" s="1279"/>
      <c r="J25" s="1670" t="s">
        <v>297</v>
      </c>
      <c r="K25" s="1280" t="s">
        <v>298</v>
      </c>
      <c r="L25" s="1620" t="s">
        <v>552</v>
      </c>
      <c r="M25" s="1680" t="s">
        <v>553</v>
      </c>
      <c r="N25" s="1281"/>
      <c r="O25" s="1282"/>
      <c r="W25" s="1611"/>
      <c r="X25" s="1611"/>
      <c r="Y25" s="1611"/>
      <c r="Z25" s="1611"/>
      <c r="AA25" s="1611"/>
      <c r="AB25" s="1611"/>
      <c r="AC25" s="1611"/>
      <c r="AE25" s="1270"/>
    </row>
    <row r="26" spans="1:31" ht="14.5">
      <c r="B26" s="1276">
        <v>2</v>
      </c>
      <c r="C26" s="1956" t="s">
        <v>438</v>
      </c>
      <c r="D26" s="1957"/>
      <c r="E26" s="1957"/>
      <c r="F26" s="1957"/>
      <c r="G26" s="1957"/>
      <c r="H26" s="1957"/>
      <c r="I26" s="1958"/>
      <c r="J26" s="1671">
        <v>0.1</v>
      </c>
      <c r="K26" s="1280" t="s">
        <v>299</v>
      </c>
      <c r="L26" s="1620" t="str">
        <f>'kata-kata'!I49&amp;'kata-kata'!J49</f>
        <v>≤ 0.3</v>
      </c>
      <c r="M26" s="1680" t="s">
        <v>176</v>
      </c>
      <c r="N26" s="1281"/>
      <c r="O26" s="1950" t="s">
        <v>165</v>
      </c>
      <c r="W26" s="1611"/>
      <c r="X26" s="1611"/>
      <c r="Y26" s="1611"/>
      <c r="Z26" s="1611"/>
      <c r="AA26" s="1611"/>
      <c r="AB26" s="1611"/>
      <c r="AC26" s="1611"/>
      <c r="AE26" s="1270"/>
    </row>
    <row r="27" spans="1:31" ht="14.5">
      <c r="B27" s="1276">
        <v>3</v>
      </c>
      <c r="C27" s="1956" t="s">
        <v>440</v>
      </c>
      <c r="D27" s="1957"/>
      <c r="E27" s="1957"/>
      <c r="F27" s="1957"/>
      <c r="G27" s="1957"/>
      <c r="H27" s="1957"/>
      <c r="I27" s="1958"/>
      <c r="J27" s="1672" t="s">
        <v>10</v>
      </c>
      <c r="K27" s="1280" t="s">
        <v>224</v>
      </c>
      <c r="L27" s="1620" t="str">
        <f>'kata-kata'!I49&amp;'kata-kata'!K49</f>
        <v>≤ 500</v>
      </c>
      <c r="M27" s="1680" t="s">
        <v>224</v>
      </c>
      <c r="O27" s="1951"/>
      <c r="P27" s="1681" t="s">
        <v>224</v>
      </c>
      <c r="AE27" s="1270"/>
    </row>
    <row r="28" spans="1:31" ht="15.5">
      <c r="B28" s="1276">
        <v>4</v>
      </c>
      <c r="C28" s="1973" t="s">
        <v>164</v>
      </c>
      <c r="D28" s="1974"/>
      <c r="E28" s="1974"/>
      <c r="F28" s="1974"/>
      <c r="G28" s="1974"/>
      <c r="H28" s="1974"/>
      <c r="I28" s="1975"/>
      <c r="J28" s="1672" t="s">
        <v>10</v>
      </c>
      <c r="K28" s="1280" t="s">
        <v>224</v>
      </c>
      <c r="L28" s="1620" t="s">
        <v>229</v>
      </c>
      <c r="M28" s="1680" t="s">
        <v>224</v>
      </c>
      <c r="O28" s="1652" t="s">
        <v>554</v>
      </c>
      <c r="P28" s="1673">
        <v>10</v>
      </c>
      <c r="Q28" s="1682"/>
      <c r="R28" s="1283"/>
      <c r="AE28" s="1270"/>
    </row>
    <row r="29" spans="1:31">
      <c r="B29" s="1284"/>
      <c r="C29" s="1264"/>
      <c r="D29" s="1264"/>
      <c r="E29" s="1264"/>
      <c r="F29" s="1264"/>
      <c r="G29" s="1264"/>
      <c r="H29" s="1264"/>
      <c r="I29" s="1285"/>
      <c r="J29" s="1286"/>
      <c r="K29" s="1264"/>
      <c r="L29" s="1264"/>
      <c r="M29" s="1264"/>
      <c r="O29" s="1270"/>
      <c r="P29" s="1270"/>
      <c r="Q29" s="1270"/>
      <c r="R29" s="1270"/>
      <c r="S29" s="1270"/>
      <c r="T29" s="1270"/>
      <c r="U29" s="1270"/>
      <c r="AE29" s="1270"/>
    </row>
    <row r="30" spans="1:31" ht="14">
      <c r="A30" s="1287" t="str">
        <f>LK!A33</f>
        <v>IV.</v>
      </c>
      <c r="B30" s="1287" t="str">
        <f>LK!B33</f>
        <v xml:space="preserve">Pengujian Kinerja </v>
      </c>
    </row>
    <row r="31" spans="1:31" ht="2.25" customHeight="1">
      <c r="A31" s="1287"/>
      <c r="B31" s="1287"/>
    </row>
    <row r="32" spans="1:31" ht="20.25" customHeight="1">
      <c r="B32" s="1288" t="s">
        <v>235</v>
      </c>
      <c r="E32" s="1289"/>
      <c r="F32" s="1289"/>
      <c r="G32" s="1289"/>
      <c r="H32" s="1289"/>
      <c r="I32" s="1289"/>
      <c r="J32" s="1289"/>
      <c r="K32" s="1289"/>
      <c r="L32" s="1289"/>
      <c r="N32" s="1290"/>
      <c r="Q32" s="1265"/>
    </row>
    <row r="33" spans="2:17" ht="16.5" customHeight="1">
      <c r="B33" s="1976" t="s">
        <v>99</v>
      </c>
      <c r="C33" s="1978" t="s">
        <v>139</v>
      </c>
      <c r="D33" s="1976" t="s">
        <v>236</v>
      </c>
      <c r="E33" s="1959" t="s">
        <v>237</v>
      </c>
      <c r="F33" s="1959"/>
      <c r="G33" s="1959"/>
      <c r="H33" s="1960" t="s">
        <v>300</v>
      </c>
      <c r="I33" s="1937" t="s">
        <v>301</v>
      </c>
      <c r="J33" s="1924" t="s">
        <v>46</v>
      </c>
      <c r="K33" s="1289"/>
      <c r="L33" s="1289"/>
      <c r="N33" s="1290"/>
      <c r="O33" s="1291"/>
      <c r="Q33" s="1265"/>
    </row>
    <row r="34" spans="2:17" ht="16.5" customHeight="1">
      <c r="B34" s="1977"/>
      <c r="C34" s="1979"/>
      <c r="D34" s="1977"/>
      <c r="E34" s="1653" t="s">
        <v>27</v>
      </c>
      <c r="F34" s="1653" t="s">
        <v>29</v>
      </c>
      <c r="G34" s="1653" t="s">
        <v>31</v>
      </c>
      <c r="H34" s="1961"/>
      <c r="I34" s="1937"/>
      <c r="J34" s="1924"/>
      <c r="K34" s="1289"/>
      <c r="L34" s="1289"/>
      <c r="N34" s="1290"/>
      <c r="O34" s="1291"/>
      <c r="Q34" s="1265"/>
    </row>
    <row r="35" spans="2:17" ht="16.5" customHeight="1">
      <c r="B35" s="1654">
        <v>1</v>
      </c>
      <c r="C35" s="1965" t="s">
        <v>239</v>
      </c>
      <c r="D35" s="1674">
        <v>5</v>
      </c>
      <c r="E35" s="1675">
        <v>5</v>
      </c>
      <c r="F35" s="1675">
        <v>5</v>
      </c>
      <c r="G35" s="1675">
        <v>5</v>
      </c>
      <c r="H35" s="1292">
        <f>AVERAGE(E35:G35)</f>
        <v>5</v>
      </c>
      <c r="I35" s="1293">
        <f>'Input Data Sertifikat Defib'!E103</f>
        <v>5.2375662290099534</v>
      </c>
      <c r="J35" s="1294">
        <f>IF(STDEV(E35:G35)=0,0.00001,STDEV(E35:G35))</f>
        <v>1.0000000000000001E-5</v>
      </c>
      <c r="K35" s="1289"/>
      <c r="L35" s="1289"/>
      <c r="N35" s="1290"/>
      <c r="O35" s="1291"/>
      <c r="Q35" s="1265"/>
    </row>
    <row r="36" spans="2:17" ht="16.5" customHeight="1">
      <c r="B36" s="1654">
        <v>2</v>
      </c>
      <c r="C36" s="1965"/>
      <c r="D36" s="1674">
        <v>10</v>
      </c>
      <c r="E36" s="1675">
        <v>10</v>
      </c>
      <c r="F36" s="1675">
        <v>11</v>
      </c>
      <c r="G36" s="1675">
        <v>10.5</v>
      </c>
      <c r="H36" s="1292">
        <f t="shared" ref="H36:H43" si="0">AVERAGE(E36:G36)</f>
        <v>10.5</v>
      </c>
      <c r="I36" s="1293">
        <f>'Input Data Sertifikat Defib'!E104</f>
        <v>10.729337726692501</v>
      </c>
      <c r="J36" s="1294">
        <f t="shared" ref="J36:J43" si="1">IF(STDEV(E36:G36)=0,0.00001,STDEV(E36:G36))</f>
        <v>0.5</v>
      </c>
      <c r="K36" s="1289"/>
      <c r="L36" s="1289"/>
      <c r="N36" s="1290"/>
      <c r="O36" s="1291"/>
      <c r="Q36" s="1265"/>
    </row>
    <row r="37" spans="2:17" ht="16.5" customHeight="1">
      <c r="B37" s="1654">
        <v>3</v>
      </c>
      <c r="C37" s="1965"/>
      <c r="D37" s="1674">
        <v>20</v>
      </c>
      <c r="E37" s="1676">
        <v>20</v>
      </c>
      <c r="F37" s="1676">
        <v>20</v>
      </c>
      <c r="G37" s="1676">
        <v>20</v>
      </c>
      <c r="H37" s="1292">
        <f t="shared" si="0"/>
        <v>20</v>
      </c>
      <c r="I37" s="1293">
        <f>'Input Data Sertifikat Defib'!E105</f>
        <v>20.215124859053262</v>
      </c>
      <c r="J37" s="1294">
        <f t="shared" si="1"/>
        <v>1.0000000000000001E-5</v>
      </c>
      <c r="K37" s="1289"/>
      <c r="L37" s="1289"/>
      <c r="N37" s="1290"/>
      <c r="O37" s="1291"/>
      <c r="Q37" s="1265"/>
    </row>
    <row r="38" spans="2:17" ht="16.5" customHeight="1">
      <c r="B38" s="1654">
        <v>4</v>
      </c>
      <c r="C38" s="1965"/>
      <c r="D38" s="1674">
        <v>30</v>
      </c>
      <c r="E38" s="1675">
        <v>30</v>
      </c>
      <c r="F38" s="1675">
        <v>30</v>
      </c>
      <c r="G38" s="1675">
        <v>30</v>
      </c>
      <c r="H38" s="1292">
        <f t="shared" si="0"/>
        <v>30</v>
      </c>
      <c r="I38" s="1293">
        <f>'Input Data Sertifikat Defib'!E106</f>
        <v>30.200163945748802</v>
      </c>
      <c r="J38" s="1294">
        <f t="shared" si="1"/>
        <v>1.0000000000000001E-5</v>
      </c>
      <c r="K38" s="1289"/>
      <c r="L38" s="1289"/>
      <c r="N38" s="1290"/>
      <c r="O38" s="1291"/>
      <c r="Q38" s="1265"/>
    </row>
    <row r="39" spans="2:17" ht="16.5" customHeight="1">
      <c r="B39" s="1654">
        <v>5</v>
      </c>
      <c r="C39" s="1965"/>
      <c r="D39" s="1674">
        <v>50</v>
      </c>
      <c r="E39" s="1675">
        <v>50</v>
      </c>
      <c r="F39" s="1675">
        <v>54</v>
      </c>
      <c r="G39" s="1675">
        <v>50</v>
      </c>
      <c r="H39" s="1292">
        <f t="shared" si="0"/>
        <v>51.333333333333336</v>
      </c>
      <c r="I39" s="1293">
        <f>'Input Data Sertifikat Defib'!E107</f>
        <v>51.501580664032623</v>
      </c>
      <c r="J39" s="1294">
        <f t="shared" si="1"/>
        <v>2.3094010767585029</v>
      </c>
      <c r="K39" s="1289"/>
      <c r="L39" s="1289"/>
      <c r="N39" s="1290"/>
      <c r="O39" s="1291"/>
      <c r="Q39" s="1265"/>
    </row>
    <row r="40" spans="2:17" ht="16.5" customHeight="1">
      <c r="B40" s="1654">
        <v>6</v>
      </c>
      <c r="C40" s="1965"/>
      <c r="D40" s="1674">
        <v>100</v>
      </c>
      <c r="E40" s="1675">
        <v>100</v>
      </c>
      <c r="F40" s="1675">
        <v>96</v>
      </c>
      <c r="G40" s="1675">
        <v>100</v>
      </c>
      <c r="H40" s="1292">
        <f t="shared" si="0"/>
        <v>98.666666666666671</v>
      </c>
      <c r="I40" s="1293">
        <f>'Input Data Sertifikat Defib'!E108</f>
        <v>98.764099007724852</v>
      </c>
      <c r="J40" s="1294">
        <f t="shared" si="1"/>
        <v>2.3094010767585034</v>
      </c>
      <c r="K40" s="1289"/>
      <c r="L40" s="1289"/>
      <c r="N40" s="1290"/>
      <c r="O40" s="1291"/>
      <c r="Q40" s="1265"/>
    </row>
    <row r="41" spans="2:17" ht="16.5" customHeight="1">
      <c r="B41" s="1654">
        <v>7</v>
      </c>
      <c r="C41" s="1965"/>
      <c r="D41" s="1674">
        <v>150</v>
      </c>
      <c r="E41" s="1675">
        <v>150</v>
      </c>
      <c r="F41" s="1675">
        <v>148</v>
      </c>
      <c r="G41" s="1675">
        <v>151</v>
      </c>
      <c r="H41" s="1292">
        <f t="shared" si="0"/>
        <v>149.66666666666666</v>
      </c>
      <c r="I41" s="1293">
        <f>'Input Data Sertifikat Defib'!E109</f>
        <v>149.68779834987208</v>
      </c>
      <c r="J41" s="1294">
        <f t="shared" si="1"/>
        <v>1.5275252316519465</v>
      </c>
      <c r="K41" s="1289"/>
      <c r="L41" s="1289"/>
      <c r="N41" s="1290"/>
      <c r="O41" s="1291"/>
      <c r="Q41" s="1265"/>
    </row>
    <row r="42" spans="2:17" ht="16.5" customHeight="1">
      <c r="B42" s="1654">
        <v>8</v>
      </c>
      <c r="C42" s="1965"/>
      <c r="D42" s="1674">
        <v>200</v>
      </c>
      <c r="E42" s="1675">
        <v>200</v>
      </c>
      <c r="F42" s="1675">
        <v>206</v>
      </c>
      <c r="G42" s="1675">
        <v>200</v>
      </c>
      <c r="H42" s="1292">
        <f t="shared" si="0"/>
        <v>202</v>
      </c>
      <c r="I42" s="1293">
        <f>'Input Data Sertifikat Defib'!E110</f>
        <v>201.94283623691209</v>
      </c>
      <c r="J42" s="1294">
        <f t="shared" si="1"/>
        <v>3.4641016151377544</v>
      </c>
      <c r="K42" s="1289"/>
      <c r="L42" s="1289"/>
      <c r="N42" s="1290"/>
      <c r="O42" s="1291"/>
      <c r="Q42" s="1265"/>
    </row>
    <row r="43" spans="2:17" ht="16.5" customHeight="1">
      <c r="B43" s="1654">
        <v>9</v>
      </c>
      <c r="C43" s="1965"/>
      <c r="D43" s="1674">
        <v>300</v>
      </c>
      <c r="E43" s="1675">
        <v>300</v>
      </c>
      <c r="F43" s="1675">
        <v>286</v>
      </c>
      <c r="G43" s="1675">
        <v>290</v>
      </c>
      <c r="H43" s="1292">
        <f t="shared" si="0"/>
        <v>292</v>
      </c>
      <c r="I43" s="1293">
        <f>'Input Data Sertifikat Defib'!E111</f>
        <v>291.80818801717197</v>
      </c>
      <c r="J43" s="1294">
        <f t="shared" si="1"/>
        <v>7.2111025509279782</v>
      </c>
      <c r="K43" s="1289"/>
      <c r="L43" s="1289"/>
      <c r="N43" s="1290"/>
      <c r="O43" s="1291"/>
      <c r="Q43" s="1265"/>
    </row>
    <row r="44" spans="2:17" ht="16.5" customHeight="1">
      <c r="B44" s="1154"/>
      <c r="C44" s="1295"/>
      <c r="D44" s="1296"/>
      <c r="E44" s="1289"/>
      <c r="F44" s="1289"/>
      <c r="G44" s="1289"/>
      <c r="H44" s="1289"/>
      <c r="I44" s="1289"/>
      <c r="J44" s="1289"/>
      <c r="K44" s="1289"/>
      <c r="L44" s="1289"/>
      <c r="N44" s="1290"/>
      <c r="O44" s="1291"/>
      <c r="Q44" s="1265"/>
    </row>
    <row r="45" spans="2:17" ht="16.5" customHeight="1">
      <c r="B45" s="1288" t="s">
        <v>242</v>
      </c>
      <c r="D45" s="1287"/>
      <c r="E45" s="1289"/>
      <c r="F45" s="1289"/>
      <c r="G45" s="1289"/>
      <c r="H45" s="1289"/>
      <c r="I45" s="1289"/>
      <c r="J45" s="1289"/>
      <c r="K45" s="1289"/>
      <c r="L45" s="1289"/>
      <c r="N45" s="1290"/>
      <c r="O45" s="1291"/>
      <c r="Q45" s="1265"/>
    </row>
    <row r="46" spans="2:17" ht="16.5" customHeight="1">
      <c r="B46" s="1976" t="s">
        <v>99</v>
      </c>
      <c r="C46" s="1978" t="s">
        <v>139</v>
      </c>
      <c r="D46" s="1925" t="s">
        <v>236</v>
      </c>
      <c r="E46" s="1962" t="s">
        <v>237</v>
      </c>
      <c r="F46" s="1962"/>
      <c r="G46" s="1962"/>
      <c r="H46" s="1962"/>
      <c r="I46" s="1962"/>
      <c r="J46" s="1937" t="s">
        <v>302</v>
      </c>
      <c r="K46" s="1937" t="s">
        <v>303</v>
      </c>
      <c r="L46" s="1924" t="s">
        <v>46</v>
      </c>
      <c r="N46" s="1290"/>
      <c r="O46" s="1291"/>
      <c r="Q46" s="1265"/>
    </row>
    <row r="47" spans="2:17" ht="16.5" customHeight="1">
      <c r="B47" s="1977"/>
      <c r="C47" s="1979"/>
      <c r="D47" s="1926"/>
      <c r="E47" s="1962"/>
      <c r="F47" s="1962"/>
      <c r="G47" s="1962"/>
      <c r="H47" s="1962"/>
      <c r="I47" s="1962"/>
      <c r="J47" s="1937"/>
      <c r="K47" s="1937"/>
      <c r="L47" s="1924"/>
      <c r="N47" s="1290"/>
      <c r="O47" s="1291"/>
      <c r="Q47" s="1265"/>
    </row>
    <row r="48" spans="2:17" ht="16.5" customHeight="1">
      <c r="B48" s="1950">
        <v>1</v>
      </c>
      <c r="C48" s="1965" t="s">
        <v>239</v>
      </c>
      <c r="D48" s="1966">
        <v>200</v>
      </c>
      <c r="E48" s="1675">
        <v>200</v>
      </c>
      <c r="F48" s="1675">
        <v>200</v>
      </c>
      <c r="G48" s="1675">
        <v>200</v>
      </c>
      <c r="H48" s="1675">
        <v>200</v>
      </c>
      <c r="I48" s="1675">
        <v>200</v>
      </c>
      <c r="J48" s="1935">
        <f>AVERAGE(E48:I49)</f>
        <v>200</v>
      </c>
      <c r="K48" s="1935">
        <f>'Input Data Sertifikat Defib'!E114</f>
        <v>199.94582841957299</v>
      </c>
      <c r="L48" s="1935">
        <f>IF(STDEV(E48:I49)=0,0.00001,STDEV(E48:I49))</f>
        <v>1.0000000000000001E-5</v>
      </c>
      <c r="N48" s="1290"/>
      <c r="O48" s="1291"/>
      <c r="Q48" s="1265"/>
    </row>
    <row r="49" spans="1:17" ht="16.5" customHeight="1">
      <c r="B49" s="1951"/>
      <c r="C49" s="1965"/>
      <c r="D49" s="1966"/>
      <c r="E49" s="1675">
        <v>200</v>
      </c>
      <c r="F49" s="1675">
        <v>200</v>
      </c>
      <c r="G49" s="1675">
        <v>200</v>
      </c>
      <c r="H49" s="1675">
        <v>200</v>
      </c>
      <c r="I49" s="1675">
        <v>200</v>
      </c>
      <c r="J49" s="1936"/>
      <c r="K49" s="1936"/>
      <c r="L49" s="1936"/>
      <c r="N49" s="1290"/>
      <c r="O49" s="1291"/>
      <c r="Q49" s="1265"/>
    </row>
    <row r="50" spans="1:17" ht="16.5" customHeight="1">
      <c r="B50" s="1154"/>
      <c r="C50" s="1295"/>
      <c r="D50" s="1296"/>
      <c r="E50" s="1289"/>
      <c r="F50" s="1289"/>
      <c r="G50" s="1289"/>
      <c r="H50" s="1289"/>
      <c r="I50" s="1289"/>
      <c r="J50" s="1289"/>
      <c r="K50" s="1289"/>
      <c r="L50" s="1289"/>
      <c r="N50" s="1290"/>
      <c r="O50" s="1291"/>
      <c r="Q50" s="1265"/>
    </row>
    <row r="51" spans="1:17" ht="16.5" customHeight="1">
      <c r="B51" s="1288" t="s">
        <v>245</v>
      </c>
      <c r="D51" s="1287"/>
      <c r="E51" s="1289"/>
      <c r="F51" s="1289"/>
      <c r="G51" s="1289"/>
      <c r="H51" s="1289"/>
      <c r="I51" s="1289"/>
      <c r="J51" s="1289"/>
      <c r="K51" s="1289"/>
      <c r="L51" s="1289"/>
      <c r="N51" s="1290"/>
      <c r="O51" s="1291"/>
      <c r="Q51" s="1265"/>
    </row>
    <row r="52" spans="1:17" ht="16.5" customHeight="1">
      <c r="B52" s="1297" t="s">
        <v>9</v>
      </c>
      <c r="C52" s="1967" t="s">
        <v>139</v>
      </c>
      <c r="D52" s="1967"/>
      <c r="E52" s="1963" t="s">
        <v>246</v>
      </c>
      <c r="F52" s="1963"/>
      <c r="G52" s="1924" t="s">
        <v>237</v>
      </c>
      <c r="H52" s="1924"/>
      <c r="I52" s="1924"/>
      <c r="J52" s="1653" t="s">
        <v>238</v>
      </c>
      <c r="K52" s="1289"/>
      <c r="L52" s="1289"/>
      <c r="N52" s="1290"/>
      <c r="O52" s="1291"/>
      <c r="Q52" s="1265"/>
    </row>
    <row r="53" spans="1:17" s="1298" customFormat="1" ht="16.5" customHeight="1">
      <c r="B53" s="1299">
        <v>1</v>
      </c>
      <c r="C53" s="1968" t="s">
        <v>247</v>
      </c>
      <c r="D53" s="1968"/>
      <c r="E53" s="1964" t="s">
        <v>248</v>
      </c>
      <c r="F53" s="1964"/>
      <c r="G53" s="1942">
        <v>7</v>
      </c>
      <c r="H53" s="1942"/>
      <c r="I53" s="1942"/>
      <c r="J53" s="1300" t="s">
        <v>249</v>
      </c>
      <c r="K53" s="1301"/>
      <c r="L53" s="1301"/>
      <c r="N53" s="1290"/>
      <c r="O53" s="1302"/>
      <c r="Q53" s="1303"/>
    </row>
    <row r="54" spans="1:17" ht="14">
      <c r="A54" s="1287"/>
      <c r="B54" s="1287"/>
    </row>
    <row r="55" spans="1:17" ht="14">
      <c r="A55" s="1287"/>
      <c r="B55" s="1288" t="str">
        <f>IF(C59='kata-kata'!J20,'kata-kata'!J15,'kata-kata'!J16)</f>
        <v>d. Kalibrasi Heart Rate</v>
      </c>
      <c r="D55" s="1267"/>
      <c r="E55" s="1287"/>
      <c r="F55" s="1287"/>
      <c r="G55" s="1287"/>
      <c r="H55" s="1287"/>
      <c r="I55" s="1287"/>
      <c r="J55" s="1267"/>
      <c r="K55" s="1267"/>
      <c r="L55" s="1267"/>
      <c r="M55" s="1264"/>
    </row>
    <row r="56" spans="1:17" s="1304" customFormat="1" ht="14.25" customHeight="1">
      <c r="B56" s="1918" t="s">
        <v>99</v>
      </c>
      <c r="C56" s="1918" t="s">
        <v>139</v>
      </c>
      <c r="D56" s="1925" t="s">
        <v>304</v>
      </c>
      <c r="E56" s="1916" t="s">
        <v>305</v>
      </c>
      <c r="F56" s="1916"/>
      <c r="G56" s="1916"/>
      <c r="H56" s="1916"/>
      <c r="I56" s="1916"/>
      <c r="J56" s="1916"/>
      <c r="K56" s="1925" t="s">
        <v>306</v>
      </c>
      <c r="L56" s="1925" t="s">
        <v>301</v>
      </c>
      <c r="M56" s="1932" t="s">
        <v>46</v>
      </c>
    </row>
    <row r="57" spans="1:17" s="1304" customFormat="1" ht="12.75" customHeight="1">
      <c r="B57" s="1919"/>
      <c r="C57" s="1919"/>
      <c r="D57" s="1926"/>
      <c r="E57" s="1916" t="s">
        <v>27</v>
      </c>
      <c r="F57" s="1916" t="s">
        <v>29</v>
      </c>
      <c r="G57" s="1916" t="s">
        <v>31</v>
      </c>
      <c r="H57" s="1916" t="s">
        <v>33</v>
      </c>
      <c r="I57" s="1916" t="s">
        <v>35</v>
      </c>
      <c r="J57" s="1917" t="s">
        <v>37</v>
      </c>
      <c r="K57" s="1926"/>
      <c r="L57" s="1926"/>
      <c r="M57" s="1933"/>
    </row>
    <row r="58" spans="1:17" s="1304" customFormat="1" ht="14">
      <c r="B58" s="1920"/>
      <c r="C58" s="1920"/>
      <c r="D58" s="1927"/>
      <c r="E58" s="1916"/>
      <c r="F58" s="1916"/>
      <c r="G58" s="1916"/>
      <c r="H58" s="1916"/>
      <c r="I58" s="1916"/>
      <c r="J58" s="1917"/>
      <c r="K58" s="1927"/>
      <c r="L58" s="1927"/>
      <c r="M58" s="1934"/>
    </row>
    <row r="59" spans="1:17" ht="17.149999999999999" customHeight="1">
      <c r="B59" s="1396">
        <v>1</v>
      </c>
      <c r="C59" s="1953" t="s">
        <v>307</v>
      </c>
      <c r="D59" s="1305">
        <v>30</v>
      </c>
      <c r="E59" s="1677">
        <v>30</v>
      </c>
      <c r="F59" s="1677">
        <v>30</v>
      </c>
      <c r="G59" s="1677">
        <v>30</v>
      </c>
      <c r="H59" s="1677">
        <v>30</v>
      </c>
      <c r="I59" s="1677">
        <v>30</v>
      </c>
      <c r="J59" s="1677">
        <v>30</v>
      </c>
      <c r="K59" s="1306">
        <f>AVERAGE(E59:J59)</f>
        <v>30</v>
      </c>
      <c r="L59" s="1293">
        <f>'Input Data ECG Sim'!S272</f>
        <v>30.0001</v>
      </c>
      <c r="M59" s="1294">
        <f>IF(STDEV(E59:I59)=0,0.00001,STDEV(E59:I59))</f>
        <v>1.0000000000000001E-5</v>
      </c>
    </row>
    <row r="60" spans="1:17" ht="17.149999999999999" customHeight="1">
      <c r="B60" s="1652">
        <v>2</v>
      </c>
      <c r="C60" s="1954"/>
      <c r="D60" s="1305">
        <v>60</v>
      </c>
      <c r="E60" s="1677">
        <v>60</v>
      </c>
      <c r="F60" s="1677">
        <v>60</v>
      </c>
      <c r="G60" s="1677">
        <v>60</v>
      </c>
      <c r="H60" s="1677">
        <v>60</v>
      </c>
      <c r="I60" s="1677">
        <v>60</v>
      </c>
      <c r="J60" s="1677">
        <v>60</v>
      </c>
      <c r="K60" s="1306">
        <f>AVERAGE(E60:J60)</f>
        <v>60</v>
      </c>
      <c r="L60" s="1293">
        <f>'Input Data ECG Sim'!S273</f>
        <v>60.000100000000003</v>
      </c>
      <c r="M60" s="1294">
        <f t="shared" ref="M60:M62" si="2">IF(STDEV(E60:I60)=0,0.00001,STDEV(E60:I60))</f>
        <v>1.0000000000000001E-5</v>
      </c>
    </row>
    <row r="61" spans="1:17" ht="17.149999999999999" customHeight="1">
      <c r="B61" s="1652">
        <v>3</v>
      </c>
      <c r="C61" s="1954"/>
      <c r="D61" s="1305">
        <v>120</v>
      </c>
      <c r="E61" s="1677">
        <v>120</v>
      </c>
      <c r="F61" s="1677">
        <v>120</v>
      </c>
      <c r="G61" s="1677">
        <v>120</v>
      </c>
      <c r="H61" s="1677">
        <v>120</v>
      </c>
      <c r="I61" s="1677">
        <v>120</v>
      </c>
      <c r="J61" s="1677">
        <v>120</v>
      </c>
      <c r="K61" s="1306">
        <f t="shared" ref="K61" si="3">AVERAGE(E61:J61)</f>
        <v>120</v>
      </c>
      <c r="L61" s="1293">
        <f>'Input Data ECG Sim'!S274</f>
        <v>120.0001</v>
      </c>
      <c r="M61" s="1294">
        <f t="shared" si="2"/>
        <v>1.0000000000000001E-5</v>
      </c>
    </row>
    <row r="62" spans="1:17" ht="17.149999999999999" customHeight="1">
      <c r="B62" s="1652">
        <v>4</v>
      </c>
      <c r="C62" s="1955"/>
      <c r="D62" s="1307">
        <v>180</v>
      </c>
      <c r="E62" s="1677">
        <v>180</v>
      </c>
      <c r="F62" s="1677">
        <v>180</v>
      </c>
      <c r="G62" s="1677">
        <v>180</v>
      </c>
      <c r="H62" s="1677">
        <v>180</v>
      </c>
      <c r="I62" s="1677">
        <v>180</v>
      </c>
      <c r="J62" s="1677">
        <v>180</v>
      </c>
      <c r="K62" s="1306">
        <f>AVERAGE(E62:J62)</f>
        <v>180</v>
      </c>
      <c r="L62" s="1293">
        <f>'Input Data ECG Sim'!S275</f>
        <v>180.0001</v>
      </c>
      <c r="M62" s="1294">
        <f t="shared" si="2"/>
        <v>1.0000000000000001E-5</v>
      </c>
    </row>
    <row r="63" spans="1:17" ht="17.149999999999999" customHeight="1">
      <c r="B63" s="1308"/>
      <c r="C63" s="1309"/>
      <c r="D63" s="1296"/>
      <c r="E63" s="1310"/>
      <c r="F63" s="1311"/>
      <c r="G63" s="1311"/>
      <c r="H63" s="1311"/>
      <c r="I63" s="1311"/>
      <c r="J63" s="1311"/>
      <c r="K63" s="1311"/>
      <c r="L63" s="1311"/>
      <c r="M63" s="1312"/>
      <c r="P63" s="1313"/>
    </row>
    <row r="67" spans="1:16" ht="14">
      <c r="B67" s="1288" t="str">
        <f>LK!B66</f>
        <v>e. Kalibrasi Respirasi</v>
      </c>
      <c r="D67" s="1267"/>
      <c r="E67" s="1317"/>
      <c r="F67" s="1317"/>
      <c r="G67" s="1317"/>
      <c r="H67" s="1317"/>
      <c r="I67" s="1317"/>
      <c r="J67" s="1318"/>
      <c r="K67" s="1318"/>
      <c r="L67" s="1319"/>
      <c r="O67" s="1314"/>
      <c r="P67" s="1314"/>
    </row>
    <row r="68" spans="1:16" ht="14.25" customHeight="1">
      <c r="B68" s="1918" t="s">
        <v>99</v>
      </c>
      <c r="C68" s="1918" t="s">
        <v>139</v>
      </c>
      <c r="D68" s="1925" t="s">
        <v>304</v>
      </c>
      <c r="E68" s="1916" t="s">
        <v>305</v>
      </c>
      <c r="F68" s="1916"/>
      <c r="G68" s="1916"/>
      <c r="H68" s="1916"/>
      <c r="I68" s="1916"/>
      <c r="J68" s="1916"/>
      <c r="K68" s="1925" t="s">
        <v>306</v>
      </c>
      <c r="L68" s="1925" t="s">
        <v>301</v>
      </c>
      <c r="M68" s="1917" t="s">
        <v>46</v>
      </c>
      <c r="O68" s="1314"/>
      <c r="P68" s="1314"/>
    </row>
    <row r="69" spans="1:16" ht="14.25" customHeight="1">
      <c r="B69" s="1919"/>
      <c r="C69" s="1919"/>
      <c r="D69" s="1926"/>
      <c r="E69" s="1916" t="s">
        <v>27</v>
      </c>
      <c r="F69" s="1916" t="s">
        <v>29</v>
      </c>
      <c r="G69" s="1916" t="s">
        <v>31</v>
      </c>
      <c r="H69" s="1916" t="s">
        <v>33</v>
      </c>
      <c r="I69" s="1916" t="s">
        <v>35</v>
      </c>
      <c r="J69" s="1917" t="s">
        <v>37</v>
      </c>
      <c r="K69" s="1926"/>
      <c r="L69" s="1926"/>
      <c r="M69" s="1917"/>
      <c r="O69" s="1314"/>
      <c r="P69" s="1314"/>
    </row>
    <row r="70" spans="1:16" ht="14.25" customHeight="1">
      <c r="B70" s="1920"/>
      <c r="C70" s="1920"/>
      <c r="D70" s="1927"/>
      <c r="E70" s="1916"/>
      <c r="F70" s="1916"/>
      <c r="G70" s="1916"/>
      <c r="H70" s="1916"/>
      <c r="I70" s="1916"/>
      <c r="J70" s="1917"/>
      <c r="K70" s="1927"/>
      <c r="L70" s="1927"/>
      <c r="M70" s="1917"/>
      <c r="O70" s="1314"/>
      <c r="P70" s="1314"/>
    </row>
    <row r="71" spans="1:16" ht="14">
      <c r="B71" s="1654">
        <v>1</v>
      </c>
      <c r="C71" s="1970" t="s">
        <v>259</v>
      </c>
      <c r="D71" s="1344">
        <f>LK!D70</f>
        <v>20</v>
      </c>
      <c r="E71" s="1678">
        <v>20</v>
      </c>
      <c r="F71" s="1678">
        <v>20</v>
      </c>
      <c r="G71" s="1678">
        <v>20</v>
      </c>
      <c r="H71" s="1678">
        <v>20</v>
      </c>
      <c r="I71" s="1678">
        <v>20</v>
      </c>
      <c r="J71" s="1678">
        <v>20</v>
      </c>
      <c r="K71" s="1315">
        <f>AVERAGE(E71:J71)</f>
        <v>20</v>
      </c>
      <c r="L71" s="1316">
        <f>K71+'Input Data ECG Sim'!S255</f>
        <v>20.0001</v>
      </c>
      <c r="M71" s="1316">
        <f>IF(STDEV(E71:J71)=0,0.00001,STDEV(E71:J71))</f>
        <v>1.0000000000000001E-5</v>
      </c>
      <c r="O71" s="1320"/>
      <c r="P71" s="1314"/>
    </row>
    <row r="72" spans="1:16" ht="14">
      <c r="B72" s="1654">
        <v>2</v>
      </c>
      <c r="C72" s="1971"/>
      <c r="D72" s="1344">
        <f>LK!D71</f>
        <v>30</v>
      </c>
      <c r="E72" s="1678">
        <v>30</v>
      </c>
      <c r="F72" s="1678">
        <v>30</v>
      </c>
      <c r="G72" s="1678">
        <v>30</v>
      </c>
      <c r="H72" s="1678">
        <v>30</v>
      </c>
      <c r="I72" s="1678">
        <v>30</v>
      </c>
      <c r="J72" s="1678">
        <v>30</v>
      </c>
      <c r="K72" s="1315">
        <f>AVERAGE(E72:J72)</f>
        <v>30</v>
      </c>
      <c r="L72" s="1315">
        <f>K72+'Input Data ECG Sim'!S258</f>
        <v>30.0001</v>
      </c>
      <c r="M72" s="1316">
        <f t="shared" ref="M72:M74" si="4">IF(STDEV(E72:J72)=0,0.00001,STDEV(E72:J72))</f>
        <v>1.0000000000000001E-5</v>
      </c>
      <c r="O72" s="1320"/>
      <c r="P72" s="1314"/>
    </row>
    <row r="73" spans="1:16" ht="14">
      <c r="B73" s="1654">
        <v>3</v>
      </c>
      <c r="C73" s="1971"/>
      <c r="D73" s="1344">
        <f>LK!D72</f>
        <v>40</v>
      </c>
      <c r="E73" s="1678">
        <v>40</v>
      </c>
      <c r="F73" s="1678">
        <v>40</v>
      </c>
      <c r="G73" s="1678">
        <v>40</v>
      </c>
      <c r="H73" s="1678">
        <v>40</v>
      </c>
      <c r="I73" s="1678">
        <v>40</v>
      </c>
      <c r="J73" s="1678">
        <v>40</v>
      </c>
      <c r="K73" s="1315">
        <f t="shared" ref="K73:K74" si="5">AVERAGE(E73:J73)</f>
        <v>40</v>
      </c>
      <c r="L73" s="1315">
        <f>K73+'Input Data ECG Sim'!S261</f>
        <v>40.000100000000003</v>
      </c>
      <c r="M73" s="1316">
        <f t="shared" si="4"/>
        <v>1.0000000000000001E-5</v>
      </c>
      <c r="O73" s="1314"/>
      <c r="P73" s="1314"/>
    </row>
    <row r="74" spans="1:16" ht="14">
      <c r="B74" s="1654">
        <v>4</v>
      </c>
      <c r="C74" s="1972"/>
      <c r="D74" s="1344">
        <f>LK!D73</f>
        <v>60</v>
      </c>
      <c r="E74" s="1678">
        <v>60</v>
      </c>
      <c r="F74" s="1678">
        <v>60</v>
      </c>
      <c r="G74" s="1678">
        <v>60</v>
      </c>
      <c r="H74" s="1678">
        <v>60</v>
      </c>
      <c r="I74" s="1678">
        <v>60</v>
      </c>
      <c r="J74" s="1678">
        <v>60</v>
      </c>
      <c r="K74" s="1315">
        <f t="shared" si="5"/>
        <v>60</v>
      </c>
      <c r="L74" s="1315">
        <f>K74+'Input Data ECG Sim'!S264</f>
        <v>60.000100000000003</v>
      </c>
      <c r="M74" s="1316">
        <f t="shared" si="4"/>
        <v>1.0000000000000001E-5</v>
      </c>
      <c r="O74" s="1314"/>
      <c r="P74" s="1314"/>
    </row>
    <row r="75" spans="1:16" ht="12.75" customHeight="1">
      <c r="B75" s="1264"/>
      <c r="C75" s="1264"/>
      <c r="D75" s="1264"/>
      <c r="E75" s="1264"/>
      <c r="F75" s="1264"/>
      <c r="G75" s="1264"/>
      <c r="H75" s="1264"/>
      <c r="I75" s="1264"/>
      <c r="J75" s="1264"/>
      <c r="K75" s="1264"/>
      <c r="L75" s="1264"/>
      <c r="M75" s="1264"/>
    </row>
    <row r="76" spans="1:16" ht="13.5" customHeight="1">
      <c r="A76" s="1321" t="str">
        <f>LK!A75</f>
        <v>V.</v>
      </c>
      <c r="B76" s="1321" t="s">
        <v>308</v>
      </c>
      <c r="D76" s="1322"/>
      <c r="E76" s="1323"/>
      <c r="F76" s="1323"/>
      <c r="G76" s="1323"/>
      <c r="H76" s="1323"/>
      <c r="I76" s="1323"/>
      <c r="J76" s="1324"/>
      <c r="K76" s="1324"/>
      <c r="L76" s="1324"/>
      <c r="M76" s="1324"/>
      <c r="N76" s="1304"/>
    </row>
    <row r="77" spans="1:16" ht="13.5" customHeight="1">
      <c r="A77" s="1321"/>
      <c r="B77" s="1325" t="s">
        <v>309</v>
      </c>
      <c r="D77" s="1322"/>
      <c r="E77" s="1323"/>
      <c r="F77" s="1323"/>
      <c r="G77" s="1323"/>
      <c r="H77" s="1323"/>
      <c r="I77" s="1323"/>
      <c r="J77" s="1324"/>
      <c r="K77" s="1324"/>
      <c r="L77" s="1324"/>
      <c r="M77" s="1324"/>
      <c r="N77" s="1304"/>
    </row>
    <row r="78" spans="1:16" ht="13.5" customHeight="1">
      <c r="A78" s="1321"/>
      <c r="B78" s="1325" t="s">
        <v>310</v>
      </c>
      <c r="D78" s="1322"/>
      <c r="E78" s="1323"/>
      <c r="F78" s="1323"/>
      <c r="G78" s="1323"/>
      <c r="H78" s="1323"/>
      <c r="I78" s="1323"/>
      <c r="J78" s="1324"/>
      <c r="K78" s="1324"/>
      <c r="L78" s="1324"/>
      <c r="M78" s="1324"/>
      <c r="N78" s="1304"/>
    </row>
    <row r="79" spans="1:16" ht="13.5" customHeight="1">
      <c r="B79" s="1325" t="s">
        <v>311</v>
      </c>
      <c r="D79" s="1322"/>
      <c r="E79" s="1323"/>
      <c r="F79" s="1323"/>
      <c r="G79" s="1323"/>
      <c r="H79" s="1323"/>
      <c r="I79" s="1323"/>
      <c r="J79" s="1324"/>
      <c r="K79" s="1324"/>
      <c r="L79" s="1324"/>
      <c r="M79" s="1324"/>
      <c r="N79" s="1304"/>
    </row>
    <row r="80" spans="1:16" ht="13.5" customHeight="1">
      <c r="B80" s="1921" t="s">
        <v>312</v>
      </c>
      <c r="C80" s="1921"/>
      <c r="D80" s="1921"/>
      <c r="E80" s="1921"/>
      <c r="F80" s="1921"/>
      <c r="G80" s="1921"/>
      <c r="H80" s="1921"/>
      <c r="I80" s="1921"/>
      <c r="J80" s="1921"/>
      <c r="K80" s="1921"/>
      <c r="L80" s="1921"/>
      <c r="M80" s="1324"/>
      <c r="N80" s="1304"/>
    </row>
    <row r="81" spans="1:14" ht="14">
      <c r="B81" s="1683" t="str">
        <f>IF(F16="-","-",ESA!O179)</f>
        <v>Hasil pengukuran keselamatan listrik tertelusur ke Satuan Internasional ( SI ) melalui PT. Kaliman</v>
      </c>
      <c r="D81" s="1265"/>
      <c r="E81" s="1265"/>
      <c r="F81" s="1265"/>
      <c r="G81" s="1265"/>
      <c r="H81" s="1265"/>
      <c r="I81" s="1265"/>
      <c r="J81" s="1265"/>
      <c r="K81" s="1324"/>
      <c r="L81" s="1324"/>
      <c r="M81" s="1324"/>
      <c r="N81" s="1326"/>
    </row>
    <row r="82" spans="1:14" ht="14">
      <c r="B82" s="1684" t="str">
        <f>'Input Data ECG Sim'!O314</f>
        <v>Hasil kalibrasi Heart Rate tertelusur ke Satuan Internasional ( SI ) melalui Caltek PTE LTD</v>
      </c>
      <c r="D82" s="1265"/>
      <c r="E82" s="1265"/>
      <c r="F82" s="1265"/>
      <c r="G82" s="1265"/>
      <c r="H82" s="1265"/>
      <c r="I82" s="1265"/>
      <c r="J82" s="1265"/>
      <c r="K82" s="1324"/>
      <c r="L82" s="1324"/>
      <c r="M82" s="1324"/>
      <c r="N82" s="1326"/>
    </row>
    <row r="83" spans="1:14" ht="14">
      <c r="B83" s="1922" t="str">
        <f>IF(B80="-","-",'Input Data ECG Sim'!O315)</f>
        <v>Hasil kalibrasi Respirasi tertelusur ke Satuan Internasional ( SI ) melalui Caltek PTE LTD</v>
      </c>
      <c r="C83" s="1922"/>
      <c r="D83" s="1922"/>
      <c r="E83" s="1922"/>
      <c r="F83" s="1922"/>
      <c r="G83" s="1922"/>
      <c r="H83" s="1922"/>
      <c r="I83" s="1922"/>
      <c r="J83" s="1922"/>
      <c r="K83" s="1922"/>
      <c r="L83" s="1922"/>
      <c r="M83" s="1324"/>
      <c r="N83" s="1326"/>
    </row>
    <row r="84" spans="1:14" ht="14">
      <c r="B84" s="1684" t="str">
        <f>'Input Data Sertifikat Defib'!N130</f>
        <v>Hasil kalibrasi Akurasi dan Energi Maksimum tertelusurke Satuan Internasional melalui CALTEK PTE LTD</v>
      </c>
      <c r="C84" s="1327"/>
      <c r="D84" s="1273"/>
      <c r="E84" s="1273"/>
      <c r="F84" s="1273"/>
      <c r="G84" s="1273"/>
      <c r="H84" s="1273"/>
      <c r="I84" s="1273"/>
      <c r="J84" s="1273"/>
      <c r="K84" s="1328"/>
      <c r="L84" s="1324"/>
      <c r="M84" s="1324"/>
      <c r="N84" s="1326"/>
    </row>
    <row r="85" spans="1:14" ht="14">
      <c r="B85" s="1684" t="str">
        <f>'DB Stopwatch (2)'!O242</f>
        <v>Hasil pengujian waktu Pengisian tertelusur ke Satuan Internasional ( SI ) melalui PT KALIMAN</v>
      </c>
      <c r="C85" s="1327"/>
      <c r="D85" s="1273"/>
      <c r="E85" s="1273"/>
      <c r="F85" s="1273"/>
      <c r="G85" s="1273"/>
      <c r="H85" s="1273"/>
      <c r="I85" s="1273"/>
      <c r="J85" s="1273"/>
      <c r="K85" s="1328"/>
      <c r="L85" s="1324"/>
      <c r="M85" s="1324"/>
      <c r="N85" s="1326"/>
    </row>
    <row r="86" spans="1:14" ht="14">
      <c r="B86" s="992" t="str">
        <f>Penyelia!AH17</f>
        <v>Tidak terdapat grounding di ruangan</v>
      </c>
      <c r="C86" s="992"/>
      <c r="D86" s="992"/>
      <c r="E86" s="992"/>
      <c r="F86" s="992"/>
      <c r="G86" s="992"/>
      <c r="H86" s="992"/>
      <c r="I86" s="992"/>
      <c r="J86" s="992"/>
      <c r="K86" s="992"/>
      <c r="L86" s="1329"/>
      <c r="M86" s="1329"/>
      <c r="N86" s="1326"/>
    </row>
    <row r="87" spans="1:14" ht="14">
      <c r="B87" s="1273"/>
      <c r="C87" s="1330"/>
      <c r="D87" s="1273"/>
      <c r="E87" s="1273"/>
      <c r="F87" s="1273"/>
      <c r="G87" s="1273"/>
      <c r="H87" s="1273"/>
      <c r="I87" s="1273"/>
      <c r="J87" s="1273"/>
      <c r="K87" s="1328"/>
      <c r="L87" s="1324"/>
      <c r="M87" s="1324"/>
      <c r="N87" s="1326"/>
    </row>
    <row r="88" spans="1:14" ht="14">
      <c r="B88" s="1268"/>
      <c r="C88" s="1330" t="s">
        <v>313</v>
      </c>
      <c r="D88" s="1265"/>
      <c r="E88" s="1265"/>
      <c r="F88" s="1265"/>
      <c r="G88" s="1265"/>
      <c r="H88" s="1265"/>
      <c r="I88" s="1265"/>
      <c r="J88" s="1265"/>
      <c r="K88" s="1324"/>
      <c r="L88" s="1324"/>
      <c r="M88" s="1324"/>
      <c r="N88" s="1326"/>
    </row>
    <row r="89" spans="1:14" ht="14">
      <c r="A89" s="1268" t="str">
        <f>LK!A81</f>
        <v>VI.</v>
      </c>
      <c r="B89" s="1268" t="s">
        <v>314</v>
      </c>
      <c r="D89" s="1265"/>
      <c r="E89" s="1264"/>
      <c r="F89" s="1264"/>
      <c r="G89" s="1264"/>
      <c r="H89" s="1264"/>
      <c r="I89" s="1264"/>
      <c r="J89" s="1264"/>
      <c r="K89" s="1264"/>
      <c r="L89" s="1264"/>
      <c r="M89" s="1264"/>
    </row>
    <row r="90" spans="1:14" ht="14">
      <c r="A90" s="1268"/>
      <c r="B90" s="1268" t="s">
        <v>315</v>
      </c>
      <c r="D90" s="1265"/>
      <c r="E90" s="1264"/>
      <c r="F90" s="1264"/>
      <c r="G90" s="1264"/>
      <c r="H90" s="1264"/>
      <c r="I90" s="1264"/>
      <c r="J90" s="1264"/>
      <c r="K90" s="1264"/>
      <c r="L90" s="1264"/>
      <c r="M90" s="1264"/>
    </row>
    <row r="91" spans="1:14" ht="14">
      <c r="A91" s="1268"/>
      <c r="B91" s="1923" t="s">
        <v>316</v>
      </c>
      <c r="C91" s="1923"/>
      <c r="D91" s="1923"/>
      <c r="E91" s="1923"/>
      <c r="F91" s="1923"/>
      <c r="G91" s="1923"/>
      <c r="H91" s="1923"/>
      <c r="I91" s="1923"/>
      <c r="J91" s="1923"/>
      <c r="K91" s="1923"/>
      <c r="L91" s="1923"/>
      <c r="M91" s="1923"/>
    </row>
    <row r="92" spans="1:14" ht="14">
      <c r="A92" s="1268"/>
      <c r="B92" s="1268" t="s">
        <v>317</v>
      </c>
      <c r="D92" s="1265"/>
      <c r="E92" s="1264"/>
      <c r="F92" s="1264"/>
      <c r="G92" s="1264"/>
      <c r="H92" s="1264"/>
      <c r="I92" s="1264"/>
      <c r="J92" s="1264"/>
      <c r="K92" s="1264"/>
      <c r="L92" s="1264"/>
      <c r="M92" s="1264"/>
    </row>
    <row r="93" spans="1:14" ht="14">
      <c r="A93" s="1268"/>
      <c r="B93" s="1923" t="s">
        <v>71</v>
      </c>
      <c r="C93" s="1923"/>
      <c r="D93" s="1923"/>
      <c r="E93" s="1923"/>
      <c r="F93" s="1923"/>
      <c r="G93" s="1923"/>
      <c r="H93" s="1923"/>
      <c r="I93" s="1923"/>
      <c r="J93" s="1923"/>
      <c r="K93" s="1923"/>
      <c r="L93" s="1923"/>
      <c r="M93" s="1923"/>
    </row>
    <row r="94" spans="1:14" ht="14">
      <c r="A94" s="1268"/>
      <c r="B94" s="1268" t="s">
        <v>318</v>
      </c>
      <c r="D94" s="1265"/>
      <c r="E94" s="1264"/>
      <c r="F94" s="1264"/>
      <c r="G94" s="1264"/>
      <c r="H94" s="1264"/>
      <c r="I94" s="1264"/>
      <c r="J94" s="1264"/>
      <c r="K94" s="1264"/>
      <c r="L94" s="1264"/>
      <c r="M94" s="1264"/>
    </row>
    <row r="95" spans="1:14" ht="14">
      <c r="B95" s="1915" t="s">
        <v>319</v>
      </c>
      <c r="C95" s="1915"/>
      <c r="D95" s="1915"/>
      <c r="E95" s="1915"/>
      <c r="F95" s="1915"/>
      <c r="G95" s="1915"/>
      <c r="H95" s="1915"/>
      <c r="I95" s="1915"/>
      <c r="J95" s="1915"/>
      <c r="K95" s="1915"/>
      <c r="L95" s="1915"/>
      <c r="M95" s="1915"/>
    </row>
    <row r="96" spans="1:14" ht="14">
      <c r="B96" s="1331" t="s">
        <v>570</v>
      </c>
      <c r="C96" s="1332"/>
      <c r="D96" s="1333"/>
      <c r="E96" s="1334"/>
      <c r="F96" s="1334"/>
      <c r="G96" s="1334"/>
      <c r="H96" s="1334"/>
      <c r="I96" s="1334"/>
      <c r="J96" s="1334"/>
      <c r="K96" s="1334"/>
      <c r="L96" s="1334"/>
      <c r="M96" s="1334"/>
    </row>
    <row r="97" spans="1:15" ht="14">
      <c r="B97" s="1915" t="s">
        <v>177</v>
      </c>
      <c r="C97" s="1915"/>
      <c r="D97" s="1915"/>
      <c r="E97" s="1915"/>
      <c r="F97" s="1915"/>
      <c r="G97" s="1915"/>
      <c r="H97" s="1915"/>
      <c r="I97" s="1915"/>
      <c r="J97" s="1915"/>
      <c r="K97" s="1915"/>
      <c r="L97" s="1915"/>
      <c r="M97" s="1915"/>
    </row>
    <row r="98" spans="1:15" ht="14">
      <c r="B98" s="1331" t="s">
        <v>571</v>
      </c>
      <c r="C98" s="1332"/>
      <c r="D98" s="1333"/>
      <c r="E98" s="1334"/>
      <c r="F98" s="1334"/>
      <c r="G98" s="1334"/>
      <c r="H98" s="1334"/>
      <c r="I98" s="1334"/>
      <c r="J98" s="1334"/>
      <c r="K98" s="1334"/>
      <c r="L98" s="1334"/>
      <c r="M98" s="1334"/>
    </row>
    <row r="99" spans="1:15" ht="14">
      <c r="B99" s="1915" t="s">
        <v>120</v>
      </c>
      <c r="C99" s="1915"/>
      <c r="D99" s="1915"/>
      <c r="E99" s="1915"/>
      <c r="F99" s="1915"/>
      <c r="G99" s="1915"/>
      <c r="H99" s="1915"/>
      <c r="I99" s="1915"/>
      <c r="J99" s="1915"/>
      <c r="K99" s="1915"/>
      <c r="L99" s="1915"/>
      <c r="M99" s="1915"/>
    </row>
    <row r="100" spans="1:15" ht="6.75" customHeight="1">
      <c r="B100" s="1265"/>
      <c r="C100" s="1335"/>
      <c r="D100" s="1335"/>
      <c r="E100" s="1335"/>
      <c r="F100" s="1335"/>
      <c r="G100" s="1335"/>
      <c r="H100" s="1335"/>
      <c r="I100" s="1335"/>
      <c r="J100" s="1335"/>
      <c r="K100" s="1335"/>
      <c r="L100" s="1264"/>
      <c r="M100" s="1264"/>
    </row>
    <row r="101" spans="1:15" ht="12.75" customHeight="1">
      <c r="A101" s="1268" t="str">
        <f>LK!A96</f>
        <v>VII.</v>
      </c>
      <c r="B101" s="1287" t="s">
        <v>320</v>
      </c>
      <c r="D101" s="1265"/>
      <c r="E101" s="1264"/>
      <c r="F101" s="1264"/>
      <c r="G101" s="1264"/>
      <c r="H101" s="1264"/>
      <c r="I101" s="1264"/>
      <c r="J101" s="1264"/>
      <c r="K101" s="1264"/>
      <c r="L101" s="1264"/>
      <c r="M101" s="1264"/>
    </row>
    <row r="102" spans="1:15" s="1336" customFormat="1" ht="33" customHeight="1">
      <c r="B102" s="1969" t="str">
        <f>LOOKUP(H2,'kata-kata'!B3:B4,'kata-kata'!C3:C4)</f>
        <v>Alat yang dikalibrasi dalam batas toleransi dan dinyatakan LAIK PAKAI, dimana hasil atau skor akhir sama dengan atau melampaui 70 % berdasarkan Keputusan Direktur Jenderal Pelayanan Kesehatan No : HK.02.02/V/0412/2020</v>
      </c>
      <c r="C102" s="1969"/>
      <c r="D102" s="1969"/>
      <c r="E102" s="1969"/>
      <c r="F102" s="1969"/>
      <c r="G102" s="1969"/>
      <c r="H102" s="1969"/>
      <c r="I102" s="1969"/>
      <c r="J102" s="1969"/>
      <c r="K102" s="1969"/>
      <c r="L102" s="1969"/>
      <c r="M102" s="1969"/>
      <c r="O102" s="1261"/>
    </row>
    <row r="103" spans="1:15" ht="3" customHeight="1">
      <c r="B103" s="1268"/>
      <c r="C103" s="1287"/>
      <c r="D103" s="1265"/>
      <c r="E103" s="1264"/>
      <c r="F103" s="1264"/>
      <c r="G103" s="1264"/>
      <c r="H103" s="1264"/>
      <c r="I103" s="1264"/>
      <c r="J103" s="1264"/>
      <c r="K103" s="1264"/>
      <c r="L103" s="1264"/>
      <c r="M103" s="1264"/>
    </row>
    <row r="104" spans="1:15" ht="14">
      <c r="A104" s="1268" t="s">
        <v>321</v>
      </c>
      <c r="B104" s="1268" t="s">
        <v>280</v>
      </c>
      <c r="D104" s="1268"/>
      <c r="E104" s="1264"/>
      <c r="F104" s="1264"/>
      <c r="G104" s="1264"/>
      <c r="H104" s="1264"/>
      <c r="I104" s="1264"/>
      <c r="J104" s="1264"/>
      <c r="K104" s="1264"/>
      <c r="L104" s="1264"/>
      <c r="M104" s="1264"/>
      <c r="O104" s="1336"/>
    </row>
    <row r="105" spans="1:15" ht="14">
      <c r="B105" s="1952" t="s">
        <v>322</v>
      </c>
      <c r="C105" s="1952"/>
      <c r="D105" s="1952"/>
      <c r="E105" s="1952"/>
      <c r="F105" s="1264"/>
      <c r="G105" s="1264"/>
      <c r="H105" s="1264"/>
      <c r="I105" s="1264"/>
      <c r="J105" s="1264"/>
      <c r="K105" s="1264"/>
      <c r="L105" s="1264"/>
      <c r="M105" s="1264"/>
    </row>
    <row r="106" spans="1:15" ht="6" customHeight="1">
      <c r="B106" s="1265"/>
      <c r="C106" s="1337"/>
      <c r="D106" s="1265"/>
      <c r="E106" s="1264"/>
      <c r="F106" s="1264"/>
      <c r="G106" s="1264"/>
      <c r="H106" s="1264"/>
      <c r="I106" s="1264"/>
      <c r="J106" s="1264"/>
      <c r="K106" s="1264"/>
      <c r="L106" s="1264"/>
      <c r="M106" s="1264"/>
    </row>
    <row r="107" spans="1:15" ht="14">
      <c r="A107" s="1268" t="s">
        <v>323</v>
      </c>
      <c r="B107" s="1321" t="s">
        <v>324</v>
      </c>
      <c r="D107" s="1265"/>
      <c r="E107" s="1264"/>
      <c r="F107" s="1264"/>
      <c r="G107" s="1264"/>
      <c r="H107" s="1264"/>
      <c r="I107" s="1264"/>
      <c r="J107" s="1264"/>
      <c r="K107" s="1264"/>
      <c r="L107" s="1264"/>
      <c r="M107" s="1267"/>
    </row>
    <row r="108" spans="1:15" ht="14">
      <c r="B108" s="1338" t="s">
        <v>325</v>
      </c>
      <c r="C108" s="1338"/>
      <c r="D108" s="1265"/>
      <c r="E108" s="1264"/>
      <c r="F108" s="1264"/>
      <c r="G108" s="1264"/>
      <c r="H108" s="1264"/>
      <c r="I108" s="1264"/>
      <c r="J108" s="1264"/>
      <c r="K108" s="1264"/>
      <c r="L108" s="1264"/>
      <c r="M108" s="1267"/>
    </row>
    <row r="109" spans="1:15">
      <c r="C109" s="1261" t="s">
        <v>146</v>
      </c>
    </row>
    <row r="112" spans="1:15" ht="14.5">
      <c r="L112" s="1685"/>
    </row>
    <row r="113" spans="3:3">
      <c r="C113" s="332"/>
    </row>
    <row r="114" spans="3:3">
      <c r="C114" s="332"/>
    </row>
    <row r="115" spans="3:3">
      <c r="C115" s="332"/>
    </row>
    <row r="116" spans="3:3">
      <c r="C116" s="332"/>
    </row>
    <row r="117" spans="3:3">
      <c r="C117" s="332"/>
    </row>
    <row r="118" spans="3:3">
      <c r="C118" s="332"/>
    </row>
    <row r="119" spans="3:3">
      <c r="C119" s="332"/>
    </row>
    <row r="120" spans="3:3">
      <c r="C120" s="332"/>
    </row>
    <row r="121" spans="3:3">
      <c r="C121" s="332"/>
    </row>
    <row r="122" spans="3:3">
      <c r="C122" s="332"/>
    </row>
    <row r="123" spans="3:3">
      <c r="C123" s="332"/>
    </row>
    <row r="124" spans="3:3">
      <c r="C124" s="332"/>
    </row>
    <row r="125" spans="3:3">
      <c r="C125" s="332"/>
    </row>
    <row r="126" spans="3:3">
      <c r="C126" s="332"/>
    </row>
    <row r="127" spans="3:3">
      <c r="C127" s="332"/>
    </row>
    <row r="128" spans="3:3">
      <c r="C128" s="332"/>
    </row>
    <row r="129" spans="3:3">
      <c r="C129" s="332"/>
    </row>
    <row r="130" spans="3:3">
      <c r="C130" s="1339"/>
    </row>
    <row r="132" spans="3:3">
      <c r="C132" s="1339"/>
    </row>
    <row r="133" spans="3:3">
      <c r="C133" s="1339"/>
    </row>
    <row r="134" spans="3:3">
      <c r="C134" s="1339"/>
    </row>
    <row r="135" spans="3:3">
      <c r="C135" s="1339"/>
    </row>
    <row r="136" spans="3:3">
      <c r="C136" s="1339"/>
    </row>
    <row r="137" spans="3:3">
      <c r="C137" s="1339"/>
    </row>
    <row r="138" spans="3:3">
      <c r="C138" s="1339"/>
    </row>
    <row r="139" spans="3:3">
      <c r="C139" s="1339"/>
    </row>
    <row r="140" spans="3:3">
      <c r="C140" s="332"/>
    </row>
    <row r="141" spans="3:3">
      <c r="C141" s="332"/>
    </row>
    <row r="142" spans="3:3">
      <c r="C142" s="332"/>
    </row>
    <row r="143" spans="3:3">
      <c r="C143" s="332"/>
    </row>
    <row r="144" spans="3:3">
      <c r="C144" s="332"/>
    </row>
    <row r="145" spans="3:3">
      <c r="C145" s="332"/>
    </row>
    <row r="146" spans="3:3">
      <c r="C146" s="332"/>
    </row>
    <row r="147" spans="3:3">
      <c r="C147" s="332"/>
    </row>
    <row r="148" spans="3:3">
      <c r="C148" s="332"/>
    </row>
    <row r="149" spans="3:3">
      <c r="C149" s="332"/>
    </row>
    <row r="150" spans="3:3">
      <c r="C150" s="332"/>
    </row>
    <row r="151" spans="3:3">
      <c r="C151" s="332"/>
    </row>
    <row r="152" spans="3:3">
      <c r="C152" s="332"/>
    </row>
    <row r="153" spans="3:3">
      <c r="C153" s="1339"/>
    </row>
    <row r="155" spans="3:3">
      <c r="C155" s="1339"/>
    </row>
    <row r="156" spans="3:3">
      <c r="C156" s="1339"/>
    </row>
    <row r="157" spans="3:3">
      <c r="C157" s="332"/>
    </row>
    <row r="158" spans="3:3">
      <c r="C158" s="332"/>
    </row>
    <row r="159" spans="3:3">
      <c r="C159" s="332"/>
    </row>
    <row r="160" spans="3:3">
      <c r="C160" s="332"/>
    </row>
    <row r="161" spans="3:3">
      <c r="C161" s="332"/>
    </row>
    <row r="162" spans="3:3">
      <c r="C162" s="332"/>
    </row>
    <row r="163" spans="3:3">
      <c r="C163" s="332"/>
    </row>
    <row r="164" spans="3:3">
      <c r="C164" s="332"/>
    </row>
    <row r="165" spans="3:3">
      <c r="C165" s="332"/>
    </row>
    <row r="166" spans="3:3">
      <c r="C166" s="332"/>
    </row>
    <row r="167" spans="3:3">
      <c r="C167" s="332"/>
    </row>
    <row r="168" spans="3:3">
      <c r="C168" s="332"/>
    </row>
    <row r="169" spans="3:3">
      <c r="C169" s="332"/>
    </row>
    <row r="170" spans="3:3">
      <c r="C170" s="1339"/>
    </row>
    <row r="172" spans="3:3" ht="14">
      <c r="C172" s="1340"/>
    </row>
    <row r="173" spans="3:3" ht="14">
      <c r="C173" s="1340"/>
    </row>
    <row r="174" spans="3:3" ht="14">
      <c r="C174" s="1340"/>
    </row>
    <row r="175" spans="3:3" ht="14">
      <c r="C175" s="1340"/>
    </row>
    <row r="176" spans="3:3" ht="14">
      <c r="C176" s="1340"/>
    </row>
    <row r="177" spans="3:3" ht="14">
      <c r="C177" s="1340"/>
    </row>
    <row r="178" spans="3:3" ht="14">
      <c r="C178" s="1340"/>
    </row>
    <row r="179" spans="3:3" ht="14">
      <c r="C179" s="1340"/>
    </row>
    <row r="180" spans="3:3" ht="14">
      <c r="C180" s="1340"/>
    </row>
    <row r="181" spans="3:3" ht="14.5">
      <c r="C181" s="1685"/>
    </row>
    <row r="182" spans="3:3" ht="14.5">
      <c r="C182" s="1685"/>
    </row>
    <row r="183" spans="3:3" ht="14">
      <c r="C183" s="1341"/>
    </row>
    <row r="188" spans="3:3">
      <c r="C188" s="1342"/>
    </row>
    <row r="189" spans="3:3">
      <c r="C189" s="1342"/>
    </row>
    <row r="190" spans="3:3">
      <c r="C190" s="1342"/>
    </row>
    <row r="191" spans="3:3">
      <c r="C191" s="1342"/>
    </row>
    <row r="192" spans="3:3">
      <c r="C192" s="1342"/>
    </row>
    <row r="193" spans="3:3">
      <c r="C193" s="1342"/>
    </row>
    <row r="194" spans="3:3">
      <c r="C194" s="1342"/>
    </row>
    <row r="195" spans="3:3">
      <c r="C195" s="1342"/>
    </row>
    <row r="196" spans="3:3">
      <c r="C196" s="1342"/>
    </row>
    <row r="197" spans="3:3">
      <c r="C197" s="1342"/>
    </row>
    <row r="198" spans="3:3">
      <c r="C198" s="1342"/>
    </row>
    <row r="199" spans="3:3">
      <c r="C199" s="1343"/>
    </row>
    <row r="200" spans="3:3" ht="14.5">
      <c r="C200" s="1686"/>
    </row>
    <row r="201" spans="3:3" ht="14.5">
      <c r="C201" s="1686"/>
    </row>
    <row r="202" spans="3:3" ht="14.5">
      <c r="C202" s="1686"/>
    </row>
  </sheetData>
  <sheetProtection insertRows="0" selectLockedCells="1"/>
  <mergeCells count="78">
    <mergeCell ref="B48:B49"/>
    <mergeCell ref="B56:B58"/>
    <mergeCell ref="C28:I28"/>
    <mergeCell ref="L46:L47"/>
    <mergeCell ref="K48:K49"/>
    <mergeCell ref="L48:L49"/>
    <mergeCell ref="G52:I52"/>
    <mergeCell ref="B33:B34"/>
    <mergeCell ref="C33:C34"/>
    <mergeCell ref="D33:D34"/>
    <mergeCell ref="C35:C43"/>
    <mergeCell ref="B46:B47"/>
    <mergeCell ref="C46:C47"/>
    <mergeCell ref="D46:D47"/>
    <mergeCell ref="K56:K58"/>
    <mergeCell ref="B102:M102"/>
    <mergeCell ref="B97:M97"/>
    <mergeCell ref="B99:M99"/>
    <mergeCell ref="E68:J68"/>
    <mergeCell ref="K68:K70"/>
    <mergeCell ref="L68:L70"/>
    <mergeCell ref="M68:M70"/>
    <mergeCell ref="D68:D70"/>
    <mergeCell ref="C71:C74"/>
    <mergeCell ref="O26:O27"/>
    <mergeCell ref="B105:E105"/>
    <mergeCell ref="C59:C62"/>
    <mergeCell ref="C26:I26"/>
    <mergeCell ref="C27:I27"/>
    <mergeCell ref="E33:G33"/>
    <mergeCell ref="H33:H34"/>
    <mergeCell ref="E46:I47"/>
    <mergeCell ref="E52:F52"/>
    <mergeCell ref="E53:F53"/>
    <mergeCell ref="C48:C49"/>
    <mergeCell ref="D48:D49"/>
    <mergeCell ref="C52:D52"/>
    <mergeCell ref="C53:D53"/>
    <mergeCell ref="F57:F58"/>
    <mergeCell ref="G57:G58"/>
    <mergeCell ref="B23:B24"/>
    <mergeCell ref="F9:J9"/>
    <mergeCell ref="H13:I13"/>
    <mergeCell ref="H14:I14"/>
    <mergeCell ref="H15:I15"/>
    <mergeCell ref="J23:K24"/>
    <mergeCell ref="H16:I16"/>
    <mergeCell ref="L23:M24"/>
    <mergeCell ref="C56:C58"/>
    <mergeCell ref="D56:D58"/>
    <mergeCell ref="M56:M58"/>
    <mergeCell ref="I57:I58"/>
    <mergeCell ref="E56:J56"/>
    <mergeCell ref="E57:E58"/>
    <mergeCell ref="J48:J49"/>
    <mergeCell ref="I33:I34"/>
    <mergeCell ref="K46:K47"/>
    <mergeCell ref="C23:I24"/>
    <mergeCell ref="J57:J58"/>
    <mergeCell ref="J46:J47"/>
    <mergeCell ref="H57:H58"/>
    <mergeCell ref="G53:I53"/>
    <mergeCell ref="A1:M1"/>
    <mergeCell ref="B95:M95"/>
    <mergeCell ref="E69:E70"/>
    <mergeCell ref="F69:F70"/>
    <mergeCell ref="G69:G70"/>
    <mergeCell ref="H69:H70"/>
    <mergeCell ref="I69:I70"/>
    <mergeCell ref="J69:J70"/>
    <mergeCell ref="B68:B70"/>
    <mergeCell ref="C68:C70"/>
    <mergeCell ref="B80:L80"/>
    <mergeCell ref="B83:L83"/>
    <mergeCell ref="B93:M93"/>
    <mergeCell ref="J33:J34"/>
    <mergeCell ref="B91:M91"/>
    <mergeCell ref="L56:L58"/>
  </mergeCells>
  <dataValidations count="3">
    <dataValidation allowBlank="1" showInputMessage="1" sqref="I2:M2 F9:J9 H2 A2:C2 L86:M86" xr:uid="{00000000-0002-0000-0100-000000000000}"/>
    <dataValidation type="list" allowBlank="1" showInputMessage="1" showErrorMessage="1" sqref="O26:O27" xr:uid="{00000000-0002-0000-0100-000001000000}">
      <formula1>#REF!</formula1>
    </dataValidation>
    <dataValidation type="list" allowBlank="1" showInputMessage="1" showErrorMessage="1" sqref="C28:I28" xr:uid="{5F0FE462-A2A5-4EE6-9C93-15FAFD42A8F8}">
      <formula1>#REF!</formula1>
    </dataValidation>
  </dataValidations>
  <printOptions horizontalCentered="1"/>
  <pageMargins left="0.35433070866141736" right="0.31496062992125984" top="0.47244094488188981" bottom="7.874015748031496E-2" header="0.23622047244094491" footer="0.27559055118110237"/>
  <pageSetup paperSize="9" scale="61" orientation="portrait" horizontalDpi="4294967294" verticalDpi="4294967294" r:id="rId1"/>
  <headerFooter>
    <oddHeader>&amp;R&amp;8KL.ID.012-18 / REV : 0</odd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xr:uid="{00000000-0002-0000-0100-000008000000}">
          <x14:formula1>
            <xm:f>'kata-kata'!$K$9:$K$10</xm:f>
          </x14:formula1>
          <xm:sqref>F19:F20</xm:sqref>
        </x14:dataValidation>
        <x14:dataValidation type="list" allowBlank="1" showInputMessage="1" showErrorMessage="1" xr:uid="{00000000-0002-0000-0100-00000C000000}">
          <x14:formula1>
            <xm:f>'kata-kata'!$J$19:$J$20</xm:f>
          </x14:formula1>
          <xm:sqref>C59:C62</xm:sqref>
        </x14:dataValidation>
        <x14:dataValidation type="list" allowBlank="1" showInputMessage="1" showErrorMessage="1" xr:uid="{00000000-0002-0000-0100-00000D000000}">
          <x14:formula1>
            <xm:f>'kata-kata'!$J$25:$J$26</xm:f>
          </x14:formula1>
          <xm:sqref>P79</xm:sqref>
        </x14:dataValidation>
        <x14:dataValidation type="list" allowBlank="1" showInputMessage="1" showErrorMessage="1" xr:uid="{00000000-0002-0000-0100-00000F000000}">
          <x14:formula1>
            <xm:f>'DB Suhu'!$A$249:$A$260</xm:f>
          </x14:formula1>
          <xm:sqref>B99:M99</xm:sqref>
        </x14:dataValidation>
        <x14:dataValidation type="list" allowBlank="1" showInputMessage="1" xr:uid="{00000000-0002-0000-0100-00000B000000}">
          <x14:formula1>
            <xm:f>'kata-kata'!$B$37:$B$54</xm:f>
          </x14:formula1>
          <xm:sqref>B105</xm:sqref>
        </x14:dataValidation>
        <x14:dataValidation type="list" allowBlank="1" showInputMessage="1" showErrorMessage="1" xr:uid="{42B2A496-05AB-41BA-AF27-C33E4529A34C}">
          <x14:formula1>
            <xm:f>'DB Stopwatch (2)'!$A$226:$A$241</xm:f>
          </x14:formula1>
          <xm:sqref>B93:M93</xm:sqref>
        </x14:dataValidation>
        <x14:dataValidation type="list" allowBlank="1" showInputMessage="1" showErrorMessage="1" xr:uid="{2EF339A8-F804-449C-8EC3-591511C76BDB}">
          <x14:formula1>
            <xm:f>'Input Data Sertifikat Defib'!$B$121:$B$129</xm:f>
          </x14:formula1>
          <xm:sqref>B91</xm:sqref>
        </x14:dataValidation>
        <x14:dataValidation type="list" allowBlank="1" showInputMessage="1" showErrorMessage="1" xr:uid="{00000000-0002-0000-0100-000003000000}">
          <x14:formula1>
            <xm:f>'Input Data ECG Sim'!$A$289:$A$312</xm:f>
          </x14:formula1>
          <xm:sqref>B95:M95</xm:sqref>
        </x14:dataValidation>
        <x14:dataValidation type="list" allowBlank="1" showInputMessage="1" showErrorMessage="1" xr:uid="{7D790E94-285F-4385-ACC5-42AA4CBE7699}">
          <x14:formula1>
            <xm:f>'Input Data ECG Sim'!$A$317:$A$318</xm:f>
          </x14:formula1>
          <xm:sqref>B80</xm:sqref>
        </x14:dataValidation>
        <x14:dataValidation type="list" allowBlank="1" showInputMessage="1" showErrorMessage="1" xr:uid="{D01A8521-3897-4994-A25D-D313FBDF8D1E}">
          <x14:formula1>
            <xm:f>ESA!$A$167:$A$178</xm:f>
          </x14:formula1>
          <xm:sqref>B97:M97</xm:sqref>
        </x14:dataValidation>
        <x14:dataValidation type="list" allowBlank="1" showInputMessage="1" xr:uid="{00000000-0002-0000-0100-000006000000}">
          <x14:formula1>
            <xm:f>'kata-kata'!$I$45:$I$46</xm:f>
          </x14:formula1>
          <xm:sqref>C26:I26</xm:sqref>
        </x14:dataValidation>
        <x14:dataValidation type="list" allowBlank="1" showInputMessage="1" xr:uid="{00000000-0002-0000-0100-000007000000}">
          <x14:formula1>
            <xm:f>'kata-kata'!$I$47:$I$48</xm:f>
          </x14:formula1>
          <xm:sqref>C27:I27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AD393"/>
  <sheetViews>
    <sheetView zoomScale="69" zoomScaleNormal="69" workbookViewId="0">
      <selection activeCell="L18" sqref="L18"/>
    </sheetView>
  </sheetViews>
  <sheetFormatPr defaultColWidth="9.1796875" defaultRowHeight="12.5"/>
  <cols>
    <col min="1" max="1" width="17.7265625" style="361" customWidth="1"/>
    <col min="2" max="2" width="13" style="361" customWidth="1"/>
    <col min="3" max="3" width="9.1796875" style="361"/>
    <col min="4" max="4" width="7" style="361" customWidth="1"/>
    <col min="5" max="5" width="9.1796875" style="361"/>
    <col min="6" max="6" width="13.26953125" style="361" customWidth="1"/>
    <col min="7" max="7" width="5.1796875" style="361" customWidth="1"/>
    <col min="8" max="8" width="2.54296875" style="361" customWidth="1"/>
    <col min="9" max="9" width="18.7265625" style="361" customWidth="1"/>
    <col min="10" max="14" width="9.1796875" style="361"/>
    <col min="15" max="15" width="3.1796875" style="361" customWidth="1"/>
    <col min="16" max="16" width="2.81640625" style="361" customWidth="1"/>
    <col min="17" max="17" width="18.54296875" style="361" customWidth="1"/>
    <col min="18" max="16384" width="9.1796875" style="361"/>
  </cols>
  <sheetData>
    <row r="1" spans="1:30" ht="12.75" customHeight="1">
      <c r="A1" s="951" t="s">
        <v>329</v>
      </c>
      <c r="B1" s="951"/>
      <c r="D1" s="951"/>
      <c r="E1" s="951"/>
      <c r="F1" s="951"/>
    </row>
    <row r="2" spans="1:30" ht="12.75" customHeight="1">
      <c r="A2" s="951"/>
      <c r="B2" s="951"/>
      <c r="D2" s="951"/>
      <c r="E2" s="951"/>
      <c r="F2" s="951"/>
    </row>
    <row r="3" spans="1:30" ht="12.75" customHeight="1">
      <c r="A3" s="951"/>
      <c r="B3" s="951"/>
      <c r="D3" s="951"/>
      <c r="E3" s="951"/>
      <c r="F3" s="951"/>
    </row>
    <row r="4" spans="1:30" ht="15.75" customHeight="1">
      <c r="A4" s="951"/>
      <c r="B4" s="951"/>
      <c r="D4" s="951"/>
      <c r="E4" s="951"/>
      <c r="F4" s="951"/>
    </row>
    <row r="5" spans="1:30" ht="35">
      <c r="A5" s="2001" t="s">
        <v>330</v>
      </c>
      <c r="B5" s="2001"/>
      <c r="C5" s="2001"/>
      <c r="D5" s="2001"/>
      <c r="E5" s="2001"/>
      <c r="F5" s="2001"/>
      <c r="G5" s="964"/>
      <c r="H5" s="964"/>
      <c r="I5" s="2000" t="s">
        <v>331</v>
      </c>
      <c r="J5" s="2000"/>
      <c r="K5" s="2000"/>
      <c r="L5" s="2000"/>
      <c r="M5" s="2000"/>
      <c r="N5" s="2000"/>
      <c r="O5" s="964"/>
      <c r="P5" s="964"/>
      <c r="Q5" s="2000" t="s">
        <v>332</v>
      </c>
      <c r="R5" s="2000"/>
      <c r="S5" s="2000"/>
      <c r="T5" s="2000"/>
      <c r="U5" s="2000"/>
      <c r="V5" s="2000"/>
      <c r="W5" s="362"/>
    </row>
    <row r="6" spans="1:30" ht="22.5" customHeight="1">
      <c r="A6" s="1996" t="s">
        <v>333</v>
      </c>
      <c r="B6" s="1996"/>
      <c r="C6" s="1996"/>
      <c r="D6" s="1996"/>
      <c r="E6" s="1984" t="s">
        <v>2</v>
      </c>
      <c r="F6" s="1985" t="s">
        <v>26</v>
      </c>
      <c r="G6" s="964"/>
      <c r="H6" s="966" t="s">
        <v>334</v>
      </c>
      <c r="I6" s="1996" t="s">
        <v>333</v>
      </c>
      <c r="J6" s="1996"/>
      <c r="K6" s="1996"/>
      <c r="L6" s="1996"/>
      <c r="M6" s="1984" t="s">
        <v>2</v>
      </c>
      <c r="N6" s="1985" t="s">
        <v>26</v>
      </c>
      <c r="O6" s="964"/>
      <c r="P6" s="966" t="s">
        <v>334</v>
      </c>
      <c r="Q6" s="1996" t="s">
        <v>333</v>
      </c>
      <c r="R6" s="1996"/>
      <c r="S6" s="1996"/>
      <c r="T6" s="1996"/>
      <c r="U6" s="1984" t="s">
        <v>2</v>
      </c>
      <c r="V6" s="1985" t="s">
        <v>26</v>
      </c>
      <c r="X6" s="363" t="s">
        <v>334</v>
      </c>
    </row>
    <row r="7" spans="1:30" ht="13">
      <c r="A7" s="967" t="s">
        <v>335</v>
      </c>
      <c r="B7" s="1984" t="s">
        <v>7</v>
      </c>
      <c r="C7" s="1984"/>
      <c r="D7" s="1984"/>
      <c r="E7" s="1984"/>
      <c r="F7" s="1985"/>
      <c r="G7" s="964"/>
      <c r="H7" s="964"/>
      <c r="I7" s="967" t="s">
        <v>335</v>
      </c>
      <c r="J7" s="1984" t="s">
        <v>7</v>
      </c>
      <c r="K7" s="1984"/>
      <c r="L7" s="1984"/>
      <c r="M7" s="1984"/>
      <c r="N7" s="1985"/>
      <c r="O7" s="964"/>
      <c r="P7" s="964"/>
      <c r="Q7" s="967" t="s">
        <v>335</v>
      </c>
      <c r="R7" s="1984" t="s">
        <v>7</v>
      </c>
      <c r="S7" s="1984"/>
      <c r="T7" s="1984"/>
      <c r="U7" s="1984"/>
      <c r="V7" s="1985"/>
    </row>
    <row r="8" spans="1:30" ht="14">
      <c r="A8" s="954" t="s">
        <v>336</v>
      </c>
      <c r="B8" s="968">
        <v>2016</v>
      </c>
      <c r="C8" s="968">
        <v>2016</v>
      </c>
      <c r="D8" s="1649">
        <v>2018</v>
      </c>
      <c r="E8" s="1984"/>
      <c r="F8" s="1985"/>
      <c r="G8" s="964"/>
      <c r="H8" s="964"/>
      <c r="I8" s="954" t="s">
        <v>336</v>
      </c>
      <c r="J8" s="967">
        <v>2017</v>
      </c>
      <c r="K8" s="967">
        <v>2017</v>
      </c>
      <c r="L8" s="1649">
        <v>2018</v>
      </c>
      <c r="M8" s="1984"/>
      <c r="N8" s="1985"/>
      <c r="O8" s="964"/>
      <c r="P8" s="964"/>
      <c r="Q8" s="954" t="s">
        <v>336</v>
      </c>
      <c r="R8" s="967">
        <v>2015</v>
      </c>
      <c r="S8" s="967">
        <v>2015</v>
      </c>
      <c r="T8" s="967">
        <v>2016</v>
      </c>
      <c r="U8" s="1984"/>
      <c r="V8" s="1985"/>
    </row>
    <row r="9" spans="1:30">
      <c r="A9" s="969">
        <v>0.5</v>
      </c>
      <c r="B9" s="970">
        <v>0</v>
      </c>
      <c r="C9" s="970">
        <v>0</v>
      </c>
      <c r="D9" s="960">
        <v>1E-4</v>
      </c>
      <c r="E9" s="971">
        <f>0.5*(MAX(B9:D9)-MIN(B9:D9))</f>
        <v>5.0000000000000002E-5</v>
      </c>
      <c r="F9" s="969">
        <v>1.1999999999999999E-3</v>
      </c>
      <c r="G9" s="964"/>
      <c r="H9" s="964"/>
      <c r="I9" s="969">
        <v>0.5</v>
      </c>
      <c r="J9" s="972">
        <v>0</v>
      </c>
      <c r="K9" s="972">
        <v>0</v>
      </c>
      <c r="L9" s="960">
        <v>1E-4</v>
      </c>
      <c r="M9" s="971">
        <f>0.5*(MAX(J9:L9)-MIN(J9:L9))</f>
        <v>5.0000000000000002E-5</v>
      </c>
      <c r="N9" s="969">
        <v>1.1999999999999999E-3</v>
      </c>
      <c r="O9" s="964"/>
      <c r="P9" s="964"/>
      <c r="Q9" s="969">
        <v>0.5</v>
      </c>
      <c r="R9" s="970">
        <v>-1.6999999999999999E-3</v>
      </c>
      <c r="S9" s="970">
        <v>-1.6999999999999999E-3</v>
      </c>
      <c r="T9" s="960">
        <v>1E-4</v>
      </c>
      <c r="U9" s="971">
        <f>0.5*(MAX(R9:T9)-MIN(R9:T9))</f>
        <v>8.9999999999999998E-4</v>
      </c>
      <c r="V9" s="969">
        <v>5.4999999999999997E-3</v>
      </c>
    </row>
    <row r="10" spans="1:30">
      <c r="A10" s="969">
        <v>1</v>
      </c>
      <c r="B10" s="970">
        <v>0</v>
      </c>
      <c r="C10" s="970">
        <v>0</v>
      </c>
      <c r="D10" s="960">
        <v>1E-4</v>
      </c>
      <c r="E10" s="971">
        <f>0.5*(MAX(B10:D10)-MIN(B10:D10))</f>
        <v>5.0000000000000002E-5</v>
      </c>
      <c r="F10" s="969" t="s">
        <v>337</v>
      </c>
      <c r="G10" s="964"/>
      <c r="H10" s="964"/>
      <c r="I10" s="969">
        <v>1</v>
      </c>
      <c r="J10" s="972">
        <v>0</v>
      </c>
      <c r="K10" s="972">
        <v>0</v>
      </c>
      <c r="L10" s="960">
        <v>1E-4</v>
      </c>
      <c r="M10" s="971">
        <f>0.5*(MAX(J10:L10)-MIN(J10:L10))</f>
        <v>5.0000000000000002E-5</v>
      </c>
      <c r="N10" s="969" t="s">
        <v>337</v>
      </c>
      <c r="O10" s="964"/>
      <c r="P10" s="964"/>
      <c r="Q10" s="969">
        <v>1</v>
      </c>
      <c r="R10" s="970">
        <v>-5.0000000000000001E-4</v>
      </c>
      <c r="S10" s="970">
        <v>-5.0000000000000001E-4</v>
      </c>
      <c r="T10" s="960">
        <v>1E-4</v>
      </c>
      <c r="U10" s="971">
        <f>0.5*(MAX(R10:T10)-MIN(R10:T10))</f>
        <v>3.0000000000000003E-4</v>
      </c>
      <c r="V10" s="969" t="s">
        <v>337</v>
      </c>
    </row>
    <row r="11" spans="1:30">
      <c r="A11" s="969">
        <v>2</v>
      </c>
      <c r="B11" s="970">
        <v>-1E-3</v>
      </c>
      <c r="C11" s="970">
        <v>-1E-3</v>
      </c>
      <c r="D11" s="960">
        <v>1E-4</v>
      </c>
      <c r="E11" s="971">
        <f>0.5*(MAX(B11:D11)-MIN(B11:D11))</f>
        <v>5.5000000000000003E-4</v>
      </c>
      <c r="F11" s="969" t="s">
        <v>338</v>
      </c>
      <c r="G11" s="964"/>
      <c r="H11" s="964"/>
      <c r="I11" s="969">
        <v>2</v>
      </c>
      <c r="J11" s="972">
        <v>0</v>
      </c>
      <c r="K11" s="972">
        <v>0</v>
      </c>
      <c r="L11" s="960">
        <v>1E-4</v>
      </c>
      <c r="M11" s="971">
        <f>0.5*(MAX(J11:L11)-MIN(J11:L11))</f>
        <v>5.0000000000000002E-5</v>
      </c>
      <c r="N11" s="969" t="s">
        <v>338</v>
      </c>
      <c r="O11" s="964"/>
      <c r="P11" s="964"/>
      <c r="Q11" s="969">
        <v>2</v>
      </c>
      <c r="R11" s="970">
        <v>-1.67E-3</v>
      </c>
      <c r="S11" s="970">
        <v>-1.67E-3</v>
      </c>
      <c r="T11" s="960">
        <v>1E-4</v>
      </c>
      <c r="U11" s="971">
        <f>0.5*(MAX(R11:T11)-MIN(R11:T11))</f>
        <v>8.8500000000000004E-4</v>
      </c>
      <c r="V11" s="969" t="s">
        <v>338</v>
      </c>
      <c r="AC11" s="361">
        <v>0.5</v>
      </c>
      <c r="AD11" s="361">
        <f>((-0.0002*0.5)+(0.001))</f>
        <v>8.9999999999999998E-4</v>
      </c>
    </row>
    <row r="12" spans="1:30">
      <c r="A12" s="969">
        <v>3</v>
      </c>
      <c r="B12" s="970">
        <v>-1E-3</v>
      </c>
      <c r="C12" s="970">
        <v>-1E-3</v>
      </c>
      <c r="D12" s="960">
        <v>1E-4</v>
      </c>
      <c r="E12" s="971">
        <f>0.5*(MAX(B12:D12)-MIN(B12:D12))</f>
        <v>5.5000000000000003E-4</v>
      </c>
      <c r="F12" s="969" t="s">
        <v>10</v>
      </c>
      <c r="G12" s="964"/>
      <c r="H12" s="964"/>
      <c r="I12" s="969">
        <v>3</v>
      </c>
      <c r="J12" s="972">
        <v>0</v>
      </c>
      <c r="K12" s="972">
        <v>0</v>
      </c>
      <c r="L12" s="960">
        <v>1E-4</v>
      </c>
      <c r="M12" s="971">
        <f>0.5*(MAX(J12:L12)-MIN(J12:L12))</f>
        <v>5.0000000000000002E-5</v>
      </c>
      <c r="N12" s="969" t="s">
        <v>10</v>
      </c>
      <c r="O12" s="964"/>
      <c r="P12" s="964"/>
      <c r="Q12" s="969">
        <v>3</v>
      </c>
      <c r="R12" s="970">
        <v>1.6670000000000001E-3</v>
      </c>
      <c r="S12" s="970">
        <v>1.6670000000000001E-3</v>
      </c>
      <c r="T12" s="960">
        <v>1E-4</v>
      </c>
      <c r="U12" s="971">
        <f>0.5*(MAX(R12:T12)-MIN(R12:T12))</f>
        <v>7.8350000000000002E-4</v>
      </c>
      <c r="V12" s="969" t="s">
        <v>10</v>
      </c>
      <c r="AC12" s="361">
        <v>1</v>
      </c>
      <c r="AD12" s="361">
        <f>((-0.0002*1)+(0.001))</f>
        <v>8.0000000000000004E-4</v>
      </c>
    </row>
    <row r="13" spans="1:30" ht="26.5" thickBot="1">
      <c r="A13" s="973" t="s">
        <v>339</v>
      </c>
      <c r="B13" s="967" t="s">
        <v>7</v>
      </c>
      <c r="C13" s="967" t="s">
        <v>7</v>
      </c>
      <c r="D13" s="1649"/>
      <c r="E13" s="974" t="s">
        <v>2</v>
      </c>
      <c r="F13" s="975" t="s">
        <v>26</v>
      </c>
      <c r="G13" s="964"/>
      <c r="H13" s="964"/>
      <c r="I13" s="973" t="s">
        <v>339</v>
      </c>
      <c r="J13" s="967" t="s">
        <v>7</v>
      </c>
      <c r="K13" s="967" t="s">
        <v>7</v>
      </c>
      <c r="L13" s="1649"/>
      <c r="M13" s="974" t="s">
        <v>2</v>
      </c>
      <c r="N13" s="975" t="s">
        <v>26</v>
      </c>
      <c r="O13" s="964"/>
      <c r="P13" s="964"/>
      <c r="Q13" s="973" t="s">
        <v>339</v>
      </c>
      <c r="R13" s="974" t="s">
        <v>7</v>
      </c>
      <c r="S13" s="974" t="s">
        <v>7</v>
      </c>
      <c r="T13" s="974"/>
      <c r="U13" s="974" t="s">
        <v>2</v>
      </c>
      <c r="V13" s="975" t="s">
        <v>26</v>
      </c>
      <c r="AC13" s="364">
        <v>2</v>
      </c>
      <c r="AD13" s="361">
        <f>((-0.0002*2)+(0.001))</f>
        <v>6.0000000000000006E-4</v>
      </c>
    </row>
    <row r="14" spans="1:30" ht="13.5" thickBot="1">
      <c r="A14" s="976" t="s">
        <v>340</v>
      </c>
      <c r="B14" s="967">
        <f>B8</f>
        <v>2016</v>
      </c>
      <c r="C14" s="967">
        <f>C8</f>
        <v>2016</v>
      </c>
      <c r="D14" s="1649">
        <f>D8</f>
        <v>2018</v>
      </c>
      <c r="E14" s="971"/>
      <c r="F14" s="975"/>
      <c r="G14" s="964"/>
      <c r="H14" s="964"/>
      <c r="I14" s="976" t="s">
        <v>340</v>
      </c>
      <c r="J14" s="967">
        <f>J8</f>
        <v>2017</v>
      </c>
      <c r="K14" s="967">
        <f>K8</f>
        <v>2017</v>
      </c>
      <c r="L14" s="1649">
        <f>L8</f>
        <v>2018</v>
      </c>
      <c r="M14" s="971"/>
      <c r="N14" s="975"/>
      <c r="O14" s="964"/>
      <c r="P14" s="964"/>
      <c r="Q14" s="976" t="s">
        <v>340</v>
      </c>
      <c r="R14" s="967">
        <f>R8</f>
        <v>2015</v>
      </c>
      <c r="S14" s="967">
        <f>S8</f>
        <v>2015</v>
      </c>
      <c r="T14" s="967">
        <f>T8</f>
        <v>2016</v>
      </c>
      <c r="U14" s="971"/>
      <c r="V14" s="975"/>
      <c r="AC14" s="365">
        <v>2.5</v>
      </c>
      <c r="AD14" s="366">
        <v>0</v>
      </c>
    </row>
    <row r="15" spans="1:30" ht="13" thickBot="1">
      <c r="A15" s="969">
        <v>5</v>
      </c>
      <c r="B15" s="970">
        <v>0</v>
      </c>
      <c r="C15" s="970">
        <v>0</v>
      </c>
      <c r="D15" s="960">
        <v>1E-4</v>
      </c>
      <c r="E15" s="971">
        <f>0.5*(MAX(B15:D15)-MIN(B15:D15))</f>
        <v>5.0000000000000002E-5</v>
      </c>
      <c r="F15" s="977">
        <v>2.5999999999999999E-2</v>
      </c>
      <c r="G15" s="964"/>
      <c r="H15" s="964"/>
      <c r="I15" s="969">
        <v>0.5</v>
      </c>
      <c r="J15" s="972">
        <v>0</v>
      </c>
      <c r="K15" s="972">
        <v>0</v>
      </c>
      <c r="L15" s="960">
        <v>1E-4</v>
      </c>
      <c r="M15" s="971">
        <f>0.5*(MAX(J15:L15)-MIN(J15:L15))</f>
        <v>5.0000000000000002E-5</v>
      </c>
      <c r="N15" s="977">
        <v>0.01</v>
      </c>
      <c r="O15" s="964"/>
      <c r="P15" s="964"/>
      <c r="Q15" s="969">
        <v>0.5</v>
      </c>
      <c r="R15" s="972" t="s">
        <v>10</v>
      </c>
      <c r="S15" s="972" t="s">
        <v>10</v>
      </c>
      <c r="T15" s="960">
        <v>1E-4</v>
      </c>
      <c r="U15" s="979">
        <f>1/3*V15</f>
        <v>3.3333333333333332E-4</v>
      </c>
      <c r="V15" s="977">
        <v>1E-3</v>
      </c>
      <c r="AC15" s="365">
        <v>5</v>
      </c>
      <c r="AD15" s="367">
        <v>1E-3</v>
      </c>
    </row>
    <row r="16" spans="1:30" ht="13" thickBot="1">
      <c r="A16" s="969">
        <v>10</v>
      </c>
      <c r="B16" s="970">
        <v>0</v>
      </c>
      <c r="C16" s="970">
        <v>0</v>
      </c>
      <c r="D16" s="960">
        <v>1E-4</v>
      </c>
      <c r="E16" s="971">
        <f>0.5*(MAX(B16:D16)-MIN(B16:D16))</f>
        <v>5.0000000000000002E-5</v>
      </c>
      <c r="F16" s="977">
        <v>2.5999999999999999E-2</v>
      </c>
      <c r="G16" s="964"/>
      <c r="H16" s="964"/>
      <c r="I16" s="969">
        <v>1</v>
      </c>
      <c r="J16" s="972">
        <v>0</v>
      </c>
      <c r="K16" s="972">
        <v>0</v>
      </c>
      <c r="L16" s="960">
        <v>1E-4</v>
      </c>
      <c r="M16" s="971">
        <f>0.5*(MAX(J16:L16)-MIN(J16:L16))</f>
        <v>5.0000000000000002E-5</v>
      </c>
      <c r="N16" s="977">
        <v>0.01</v>
      </c>
      <c r="O16" s="964"/>
      <c r="P16" s="964"/>
      <c r="Q16" s="969">
        <v>1</v>
      </c>
      <c r="R16" s="972" t="s">
        <v>10</v>
      </c>
      <c r="S16" s="972" t="s">
        <v>10</v>
      </c>
      <c r="T16" s="960">
        <v>1E-4</v>
      </c>
      <c r="U16" s="979">
        <f t="shared" ref="U16:U17" si="0">1/3*V16</f>
        <v>3.3333333333333332E-4</v>
      </c>
      <c r="V16" s="977">
        <v>1E-3</v>
      </c>
      <c r="AC16" s="365">
        <v>10</v>
      </c>
      <c r="AD16" s="367">
        <v>-1E-3</v>
      </c>
    </row>
    <row r="17" spans="1:30">
      <c r="A17" s="969">
        <v>20</v>
      </c>
      <c r="B17" s="970">
        <v>1E-3</v>
      </c>
      <c r="C17" s="970">
        <v>1E-3</v>
      </c>
      <c r="D17" s="960">
        <v>1E-4</v>
      </c>
      <c r="E17" s="971">
        <f>0.5*(MAX(B17:D17)-MIN(B17:D17))</f>
        <v>4.4999999999999999E-4</v>
      </c>
      <c r="F17" s="977">
        <v>2.5999999999999999E-2</v>
      </c>
      <c r="G17" s="964"/>
      <c r="H17" s="964"/>
      <c r="I17" s="969">
        <v>2</v>
      </c>
      <c r="J17" s="972">
        <v>0</v>
      </c>
      <c r="K17" s="972">
        <v>0</v>
      </c>
      <c r="L17" s="960">
        <v>1E-4</v>
      </c>
      <c r="M17" s="971">
        <f>0.5*(MAX(J17:L17)-MIN(J17:L17))</f>
        <v>5.0000000000000002E-5</v>
      </c>
      <c r="N17" s="977">
        <v>0.01</v>
      </c>
      <c r="O17" s="964"/>
      <c r="P17" s="964"/>
      <c r="Q17" s="969">
        <v>2</v>
      </c>
      <c r="R17" s="972" t="s">
        <v>10</v>
      </c>
      <c r="S17" s="972" t="s">
        <v>10</v>
      </c>
      <c r="T17" s="960">
        <v>1E-4</v>
      </c>
      <c r="U17" s="979">
        <f t="shared" si="0"/>
        <v>3.3333333333333332E-4</v>
      </c>
      <c r="V17" s="977">
        <v>1E-3</v>
      </c>
      <c r="AC17" s="364" t="s">
        <v>341</v>
      </c>
      <c r="AD17" s="364" t="s">
        <v>342</v>
      </c>
    </row>
    <row r="18" spans="1:30" ht="26">
      <c r="A18" s="973" t="s">
        <v>343</v>
      </c>
      <c r="B18" s="967" t="s">
        <v>7</v>
      </c>
      <c r="C18" s="967" t="s">
        <v>7</v>
      </c>
      <c r="D18" s="1649"/>
      <c r="E18" s="974" t="s">
        <v>2</v>
      </c>
      <c r="F18" s="975" t="s">
        <v>26</v>
      </c>
      <c r="G18" s="964"/>
      <c r="H18" s="964"/>
      <c r="I18" s="973" t="s">
        <v>343</v>
      </c>
      <c r="J18" s="967" t="s">
        <v>7</v>
      </c>
      <c r="K18" s="967" t="s">
        <v>7</v>
      </c>
      <c r="L18" s="1649"/>
      <c r="M18" s="974" t="s">
        <v>2</v>
      </c>
      <c r="N18" s="975" t="s">
        <v>26</v>
      </c>
      <c r="O18" s="964"/>
      <c r="P18" s="964"/>
      <c r="Q18" s="973" t="s">
        <v>343</v>
      </c>
      <c r="R18" s="974" t="s">
        <v>7</v>
      </c>
      <c r="S18" s="974" t="s">
        <v>7</v>
      </c>
      <c r="T18" s="974"/>
      <c r="U18" s="974" t="s">
        <v>2</v>
      </c>
      <c r="V18" s="975" t="s">
        <v>26</v>
      </c>
    </row>
    <row r="19" spans="1:30" ht="13">
      <c r="A19" s="973" t="s">
        <v>344</v>
      </c>
      <c r="B19" s="967">
        <f>B14</f>
        <v>2016</v>
      </c>
      <c r="C19" s="967">
        <f>C14</f>
        <v>2016</v>
      </c>
      <c r="D19" s="1649">
        <f>D14</f>
        <v>2018</v>
      </c>
      <c r="E19" s="971"/>
      <c r="F19" s="975"/>
      <c r="G19" s="964"/>
      <c r="H19" s="964"/>
      <c r="I19" s="973" t="s">
        <v>344</v>
      </c>
      <c r="J19" s="967">
        <f>J14</f>
        <v>2017</v>
      </c>
      <c r="K19" s="967">
        <f>K14</f>
        <v>2017</v>
      </c>
      <c r="L19" s="1649">
        <f>L14</f>
        <v>2018</v>
      </c>
      <c r="M19" s="971"/>
      <c r="N19" s="975"/>
      <c r="O19" s="964"/>
      <c r="P19" s="964"/>
      <c r="Q19" s="973" t="s">
        <v>344</v>
      </c>
      <c r="R19" s="967">
        <f>R14</f>
        <v>2015</v>
      </c>
      <c r="S19" s="967">
        <f>S14</f>
        <v>2015</v>
      </c>
      <c r="T19" s="967">
        <f>T14</f>
        <v>2016</v>
      </c>
      <c r="U19" s="971"/>
      <c r="V19" s="975"/>
    </row>
    <row r="20" spans="1:30">
      <c r="A20" s="969">
        <v>0.125</v>
      </c>
      <c r="B20" s="972" t="s">
        <v>10</v>
      </c>
      <c r="C20" s="972" t="s">
        <v>10</v>
      </c>
      <c r="D20" s="960">
        <v>1E-4</v>
      </c>
      <c r="E20" s="971">
        <f>0.5*(MAX(B20:D20)-MIN(B20:D20))</f>
        <v>0</v>
      </c>
      <c r="F20" s="977">
        <v>2.5999999999999999E-2</v>
      </c>
      <c r="G20" s="964" t="s">
        <v>345</v>
      </c>
      <c r="H20" s="964"/>
      <c r="I20" s="969">
        <v>0.125</v>
      </c>
      <c r="J20" s="972">
        <v>0</v>
      </c>
      <c r="K20" s="972">
        <v>0</v>
      </c>
      <c r="L20" s="960">
        <v>1E-4</v>
      </c>
      <c r="M20" s="971">
        <f>0.5*(MAX(J20:L20)-MIN(J20:L20))</f>
        <v>5.0000000000000002E-5</v>
      </c>
      <c r="N20" s="977">
        <v>2.5999999999999998E-5</v>
      </c>
      <c r="O20" s="964" t="s">
        <v>345</v>
      </c>
      <c r="P20" s="964"/>
      <c r="Q20" s="969">
        <v>0.125</v>
      </c>
      <c r="R20" s="972" t="s">
        <v>10</v>
      </c>
      <c r="S20" s="972" t="s">
        <v>10</v>
      </c>
      <c r="T20" s="960">
        <v>1E-4</v>
      </c>
      <c r="U20" s="971">
        <f>0.5*(MAX(R20:T20)-MIN(R20:T20))</f>
        <v>0</v>
      </c>
      <c r="V20" s="977">
        <v>2.5999999999999998E-5</v>
      </c>
      <c r="W20" s="361" t="s">
        <v>345</v>
      </c>
    </row>
    <row r="21" spans="1:30">
      <c r="A21" s="969">
        <v>2</v>
      </c>
      <c r="B21" s="972" t="s">
        <v>10</v>
      </c>
      <c r="C21" s="972" t="s">
        <v>10</v>
      </c>
      <c r="D21" s="960">
        <v>1E-4</v>
      </c>
      <c r="E21" s="971">
        <f>0.5*(MAX(B21:D21)-MIN(B21:D21))</f>
        <v>0</v>
      </c>
      <c r="F21" s="977">
        <v>2.5999999999999999E-2</v>
      </c>
      <c r="G21" s="964" t="s">
        <v>345</v>
      </c>
      <c r="H21" s="964"/>
      <c r="I21" s="969">
        <v>2</v>
      </c>
      <c r="J21" s="972">
        <v>0</v>
      </c>
      <c r="K21" s="972">
        <v>0</v>
      </c>
      <c r="L21" s="960">
        <v>1E-4</v>
      </c>
      <c r="M21" s="971">
        <f>0.5*(MAX(J21:L21)-MIN(J21:L21))</f>
        <v>5.0000000000000002E-5</v>
      </c>
      <c r="N21" s="977">
        <v>2.5999999999999998E-5</v>
      </c>
      <c r="O21" s="964" t="s">
        <v>345</v>
      </c>
      <c r="P21" s="964"/>
      <c r="Q21" s="969">
        <v>2</v>
      </c>
      <c r="R21" s="972" t="s">
        <v>10</v>
      </c>
      <c r="S21" s="972" t="s">
        <v>10</v>
      </c>
      <c r="T21" s="960">
        <v>1E-4</v>
      </c>
      <c r="U21" s="971">
        <f>0.5*(MAX(R21:T21)-MIN(R21:T21))</f>
        <v>0</v>
      </c>
      <c r="V21" s="977">
        <v>2.5999999999999998E-5</v>
      </c>
      <c r="W21" s="361" t="s">
        <v>345</v>
      </c>
    </row>
    <row r="22" spans="1:30" ht="26">
      <c r="A22" s="973" t="s">
        <v>346</v>
      </c>
      <c r="B22" s="967" t="s">
        <v>7</v>
      </c>
      <c r="C22" s="967" t="s">
        <v>7</v>
      </c>
      <c r="D22" s="1649"/>
      <c r="E22" s="974" t="s">
        <v>2</v>
      </c>
      <c r="F22" s="975" t="s">
        <v>26</v>
      </c>
      <c r="G22" s="964"/>
      <c r="H22" s="964"/>
      <c r="I22" s="973" t="s">
        <v>346</v>
      </c>
      <c r="J22" s="967" t="s">
        <v>7</v>
      </c>
      <c r="K22" s="967" t="s">
        <v>7</v>
      </c>
      <c r="L22" s="1649"/>
      <c r="M22" s="974" t="s">
        <v>2</v>
      </c>
      <c r="N22" s="975" t="s">
        <v>26</v>
      </c>
      <c r="O22" s="964"/>
      <c r="P22" s="964"/>
      <c r="Q22" s="973" t="s">
        <v>346</v>
      </c>
      <c r="R22" s="974" t="s">
        <v>7</v>
      </c>
      <c r="S22" s="974" t="s">
        <v>7</v>
      </c>
      <c r="T22" s="974"/>
      <c r="U22" s="974" t="s">
        <v>2</v>
      </c>
      <c r="V22" s="975" t="s">
        <v>26</v>
      </c>
    </row>
    <row r="23" spans="1:30" ht="13">
      <c r="A23" s="973" t="s">
        <v>344</v>
      </c>
      <c r="B23" s="967">
        <f>B19</f>
        <v>2016</v>
      </c>
      <c r="C23" s="967">
        <f>C19</f>
        <v>2016</v>
      </c>
      <c r="D23" s="1649">
        <f>D19</f>
        <v>2018</v>
      </c>
      <c r="E23" s="971"/>
      <c r="F23" s="975"/>
      <c r="G23" s="964"/>
      <c r="H23" s="964"/>
      <c r="I23" s="973" t="s">
        <v>344</v>
      </c>
      <c r="J23" s="967">
        <f>J19</f>
        <v>2017</v>
      </c>
      <c r="K23" s="967">
        <f>K19</f>
        <v>2017</v>
      </c>
      <c r="L23" s="1649">
        <f>L19</f>
        <v>2018</v>
      </c>
      <c r="M23" s="971"/>
      <c r="N23" s="975"/>
      <c r="O23" s="964"/>
      <c r="P23" s="964"/>
      <c r="Q23" s="973" t="s">
        <v>344</v>
      </c>
      <c r="R23" s="967">
        <f>R19</f>
        <v>2015</v>
      </c>
      <c r="S23" s="967">
        <f>S19</f>
        <v>2015</v>
      </c>
      <c r="T23" s="967">
        <f>T19</f>
        <v>2016</v>
      </c>
      <c r="U23" s="971"/>
      <c r="V23" s="975"/>
    </row>
    <row r="24" spans="1:30">
      <c r="A24" s="969">
        <v>10</v>
      </c>
      <c r="B24" s="972" t="s">
        <v>10</v>
      </c>
      <c r="C24" s="972" t="s">
        <v>10</v>
      </c>
      <c r="D24" s="960">
        <v>1E-4</v>
      </c>
      <c r="E24" s="971">
        <f>0.5*(MAX(B24:D24)-MIN(B24:D24))</f>
        <v>0</v>
      </c>
      <c r="F24" s="977">
        <v>2.5999999999999999E-2</v>
      </c>
      <c r="G24" s="964" t="s">
        <v>345</v>
      </c>
      <c r="H24" s="964"/>
      <c r="I24" s="969">
        <v>10</v>
      </c>
      <c r="J24" s="972">
        <v>0</v>
      </c>
      <c r="K24" s="972">
        <v>0</v>
      </c>
      <c r="L24" s="960">
        <v>1E-4</v>
      </c>
      <c r="M24" s="971">
        <f>0.5*(MAX(J24:L24)-MIN(J24:L24))</f>
        <v>5.0000000000000002E-5</v>
      </c>
      <c r="N24" s="977">
        <v>2.5999999999999998E-5</v>
      </c>
      <c r="O24" s="964" t="s">
        <v>345</v>
      </c>
      <c r="P24" s="964"/>
      <c r="Q24" s="969">
        <v>10</v>
      </c>
      <c r="R24" s="972" t="s">
        <v>10</v>
      </c>
      <c r="S24" s="972" t="s">
        <v>10</v>
      </c>
      <c r="T24" s="960">
        <v>1E-4</v>
      </c>
      <c r="U24" s="971">
        <f>0.5*(MAX(R24:T24)-MIN(R24:T24))</f>
        <v>0</v>
      </c>
      <c r="V24" s="977">
        <v>2.5999999999999998E-5</v>
      </c>
      <c r="W24" s="361" t="s">
        <v>345</v>
      </c>
    </row>
    <row r="25" spans="1:30" ht="12.75" customHeight="1">
      <c r="A25" s="114" t="s">
        <v>347</v>
      </c>
      <c r="B25" s="114" t="s">
        <v>7</v>
      </c>
      <c r="C25" s="114" t="s">
        <v>7</v>
      </c>
      <c r="D25" s="1648"/>
      <c r="E25" s="114" t="s">
        <v>2</v>
      </c>
      <c r="F25" s="980" t="s">
        <v>26</v>
      </c>
      <c r="G25" s="964"/>
      <c r="H25" s="964"/>
      <c r="I25" s="114" t="s">
        <v>347</v>
      </c>
      <c r="J25" s="114" t="s">
        <v>7</v>
      </c>
      <c r="K25" s="114" t="s">
        <v>7</v>
      </c>
      <c r="L25" s="1648"/>
      <c r="M25" s="1983" t="s">
        <v>2</v>
      </c>
      <c r="N25" s="1986" t="s">
        <v>26</v>
      </c>
      <c r="O25" s="964"/>
      <c r="P25" s="964"/>
      <c r="Q25" s="114" t="s">
        <v>347</v>
      </c>
      <c r="R25" s="114" t="s">
        <v>7</v>
      </c>
      <c r="S25" s="114" t="s">
        <v>7</v>
      </c>
      <c r="T25" s="114"/>
      <c r="U25" s="1983" t="s">
        <v>2</v>
      </c>
      <c r="V25" s="1986" t="s">
        <v>26</v>
      </c>
    </row>
    <row r="26" spans="1:30" ht="14">
      <c r="A26" s="954" t="s">
        <v>348</v>
      </c>
      <c r="B26" s="114">
        <v>2016</v>
      </c>
      <c r="C26" s="114">
        <v>2016</v>
      </c>
      <c r="D26" s="1648">
        <f>D23</f>
        <v>2018</v>
      </c>
      <c r="E26" s="114"/>
      <c r="F26" s="980"/>
      <c r="G26" s="964"/>
      <c r="H26" s="964"/>
      <c r="I26" s="954" t="s">
        <v>348</v>
      </c>
      <c r="J26" s="114">
        <f>J23</f>
        <v>2017</v>
      </c>
      <c r="K26" s="114">
        <f>K23</f>
        <v>2017</v>
      </c>
      <c r="L26" s="1648">
        <f>L23</f>
        <v>2018</v>
      </c>
      <c r="M26" s="1983"/>
      <c r="N26" s="1986"/>
      <c r="O26" s="964"/>
      <c r="P26" s="964"/>
      <c r="Q26" s="954" t="s">
        <v>348</v>
      </c>
      <c r="R26" s="114">
        <f>R23</f>
        <v>2015</v>
      </c>
      <c r="S26" s="114">
        <f>S23</f>
        <v>2015</v>
      </c>
      <c r="T26" s="114">
        <f>T23</f>
        <v>2016</v>
      </c>
      <c r="U26" s="1983"/>
      <c r="V26" s="1986"/>
    </row>
    <row r="27" spans="1:30">
      <c r="A27" s="981">
        <v>15</v>
      </c>
      <c r="B27" s="960">
        <v>0</v>
      </c>
      <c r="C27" s="960">
        <v>0</v>
      </c>
      <c r="D27" s="960">
        <v>1E-4</v>
      </c>
      <c r="E27" s="961">
        <f>0.5*(MAX(B27:D27)-MIN(B27:D27))</f>
        <v>5.0000000000000002E-5</v>
      </c>
      <c r="F27" s="982"/>
      <c r="G27" s="964"/>
      <c r="H27" s="964"/>
      <c r="I27" s="981">
        <v>15</v>
      </c>
      <c r="J27" s="960">
        <v>0</v>
      </c>
      <c r="K27" s="960">
        <v>0</v>
      </c>
      <c r="L27" s="960">
        <v>1E-4</v>
      </c>
      <c r="M27" s="961">
        <f>0.5*(MAX(J27:L27)-MIN(J27:L27))</f>
        <v>5.0000000000000002E-5</v>
      </c>
      <c r="N27" s="982"/>
      <c r="O27" s="964"/>
      <c r="P27" s="964"/>
      <c r="Q27" s="981">
        <v>15</v>
      </c>
      <c r="R27" s="960">
        <v>0</v>
      </c>
      <c r="S27" s="960">
        <v>0</v>
      </c>
      <c r="T27" s="960">
        <v>1E-4</v>
      </c>
      <c r="U27" s="961">
        <f>0.5*(MAX(R27:T27)-MIN(R27:T27))</f>
        <v>5.0000000000000002E-5</v>
      </c>
      <c r="V27" s="982"/>
    </row>
    <row r="28" spans="1:30">
      <c r="A28" s="963">
        <v>30</v>
      </c>
      <c r="B28" s="960">
        <v>0</v>
      </c>
      <c r="C28" s="960">
        <v>0</v>
      </c>
      <c r="D28" s="960">
        <v>1E-4</v>
      </c>
      <c r="E28" s="961">
        <f>0.5*(MAX(B28:D28)-MIN(B28:D28))</f>
        <v>5.0000000000000002E-5</v>
      </c>
      <c r="F28" s="962">
        <v>1.1999999999999999E-3</v>
      </c>
      <c r="G28" s="964"/>
      <c r="H28" s="964"/>
      <c r="I28" s="963">
        <v>30</v>
      </c>
      <c r="J28" s="960">
        <v>0</v>
      </c>
      <c r="K28" s="960">
        <v>0</v>
      </c>
      <c r="L28" s="960">
        <v>1E-4</v>
      </c>
      <c r="M28" s="961">
        <f>0.5*(MAX(J28:L28)-MIN(J28:L28))</f>
        <v>5.0000000000000002E-5</v>
      </c>
      <c r="N28" s="962">
        <v>1.1999999999999999E-3</v>
      </c>
      <c r="O28" s="964"/>
      <c r="P28" s="964"/>
      <c r="Q28" s="963">
        <v>30</v>
      </c>
      <c r="R28" s="960">
        <v>0</v>
      </c>
      <c r="S28" s="960">
        <v>0</v>
      </c>
      <c r="T28" s="960">
        <v>1E-4</v>
      </c>
      <c r="U28" s="961">
        <f>0.5*(MAX(R28:T28)-MIN(R28:T28))</f>
        <v>5.0000000000000002E-5</v>
      </c>
      <c r="V28" s="962">
        <v>1.1999999999999999E-3</v>
      </c>
    </row>
    <row r="29" spans="1:30">
      <c r="A29" s="963">
        <v>60</v>
      </c>
      <c r="B29" s="960">
        <v>0</v>
      </c>
      <c r="C29" s="960">
        <v>0</v>
      </c>
      <c r="D29" s="960">
        <v>1E-4</v>
      </c>
      <c r="E29" s="961">
        <f>0.5*(MAX(B29:D29)-MIN(B29:D29))</f>
        <v>5.0000000000000002E-5</v>
      </c>
      <c r="F29" s="962" t="s">
        <v>337</v>
      </c>
      <c r="G29" s="964"/>
      <c r="H29" s="964"/>
      <c r="I29" s="963">
        <v>60</v>
      </c>
      <c r="J29" s="960">
        <v>0</v>
      </c>
      <c r="K29" s="960">
        <v>0</v>
      </c>
      <c r="L29" s="960">
        <v>1E-4</v>
      </c>
      <c r="M29" s="961">
        <f>0.5*(MAX(J29:L29)-MIN(J29:L29))</f>
        <v>5.0000000000000002E-5</v>
      </c>
      <c r="N29" s="962" t="s">
        <v>337</v>
      </c>
      <c r="O29" s="964"/>
      <c r="P29" s="964"/>
      <c r="Q29" s="963">
        <v>60</v>
      </c>
      <c r="R29" s="960">
        <v>0</v>
      </c>
      <c r="S29" s="960">
        <v>0</v>
      </c>
      <c r="T29" s="960">
        <v>1E-4</v>
      </c>
      <c r="U29" s="961">
        <f>0.5*(MAX(R29:T29)-MIN(R29:T29))</f>
        <v>5.0000000000000002E-5</v>
      </c>
      <c r="V29" s="962" t="s">
        <v>337</v>
      </c>
    </row>
    <row r="30" spans="1:30">
      <c r="A30" s="963">
        <v>120</v>
      </c>
      <c r="B30" s="960">
        <v>0</v>
      </c>
      <c r="C30" s="960">
        <v>0</v>
      </c>
      <c r="D30" s="960">
        <v>1E-4</v>
      </c>
      <c r="E30" s="961">
        <f>0.5*(MAX(B30:D30)-MIN(B30:D30))</f>
        <v>5.0000000000000002E-5</v>
      </c>
      <c r="F30" s="962" t="s">
        <v>338</v>
      </c>
      <c r="G30" s="964"/>
      <c r="H30" s="964"/>
      <c r="I30" s="963">
        <v>120</v>
      </c>
      <c r="J30" s="960">
        <v>0</v>
      </c>
      <c r="K30" s="960">
        <v>0</v>
      </c>
      <c r="L30" s="960">
        <v>1E-4</v>
      </c>
      <c r="M30" s="961">
        <f>0.5*(MAX(J30:L30)-MIN(J30:L30))</f>
        <v>5.0000000000000002E-5</v>
      </c>
      <c r="N30" s="962" t="s">
        <v>338</v>
      </c>
      <c r="O30" s="964"/>
      <c r="P30" s="964"/>
      <c r="Q30" s="963">
        <v>120</v>
      </c>
      <c r="R30" s="960">
        <v>0</v>
      </c>
      <c r="S30" s="960">
        <v>0</v>
      </c>
      <c r="T30" s="960">
        <v>1E-4</v>
      </c>
      <c r="U30" s="961">
        <f>0.5*(MAX(R30:T30)-MIN(R30:T30))</f>
        <v>5.0000000000000002E-5</v>
      </c>
      <c r="V30" s="962" t="s">
        <v>338</v>
      </c>
    </row>
    <row r="31" spans="1:30">
      <c r="A31" s="963">
        <v>180</v>
      </c>
      <c r="B31" s="960">
        <v>0</v>
      </c>
      <c r="C31" s="960">
        <v>0</v>
      </c>
      <c r="D31" s="960">
        <v>1E-4</v>
      </c>
      <c r="E31" s="961">
        <f>0.5*(MAX(B31:D31)-MIN(B31:D31))</f>
        <v>5.0000000000000002E-5</v>
      </c>
      <c r="F31" s="962" t="s">
        <v>10</v>
      </c>
      <c r="G31" s="964"/>
      <c r="H31" s="964"/>
      <c r="I31" s="963">
        <v>180</v>
      </c>
      <c r="J31" s="960">
        <v>0</v>
      </c>
      <c r="K31" s="960">
        <v>0</v>
      </c>
      <c r="L31" s="960">
        <v>1E-4</v>
      </c>
      <c r="M31" s="961">
        <f>0.5*(MAX(J31:L31)-MIN(J31:L31))</f>
        <v>5.0000000000000002E-5</v>
      </c>
      <c r="N31" s="962" t="s">
        <v>10</v>
      </c>
      <c r="O31" s="964"/>
      <c r="P31" s="964"/>
      <c r="Q31" s="963">
        <v>180</v>
      </c>
      <c r="R31" s="960">
        <v>0</v>
      </c>
      <c r="S31" s="960">
        <v>0</v>
      </c>
      <c r="T31" s="960">
        <v>1E-4</v>
      </c>
      <c r="U31" s="961">
        <f>0.5*(MAX(R31:T31)-MIN(R31:T31))</f>
        <v>5.0000000000000002E-5</v>
      </c>
      <c r="V31" s="962" t="s">
        <v>10</v>
      </c>
    </row>
    <row r="32" spans="1:30">
      <c r="A32" s="964"/>
      <c r="B32" s="964"/>
      <c r="C32" s="964"/>
      <c r="D32" s="964"/>
      <c r="E32" s="964"/>
      <c r="F32" s="964"/>
      <c r="G32" s="964"/>
      <c r="H32" s="964"/>
      <c r="I32" s="964"/>
      <c r="J32" s="964"/>
      <c r="K32" s="964"/>
      <c r="L32" s="964"/>
      <c r="M32" s="964"/>
      <c r="N32" s="964"/>
      <c r="O32" s="964"/>
      <c r="P32" s="964"/>
      <c r="Q32" s="964"/>
      <c r="R32" s="964"/>
      <c r="S32" s="964"/>
      <c r="T32" s="964"/>
      <c r="U32" s="964"/>
      <c r="V32" s="964"/>
    </row>
    <row r="33" spans="1:23" ht="15.75" customHeight="1">
      <c r="A33" s="964"/>
      <c r="B33" s="964"/>
      <c r="C33" s="964"/>
      <c r="D33" s="964"/>
      <c r="E33" s="964"/>
      <c r="F33" s="964"/>
      <c r="G33" s="964"/>
      <c r="H33" s="964"/>
      <c r="I33" s="964"/>
      <c r="J33" s="964"/>
      <c r="K33" s="964"/>
      <c r="L33" s="964"/>
      <c r="M33" s="964"/>
      <c r="N33" s="964"/>
      <c r="O33" s="964"/>
      <c r="P33" s="964"/>
      <c r="Q33" s="964"/>
      <c r="R33" s="964"/>
      <c r="S33" s="964"/>
      <c r="T33" s="964"/>
      <c r="U33" s="964"/>
      <c r="V33" s="964"/>
    </row>
    <row r="34" spans="1:23" ht="35">
      <c r="A34" s="2000" t="s">
        <v>349</v>
      </c>
      <c r="B34" s="2000"/>
      <c r="C34" s="2000"/>
      <c r="D34" s="2000"/>
      <c r="E34" s="2000"/>
      <c r="F34" s="2000"/>
      <c r="G34" s="964"/>
      <c r="H34" s="964"/>
      <c r="I34" s="2000" t="s">
        <v>350</v>
      </c>
      <c r="J34" s="2000"/>
      <c r="K34" s="2000"/>
      <c r="L34" s="2000"/>
      <c r="M34" s="2000"/>
      <c r="N34" s="2000"/>
      <c r="O34" s="964"/>
      <c r="P34" s="964"/>
      <c r="Q34" s="2000" t="s">
        <v>351</v>
      </c>
      <c r="R34" s="2000"/>
      <c r="S34" s="2000"/>
      <c r="T34" s="2000"/>
      <c r="U34" s="2000"/>
      <c r="V34" s="2000"/>
    </row>
    <row r="35" spans="1:23" ht="15" customHeight="1">
      <c r="A35" s="1996" t="s">
        <v>333</v>
      </c>
      <c r="B35" s="1996"/>
      <c r="C35" s="1996"/>
      <c r="D35" s="1996"/>
      <c r="E35" s="967" t="s">
        <v>2</v>
      </c>
      <c r="F35" s="983" t="s">
        <v>26</v>
      </c>
      <c r="G35" s="964"/>
      <c r="H35" s="964"/>
      <c r="I35" s="1996" t="s">
        <v>333</v>
      </c>
      <c r="J35" s="1996"/>
      <c r="K35" s="1996"/>
      <c r="L35" s="1996"/>
      <c r="M35" s="1984" t="s">
        <v>2</v>
      </c>
      <c r="N35" s="1985" t="s">
        <v>26</v>
      </c>
      <c r="O35" s="964"/>
      <c r="P35" s="964"/>
      <c r="Q35" s="1996" t="s">
        <v>333</v>
      </c>
      <c r="R35" s="1996"/>
      <c r="S35" s="1996"/>
      <c r="T35" s="1996"/>
      <c r="U35" s="1984" t="s">
        <v>2</v>
      </c>
      <c r="V35" s="1985" t="s">
        <v>26</v>
      </c>
    </row>
    <row r="36" spans="1:23" ht="13">
      <c r="A36" s="967" t="s">
        <v>335</v>
      </c>
      <c r="B36" s="1984" t="s">
        <v>7</v>
      </c>
      <c r="C36" s="1984"/>
      <c r="D36" s="1984"/>
      <c r="E36" s="967"/>
      <c r="F36" s="983"/>
      <c r="G36" s="964"/>
      <c r="H36" s="964"/>
      <c r="I36" s="967" t="s">
        <v>335</v>
      </c>
      <c r="J36" s="1984" t="s">
        <v>7</v>
      </c>
      <c r="K36" s="1984"/>
      <c r="L36" s="1984"/>
      <c r="M36" s="1984"/>
      <c r="N36" s="1985"/>
      <c r="O36" s="964"/>
      <c r="P36" s="964"/>
      <c r="Q36" s="967" t="s">
        <v>335</v>
      </c>
      <c r="R36" s="1984" t="s">
        <v>7</v>
      </c>
      <c r="S36" s="1984"/>
      <c r="T36" s="1984"/>
      <c r="U36" s="1984"/>
      <c r="V36" s="1985"/>
    </row>
    <row r="37" spans="1:23" ht="14">
      <c r="A37" s="954" t="s">
        <v>336</v>
      </c>
      <c r="B37" s="967">
        <v>2014</v>
      </c>
      <c r="C37" s="967">
        <v>2014</v>
      </c>
      <c r="D37" s="1649">
        <v>2017</v>
      </c>
      <c r="E37" s="967"/>
      <c r="F37" s="983"/>
      <c r="G37" s="964"/>
      <c r="H37" s="964"/>
      <c r="I37" s="954" t="s">
        <v>336</v>
      </c>
      <c r="J37" s="967">
        <v>2016</v>
      </c>
      <c r="K37" s="967">
        <v>2016</v>
      </c>
      <c r="L37" s="1649">
        <v>2017</v>
      </c>
      <c r="M37" s="1984"/>
      <c r="N37" s="1985"/>
      <c r="O37" s="964"/>
      <c r="P37" s="964"/>
      <c r="Q37" s="954" t="s">
        <v>336</v>
      </c>
      <c r="R37" s="967">
        <v>2015</v>
      </c>
      <c r="S37" s="967">
        <v>2015</v>
      </c>
      <c r="T37" s="1649">
        <v>2017</v>
      </c>
      <c r="U37" s="1984"/>
      <c r="V37" s="1985"/>
    </row>
    <row r="38" spans="1:23">
      <c r="A38" s="969">
        <v>0.5</v>
      </c>
      <c r="B38" s="972">
        <v>0</v>
      </c>
      <c r="C38" s="972">
        <v>0</v>
      </c>
      <c r="D38" s="960">
        <v>1E-4</v>
      </c>
      <c r="E38" s="971">
        <f>0.5*(MAX(B38:D38)-MIN(B38:D38))</f>
        <v>5.0000000000000002E-5</v>
      </c>
      <c r="F38" s="969">
        <v>5.4999999999999997E-3</v>
      </c>
      <c r="G38" s="964"/>
      <c r="H38" s="964"/>
      <c r="I38" s="969">
        <v>0.5</v>
      </c>
      <c r="J38" s="978">
        <v>0</v>
      </c>
      <c r="K38" s="978">
        <v>0</v>
      </c>
      <c r="L38" s="960">
        <v>1E-4</v>
      </c>
      <c r="M38" s="971">
        <f>0.5*(MAX(J38:L38)-MIN(J38:L38))</f>
        <v>5.0000000000000002E-5</v>
      </c>
      <c r="N38" s="969">
        <v>5.4999999999999997E-3</v>
      </c>
      <c r="O38" s="964"/>
      <c r="P38" s="964"/>
      <c r="Q38" s="969">
        <v>0.5</v>
      </c>
      <c r="R38" s="970" t="s">
        <v>10</v>
      </c>
      <c r="S38" s="970" t="s">
        <v>10</v>
      </c>
      <c r="T38" s="960">
        <v>1E-4</v>
      </c>
      <c r="U38" s="971">
        <f>0.5*(MAX(R38:T38)-MIN(R38:T38))</f>
        <v>0</v>
      </c>
      <c r="V38" s="969">
        <v>5.4999999999999997E-3</v>
      </c>
    </row>
    <row r="39" spans="1:23">
      <c r="A39" s="969">
        <v>1</v>
      </c>
      <c r="B39" s="972">
        <v>0</v>
      </c>
      <c r="C39" s="972">
        <v>0</v>
      </c>
      <c r="D39" s="960">
        <v>1E-4</v>
      </c>
      <c r="E39" s="971">
        <f>0.5*(MAX(B39:D39)-MIN(B39:D39))</f>
        <v>5.0000000000000002E-5</v>
      </c>
      <c r="F39" s="969" t="s">
        <v>337</v>
      </c>
      <c r="G39" s="964"/>
      <c r="H39" s="964"/>
      <c r="I39" s="969">
        <v>1</v>
      </c>
      <c r="J39" s="978">
        <v>0</v>
      </c>
      <c r="K39" s="978">
        <v>0</v>
      </c>
      <c r="L39" s="960">
        <v>1E-4</v>
      </c>
      <c r="M39" s="971">
        <f>0.5*(MAX(J39:L39)-MIN(J39:L39))</f>
        <v>5.0000000000000002E-5</v>
      </c>
      <c r="N39" s="969" t="s">
        <v>337</v>
      </c>
      <c r="O39" s="964"/>
      <c r="P39" s="964"/>
      <c r="Q39" s="969">
        <v>1</v>
      </c>
      <c r="R39" s="970" t="s">
        <v>10</v>
      </c>
      <c r="S39" s="970" t="s">
        <v>10</v>
      </c>
      <c r="T39" s="960">
        <v>1E-4</v>
      </c>
      <c r="U39" s="971">
        <f>0.5*(MAX(R39:T39)-MIN(R39:T39))</f>
        <v>0</v>
      </c>
      <c r="V39" s="969" t="s">
        <v>337</v>
      </c>
    </row>
    <row r="40" spans="1:23">
      <c r="A40" s="969">
        <v>2</v>
      </c>
      <c r="B40" s="972">
        <v>-0.01</v>
      </c>
      <c r="C40" s="972">
        <v>-0.01</v>
      </c>
      <c r="D40" s="960">
        <v>1E-4</v>
      </c>
      <c r="E40" s="971">
        <f>0.5*(MAX(B40:D40)-MIN(B40:D40))</f>
        <v>5.0499999999999998E-3</v>
      </c>
      <c r="F40" s="969" t="s">
        <v>338</v>
      </c>
      <c r="G40" s="964"/>
      <c r="H40" s="964"/>
      <c r="I40" s="969">
        <v>2</v>
      </c>
      <c r="J40" s="978">
        <v>-1.7000000000000001E-4</v>
      </c>
      <c r="K40" s="978">
        <v>-1.7000000000000001E-4</v>
      </c>
      <c r="L40" s="960">
        <v>1E-4</v>
      </c>
      <c r="M40" s="971">
        <f>0.5*(MAX(J40:L40)-MIN(J40:L40))</f>
        <v>1.35E-4</v>
      </c>
      <c r="N40" s="969" t="s">
        <v>338</v>
      </c>
      <c r="O40" s="964"/>
      <c r="P40" s="964"/>
      <c r="Q40" s="969">
        <v>2</v>
      </c>
      <c r="R40" s="970" t="s">
        <v>10</v>
      </c>
      <c r="S40" s="970" t="s">
        <v>10</v>
      </c>
      <c r="T40" s="960">
        <v>1E-4</v>
      </c>
      <c r="U40" s="971">
        <f>0.5*(MAX(R40:T40)-MIN(R40:T40))</f>
        <v>0</v>
      </c>
      <c r="V40" s="969" t="s">
        <v>338</v>
      </c>
    </row>
    <row r="41" spans="1:23">
      <c r="A41" s="969">
        <v>3</v>
      </c>
      <c r="B41" s="972">
        <v>-0.01</v>
      </c>
      <c r="C41" s="972">
        <v>-0.01</v>
      </c>
      <c r="D41" s="960">
        <v>1E-4</v>
      </c>
      <c r="E41" s="971">
        <f>0.5*(MAX(B41:D41)-MIN(B41:D41))</f>
        <v>5.0499999999999998E-3</v>
      </c>
      <c r="F41" s="969"/>
      <c r="G41" s="964"/>
      <c r="H41" s="964"/>
      <c r="I41" s="969">
        <v>3</v>
      </c>
      <c r="J41" s="978">
        <v>-3.3E-4</v>
      </c>
      <c r="K41" s="978">
        <v>-3.3E-4</v>
      </c>
      <c r="L41" s="960">
        <v>1E-4</v>
      </c>
      <c r="M41" s="971">
        <f>0.5*(MAX(J41:L41)-MIN(J41:L41))</f>
        <v>2.1499999999999999E-4</v>
      </c>
      <c r="N41" s="969"/>
      <c r="O41" s="964"/>
      <c r="P41" s="964"/>
      <c r="Q41" s="969">
        <v>3</v>
      </c>
      <c r="R41" s="970" t="s">
        <v>10</v>
      </c>
      <c r="S41" s="970" t="s">
        <v>10</v>
      </c>
      <c r="T41" s="960">
        <v>1E-4</v>
      </c>
      <c r="U41" s="971">
        <f>0.5*(MAX(R41:T41)-MIN(R41:T41))</f>
        <v>0</v>
      </c>
      <c r="V41" s="969"/>
    </row>
    <row r="42" spans="1:23" ht="26">
      <c r="A42" s="973" t="s">
        <v>339</v>
      </c>
      <c r="B42" s="967" t="s">
        <v>7</v>
      </c>
      <c r="C42" s="967" t="s">
        <v>7</v>
      </c>
      <c r="D42" s="987"/>
      <c r="E42" s="974" t="s">
        <v>2</v>
      </c>
      <c r="F42" s="975" t="s">
        <v>26</v>
      </c>
      <c r="G42" s="964"/>
      <c r="H42" s="964"/>
      <c r="I42" s="973" t="s">
        <v>339</v>
      </c>
      <c r="J42" s="974" t="s">
        <v>7</v>
      </c>
      <c r="K42" s="974" t="s">
        <v>7</v>
      </c>
      <c r="L42" s="987"/>
      <c r="M42" s="974" t="s">
        <v>2</v>
      </c>
      <c r="N42" s="975" t="s">
        <v>26</v>
      </c>
      <c r="O42" s="964"/>
      <c r="P42" s="964"/>
      <c r="Q42" s="973" t="s">
        <v>339</v>
      </c>
      <c r="R42" s="974" t="s">
        <v>7</v>
      </c>
      <c r="S42" s="974" t="s">
        <v>7</v>
      </c>
      <c r="T42" s="987"/>
      <c r="U42" s="974" t="s">
        <v>2</v>
      </c>
      <c r="V42" s="975" t="s">
        <v>26</v>
      </c>
    </row>
    <row r="43" spans="1:23" ht="13">
      <c r="A43" s="976" t="s">
        <v>340</v>
      </c>
      <c r="B43" s="967">
        <f>B37</f>
        <v>2014</v>
      </c>
      <c r="C43" s="967">
        <f>C37</f>
        <v>2014</v>
      </c>
      <c r="D43" s="1649">
        <f>D37</f>
        <v>2017</v>
      </c>
      <c r="E43" s="971"/>
      <c r="F43" s="975"/>
      <c r="G43" s="964"/>
      <c r="H43" s="964"/>
      <c r="I43" s="976" t="s">
        <v>340</v>
      </c>
      <c r="J43" s="967">
        <f>J37</f>
        <v>2016</v>
      </c>
      <c r="K43" s="967">
        <f>K37</f>
        <v>2016</v>
      </c>
      <c r="L43" s="1649">
        <f>L37</f>
        <v>2017</v>
      </c>
      <c r="M43" s="971"/>
      <c r="N43" s="975"/>
      <c r="O43" s="964"/>
      <c r="P43" s="964"/>
      <c r="Q43" s="976" t="s">
        <v>340</v>
      </c>
      <c r="R43" s="967">
        <f>R37</f>
        <v>2015</v>
      </c>
      <c r="S43" s="967">
        <f>S37</f>
        <v>2015</v>
      </c>
      <c r="T43" s="1649">
        <f>T37</f>
        <v>2017</v>
      </c>
      <c r="U43" s="971"/>
      <c r="V43" s="975"/>
    </row>
    <row r="44" spans="1:23">
      <c r="A44" s="969">
        <v>0.5</v>
      </c>
      <c r="B44" s="972">
        <v>0</v>
      </c>
      <c r="C44" s="972">
        <v>0</v>
      </c>
      <c r="D44" s="960">
        <v>1E-4</v>
      </c>
      <c r="E44" s="971">
        <f>0.5*(MAX(B44:D44)-MIN(B44:D44))</f>
        <v>5.0000000000000002E-5</v>
      </c>
      <c r="F44" s="977">
        <v>1E-4</v>
      </c>
      <c r="G44" s="964"/>
      <c r="H44" s="964"/>
      <c r="I44" s="969">
        <v>0.5</v>
      </c>
      <c r="J44" s="972" t="s">
        <v>10</v>
      </c>
      <c r="K44" s="972" t="s">
        <v>10</v>
      </c>
      <c r="L44" s="960">
        <v>1E-4</v>
      </c>
      <c r="M44" s="971">
        <f>0.5*(MAX(J44:L44)-MIN(J44:L44))</f>
        <v>0</v>
      </c>
      <c r="N44" s="977">
        <v>1E-4</v>
      </c>
      <c r="O44" s="964"/>
      <c r="P44" s="964"/>
      <c r="Q44" s="969">
        <v>0.5</v>
      </c>
      <c r="R44" s="972" t="s">
        <v>10</v>
      </c>
      <c r="S44" s="972" t="s">
        <v>10</v>
      </c>
      <c r="T44" s="960">
        <v>1E-4</v>
      </c>
      <c r="U44" s="971">
        <f>0.5*(MAX(R44:T44)-MIN(R44:T44))</f>
        <v>0</v>
      </c>
      <c r="V44" s="977">
        <v>1E-4</v>
      </c>
      <c r="W44" s="364" t="s">
        <v>352</v>
      </c>
    </row>
    <row r="45" spans="1:23">
      <c r="A45" s="969">
        <v>1</v>
      </c>
      <c r="B45" s="972">
        <v>0</v>
      </c>
      <c r="C45" s="972">
        <v>0</v>
      </c>
      <c r="D45" s="960">
        <v>1E-4</v>
      </c>
      <c r="E45" s="971">
        <f>0.5*(MAX(B45:D45)-MIN(B45:D45))</f>
        <v>5.0000000000000002E-5</v>
      </c>
      <c r="F45" s="977">
        <v>1E-4</v>
      </c>
      <c r="G45" s="964"/>
      <c r="H45" s="964"/>
      <c r="I45" s="969">
        <v>1</v>
      </c>
      <c r="J45" s="972" t="s">
        <v>10</v>
      </c>
      <c r="K45" s="972" t="s">
        <v>10</v>
      </c>
      <c r="L45" s="960">
        <v>1E-4</v>
      </c>
      <c r="M45" s="971">
        <f>0.5*(MAX(J45:L45)-MIN(J45:L45))</f>
        <v>0</v>
      </c>
      <c r="N45" s="977">
        <v>1E-4</v>
      </c>
      <c r="O45" s="964"/>
      <c r="P45" s="964"/>
      <c r="Q45" s="969">
        <v>1</v>
      </c>
      <c r="R45" s="972" t="s">
        <v>10</v>
      </c>
      <c r="S45" s="972" t="s">
        <v>10</v>
      </c>
      <c r="T45" s="960">
        <v>1E-4</v>
      </c>
      <c r="U45" s="971">
        <f>0.5*(MAX(R45:T45)-MIN(R45:T45))</f>
        <v>0</v>
      </c>
      <c r="V45" s="977">
        <v>1E-4</v>
      </c>
      <c r="W45" s="364" t="s">
        <v>352</v>
      </c>
    </row>
    <row r="46" spans="1:23">
      <c r="A46" s="969">
        <v>2</v>
      </c>
      <c r="B46" s="972">
        <v>0</v>
      </c>
      <c r="C46" s="972">
        <v>0</v>
      </c>
      <c r="D46" s="960">
        <v>1E-4</v>
      </c>
      <c r="E46" s="971">
        <f>0.5*(MAX(B46:D46)-MIN(B46:D46))</f>
        <v>5.0000000000000002E-5</v>
      </c>
      <c r="F46" s="977">
        <v>1E-4</v>
      </c>
      <c r="G46" s="964"/>
      <c r="H46" s="964"/>
      <c r="I46" s="969">
        <v>2</v>
      </c>
      <c r="J46" s="972" t="s">
        <v>10</v>
      </c>
      <c r="K46" s="972" t="s">
        <v>10</v>
      </c>
      <c r="L46" s="960">
        <v>1E-4</v>
      </c>
      <c r="M46" s="971">
        <f>0.5*(MAX(J46:L46)-MIN(J46:L46))</f>
        <v>0</v>
      </c>
      <c r="N46" s="977">
        <v>1E-4</v>
      </c>
      <c r="O46" s="964"/>
      <c r="P46" s="964"/>
      <c r="Q46" s="969">
        <v>2</v>
      </c>
      <c r="R46" s="972" t="s">
        <v>10</v>
      </c>
      <c r="S46" s="972" t="s">
        <v>10</v>
      </c>
      <c r="T46" s="960">
        <v>1E-4</v>
      </c>
      <c r="U46" s="971">
        <f>0.5*(MAX(R46:T46)-MIN(R46:T46))</f>
        <v>0</v>
      </c>
      <c r="V46" s="977">
        <v>1E-4</v>
      </c>
      <c r="W46" s="364" t="s">
        <v>352</v>
      </c>
    </row>
    <row r="47" spans="1:23" ht="26">
      <c r="A47" s="973" t="s">
        <v>343</v>
      </c>
      <c r="B47" s="967" t="s">
        <v>7</v>
      </c>
      <c r="C47" s="967" t="s">
        <v>7</v>
      </c>
      <c r="D47" s="987"/>
      <c r="E47" s="974" t="s">
        <v>2</v>
      </c>
      <c r="F47" s="975" t="s">
        <v>26</v>
      </c>
      <c r="G47" s="964"/>
      <c r="H47" s="964"/>
      <c r="I47" s="973" t="s">
        <v>343</v>
      </c>
      <c r="J47" s="974" t="s">
        <v>7</v>
      </c>
      <c r="K47" s="974" t="s">
        <v>7</v>
      </c>
      <c r="L47" s="987"/>
      <c r="M47" s="974" t="s">
        <v>2</v>
      </c>
      <c r="N47" s="975" t="s">
        <v>26</v>
      </c>
      <c r="O47" s="964"/>
      <c r="P47" s="964"/>
      <c r="Q47" s="973" t="s">
        <v>343</v>
      </c>
      <c r="R47" s="974" t="s">
        <v>7</v>
      </c>
      <c r="S47" s="974" t="s">
        <v>7</v>
      </c>
      <c r="T47" s="987"/>
      <c r="U47" s="974" t="s">
        <v>2</v>
      </c>
      <c r="V47" s="975" t="s">
        <v>26</v>
      </c>
    </row>
    <row r="48" spans="1:23" ht="13">
      <c r="A48" s="973" t="s">
        <v>344</v>
      </c>
      <c r="B48" s="967">
        <f>B43</f>
        <v>2014</v>
      </c>
      <c r="C48" s="967">
        <f>C43</f>
        <v>2014</v>
      </c>
      <c r="D48" s="1649">
        <f>D43</f>
        <v>2017</v>
      </c>
      <c r="E48" s="971"/>
      <c r="F48" s="975"/>
      <c r="G48" s="964"/>
      <c r="H48" s="964"/>
      <c r="I48" s="973" t="s">
        <v>344</v>
      </c>
      <c r="J48" s="967">
        <f>J43</f>
        <v>2016</v>
      </c>
      <c r="K48" s="967">
        <f>K43</f>
        <v>2016</v>
      </c>
      <c r="L48" s="1649">
        <f>L43</f>
        <v>2017</v>
      </c>
      <c r="M48" s="971"/>
      <c r="N48" s="975"/>
      <c r="O48" s="964"/>
      <c r="P48" s="964"/>
      <c r="Q48" s="973" t="s">
        <v>344</v>
      </c>
      <c r="R48" s="967">
        <f>R43</f>
        <v>2015</v>
      </c>
      <c r="S48" s="967">
        <f>S43</f>
        <v>2015</v>
      </c>
      <c r="T48" s="1649">
        <f>T43</f>
        <v>2017</v>
      </c>
      <c r="U48" s="971"/>
      <c r="V48" s="975"/>
    </row>
    <row r="49" spans="1:23">
      <c r="A49" s="969">
        <v>0.125</v>
      </c>
      <c r="B49" s="972" t="s">
        <v>10</v>
      </c>
      <c r="C49" s="972" t="s">
        <v>10</v>
      </c>
      <c r="D49" s="960">
        <v>1E-4</v>
      </c>
      <c r="E49" s="971">
        <f>0.5*(MAX(B49:D49)-MIN(B49:D49))</f>
        <v>0</v>
      </c>
      <c r="F49" s="977">
        <v>2.5999999999999998E-5</v>
      </c>
      <c r="G49" s="964" t="s">
        <v>345</v>
      </c>
      <c r="H49" s="964"/>
      <c r="I49" s="969">
        <v>0.125</v>
      </c>
      <c r="J49" s="972" t="s">
        <v>10</v>
      </c>
      <c r="K49" s="972" t="s">
        <v>10</v>
      </c>
      <c r="L49" s="960">
        <v>1E-4</v>
      </c>
      <c r="M49" s="971">
        <f>0.5*(MAX(J49:L49)-MIN(J49:L49))</f>
        <v>0</v>
      </c>
      <c r="N49" s="977">
        <v>2.5999999999999998E-5</v>
      </c>
      <c r="O49" s="964" t="s">
        <v>345</v>
      </c>
      <c r="P49" s="964"/>
      <c r="Q49" s="969">
        <v>0.125</v>
      </c>
      <c r="R49" s="972" t="s">
        <v>10</v>
      </c>
      <c r="S49" s="972" t="s">
        <v>10</v>
      </c>
      <c r="T49" s="960">
        <v>1E-4</v>
      </c>
      <c r="U49" s="971">
        <f>0.5*(MAX(R49:T49)-MIN(R49:T49))</f>
        <v>0</v>
      </c>
      <c r="V49" s="977">
        <v>2.5999999999999998E-5</v>
      </c>
      <c r="W49" s="364" t="s">
        <v>352</v>
      </c>
    </row>
    <row r="50" spans="1:23">
      <c r="A50" s="969">
        <v>2</v>
      </c>
      <c r="B50" s="972">
        <v>0</v>
      </c>
      <c r="C50" s="972">
        <v>0</v>
      </c>
      <c r="D50" s="960">
        <v>1E-4</v>
      </c>
      <c r="E50" s="971">
        <f>0.5*(MAX(B50:D50)-MIN(B50:D50))</f>
        <v>5.0000000000000002E-5</v>
      </c>
      <c r="F50" s="977">
        <v>2.5999999999999998E-5</v>
      </c>
      <c r="G50" s="964" t="s">
        <v>345</v>
      </c>
      <c r="H50" s="964"/>
      <c r="I50" s="969">
        <v>2</v>
      </c>
      <c r="J50" s="972" t="s">
        <v>10</v>
      </c>
      <c r="K50" s="972" t="s">
        <v>10</v>
      </c>
      <c r="L50" s="960">
        <v>1E-4</v>
      </c>
      <c r="M50" s="971">
        <f>0.5*(MAX(J50:L50)-MIN(J50:L50))</f>
        <v>0</v>
      </c>
      <c r="N50" s="977">
        <v>2.5999999999999998E-5</v>
      </c>
      <c r="O50" s="964" t="s">
        <v>345</v>
      </c>
      <c r="P50" s="964"/>
      <c r="Q50" s="969">
        <v>2</v>
      </c>
      <c r="R50" s="972" t="s">
        <v>10</v>
      </c>
      <c r="S50" s="972" t="s">
        <v>10</v>
      </c>
      <c r="T50" s="960">
        <v>1E-4</v>
      </c>
      <c r="U50" s="971">
        <f>0.5*(MAX(R50:T50)-MIN(R50:T50))</f>
        <v>0</v>
      </c>
      <c r="V50" s="977">
        <v>2.5999999999999998E-5</v>
      </c>
      <c r="W50" s="364" t="s">
        <v>352</v>
      </c>
    </row>
    <row r="51" spans="1:23" ht="26">
      <c r="A51" s="973" t="s">
        <v>346</v>
      </c>
      <c r="B51" s="967" t="s">
        <v>7</v>
      </c>
      <c r="C51" s="967" t="s">
        <v>7</v>
      </c>
      <c r="D51" s="987"/>
      <c r="E51" s="974" t="s">
        <v>2</v>
      </c>
      <c r="F51" s="975" t="s">
        <v>26</v>
      </c>
      <c r="G51" s="964"/>
      <c r="H51" s="964"/>
      <c r="I51" s="973" t="s">
        <v>346</v>
      </c>
      <c r="J51" s="974" t="s">
        <v>7</v>
      </c>
      <c r="K51" s="974" t="s">
        <v>7</v>
      </c>
      <c r="L51" s="987"/>
      <c r="M51" s="974" t="s">
        <v>2</v>
      </c>
      <c r="N51" s="975" t="s">
        <v>26</v>
      </c>
      <c r="O51" s="964"/>
      <c r="P51" s="964"/>
      <c r="Q51" s="973" t="s">
        <v>346</v>
      </c>
      <c r="R51" s="974" t="s">
        <v>7</v>
      </c>
      <c r="S51" s="974" t="s">
        <v>7</v>
      </c>
      <c r="T51" s="987"/>
      <c r="U51" s="974" t="s">
        <v>2</v>
      </c>
      <c r="V51" s="975" t="s">
        <v>26</v>
      </c>
    </row>
    <row r="52" spans="1:23" ht="13">
      <c r="A52" s="973" t="s">
        <v>344</v>
      </c>
      <c r="B52" s="967">
        <f>B48</f>
        <v>2014</v>
      </c>
      <c r="C52" s="967">
        <f>C48</f>
        <v>2014</v>
      </c>
      <c r="D52" s="1649">
        <f>D48</f>
        <v>2017</v>
      </c>
      <c r="E52" s="971"/>
      <c r="F52" s="975"/>
      <c r="G52" s="964"/>
      <c r="H52" s="964"/>
      <c r="I52" s="973" t="s">
        <v>344</v>
      </c>
      <c r="J52" s="967">
        <f>J48</f>
        <v>2016</v>
      </c>
      <c r="K52" s="967">
        <f>K48</f>
        <v>2016</v>
      </c>
      <c r="L52" s="1649">
        <f>L48</f>
        <v>2017</v>
      </c>
      <c r="M52" s="971"/>
      <c r="N52" s="975"/>
      <c r="O52" s="964"/>
      <c r="P52" s="964"/>
      <c r="Q52" s="973" t="s">
        <v>344</v>
      </c>
      <c r="R52" s="967">
        <f>R48</f>
        <v>2015</v>
      </c>
      <c r="S52" s="967">
        <f>S48</f>
        <v>2015</v>
      </c>
      <c r="T52" s="1649">
        <f>T48</f>
        <v>2017</v>
      </c>
      <c r="U52" s="971"/>
      <c r="V52" s="975"/>
    </row>
    <row r="53" spans="1:23">
      <c r="A53" s="969">
        <v>10</v>
      </c>
      <c r="B53" s="972">
        <v>0</v>
      </c>
      <c r="C53" s="972">
        <v>0</v>
      </c>
      <c r="D53" s="960">
        <v>1E-4</v>
      </c>
      <c r="E53" s="971">
        <f>0.5*(MAX(B53:D53)-MIN(B53:D53))</f>
        <v>5.0000000000000002E-5</v>
      </c>
      <c r="F53" s="977">
        <v>2.5999999999999998E-5</v>
      </c>
      <c r="G53" s="964" t="s">
        <v>345</v>
      </c>
      <c r="H53" s="964"/>
      <c r="I53" s="969">
        <v>10</v>
      </c>
      <c r="J53" s="972" t="s">
        <v>10</v>
      </c>
      <c r="K53" s="972" t="s">
        <v>10</v>
      </c>
      <c r="L53" s="960">
        <v>1E-4</v>
      </c>
      <c r="M53" s="971">
        <f>0.5*(MAX(J53:L53)-MIN(J53:L53))</f>
        <v>0</v>
      </c>
      <c r="N53" s="977">
        <v>2.5999999999999998E-5</v>
      </c>
      <c r="O53" s="964" t="s">
        <v>345</v>
      </c>
      <c r="P53" s="964"/>
      <c r="Q53" s="969">
        <v>10</v>
      </c>
      <c r="R53" s="972" t="s">
        <v>10</v>
      </c>
      <c r="S53" s="972" t="s">
        <v>10</v>
      </c>
      <c r="T53" s="960">
        <v>1E-4</v>
      </c>
      <c r="U53" s="971">
        <f>0.5*(MAX(R53:T53)-MIN(R53:T53))</f>
        <v>0</v>
      </c>
      <c r="V53" s="977">
        <v>2.5999999999999998E-5</v>
      </c>
      <c r="W53" s="364" t="s">
        <v>352</v>
      </c>
    </row>
    <row r="54" spans="1:23" ht="12.75" customHeight="1">
      <c r="A54" s="114" t="s">
        <v>347</v>
      </c>
      <c r="B54" s="114" t="s">
        <v>7</v>
      </c>
      <c r="C54" s="114" t="s">
        <v>7</v>
      </c>
      <c r="D54" s="1648"/>
      <c r="E54" s="114" t="s">
        <v>2</v>
      </c>
      <c r="F54" s="980" t="s">
        <v>26</v>
      </c>
      <c r="G54" s="964"/>
      <c r="H54" s="964"/>
      <c r="I54" s="114" t="s">
        <v>347</v>
      </c>
      <c r="J54" s="114" t="s">
        <v>7</v>
      </c>
      <c r="K54" s="114" t="s">
        <v>7</v>
      </c>
      <c r="L54" s="1648"/>
      <c r="M54" s="1983" t="s">
        <v>2</v>
      </c>
      <c r="N54" s="1986" t="s">
        <v>26</v>
      </c>
      <c r="O54" s="964"/>
      <c r="P54" s="964"/>
      <c r="Q54" s="114" t="s">
        <v>347</v>
      </c>
      <c r="R54" s="114" t="s">
        <v>7</v>
      </c>
      <c r="S54" s="114" t="s">
        <v>7</v>
      </c>
      <c r="T54" s="1648"/>
      <c r="U54" s="1983" t="s">
        <v>2</v>
      </c>
      <c r="V54" s="1986" t="s">
        <v>26</v>
      </c>
    </row>
    <row r="55" spans="1:23" ht="14">
      <c r="A55" s="954" t="s">
        <v>348</v>
      </c>
      <c r="B55" s="114">
        <f>B52</f>
        <v>2014</v>
      </c>
      <c r="C55" s="114">
        <f>C52</f>
        <v>2014</v>
      </c>
      <c r="D55" s="1648">
        <f>D52</f>
        <v>2017</v>
      </c>
      <c r="E55" s="114"/>
      <c r="F55" s="980"/>
      <c r="G55" s="964"/>
      <c r="H55" s="964"/>
      <c r="I55" s="954" t="s">
        <v>348</v>
      </c>
      <c r="J55" s="114">
        <f>J52</f>
        <v>2016</v>
      </c>
      <c r="K55" s="114">
        <f>K52</f>
        <v>2016</v>
      </c>
      <c r="L55" s="1648">
        <f>L52</f>
        <v>2017</v>
      </c>
      <c r="M55" s="1983"/>
      <c r="N55" s="1986"/>
      <c r="O55" s="964"/>
      <c r="P55" s="964"/>
      <c r="Q55" s="954" t="s">
        <v>348</v>
      </c>
      <c r="R55" s="114">
        <f>R52</f>
        <v>2015</v>
      </c>
      <c r="S55" s="114">
        <f>S52</f>
        <v>2015</v>
      </c>
      <c r="T55" s="1648">
        <f>T52</f>
        <v>2017</v>
      </c>
      <c r="U55" s="1983"/>
      <c r="V55" s="1986"/>
    </row>
    <row r="56" spans="1:23">
      <c r="A56" s="981">
        <v>15</v>
      </c>
      <c r="B56" s="960">
        <v>0</v>
      </c>
      <c r="C56" s="960">
        <v>0</v>
      </c>
      <c r="D56" s="960">
        <v>1E-4</v>
      </c>
      <c r="E56" s="961">
        <f>0.5*(MAX(B56:D56)-MIN(B56:D56))</f>
        <v>5.0000000000000002E-5</v>
      </c>
      <c r="F56" s="982"/>
      <c r="G56" s="964"/>
      <c r="H56" s="964"/>
      <c r="I56" s="981">
        <v>15</v>
      </c>
      <c r="J56" s="960">
        <v>0</v>
      </c>
      <c r="K56" s="960">
        <v>0</v>
      </c>
      <c r="L56" s="960">
        <v>1E-4</v>
      </c>
      <c r="M56" s="961">
        <f>0.5*(MAX(J56:L56)-MIN(J56:L56))</f>
        <v>5.0000000000000002E-5</v>
      </c>
      <c r="N56" s="982"/>
      <c r="O56" s="964"/>
      <c r="P56" s="964"/>
      <c r="Q56" s="981">
        <v>15</v>
      </c>
      <c r="R56" s="960">
        <v>0</v>
      </c>
      <c r="S56" s="960">
        <v>0</v>
      </c>
      <c r="T56" s="960">
        <v>1E-4</v>
      </c>
      <c r="U56" s="961">
        <f>0.5*(MAX(R56:T56)-MIN(R56:T56))</f>
        <v>5.0000000000000002E-5</v>
      </c>
      <c r="V56" s="982"/>
    </row>
    <row r="57" spans="1:23">
      <c r="A57" s="963">
        <v>30</v>
      </c>
      <c r="B57" s="960">
        <v>0</v>
      </c>
      <c r="C57" s="960">
        <v>0</v>
      </c>
      <c r="D57" s="960">
        <v>1E-4</v>
      </c>
      <c r="E57" s="961">
        <f>0.5*(MAX(B57:D57)-MIN(B57:D57))</f>
        <v>5.0000000000000002E-5</v>
      </c>
      <c r="F57" s="962">
        <v>1.1999999999999999E-3</v>
      </c>
      <c r="G57" s="964"/>
      <c r="H57" s="964"/>
      <c r="I57" s="963">
        <v>30</v>
      </c>
      <c r="J57" s="960">
        <v>0</v>
      </c>
      <c r="K57" s="960">
        <v>0</v>
      </c>
      <c r="L57" s="960">
        <v>1E-4</v>
      </c>
      <c r="M57" s="961">
        <f>0.5*(MAX(J57:L57)-MIN(J57:L57))</f>
        <v>5.0000000000000002E-5</v>
      </c>
      <c r="N57" s="962">
        <v>1.1999999999999999E-3</v>
      </c>
      <c r="O57" s="964"/>
      <c r="P57" s="964"/>
      <c r="Q57" s="963">
        <v>30</v>
      </c>
      <c r="R57" s="960">
        <v>0</v>
      </c>
      <c r="S57" s="960">
        <v>0</v>
      </c>
      <c r="T57" s="960">
        <v>1E-4</v>
      </c>
      <c r="U57" s="961">
        <f>0.5*(MAX(R57:T57)-MIN(R57:T57))</f>
        <v>5.0000000000000002E-5</v>
      </c>
      <c r="V57" s="962">
        <v>1.1999999999999999E-3</v>
      </c>
    </row>
    <row r="58" spans="1:23">
      <c r="A58" s="963">
        <v>60</v>
      </c>
      <c r="B58" s="960">
        <v>0</v>
      </c>
      <c r="C58" s="960">
        <v>0</v>
      </c>
      <c r="D58" s="960">
        <v>1E-4</v>
      </c>
      <c r="E58" s="961">
        <f>0.5*(MAX(B58:D58)-MIN(B58:D58))</f>
        <v>5.0000000000000002E-5</v>
      </c>
      <c r="F58" s="962" t="s">
        <v>337</v>
      </c>
      <c r="G58" s="964"/>
      <c r="H58" s="964"/>
      <c r="I58" s="963">
        <v>60</v>
      </c>
      <c r="J58" s="960">
        <v>0</v>
      </c>
      <c r="K58" s="960">
        <v>0</v>
      </c>
      <c r="L58" s="960">
        <v>1E-4</v>
      </c>
      <c r="M58" s="961">
        <f>0.5*(MAX(J58:L58)-MIN(J58:L58))</f>
        <v>5.0000000000000002E-5</v>
      </c>
      <c r="N58" s="962" t="s">
        <v>337</v>
      </c>
      <c r="O58" s="964"/>
      <c r="P58" s="964"/>
      <c r="Q58" s="963">
        <v>60</v>
      </c>
      <c r="R58" s="960">
        <v>0</v>
      </c>
      <c r="S58" s="960">
        <v>0</v>
      </c>
      <c r="T58" s="960">
        <v>1E-4</v>
      </c>
      <c r="U58" s="961">
        <f>0.5*(MAX(R58:T58)-MIN(R58:T58))</f>
        <v>5.0000000000000002E-5</v>
      </c>
      <c r="V58" s="962" t="s">
        <v>337</v>
      </c>
    </row>
    <row r="59" spans="1:23">
      <c r="A59" s="963">
        <v>120</v>
      </c>
      <c r="B59" s="960">
        <v>0</v>
      </c>
      <c r="C59" s="960">
        <v>0</v>
      </c>
      <c r="D59" s="960">
        <v>1E-4</v>
      </c>
      <c r="E59" s="961">
        <f>0.5*(MAX(B59:D59)-MIN(B59:D59))</f>
        <v>5.0000000000000002E-5</v>
      </c>
      <c r="F59" s="962" t="s">
        <v>338</v>
      </c>
      <c r="G59" s="964"/>
      <c r="H59" s="964"/>
      <c r="I59" s="963">
        <v>120</v>
      </c>
      <c r="J59" s="960">
        <v>0</v>
      </c>
      <c r="K59" s="960">
        <v>0</v>
      </c>
      <c r="L59" s="960">
        <v>1E-4</v>
      </c>
      <c r="M59" s="961">
        <f>0.5*(MAX(J59:L59)-MIN(J59:L59))</f>
        <v>5.0000000000000002E-5</v>
      </c>
      <c r="N59" s="962" t="s">
        <v>338</v>
      </c>
      <c r="O59" s="964"/>
      <c r="P59" s="964"/>
      <c r="Q59" s="963">
        <v>120</v>
      </c>
      <c r="R59" s="960">
        <v>0</v>
      </c>
      <c r="S59" s="960">
        <v>0</v>
      </c>
      <c r="T59" s="960">
        <v>1E-4</v>
      </c>
      <c r="U59" s="961">
        <f>0.5*(MAX(R59:T59)-MIN(R59:T59))</f>
        <v>5.0000000000000002E-5</v>
      </c>
      <c r="V59" s="962" t="s">
        <v>338</v>
      </c>
    </row>
    <row r="60" spans="1:23">
      <c r="A60" s="963">
        <v>180</v>
      </c>
      <c r="B60" s="960">
        <v>0</v>
      </c>
      <c r="C60" s="960">
        <v>0</v>
      </c>
      <c r="D60" s="960">
        <v>1E-4</v>
      </c>
      <c r="E60" s="961">
        <f>0.5*(MAX(B60:D60)-MIN(B60:D60))</f>
        <v>5.0000000000000002E-5</v>
      </c>
      <c r="F60" s="962" t="s">
        <v>10</v>
      </c>
      <c r="G60" s="964"/>
      <c r="H60" s="964"/>
      <c r="I60" s="963">
        <v>180</v>
      </c>
      <c r="J60" s="960">
        <v>0</v>
      </c>
      <c r="K60" s="960">
        <v>0</v>
      </c>
      <c r="L60" s="960">
        <v>1E-4</v>
      </c>
      <c r="M60" s="961">
        <f>0.5*(MAX(J60:L60)-MIN(J60:L60))</f>
        <v>5.0000000000000002E-5</v>
      </c>
      <c r="N60" s="962" t="s">
        <v>10</v>
      </c>
      <c r="O60" s="964"/>
      <c r="P60" s="964"/>
      <c r="Q60" s="963">
        <v>180</v>
      </c>
      <c r="R60" s="960">
        <v>0</v>
      </c>
      <c r="S60" s="960">
        <v>0</v>
      </c>
      <c r="T60" s="960">
        <v>1E-4</v>
      </c>
      <c r="U60" s="961">
        <f>0.5*(MAX(R60:T60)-MIN(R60:T60))</f>
        <v>5.0000000000000002E-5</v>
      </c>
      <c r="V60" s="962" t="s">
        <v>10</v>
      </c>
    </row>
    <row r="61" spans="1:23">
      <c r="A61" s="964"/>
      <c r="B61" s="964"/>
      <c r="C61" s="964"/>
      <c r="D61" s="964"/>
      <c r="E61" s="964"/>
      <c r="F61" s="964"/>
      <c r="G61" s="964"/>
      <c r="H61" s="964"/>
      <c r="I61" s="964"/>
      <c r="J61" s="964"/>
      <c r="K61" s="964"/>
      <c r="L61" s="964"/>
      <c r="M61" s="964"/>
      <c r="N61" s="964"/>
      <c r="O61" s="964"/>
      <c r="P61" s="964"/>
      <c r="Q61" s="964"/>
      <c r="R61" s="964"/>
      <c r="S61" s="964"/>
      <c r="T61" s="964"/>
      <c r="U61" s="964"/>
      <c r="V61" s="964"/>
    </row>
    <row r="62" spans="1:23">
      <c r="A62" s="964"/>
      <c r="B62" s="964"/>
      <c r="C62" s="964"/>
      <c r="D62" s="964"/>
      <c r="E62" s="964"/>
      <c r="F62" s="964"/>
      <c r="G62" s="964"/>
      <c r="H62" s="964"/>
      <c r="I62" s="964"/>
      <c r="J62" s="964"/>
      <c r="K62" s="964"/>
      <c r="L62" s="964"/>
      <c r="M62" s="964"/>
      <c r="N62" s="964"/>
      <c r="O62" s="964"/>
      <c r="P62" s="964"/>
      <c r="Q62" s="964"/>
      <c r="R62" s="964"/>
      <c r="S62" s="964"/>
      <c r="T62" s="964"/>
      <c r="U62" s="964"/>
      <c r="V62" s="964"/>
    </row>
    <row r="63" spans="1:23" ht="35">
      <c r="A63" s="965" t="s">
        <v>353</v>
      </c>
      <c r="B63" s="964"/>
      <c r="C63" s="964"/>
      <c r="D63" s="964"/>
      <c r="E63" s="964"/>
      <c r="F63" s="964"/>
      <c r="G63" s="964"/>
      <c r="H63" s="964"/>
      <c r="I63" s="984" t="s">
        <v>354</v>
      </c>
      <c r="J63" s="964"/>
      <c r="K63" s="964"/>
      <c r="L63" s="964"/>
      <c r="M63" s="964"/>
      <c r="N63" s="964"/>
      <c r="O63" s="964"/>
      <c r="P63" s="964"/>
      <c r="Q63" s="985" t="s">
        <v>355</v>
      </c>
      <c r="R63" s="964"/>
      <c r="S63" s="964"/>
      <c r="T63" s="964"/>
      <c r="U63" s="964"/>
      <c r="V63" s="964"/>
    </row>
    <row r="64" spans="1:23" ht="15" customHeight="1">
      <c r="A64" s="1996" t="s">
        <v>333</v>
      </c>
      <c r="B64" s="1996"/>
      <c r="C64" s="1996"/>
      <c r="D64" s="1996"/>
      <c r="E64" s="967" t="s">
        <v>2</v>
      </c>
      <c r="F64" s="983" t="s">
        <v>26</v>
      </c>
      <c r="G64" s="964"/>
      <c r="H64" s="964"/>
      <c r="I64" s="1996" t="s">
        <v>333</v>
      </c>
      <c r="J64" s="1996"/>
      <c r="K64" s="1996"/>
      <c r="L64" s="1996"/>
      <c r="M64" s="1984" t="s">
        <v>2</v>
      </c>
      <c r="N64" s="1985" t="s">
        <v>26</v>
      </c>
      <c r="O64" s="964"/>
      <c r="P64" s="964"/>
      <c r="Q64" s="1996" t="s">
        <v>333</v>
      </c>
      <c r="R64" s="1996"/>
      <c r="S64" s="1996"/>
      <c r="T64" s="1996"/>
      <c r="U64" s="1984" t="s">
        <v>2</v>
      </c>
      <c r="V64" s="1985" t="s">
        <v>26</v>
      </c>
    </row>
    <row r="65" spans="1:22" ht="13">
      <c r="A65" s="967" t="s">
        <v>335</v>
      </c>
      <c r="B65" s="1984" t="s">
        <v>7</v>
      </c>
      <c r="C65" s="1984"/>
      <c r="D65" s="1984"/>
      <c r="E65" s="967"/>
      <c r="F65" s="983"/>
      <c r="G65" s="964"/>
      <c r="H65" s="964"/>
      <c r="I65" s="967" t="s">
        <v>335</v>
      </c>
      <c r="J65" s="1984" t="s">
        <v>7</v>
      </c>
      <c r="K65" s="1984"/>
      <c r="L65" s="1984"/>
      <c r="M65" s="1984"/>
      <c r="N65" s="1985"/>
      <c r="O65" s="964"/>
      <c r="P65" s="964"/>
      <c r="Q65" s="967" t="s">
        <v>335</v>
      </c>
      <c r="R65" s="1984" t="s">
        <v>7</v>
      </c>
      <c r="S65" s="1984"/>
      <c r="T65" s="1984"/>
      <c r="U65" s="1984"/>
      <c r="V65" s="1985"/>
    </row>
    <row r="66" spans="1:22" ht="14">
      <c r="A66" s="954" t="s">
        <v>336</v>
      </c>
      <c r="B66" s="967">
        <v>2015</v>
      </c>
      <c r="C66" s="967">
        <v>2015</v>
      </c>
      <c r="D66" s="967">
        <v>2018</v>
      </c>
      <c r="E66" s="967"/>
      <c r="F66" s="983"/>
      <c r="G66" s="964"/>
      <c r="H66" s="964"/>
      <c r="I66" s="954" t="s">
        <v>336</v>
      </c>
      <c r="J66" s="967">
        <v>2015</v>
      </c>
      <c r="K66" s="967">
        <v>2015</v>
      </c>
      <c r="L66" s="967">
        <v>2017</v>
      </c>
      <c r="M66" s="1984"/>
      <c r="N66" s="1985"/>
      <c r="O66" s="964"/>
      <c r="P66" s="964"/>
      <c r="Q66" s="954" t="s">
        <v>336</v>
      </c>
      <c r="R66" s="967">
        <v>2018</v>
      </c>
      <c r="S66" s="967">
        <v>2018</v>
      </c>
      <c r="T66" s="1649">
        <v>2019</v>
      </c>
      <c r="U66" s="1984"/>
      <c r="V66" s="1985"/>
    </row>
    <row r="67" spans="1:22">
      <c r="A67" s="969">
        <v>0.5</v>
      </c>
      <c r="B67" s="970" t="s">
        <v>10</v>
      </c>
      <c r="C67" s="970" t="s">
        <v>10</v>
      </c>
      <c r="D67" s="960">
        <v>1E-4</v>
      </c>
      <c r="E67" s="971">
        <f>0.5*(MAX(B67:D67)-MIN(B67:D67))</f>
        <v>0</v>
      </c>
      <c r="F67" s="969">
        <v>1.1999999999999999E-3</v>
      </c>
      <c r="G67" s="964"/>
      <c r="H67" s="964"/>
      <c r="I67" s="969">
        <v>30</v>
      </c>
      <c r="J67" s="970" t="s">
        <v>10</v>
      </c>
      <c r="K67" s="970" t="s">
        <v>10</v>
      </c>
      <c r="L67" s="960">
        <v>1E-4</v>
      </c>
      <c r="M67" s="971">
        <f>0.5*(MAX(J67:L67)-MIN(J67:L67))</f>
        <v>0</v>
      </c>
      <c r="N67" s="969">
        <v>5.4999999999999997E-3</v>
      </c>
      <c r="O67" s="964"/>
      <c r="P67" s="964"/>
      <c r="Q67" s="969">
        <v>0.5</v>
      </c>
      <c r="R67" s="970" t="s">
        <v>10</v>
      </c>
      <c r="S67" s="970" t="s">
        <v>10</v>
      </c>
      <c r="T67" s="960">
        <v>1E-4</v>
      </c>
      <c r="U67" s="971">
        <f>0.5*(MAX(R67:T67)-MIN(R67:T67))</f>
        <v>0</v>
      </c>
      <c r="V67" s="969">
        <v>5.4999999999999997E-3</v>
      </c>
    </row>
    <row r="68" spans="1:22">
      <c r="A68" s="969">
        <v>1</v>
      </c>
      <c r="B68" s="970" t="s">
        <v>10</v>
      </c>
      <c r="C68" s="970" t="s">
        <v>10</v>
      </c>
      <c r="D68" s="960">
        <v>1E-4</v>
      </c>
      <c r="E68" s="971">
        <f>0.5*(MAX(B68:D68)-MIN(B68:D68))</f>
        <v>0</v>
      </c>
      <c r="F68" s="969" t="s">
        <v>337</v>
      </c>
      <c r="G68" s="964"/>
      <c r="H68" s="964"/>
      <c r="I68" s="969">
        <v>60</v>
      </c>
      <c r="J68" s="970" t="s">
        <v>10</v>
      </c>
      <c r="K68" s="970" t="s">
        <v>10</v>
      </c>
      <c r="L68" s="960">
        <v>1E-4</v>
      </c>
      <c r="M68" s="971">
        <f>0.5*(MAX(J68:L68)-MIN(J68:L68))</f>
        <v>0</v>
      </c>
      <c r="N68" s="969" t="s">
        <v>337</v>
      </c>
      <c r="O68" s="964"/>
      <c r="P68" s="964"/>
      <c r="Q68" s="969">
        <v>1</v>
      </c>
      <c r="R68" s="970" t="s">
        <v>10</v>
      </c>
      <c r="S68" s="970" t="s">
        <v>10</v>
      </c>
      <c r="T68" s="960">
        <v>1E-4</v>
      </c>
      <c r="U68" s="971">
        <f>0.5*(MAX(R68:T68)-MIN(R68:T68))</f>
        <v>0</v>
      </c>
      <c r="V68" s="969" t="s">
        <v>337</v>
      </c>
    </row>
    <row r="69" spans="1:22">
      <c r="A69" s="969">
        <v>2</v>
      </c>
      <c r="B69" s="970" t="s">
        <v>10</v>
      </c>
      <c r="C69" s="970" t="s">
        <v>10</v>
      </c>
      <c r="D69" s="960">
        <v>1E-4</v>
      </c>
      <c r="E69" s="971">
        <f>0.5*(MAX(B69:D69)-MIN(B69:D69))</f>
        <v>0</v>
      </c>
      <c r="F69" s="969" t="s">
        <v>338</v>
      </c>
      <c r="G69" s="964"/>
      <c r="H69" s="964"/>
      <c r="I69" s="969">
        <v>120</v>
      </c>
      <c r="J69" s="970" t="s">
        <v>10</v>
      </c>
      <c r="K69" s="970" t="s">
        <v>10</v>
      </c>
      <c r="L69" s="960">
        <v>1E-4</v>
      </c>
      <c r="M69" s="971">
        <f>0.5*(MAX(J69:L69)-MIN(J69:L69))</f>
        <v>0</v>
      </c>
      <c r="N69" s="969" t="s">
        <v>338</v>
      </c>
      <c r="O69" s="964"/>
      <c r="P69" s="964"/>
      <c r="Q69" s="969">
        <v>2</v>
      </c>
      <c r="R69" s="970" t="s">
        <v>10</v>
      </c>
      <c r="S69" s="970" t="s">
        <v>10</v>
      </c>
      <c r="T69" s="960">
        <v>1E-4</v>
      </c>
      <c r="U69" s="971">
        <f>0.5*(MAX(R69:T69)-MIN(R69:T69))</f>
        <v>0</v>
      </c>
      <c r="V69" s="969" t="s">
        <v>338</v>
      </c>
    </row>
    <row r="70" spans="1:22">
      <c r="A70" s="969">
        <v>3</v>
      </c>
      <c r="B70" s="970" t="s">
        <v>10</v>
      </c>
      <c r="C70" s="970" t="s">
        <v>10</v>
      </c>
      <c r="D70" s="960">
        <v>1E-4</v>
      </c>
      <c r="E70" s="971">
        <f>0.5*(MAX(B70:D70)-MIN(B70:D70))</f>
        <v>0</v>
      </c>
      <c r="F70" s="969" t="s">
        <v>10</v>
      </c>
      <c r="G70" s="964"/>
      <c r="H70" s="964"/>
      <c r="I70" s="969">
        <v>180</v>
      </c>
      <c r="J70" s="970" t="s">
        <v>10</v>
      </c>
      <c r="K70" s="970" t="s">
        <v>10</v>
      </c>
      <c r="L70" s="960">
        <v>1E-4</v>
      </c>
      <c r="M70" s="971">
        <f>0.5*(MAX(J70:L70)-MIN(J70:L70))</f>
        <v>0</v>
      </c>
      <c r="N70" s="969"/>
      <c r="O70" s="964"/>
      <c r="P70" s="964"/>
      <c r="Q70" s="969">
        <v>3</v>
      </c>
      <c r="R70" s="970" t="s">
        <v>10</v>
      </c>
      <c r="S70" s="970" t="s">
        <v>10</v>
      </c>
      <c r="T70" s="960">
        <v>1E-4</v>
      </c>
      <c r="U70" s="971">
        <f>0.5*(MAX(R70:T70)-MIN(R70:T70))</f>
        <v>0</v>
      </c>
      <c r="V70" s="969"/>
    </row>
    <row r="71" spans="1:22" ht="26">
      <c r="A71" s="973" t="s">
        <v>339</v>
      </c>
      <c r="B71" s="967" t="s">
        <v>7</v>
      </c>
      <c r="C71" s="967" t="s">
        <v>7</v>
      </c>
      <c r="D71" s="967"/>
      <c r="E71" s="974" t="s">
        <v>2</v>
      </c>
      <c r="F71" s="975" t="s">
        <v>26</v>
      </c>
      <c r="G71" s="964"/>
      <c r="H71" s="964"/>
      <c r="I71" s="973" t="s">
        <v>339</v>
      </c>
      <c r="J71" s="986" t="s">
        <v>7</v>
      </c>
      <c r="K71" s="986" t="s">
        <v>7</v>
      </c>
      <c r="L71" s="987"/>
      <c r="M71" s="974" t="s">
        <v>2</v>
      </c>
      <c r="N71" s="975" t="s">
        <v>26</v>
      </c>
      <c r="O71" s="964"/>
      <c r="P71" s="964"/>
      <c r="Q71" s="973" t="s">
        <v>339</v>
      </c>
      <c r="R71" s="974" t="s">
        <v>7</v>
      </c>
      <c r="S71" s="974" t="s">
        <v>7</v>
      </c>
      <c r="T71" s="1649"/>
      <c r="U71" s="974" t="s">
        <v>2</v>
      </c>
      <c r="V71" s="975" t="s">
        <v>26</v>
      </c>
    </row>
    <row r="72" spans="1:22" ht="13">
      <c r="A72" s="976" t="s">
        <v>340</v>
      </c>
      <c r="B72" s="967">
        <f>B66</f>
        <v>2015</v>
      </c>
      <c r="C72" s="967">
        <f>C66</f>
        <v>2015</v>
      </c>
      <c r="D72" s="967">
        <f>D66</f>
        <v>2018</v>
      </c>
      <c r="E72" s="971"/>
      <c r="F72" s="975"/>
      <c r="G72" s="964"/>
      <c r="H72" s="964"/>
      <c r="I72" s="976" t="s">
        <v>340</v>
      </c>
      <c r="J72" s="967">
        <f>J66</f>
        <v>2015</v>
      </c>
      <c r="K72" s="967">
        <f>K66</f>
        <v>2015</v>
      </c>
      <c r="L72" s="967">
        <f>L66</f>
        <v>2017</v>
      </c>
      <c r="M72" s="971"/>
      <c r="N72" s="975"/>
      <c r="O72" s="964"/>
      <c r="P72" s="964"/>
      <c r="Q72" s="976" t="s">
        <v>340</v>
      </c>
      <c r="R72" s="967">
        <f>R66</f>
        <v>2018</v>
      </c>
      <c r="S72" s="967">
        <f>S66</f>
        <v>2018</v>
      </c>
      <c r="T72" s="1649">
        <f>T66</f>
        <v>2019</v>
      </c>
      <c r="U72" s="971"/>
      <c r="V72" s="975"/>
    </row>
    <row r="73" spans="1:22">
      <c r="A73" s="969">
        <v>0.5</v>
      </c>
      <c r="B73" s="972" t="s">
        <v>10</v>
      </c>
      <c r="C73" s="972" t="s">
        <v>10</v>
      </c>
      <c r="D73" s="960">
        <v>1E-4</v>
      </c>
      <c r="E73" s="971">
        <f>0.5*(MAX(B73:D73)-MIN(B73:D73))</f>
        <v>0</v>
      </c>
      <c r="F73" s="977">
        <v>1E-4</v>
      </c>
      <c r="G73" s="964" t="s">
        <v>352</v>
      </c>
      <c r="H73" s="964"/>
      <c r="I73" s="969">
        <v>0.5</v>
      </c>
      <c r="J73" s="972">
        <v>0</v>
      </c>
      <c r="K73" s="972">
        <v>0</v>
      </c>
      <c r="L73" s="960">
        <v>1E-4</v>
      </c>
      <c r="M73" s="971">
        <f>0.5*(MAX(J73:L73)-MIN(J73:L73))</f>
        <v>5.0000000000000002E-5</v>
      </c>
      <c r="N73" s="977">
        <v>1E-4</v>
      </c>
      <c r="O73" s="964"/>
      <c r="P73" s="964"/>
      <c r="Q73" s="969">
        <v>0.5</v>
      </c>
      <c r="R73" s="972">
        <v>0</v>
      </c>
      <c r="S73" s="972">
        <v>0</v>
      </c>
      <c r="T73" s="960">
        <v>1E-4</v>
      </c>
      <c r="U73" s="971">
        <f>0.5*(MAX(R73:T73)-MIN(R73:T73))</f>
        <v>5.0000000000000002E-5</v>
      </c>
      <c r="V73" s="977">
        <v>1E-4</v>
      </c>
    </row>
    <row r="74" spans="1:22">
      <c r="A74" s="969">
        <v>1</v>
      </c>
      <c r="B74" s="972" t="s">
        <v>10</v>
      </c>
      <c r="C74" s="972" t="s">
        <v>10</v>
      </c>
      <c r="D74" s="960">
        <v>1E-4</v>
      </c>
      <c r="E74" s="971">
        <f>0.5*(MAX(B74:D74)-MIN(B74:D74))</f>
        <v>0</v>
      </c>
      <c r="F74" s="977">
        <v>1E-4</v>
      </c>
      <c r="G74" s="964" t="s">
        <v>352</v>
      </c>
      <c r="H74" s="964"/>
      <c r="I74" s="969">
        <v>1</v>
      </c>
      <c r="J74" s="972">
        <v>0</v>
      </c>
      <c r="K74" s="972">
        <v>0</v>
      </c>
      <c r="L74" s="960">
        <v>1E-4</v>
      </c>
      <c r="M74" s="971">
        <f>0.5*(MAX(J74:L74)-MIN(J74:L74))</f>
        <v>5.0000000000000002E-5</v>
      </c>
      <c r="N74" s="977">
        <v>1E-4</v>
      </c>
      <c r="O74" s="964"/>
      <c r="P74" s="964"/>
      <c r="Q74" s="969">
        <v>1</v>
      </c>
      <c r="R74" s="972">
        <v>0</v>
      </c>
      <c r="S74" s="972">
        <v>0</v>
      </c>
      <c r="T74" s="960">
        <v>1E-4</v>
      </c>
      <c r="U74" s="971">
        <f>0.5*(MAX(R74:T74)-MIN(R74:T74))</f>
        <v>5.0000000000000002E-5</v>
      </c>
      <c r="V74" s="977">
        <v>1E-4</v>
      </c>
    </row>
    <row r="75" spans="1:22">
      <c r="A75" s="969">
        <v>2</v>
      </c>
      <c r="B75" s="972" t="s">
        <v>10</v>
      </c>
      <c r="C75" s="972" t="s">
        <v>10</v>
      </c>
      <c r="D75" s="960">
        <v>1E-4</v>
      </c>
      <c r="E75" s="971">
        <f>0.5*(MAX(B75:D75)-MIN(B75:D75))</f>
        <v>0</v>
      </c>
      <c r="F75" s="977">
        <v>1E-4</v>
      </c>
      <c r="G75" s="964" t="s">
        <v>352</v>
      </c>
      <c r="H75" s="964"/>
      <c r="I75" s="969">
        <v>2</v>
      </c>
      <c r="J75" s="972">
        <v>0</v>
      </c>
      <c r="K75" s="972">
        <v>0</v>
      </c>
      <c r="L75" s="960">
        <v>1E-4</v>
      </c>
      <c r="M75" s="971">
        <f>0.5*(MAX(J75:L75)-MIN(J75:L75))</f>
        <v>5.0000000000000002E-5</v>
      </c>
      <c r="N75" s="977">
        <v>1E-4</v>
      </c>
      <c r="O75" s="964"/>
      <c r="P75" s="964"/>
      <c r="Q75" s="969">
        <v>2</v>
      </c>
      <c r="R75" s="972">
        <v>0</v>
      </c>
      <c r="S75" s="972">
        <v>0</v>
      </c>
      <c r="T75" s="960">
        <v>1E-4</v>
      </c>
      <c r="U75" s="971">
        <f>0.5*(MAX(R75:T75)-MIN(R75:T75))</f>
        <v>5.0000000000000002E-5</v>
      </c>
      <c r="V75" s="977">
        <v>1E-4</v>
      </c>
    </row>
    <row r="76" spans="1:22" ht="26">
      <c r="A76" s="973" t="s">
        <v>343</v>
      </c>
      <c r="B76" s="967" t="s">
        <v>7</v>
      </c>
      <c r="C76" s="967" t="s">
        <v>7</v>
      </c>
      <c r="D76" s="967"/>
      <c r="E76" s="974" t="s">
        <v>2</v>
      </c>
      <c r="F76" s="975" t="s">
        <v>26</v>
      </c>
      <c r="G76" s="964"/>
      <c r="H76" s="964"/>
      <c r="I76" s="973" t="s">
        <v>343</v>
      </c>
      <c r="J76" s="986" t="s">
        <v>7</v>
      </c>
      <c r="K76" s="986" t="s">
        <v>7</v>
      </c>
      <c r="L76" s="987"/>
      <c r="M76" s="974" t="s">
        <v>2</v>
      </c>
      <c r="N76" s="975" t="s">
        <v>26</v>
      </c>
      <c r="O76" s="964"/>
      <c r="P76" s="964"/>
      <c r="Q76" s="973" t="s">
        <v>343</v>
      </c>
      <c r="R76" s="974" t="s">
        <v>7</v>
      </c>
      <c r="S76" s="974" t="s">
        <v>7</v>
      </c>
      <c r="T76" s="1649"/>
      <c r="U76" s="974" t="s">
        <v>2</v>
      </c>
      <c r="V76" s="975" t="s">
        <v>26</v>
      </c>
    </row>
    <row r="77" spans="1:22" ht="13">
      <c r="A77" s="973" t="s">
        <v>344</v>
      </c>
      <c r="B77" s="967">
        <f>B72</f>
        <v>2015</v>
      </c>
      <c r="C77" s="967">
        <f>C72</f>
        <v>2015</v>
      </c>
      <c r="D77" s="967">
        <f>D72</f>
        <v>2018</v>
      </c>
      <c r="E77" s="971"/>
      <c r="F77" s="975"/>
      <c r="G77" s="964"/>
      <c r="H77" s="964"/>
      <c r="I77" s="973" t="s">
        <v>344</v>
      </c>
      <c r="J77" s="967">
        <f>J72</f>
        <v>2015</v>
      </c>
      <c r="K77" s="967">
        <f>K72</f>
        <v>2015</v>
      </c>
      <c r="L77" s="967">
        <f>L72</f>
        <v>2017</v>
      </c>
      <c r="M77" s="971"/>
      <c r="N77" s="975"/>
      <c r="O77" s="964"/>
      <c r="P77" s="964"/>
      <c r="Q77" s="973" t="s">
        <v>344</v>
      </c>
      <c r="R77" s="967">
        <f>R72</f>
        <v>2018</v>
      </c>
      <c r="S77" s="967">
        <f>S72</f>
        <v>2018</v>
      </c>
      <c r="T77" s="1649">
        <f>T72</f>
        <v>2019</v>
      </c>
      <c r="U77" s="971"/>
      <c r="V77" s="975"/>
    </row>
    <row r="78" spans="1:22">
      <c r="A78" s="969">
        <v>0.125</v>
      </c>
      <c r="B78" s="972" t="s">
        <v>10</v>
      </c>
      <c r="C78" s="972" t="s">
        <v>10</v>
      </c>
      <c r="D78" s="960">
        <v>1E-4</v>
      </c>
      <c r="E78" s="971">
        <f>0.5*(MAX(B78:D78)-MIN(B78:D78))</f>
        <v>0</v>
      </c>
      <c r="F78" s="977">
        <v>2.5999999999999998E-5</v>
      </c>
      <c r="G78" s="964" t="s">
        <v>352</v>
      </c>
      <c r="H78" s="964"/>
      <c r="I78" s="969">
        <v>0.125</v>
      </c>
      <c r="J78" s="972">
        <v>0</v>
      </c>
      <c r="K78" s="972">
        <v>0</v>
      </c>
      <c r="L78" s="960">
        <v>1E-4</v>
      </c>
      <c r="M78" s="971">
        <f>0.5*(MAX(J78:L78)-MIN(J78:L78))</f>
        <v>5.0000000000000002E-5</v>
      </c>
      <c r="N78" s="977">
        <v>2.5999999999999998E-5</v>
      </c>
      <c r="O78" s="964"/>
      <c r="P78" s="964"/>
      <c r="Q78" s="969">
        <v>0.125</v>
      </c>
      <c r="R78" s="972">
        <v>0</v>
      </c>
      <c r="S78" s="972">
        <v>0</v>
      </c>
      <c r="T78" s="960">
        <v>1E-4</v>
      </c>
      <c r="U78" s="971">
        <f>0.5*(MAX(R78:T78)-MIN(R78:T78))</f>
        <v>5.0000000000000002E-5</v>
      </c>
      <c r="V78" s="977">
        <v>2.5999999999999998E-5</v>
      </c>
    </row>
    <row r="79" spans="1:22">
      <c r="A79" s="969">
        <v>2</v>
      </c>
      <c r="B79" s="972" t="s">
        <v>10</v>
      </c>
      <c r="C79" s="972" t="s">
        <v>10</v>
      </c>
      <c r="D79" s="960">
        <v>1E-4</v>
      </c>
      <c r="E79" s="971">
        <f>0.5*(MAX(B79:D79)-MIN(B79:D79))</f>
        <v>0</v>
      </c>
      <c r="F79" s="977">
        <v>2.5999999999999998E-5</v>
      </c>
      <c r="G79" s="964" t="s">
        <v>352</v>
      </c>
      <c r="H79" s="964"/>
      <c r="I79" s="969">
        <v>2</v>
      </c>
      <c r="J79" s="972">
        <v>0</v>
      </c>
      <c r="K79" s="972">
        <v>0</v>
      </c>
      <c r="L79" s="960">
        <v>1E-4</v>
      </c>
      <c r="M79" s="971">
        <f>0.5*(MAX(J79:L79)-MIN(J79:L79))</f>
        <v>5.0000000000000002E-5</v>
      </c>
      <c r="N79" s="977">
        <v>2.5999999999999998E-5</v>
      </c>
      <c r="O79" s="964"/>
      <c r="P79" s="964"/>
      <c r="Q79" s="969">
        <v>2</v>
      </c>
      <c r="R79" s="972">
        <v>0</v>
      </c>
      <c r="S79" s="972">
        <v>0</v>
      </c>
      <c r="T79" s="960">
        <v>1E-4</v>
      </c>
      <c r="U79" s="971">
        <f>0.5*(MAX(R79:T79)-MIN(R79:T79))</f>
        <v>5.0000000000000002E-5</v>
      </c>
      <c r="V79" s="977">
        <v>2.5999999999999998E-5</v>
      </c>
    </row>
    <row r="80" spans="1:22" ht="26">
      <c r="A80" s="973" t="s">
        <v>346</v>
      </c>
      <c r="B80" s="967" t="s">
        <v>7</v>
      </c>
      <c r="C80" s="967" t="s">
        <v>7</v>
      </c>
      <c r="D80" s="967"/>
      <c r="E80" s="974" t="s">
        <v>2</v>
      </c>
      <c r="F80" s="975" t="s">
        <v>26</v>
      </c>
      <c r="G80" s="964"/>
      <c r="H80" s="964"/>
      <c r="I80" s="973" t="s">
        <v>346</v>
      </c>
      <c r="J80" s="986" t="s">
        <v>7</v>
      </c>
      <c r="K80" s="986" t="s">
        <v>7</v>
      </c>
      <c r="L80" s="987"/>
      <c r="M80" s="974" t="s">
        <v>2</v>
      </c>
      <c r="N80" s="975" t="s">
        <v>26</v>
      </c>
      <c r="O80" s="964"/>
      <c r="P80" s="964"/>
      <c r="Q80" s="973" t="s">
        <v>346</v>
      </c>
      <c r="R80" s="974" t="s">
        <v>7</v>
      </c>
      <c r="S80" s="974" t="s">
        <v>7</v>
      </c>
      <c r="T80" s="1649"/>
      <c r="U80" s="974" t="s">
        <v>2</v>
      </c>
      <c r="V80" s="975" t="s">
        <v>26</v>
      </c>
    </row>
    <row r="81" spans="1:22" ht="13">
      <c r="A81" s="973" t="s">
        <v>344</v>
      </c>
      <c r="B81" s="967">
        <f>B77</f>
        <v>2015</v>
      </c>
      <c r="C81" s="967">
        <f>C77</f>
        <v>2015</v>
      </c>
      <c r="D81" s="967">
        <f>D77</f>
        <v>2018</v>
      </c>
      <c r="E81" s="971"/>
      <c r="F81" s="975"/>
      <c r="G81" s="964"/>
      <c r="H81" s="964"/>
      <c r="I81" s="973" t="s">
        <v>344</v>
      </c>
      <c r="J81" s="967">
        <f>J77</f>
        <v>2015</v>
      </c>
      <c r="K81" s="967">
        <f>K77</f>
        <v>2015</v>
      </c>
      <c r="L81" s="967">
        <f>L77</f>
        <v>2017</v>
      </c>
      <c r="M81" s="971"/>
      <c r="N81" s="975"/>
      <c r="O81" s="964"/>
      <c r="P81" s="964"/>
      <c r="Q81" s="973" t="s">
        <v>344</v>
      </c>
      <c r="R81" s="967">
        <f>R77</f>
        <v>2018</v>
      </c>
      <c r="S81" s="967">
        <f>S77</f>
        <v>2018</v>
      </c>
      <c r="T81" s="1649">
        <f>T77</f>
        <v>2019</v>
      </c>
      <c r="U81" s="971"/>
      <c r="V81" s="975"/>
    </row>
    <row r="82" spans="1:22">
      <c r="A82" s="969">
        <v>10</v>
      </c>
      <c r="B82" s="972" t="s">
        <v>10</v>
      </c>
      <c r="C82" s="972" t="s">
        <v>10</v>
      </c>
      <c r="D82" s="960">
        <v>1E-4</v>
      </c>
      <c r="E82" s="971">
        <f>0.5*(MAX(B82:D82)-MIN(B82:D82))</f>
        <v>0</v>
      </c>
      <c r="F82" s="977">
        <v>2.5999999999999998E-5</v>
      </c>
      <c r="G82" s="964" t="s">
        <v>352</v>
      </c>
      <c r="H82" s="964"/>
      <c r="I82" s="969">
        <v>10</v>
      </c>
      <c r="J82" s="972">
        <v>0</v>
      </c>
      <c r="K82" s="972">
        <v>0</v>
      </c>
      <c r="L82" s="960">
        <v>1E-4</v>
      </c>
      <c r="M82" s="971">
        <f>0.5*(MAX(J82:L82)-MIN(J82:L82))</f>
        <v>5.0000000000000002E-5</v>
      </c>
      <c r="N82" s="977">
        <v>2.5999999999999998E-5</v>
      </c>
      <c r="O82" s="964"/>
      <c r="P82" s="964"/>
      <c r="Q82" s="969">
        <v>10</v>
      </c>
      <c r="R82" s="972">
        <v>0</v>
      </c>
      <c r="S82" s="972">
        <v>0</v>
      </c>
      <c r="T82" s="960">
        <v>1E-4</v>
      </c>
      <c r="U82" s="971">
        <f>0.5*(MAX(R82:T82)-MIN(R82:T82))</f>
        <v>5.0000000000000002E-5</v>
      </c>
      <c r="V82" s="977">
        <v>2.5999999999999998E-5</v>
      </c>
    </row>
    <row r="83" spans="1:22" ht="12.75" customHeight="1">
      <c r="A83" s="114" t="s">
        <v>347</v>
      </c>
      <c r="B83" s="114" t="s">
        <v>7</v>
      </c>
      <c r="C83" s="114" t="s">
        <v>7</v>
      </c>
      <c r="D83" s="114"/>
      <c r="E83" s="114" t="s">
        <v>2</v>
      </c>
      <c r="F83" s="980" t="s">
        <v>26</v>
      </c>
      <c r="G83" s="964"/>
      <c r="H83" s="964"/>
      <c r="I83" s="114" t="s">
        <v>347</v>
      </c>
      <c r="J83" s="114" t="s">
        <v>7</v>
      </c>
      <c r="K83" s="114" t="s">
        <v>7</v>
      </c>
      <c r="L83" s="114"/>
      <c r="M83" s="1983" t="s">
        <v>2</v>
      </c>
      <c r="N83" s="1986" t="s">
        <v>26</v>
      </c>
      <c r="O83" s="964"/>
      <c r="P83" s="964"/>
      <c r="Q83" s="114" t="s">
        <v>347</v>
      </c>
      <c r="R83" s="114" t="s">
        <v>7</v>
      </c>
      <c r="S83" s="114" t="s">
        <v>7</v>
      </c>
      <c r="T83" s="1648"/>
      <c r="U83" s="1983" t="s">
        <v>2</v>
      </c>
      <c r="V83" s="1986" t="s">
        <v>26</v>
      </c>
    </row>
    <row r="84" spans="1:22" ht="14">
      <c r="A84" s="954" t="s">
        <v>348</v>
      </c>
      <c r="B84" s="114">
        <f>B81</f>
        <v>2015</v>
      </c>
      <c r="C84" s="114">
        <f>C81</f>
        <v>2015</v>
      </c>
      <c r="D84" s="114">
        <f>D81</f>
        <v>2018</v>
      </c>
      <c r="E84" s="114"/>
      <c r="F84" s="980"/>
      <c r="G84" s="964"/>
      <c r="H84" s="964"/>
      <c r="I84" s="954" t="s">
        <v>348</v>
      </c>
      <c r="J84" s="114">
        <f>J81</f>
        <v>2015</v>
      </c>
      <c r="K84" s="114">
        <f>K81</f>
        <v>2015</v>
      </c>
      <c r="L84" s="114">
        <f>L81</f>
        <v>2017</v>
      </c>
      <c r="M84" s="1983"/>
      <c r="N84" s="1986"/>
      <c r="O84" s="964"/>
      <c r="P84" s="964"/>
      <c r="Q84" s="954" t="s">
        <v>348</v>
      </c>
      <c r="R84" s="114">
        <f>R81</f>
        <v>2018</v>
      </c>
      <c r="S84" s="114">
        <f>S81</f>
        <v>2018</v>
      </c>
      <c r="T84" s="1648">
        <f>T81</f>
        <v>2019</v>
      </c>
      <c r="U84" s="1983"/>
      <c r="V84" s="1986"/>
    </row>
    <row r="85" spans="1:22">
      <c r="A85" s="981">
        <v>15</v>
      </c>
      <c r="B85" s="960">
        <v>0</v>
      </c>
      <c r="C85" s="960">
        <v>0</v>
      </c>
      <c r="D85" s="960">
        <v>1E-4</v>
      </c>
      <c r="E85" s="961">
        <f>0.5*(MAX(B85:D85)-MIN(B85:D85))</f>
        <v>5.0000000000000002E-5</v>
      </c>
      <c r="F85" s="982"/>
      <c r="G85" s="964"/>
      <c r="H85" s="964"/>
      <c r="I85" s="981">
        <v>15</v>
      </c>
      <c r="J85" s="960">
        <v>0</v>
      </c>
      <c r="K85" s="960">
        <v>0</v>
      </c>
      <c r="L85" s="960">
        <v>1E-4</v>
      </c>
      <c r="M85" s="961">
        <f>0.5*(MAX(J85:L85)-MIN(J85:L85))</f>
        <v>5.0000000000000002E-5</v>
      </c>
      <c r="N85" s="982"/>
      <c r="O85" s="964"/>
      <c r="P85" s="964"/>
      <c r="Q85" s="981">
        <v>15</v>
      </c>
      <c r="R85" s="960">
        <v>0</v>
      </c>
      <c r="S85" s="960">
        <v>0</v>
      </c>
      <c r="T85" s="960">
        <v>1E-4</v>
      </c>
      <c r="U85" s="961">
        <f>0.5*(MAX(R85:T85)-MIN(R85:T85))</f>
        <v>5.0000000000000002E-5</v>
      </c>
      <c r="V85" s="982"/>
    </row>
    <row r="86" spans="1:22">
      <c r="A86" s="963">
        <v>30</v>
      </c>
      <c r="B86" s="960">
        <v>0</v>
      </c>
      <c r="C86" s="960">
        <v>0</v>
      </c>
      <c r="D86" s="960">
        <v>1E-4</v>
      </c>
      <c r="E86" s="961">
        <f>0.5*(MAX(B86:D86)-MIN(B86:D86))</f>
        <v>5.0000000000000002E-5</v>
      </c>
      <c r="F86" s="962">
        <v>1.1999999999999999E-3</v>
      </c>
      <c r="G86" s="964"/>
      <c r="H86" s="964"/>
      <c r="I86" s="963">
        <v>30</v>
      </c>
      <c r="J86" s="960">
        <v>0</v>
      </c>
      <c r="K86" s="960">
        <v>0</v>
      </c>
      <c r="L86" s="960">
        <v>1E-4</v>
      </c>
      <c r="M86" s="961">
        <f>0.5*(MAX(J86:L86)-MIN(J86:L86))</f>
        <v>5.0000000000000002E-5</v>
      </c>
      <c r="N86" s="962">
        <v>1.1999999999999999E-3</v>
      </c>
      <c r="O86" s="964"/>
      <c r="P86" s="964"/>
      <c r="Q86" s="963">
        <v>30</v>
      </c>
      <c r="R86" s="960">
        <v>0</v>
      </c>
      <c r="S86" s="960">
        <v>0</v>
      </c>
      <c r="T86" s="960">
        <v>1E-4</v>
      </c>
      <c r="U86" s="961">
        <f>0.5*(MAX(R86:T86)-MIN(R86:T86))</f>
        <v>5.0000000000000002E-5</v>
      </c>
      <c r="V86" s="962">
        <v>1.1999999999999999E-3</v>
      </c>
    </row>
    <row r="87" spans="1:22">
      <c r="A87" s="963">
        <v>60</v>
      </c>
      <c r="B87" s="960">
        <v>0</v>
      </c>
      <c r="C87" s="960">
        <v>0</v>
      </c>
      <c r="D87" s="960">
        <v>1E-4</v>
      </c>
      <c r="E87" s="961">
        <f>0.5*(MAX(B87:D87)-MIN(B87:D87))</f>
        <v>5.0000000000000002E-5</v>
      </c>
      <c r="F87" s="962" t="s">
        <v>337</v>
      </c>
      <c r="G87" s="964"/>
      <c r="H87" s="964"/>
      <c r="I87" s="963">
        <v>60</v>
      </c>
      <c r="J87" s="960">
        <v>0</v>
      </c>
      <c r="K87" s="960">
        <v>0</v>
      </c>
      <c r="L87" s="960">
        <v>1E-4</v>
      </c>
      <c r="M87" s="961">
        <f>0.5*(MAX(J87:L87)-MIN(J87:L87))</f>
        <v>5.0000000000000002E-5</v>
      </c>
      <c r="N87" s="962" t="s">
        <v>337</v>
      </c>
      <c r="O87" s="964"/>
      <c r="P87" s="964"/>
      <c r="Q87" s="963">
        <v>60</v>
      </c>
      <c r="R87" s="960">
        <v>0</v>
      </c>
      <c r="S87" s="960">
        <v>0</v>
      </c>
      <c r="T87" s="960">
        <v>1E-4</v>
      </c>
      <c r="U87" s="961">
        <f>0.5*(MAX(R87:T87)-MIN(R87:T87))</f>
        <v>5.0000000000000002E-5</v>
      </c>
      <c r="V87" s="962" t="s">
        <v>337</v>
      </c>
    </row>
    <row r="88" spans="1:22">
      <c r="A88" s="963">
        <v>120</v>
      </c>
      <c r="B88" s="960">
        <v>0</v>
      </c>
      <c r="C88" s="960">
        <v>0</v>
      </c>
      <c r="D88" s="960">
        <v>1E-4</v>
      </c>
      <c r="E88" s="961">
        <f>0.5*(MAX(B88:D88)-MIN(B88:D88))</f>
        <v>5.0000000000000002E-5</v>
      </c>
      <c r="F88" s="962" t="s">
        <v>338</v>
      </c>
      <c r="G88" s="964"/>
      <c r="H88" s="964"/>
      <c r="I88" s="963">
        <v>120</v>
      </c>
      <c r="J88" s="960">
        <v>0</v>
      </c>
      <c r="K88" s="960">
        <v>0</v>
      </c>
      <c r="L88" s="960">
        <v>1E-4</v>
      </c>
      <c r="M88" s="961">
        <f>0.5*(MAX(J88:L88)-MIN(J88:L88))</f>
        <v>5.0000000000000002E-5</v>
      </c>
      <c r="N88" s="962" t="s">
        <v>338</v>
      </c>
      <c r="O88" s="964"/>
      <c r="P88" s="964"/>
      <c r="Q88" s="963">
        <v>120</v>
      </c>
      <c r="R88" s="960">
        <v>0</v>
      </c>
      <c r="S88" s="960">
        <v>0</v>
      </c>
      <c r="T88" s="960">
        <v>1E-4</v>
      </c>
      <c r="U88" s="961">
        <f>0.5*(MAX(R88:T88)-MIN(R88:T88))</f>
        <v>5.0000000000000002E-5</v>
      </c>
      <c r="V88" s="962" t="s">
        <v>338</v>
      </c>
    </row>
    <row r="89" spans="1:22">
      <c r="A89" s="963">
        <v>180</v>
      </c>
      <c r="B89" s="960">
        <v>0</v>
      </c>
      <c r="C89" s="960">
        <v>0</v>
      </c>
      <c r="D89" s="960">
        <v>1E-4</v>
      </c>
      <c r="E89" s="961">
        <f>0.5*(MAX(B89:D89)-MIN(B89:D89))</f>
        <v>5.0000000000000002E-5</v>
      </c>
      <c r="F89" s="962" t="s">
        <v>10</v>
      </c>
      <c r="G89" s="964"/>
      <c r="H89" s="964"/>
      <c r="I89" s="963">
        <v>180</v>
      </c>
      <c r="J89" s="960">
        <v>0</v>
      </c>
      <c r="K89" s="960">
        <v>0</v>
      </c>
      <c r="L89" s="960">
        <v>1E-4</v>
      </c>
      <c r="M89" s="961">
        <f>0.5*(MAX(J89:L89)-MIN(J89:L89))</f>
        <v>5.0000000000000002E-5</v>
      </c>
      <c r="N89" s="962" t="s">
        <v>10</v>
      </c>
      <c r="O89" s="964"/>
      <c r="P89" s="964"/>
      <c r="Q89" s="963">
        <v>180</v>
      </c>
      <c r="R89" s="960">
        <v>0</v>
      </c>
      <c r="S89" s="960">
        <v>0</v>
      </c>
      <c r="T89" s="960">
        <v>1E-4</v>
      </c>
      <c r="U89" s="961">
        <f>0.5*(MAX(R89:T89)-MIN(R89:T89))</f>
        <v>5.0000000000000002E-5</v>
      </c>
      <c r="V89" s="962" t="s">
        <v>10</v>
      </c>
    </row>
    <row r="90" spans="1:22">
      <c r="A90" s="964"/>
      <c r="B90" s="964"/>
      <c r="C90" s="964"/>
      <c r="D90" s="964"/>
      <c r="E90" s="964"/>
      <c r="F90" s="964"/>
      <c r="G90" s="964"/>
      <c r="H90" s="964"/>
      <c r="I90" s="964"/>
      <c r="J90" s="964"/>
      <c r="K90" s="964"/>
      <c r="L90" s="964"/>
      <c r="M90" s="964"/>
      <c r="N90" s="964"/>
      <c r="O90" s="964"/>
      <c r="P90" s="964"/>
      <c r="Q90" s="964"/>
      <c r="R90" s="964"/>
      <c r="S90" s="964"/>
      <c r="T90" s="964"/>
      <c r="U90" s="964"/>
      <c r="V90" s="964"/>
    </row>
    <row r="91" spans="1:22">
      <c r="A91" s="964"/>
      <c r="B91" s="964"/>
      <c r="C91" s="964"/>
      <c r="D91" s="964"/>
      <c r="E91" s="964"/>
      <c r="F91" s="964"/>
      <c r="G91" s="964"/>
      <c r="H91" s="964"/>
      <c r="I91" s="964"/>
      <c r="J91" s="964"/>
      <c r="K91" s="964"/>
      <c r="L91" s="964"/>
      <c r="M91" s="964"/>
      <c r="N91" s="964"/>
      <c r="O91" s="964"/>
      <c r="P91" s="964"/>
      <c r="Q91" s="964"/>
      <c r="R91" s="964"/>
      <c r="S91" s="964"/>
      <c r="T91" s="964"/>
      <c r="U91" s="964"/>
      <c r="V91" s="964"/>
    </row>
    <row r="92" spans="1:22" ht="28">
      <c r="A92" s="985" t="s">
        <v>356</v>
      </c>
      <c r="B92" s="964"/>
      <c r="C92" s="964"/>
      <c r="D92" s="964"/>
      <c r="E92" s="964"/>
      <c r="F92" s="964"/>
      <c r="G92" s="964"/>
      <c r="H92" s="964"/>
      <c r="I92" s="988" t="s">
        <v>357</v>
      </c>
      <c r="J92" s="964"/>
      <c r="K92" s="964"/>
      <c r="L92" s="964"/>
      <c r="M92" s="964"/>
      <c r="N92" s="964"/>
      <c r="O92" s="964"/>
      <c r="P92" s="964"/>
      <c r="Q92" s="989" t="s">
        <v>358</v>
      </c>
      <c r="R92" s="964"/>
      <c r="S92" s="964"/>
      <c r="T92" s="964"/>
      <c r="U92" s="964"/>
      <c r="V92" s="964"/>
    </row>
    <row r="93" spans="1:22" ht="15" customHeight="1">
      <c r="A93" s="1996" t="s">
        <v>333</v>
      </c>
      <c r="B93" s="1996"/>
      <c r="C93" s="1996"/>
      <c r="D93" s="1996"/>
      <c r="E93" s="967" t="s">
        <v>2</v>
      </c>
      <c r="F93" s="983" t="s">
        <v>26</v>
      </c>
      <c r="G93" s="964"/>
      <c r="H93" s="964"/>
      <c r="I93" s="1996" t="s">
        <v>333</v>
      </c>
      <c r="J93" s="1996"/>
      <c r="K93" s="1996"/>
      <c r="L93" s="1996"/>
      <c r="M93" s="1984" t="s">
        <v>2</v>
      </c>
      <c r="N93" s="1985" t="s">
        <v>26</v>
      </c>
      <c r="O93" s="964"/>
      <c r="P93" s="964"/>
      <c r="Q93" s="1996" t="s">
        <v>333</v>
      </c>
      <c r="R93" s="1996"/>
      <c r="S93" s="1996"/>
      <c r="T93" s="1996"/>
      <c r="U93" s="1984" t="s">
        <v>2</v>
      </c>
      <c r="V93" s="1985" t="s">
        <v>26</v>
      </c>
    </row>
    <row r="94" spans="1:22" ht="13">
      <c r="A94" s="967" t="s">
        <v>335</v>
      </c>
      <c r="B94" s="1984" t="s">
        <v>7</v>
      </c>
      <c r="C94" s="1984"/>
      <c r="D94" s="1984"/>
      <c r="E94" s="967"/>
      <c r="F94" s="983"/>
      <c r="G94" s="964"/>
      <c r="H94" s="964"/>
      <c r="I94" s="967" t="s">
        <v>335</v>
      </c>
      <c r="J94" s="1984" t="s">
        <v>7</v>
      </c>
      <c r="K94" s="1984"/>
      <c r="L94" s="1984"/>
      <c r="M94" s="1984"/>
      <c r="N94" s="1985"/>
      <c r="O94" s="964"/>
      <c r="P94" s="964"/>
      <c r="Q94" s="967" t="s">
        <v>335</v>
      </c>
      <c r="R94" s="1984" t="s">
        <v>7</v>
      </c>
      <c r="S94" s="1984"/>
      <c r="T94" s="1984"/>
      <c r="U94" s="1984"/>
      <c r="V94" s="1985"/>
    </row>
    <row r="95" spans="1:22" ht="14">
      <c r="A95" s="954" t="s">
        <v>336</v>
      </c>
      <c r="B95" s="967">
        <v>2018</v>
      </c>
      <c r="C95" s="967">
        <v>2018</v>
      </c>
      <c r="D95" s="1649">
        <v>2019</v>
      </c>
      <c r="E95" s="967"/>
      <c r="F95" s="983"/>
      <c r="G95" s="964"/>
      <c r="H95" s="964"/>
      <c r="I95" s="954" t="s">
        <v>336</v>
      </c>
      <c r="J95" s="967">
        <v>2018</v>
      </c>
      <c r="K95" s="967">
        <v>2018</v>
      </c>
      <c r="L95" s="1649">
        <v>2019</v>
      </c>
      <c r="M95" s="1984"/>
      <c r="N95" s="1985"/>
      <c r="O95" s="964"/>
      <c r="P95" s="964"/>
      <c r="Q95" s="954" t="s">
        <v>336</v>
      </c>
      <c r="R95" s="967">
        <v>2018</v>
      </c>
      <c r="S95" s="967">
        <v>2018</v>
      </c>
      <c r="T95" s="1649">
        <v>2019</v>
      </c>
      <c r="U95" s="1984"/>
      <c r="V95" s="1985"/>
    </row>
    <row r="96" spans="1:22">
      <c r="A96" s="969">
        <v>0.5</v>
      </c>
      <c r="B96" s="970" t="s">
        <v>10</v>
      </c>
      <c r="C96" s="970" t="s">
        <v>10</v>
      </c>
      <c r="D96" s="960">
        <v>1E-4</v>
      </c>
      <c r="E96" s="971">
        <f>0.5*(MAX(B96:D96)-MIN(B96:D96))</f>
        <v>0</v>
      </c>
      <c r="F96" s="969">
        <v>5.4999999999999997E-3</v>
      </c>
      <c r="G96" s="964"/>
      <c r="H96" s="964"/>
      <c r="I96" s="969">
        <v>0.5</v>
      </c>
      <c r="J96" s="970" t="s">
        <v>10</v>
      </c>
      <c r="K96" s="970" t="s">
        <v>10</v>
      </c>
      <c r="L96" s="960">
        <v>1E-4</v>
      </c>
      <c r="M96" s="971">
        <f>0.5*(MAX(J96:L96)-MIN(J96:L96))</f>
        <v>0</v>
      </c>
      <c r="N96" s="969">
        <v>5.4999999999999997E-3</v>
      </c>
      <c r="O96" s="964"/>
      <c r="P96" s="964"/>
      <c r="Q96" s="969">
        <v>0.5</v>
      </c>
      <c r="R96" s="970" t="s">
        <v>10</v>
      </c>
      <c r="S96" s="970" t="s">
        <v>10</v>
      </c>
      <c r="T96" s="960">
        <v>1E-4</v>
      </c>
      <c r="U96" s="971">
        <f>0.5*(MAX(R96:T96)-MIN(R96:T96))</f>
        <v>0</v>
      </c>
      <c r="V96" s="969">
        <v>5.4999999999999997E-3</v>
      </c>
    </row>
    <row r="97" spans="1:22">
      <c r="A97" s="969">
        <v>1</v>
      </c>
      <c r="B97" s="970" t="s">
        <v>10</v>
      </c>
      <c r="C97" s="970" t="s">
        <v>10</v>
      </c>
      <c r="D97" s="960">
        <v>1E-4</v>
      </c>
      <c r="E97" s="971">
        <f>0.5*(MAX(B97:D97)-MIN(B97:D97))</f>
        <v>0</v>
      </c>
      <c r="F97" s="969" t="s">
        <v>337</v>
      </c>
      <c r="G97" s="964"/>
      <c r="H97" s="964"/>
      <c r="I97" s="969">
        <v>1</v>
      </c>
      <c r="J97" s="970" t="s">
        <v>10</v>
      </c>
      <c r="K97" s="970" t="s">
        <v>10</v>
      </c>
      <c r="L97" s="960">
        <v>1E-4</v>
      </c>
      <c r="M97" s="971">
        <f>0.5*(MAX(J97:L97)-MIN(J97:L97))</f>
        <v>0</v>
      </c>
      <c r="N97" s="969" t="s">
        <v>337</v>
      </c>
      <c r="O97" s="964"/>
      <c r="P97" s="964"/>
      <c r="Q97" s="969">
        <v>1</v>
      </c>
      <c r="R97" s="970" t="s">
        <v>10</v>
      </c>
      <c r="S97" s="970" t="s">
        <v>10</v>
      </c>
      <c r="T97" s="960">
        <v>1E-4</v>
      </c>
      <c r="U97" s="971">
        <f>0.5*(MAX(R97:T97)-MIN(R97:T97))</f>
        <v>0</v>
      </c>
      <c r="V97" s="969" t="s">
        <v>337</v>
      </c>
    </row>
    <row r="98" spans="1:22">
      <c r="A98" s="969">
        <v>2</v>
      </c>
      <c r="B98" s="970" t="s">
        <v>10</v>
      </c>
      <c r="C98" s="970" t="s">
        <v>10</v>
      </c>
      <c r="D98" s="960">
        <v>1E-4</v>
      </c>
      <c r="E98" s="971">
        <f>0.5*(MAX(B98:D98)-MIN(B98:D98))</f>
        <v>0</v>
      </c>
      <c r="F98" s="969" t="s">
        <v>338</v>
      </c>
      <c r="G98" s="964"/>
      <c r="H98" s="964"/>
      <c r="I98" s="969">
        <v>2</v>
      </c>
      <c r="J98" s="970" t="s">
        <v>10</v>
      </c>
      <c r="K98" s="970" t="s">
        <v>10</v>
      </c>
      <c r="L98" s="960">
        <v>1E-4</v>
      </c>
      <c r="M98" s="971">
        <f>0.5*(MAX(J98:L98)-MIN(J98:L98))</f>
        <v>0</v>
      </c>
      <c r="N98" s="969" t="s">
        <v>338</v>
      </c>
      <c r="O98" s="964"/>
      <c r="P98" s="964"/>
      <c r="Q98" s="969">
        <v>2</v>
      </c>
      <c r="R98" s="970" t="s">
        <v>10</v>
      </c>
      <c r="S98" s="970" t="s">
        <v>10</v>
      </c>
      <c r="T98" s="960">
        <v>1E-4</v>
      </c>
      <c r="U98" s="971">
        <f>0.5*(MAX(R98:T98)-MIN(R98:T98))</f>
        <v>0</v>
      </c>
      <c r="V98" s="969" t="s">
        <v>338</v>
      </c>
    </row>
    <row r="99" spans="1:22">
      <c r="A99" s="969">
        <v>3</v>
      </c>
      <c r="B99" s="970" t="s">
        <v>10</v>
      </c>
      <c r="C99" s="970" t="s">
        <v>10</v>
      </c>
      <c r="D99" s="960">
        <v>1E-4</v>
      </c>
      <c r="E99" s="971">
        <f>0.5*(MAX(B99:D99)-MIN(B99:D99))</f>
        <v>0</v>
      </c>
      <c r="F99" s="969"/>
      <c r="G99" s="964"/>
      <c r="H99" s="964"/>
      <c r="I99" s="969">
        <v>3</v>
      </c>
      <c r="J99" s="970" t="s">
        <v>10</v>
      </c>
      <c r="K99" s="970" t="s">
        <v>10</v>
      </c>
      <c r="L99" s="960">
        <v>1E-4</v>
      </c>
      <c r="M99" s="971">
        <f>0.5*(MAX(J99:L99)-MIN(J99:L99))</f>
        <v>0</v>
      </c>
      <c r="N99" s="969"/>
      <c r="O99" s="964"/>
      <c r="P99" s="964"/>
      <c r="Q99" s="969">
        <v>3</v>
      </c>
      <c r="R99" s="970" t="s">
        <v>10</v>
      </c>
      <c r="S99" s="970" t="s">
        <v>10</v>
      </c>
      <c r="T99" s="960">
        <v>1E-4</v>
      </c>
      <c r="U99" s="971">
        <f>0.5*(MAX(R99:T99)-MIN(R99:T99))</f>
        <v>0</v>
      </c>
      <c r="V99" s="969"/>
    </row>
    <row r="100" spans="1:22" ht="26">
      <c r="A100" s="973" t="s">
        <v>339</v>
      </c>
      <c r="B100" s="967" t="s">
        <v>7</v>
      </c>
      <c r="C100" s="967" t="s">
        <v>7</v>
      </c>
      <c r="D100" s="1649"/>
      <c r="E100" s="974" t="s">
        <v>2</v>
      </c>
      <c r="F100" s="975" t="s">
        <v>26</v>
      </c>
      <c r="G100" s="964"/>
      <c r="H100" s="964"/>
      <c r="I100" s="973" t="s">
        <v>339</v>
      </c>
      <c r="J100" s="967" t="s">
        <v>7</v>
      </c>
      <c r="K100" s="967" t="s">
        <v>7</v>
      </c>
      <c r="L100" s="1649"/>
      <c r="M100" s="974" t="s">
        <v>2</v>
      </c>
      <c r="N100" s="975" t="s">
        <v>26</v>
      </c>
      <c r="O100" s="964"/>
      <c r="P100" s="964"/>
      <c r="Q100" s="973" t="s">
        <v>339</v>
      </c>
      <c r="R100" s="974" t="s">
        <v>7</v>
      </c>
      <c r="S100" s="974" t="s">
        <v>7</v>
      </c>
      <c r="T100" s="1649"/>
      <c r="U100" s="974" t="s">
        <v>2</v>
      </c>
      <c r="V100" s="975" t="s">
        <v>26</v>
      </c>
    </row>
    <row r="101" spans="1:22" ht="13">
      <c r="A101" s="976" t="s">
        <v>340</v>
      </c>
      <c r="B101" s="967">
        <f>B95</f>
        <v>2018</v>
      </c>
      <c r="C101" s="967">
        <f>C95</f>
        <v>2018</v>
      </c>
      <c r="D101" s="1649">
        <f>D95</f>
        <v>2019</v>
      </c>
      <c r="E101" s="971"/>
      <c r="F101" s="975"/>
      <c r="G101" s="964"/>
      <c r="H101" s="964"/>
      <c r="I101" s="976" t="s">
        <v>340</v>
      </c>
      <c r="J101" s="967">
        <f>J95</f>
        <v>2018</v>
      </c>
      <c r="K101" s="967">
        <f>K95</f>
        <v>2018</v>
      </c>
      <c r="L101" s="1649">
        <f>L95</f>
        <v>2019</v>
      </c>
      <c r="M101" s="971"/>
      <c r="N101" s="975"/>
      <c r="O101" s="964"/>
      <c r="P101" s="964"/>
      <c r="Q101" s="976" t="s">
        <v>340</v>
      </c>
      <c r="R101" s="967">
        <f>R95</f>
        <v>2018</v>
      </c>
      <c r="S101" s="967">
        <f>S95</f>
        <v>2018</v>
      </c>
      <c r="T101" s="1649">
        <f>T95</f>
        <v>2019</v>
      </c>
      <c r="U101" s="971"/>
      <c r="V101" s="975"/>
    </row>
    <row r="102" spans="1:22">
      <c r="A102" s="969">
        <v>0.5</v>
      </c>
      <c r="B102" s="972">
        <v>0</v>
      </c>
      <c r="C102" s="972">
        <v>0</v>
      </c>
      <c r="D102" s="960">
        <v>1E-4</v>
      </c>
      <c r="E102" s="971">
        <f>0.5*(MAX(B102:D102)-MIN(B102:D102))</f>
        <v>5.0000000000000002E-5</v>
      </c>
      <c r="F102" s="977">
        <v>1E-4</v>
      </c>
      <c r="G102" s="964"/>
      <c r="H102" s="964"/>
      <c r="I102" s="969">
        <v>0.5</v>
      </c>
      <c r="J102" s="972">
        <v>0</v>
      </c>
      <c r="K102" s="972">
        <v>0</v>
      </c>
      <c r="L102" s="960">
        <v>1E-4</v>
      </c>
      <c r="M102" s="971">
        <f>0.5*(MAX(J102:L102)-MIN(J102:L102))</f>
        <v>5.0000000000000002E-5</v>
      </c>
      <c r="N102" s="977">
        <v>1E-4</v>
      </c>
      <c r="O102" s="964"/>
      <c r="P102" s="964"/>
      <c r="Q102" s="969">
        <v>0.5</v>
      </c>
      <c r="R102" s="972">
        <v>0</v>
      </c>
      <c r="S102" s="972">
        <v>0</v>
      </c>
      <c r="T102" s="960">
        <v>1E-4</v>
      </c>
      <c r="U102" s="971">
        <f>0.5*(MAX(R102:T102)-MIN(R102:T102))</f>
        <v>5.0000000000000002E-5</v>
      </c>
      <c r="V102" s="977">
        <v>1E-4</v>
      </c>
    </row>
    <row r="103" spans="1:22">
      <c r="A103" s="969">
        <v>1</v>
      </c>
      <c r="B103" s="972">
        <v>0</v>
      </c>
      <c r="C103" s="972">
        <v>0</v>
      </c>
      <c r="D103" s="960">
        <v>1E-4</v>
      </c>
      <c r="E103" s="971">
        <f>0.5*(MAX(B103:D103)-MIN(B103:D103))</f>
        <v>5.0000000000000002E-5</v>
      </c>
      <c r="F103" s="977">
        <v>1E-4</v>
      </c>
      <c r="G103" s="964"/>
      <c r="H103" s="964"/>
      <c r="I103" s="969">
        <v>1</v>
      </c>
      <c r="J103" s="972">
        <v>0</v>
      </c>
      <c r="K103" s="972">
        <v>0</v>
      </c>
      <c r="L103" s="960">
        <v>1E-4</v>
      </c>
      <c r="M103" s="971">
        <f>0.5*(MAX(J103:L103)-MIN(J103:L103))</f>
        <v>5.0000000000000002E-5</v>
      </c>
      <c r="N103" s="977">
        <v>1E-4</v>
      </c>
      <c r="O103" s="964"/>
      <c r="P103" s="964"/>
      <c r="Q103" s="969">
        <v>1</v>
      </c>
      <c r="R103" s="972">
        <v>0</v>
      </c>
      <c r="S103" s="972">
        <v>0</v>
      </c>
      <c r="T103" s="960">
        <v>1E-4</v>
      </c>
      <c r="U103" s="971">
        <f>0.5*(MAX(R103:T103)-MIN(R103:T103))</f>
        <v>5.0000000000000002E-5</v>
      </c>
      <c r="V103" s="977">
        <v>1E-4</v>
      </c>
    </row>
    <row r="104" spans="1:22">
      <c r="A104" s="969">
        <v>2</v>
      </c>
      <c r="B104" s="972">
        <v>0</v>
      </c>
      <c r="C104" s="972">
        <v>0</v>
      </c>
      <c r="D104" s="960">
        <v>1E-4</v>
      </c>
      <c r="E104" s="971">
        <f>0.5*(MAX(B104:D104)-MIN(B104:D104))</f>
        <v>5.0000000000000002E-5</v>
      </c>
      <c r="F104" s="977">
        <v>1E-4</v>
      </c>
      <c r="G104" s="964"/>
      <c r="H104" s="964"/>
      <c r="I104" s="969">
        <v>2</v>
      </c>
      <c r="J104" s="972">
        <v>0</v>
      </c>
      <c r="K104" s="972">
        <v>0</v>
      </c>
      <c r="L104" s="960">
        <v>1E-4</v>
      </c>
      <c r="M104" s="971">
        <f>0.5*(MAX(J104:L104)-MIN(J104:L104))</f>
        <v>5.0000000000000002E-5</v>
      </c>
      <c r="N104" s="977">
        <v>1E-4</v>
      </c>
      <c r="O104" s="964"/>
      <c r="P104" s="964"/>
      <c r="Q104" s="969">
        <v>2</v>
      </c>
      <c r="R104" s="972">
        <v>0</v>
      </c>
      <c r="S104" s="972">
        <v>0</v>
      </c>
      <c r="T104" s="960">
        <v>1E-4</v>
      </c>
      <c r="U104" s="971">
        <f>0.5*(MAX(R104:T104)-MIN(R104:T104))</f>
        <v>5.0000000000000002E-5</v>
      </c>
      <c r="V104" s="977">
        <v>1E-4</v>
      </c>
    </row>
    <row r="105" spans="1:22" ht="26">
      <c r="A105" s="973" t="s">
        <v>343</v>
      </c>
      <c r="B105" s="967" t="s">
        <v>7</v>
      </c>
      <c r="C105" s="967" t="s">
        <v>7</v>
      </c>
      <c r="D105" s="1649"/>
      <c r="E105" s="974" t="s">
        <v>2</v>
      </c>
      <c r="F105" s="975" t="s">
        <v>26</v>
      </c>
      <c r="G105" s="964"/>
      <c r="H105" s="964"/>
      <c r="I105" s="973" t="s">
        <v>343</v>
      </c>
      <c r="J105" s="967" t="s">
        <v>7</v>
      </c>
      <c r="K105" s="967" t="s">
        <v>7</v>
      </c>
      <c r="L105" s="1649"/>
      <c r="M105" s="974" t="s">
        <v>2</v>
      </c>
      <c r="N105" s="975" t="s">
        <v>26</v>
      </c>
      <c r="O105" s="964"/>
      <c r="P105" s="964"/>
      <c r="Q105" s="973" t="s">
        <v>343</v>
      </c>
      <c r="R105" s="974" t="s">
        <v>7</v>
      </c>
      <c r="S105" s="974" t="s">
        <v>7</v>
      </c>
      <c r="T105" s="1649"/>
      <c r="U105" s="974" t="s">
        <v>2</v>
      </c>
      <c r="V105" s="975" t="s">
        <v>26</v>
      </c>
    </row>
    <row r="106" spans="1:22" ht="13">
      <c r="A106" s="973" t="s">
        <v>344</v>
      </c>
      <c r="B106" s="967">
        <f>B101</f>
        <v>2018</v>
      </c>
      <c r="C106" s="967">
        <f>C101</f>
        <v>2018</v>
      </c>
      <c r="D106" s="1649">
        <f>D101</f>
        <v>2019</v>
      </c>
      <c r="E106" s="971"/>
      <c r="F106" s="975"/>
      <c r="G106" s="964"/>
      <c r="H106" s="964"/>
      <c r="I106" s="973" t="s">
        <v>344</v>
      </c>
      <c r="J106" s="967">
        <f>J101</f>
        <v>2018</v>
      </c>
      <c r="K106" s="967">
        <f>K101</f>
        <v>2018</v>
      </c>
      <c r="L106" s="1649">
        <f>L101</f>
        <v>2019</v>
      </c>
      <c r="M106" s="971"/>
      <c r="N106" s="975"/>
      <c r="O106" s="964"/>
      <c r="P106" s="964"/>
      <c r="Q106" s="973" t="s">
        <v>344</v>
      </c>
      <c r="R106" s="967">
        <f>R101</f>
        <v>2018</v>
      </c>
      <c r="S106" s="967">
        <f>S101</f>
        <v>2018</v>
      </c>
      <c r="T106" s="1649">
        <f>T101</f>
        <v>2019</v>
      </c>
      <c r="U106" s="971"/>
      <c r="V106" s="975"/>
    </row>
    <row r="107" spans="1:22">
      <c r="A107" s="969">
        <v>0.125</v>
      </c>
      <c r="B107" s="972">
        <v>0</v>
      </c>
      <c r="C107" s="972">
        <v>0</v>
      </c>
      <c r="D107" s="960">
        <v>1E-4</v>
      </c>
      <c r="E107" s="971">
        <f>0.5*(MAX(B107:D107)-MIN(B107:D107))</f>
        <v>5.0000000000000002E-5</v>
      </c>
      <c r="F107" s="977">
        <v>2.5999999999999998E-5</v>
      </c>
      <c r="G107" s="964"/>
      <c r="H107" s="964"/>
      <c r="I107" s="969">
        <v>0.125</v>
      </c>
      <c r="J107" s="972">
        <v>0</v>
      </c>
      <c r="K107" s="972">
        <v>0</v>
      </c>
      <c r="L107" s="960">
        <v>1E-4</v>
      </c>
      <c r="M107" s="971">
        <f>0.5*(MAX(J107:L107)-MIN(J107:L107))</f>
        <v>5.0000000000000002E-5</v>
      </c>
      <c r="N107" s="977">
        <v>2.5999999999999998E-5</v>
      </c>
      <c r="O107" s="964"/>
      <c r="P107" s="964"/>
      <c r="Q107" s="969">
        <v>0.125</v>
      </c>
      <c r="R107" s="972">
        <v>0</v>
      </c>
      <c r="S107" s="972">
        <v>0</v>
      </c>
      <c r="T107" s="960">
        <v>1E-4</v>
      </c>
      <c r="U107" s="971">
        <f>0.5*(MAX(R107:T107)-MIN(R107:T107))</f>
        <v>5.0000000000000002E-5</v>
      </c>
      <c r="V107" s="977">
        <v>2.5999999999999998E-5</v>
      </c>
    </row>
    <row r="108" spans="1:22">
      <c r="A108" s="969">
        <v>2</v>
      </c>
      <c r="B108" s="972">
        <v>0</v>
      </c>
      <c r="C108" s="972">
        <v>0</v>
      </c>
      <c r="D108" s="960">
        <v>1E-4</v>
      </c>
      <c r="E108" s="971">
        <f>0.5*(MAX(B108:D108)-MIN(B108:D108))</f>
        <v>5.0000000000000002E-5</v>
      </c>
      <c r="F108" s="977">
        <v>2.5999999999999998E-5</v>
      </c>
      <c r="G108" s="964"/>
      <c r="H108" s="964"/>
      <c r="I108" s="969">
        <v>2</v>
      </c>
      <c r="J108" s="972">
        <v>0</v>
      </c>
      <c r="K108" s="972">
        <v>0</v>
      </c>
      <c r="L108" s="960">
        <v>1E-4</v>
      </c>
      <c r="M108" s="971">
        <f>0.5*(MAX(J108:L108)-MIN(J108:L108))</f>
        <v>5.0000000000000002E-5</v>
      </c>
      <c r="N108" s="977">
        <v>2.5999999999999998E-5</v>
      </c>
      <c r="O108" s="964"/>
      <c r="P108" s="964"/>
      <c r="Q108" s="969">
        <v>2</v>
      </c>
      <c r="R108" s="972">
        <v>0</v>
      </c>
      <c r="S108" s="972">
        <v>0</v>
      </c>
      <c r="T108" s="960">
        <v>1E-4</v>
      </c>
      <c r="U108" s="971">
        <f>0.5*(MAX(R108:T108)-MIN(R108:T108))</f>
        <v>5.0000000000000002E-5</v>
      </c>
      <c r="V108" s="977">
        <v>2.5999999999999998E-5</v>
      </c>
    </row>
    <row r="109" spans="1:22" ht="26">
      <c r="A109" s="973" t="s">
        <v>346</v>
      </c>
      <c r="B109" s="967" t="s">
        <v>7</v>
      </c>
      <c r="C109" s="967" t="s">
        <v>7</v>
      </c>
      <c r="D109" s="1649"/>
      <c r="E109" s="974" t="s">
        <v>2</v>
      </c>
      <c r="F109" s="975" t="s">
        <v>26</v>
      </c>
      <c r="G109" s="964"/>
      <c r="H109" s="964"/>
      <c r="I109" s="973" t="s">
        <v>346</v>
      </c>
      <c r="J109" s="967" t="s">
        <v>7</v>
      </c>
      <c r="K109" s="967" t="s">
        <v>7</v>
      </c>
      <c r="L109" s="1649"/>
      <c r="M109" s="974" t="s">
        <v>2</v>
      </c>
      <c r="N109" s="975" t="s">
        <v>26</v>
      </c>
      <c r="O109" s="964"/>
      <c r="P109" s="964"/>
      <c r="Q109" s="973" t="s">
        <v>346</v>
      </c>
      <c r="R109" s="974" t="s">
        <v>7</v>
      </c>
      <c r="S109" s="974" t="s">
        <v>7</v>
      </c>
      <c r="T109" s="1649"/>
      <c r="U109" s="974" t="s">
        <v>2</v>
      </c>
      <c r="V109" s="975" t="s">
        <v>26</v>
      </c>
    </row>
    <row r="110" spans="1:22" ht="13">
      <c r="A110" s="973" t="s">
        <v>344</v>
      </c>
      <c r="B110" s="967">
        <f>B106</f>
        <v>2018</v>
      </c>
      <c r="C110" s="967">
        <f>C106</f>
        <v>2018</v>
      </c>
      <c r="D110" s="1649">
        <f>D106</f>
        <v>2019</v>
      </c>
      <c r="E110" s="971"/>
      <c r="F110" s="975"/>
      <c r="G110" s="964"/>
      <c r="H110" s="964"/>
      <c r="I110" s="973" t="s">
        <v>344</v>
      </c>
      <c r="J110" s="967">
        <f>J106</f>
        <v>2018</v>
      </c>
      <c r="K110" s="967">
        <f>K106</f>
        <v>2018</v>
      </c>
      <c r="L110" s="1649">
        <f>L106</f>
        <v>2019</v>
      </c>
      <c r="M110" s="971"/>
      <c r="N110" s="975"/>
      <c r="O110" s="964"/>
      <c r="P110" s="964"/>
      <c r="Q110" s="973" t="s">
        <v>344</v>
      </c>
      <c r="R110" s="967">
        <f>R106</f>
        <v>2018</v>
      </c>
      <c r="S110" s="967">
        <f>S106</f>
        <v>2018</v>
      </c>
      <c r="T110" s="1649">
        <f>T106</f>
        <v>2019</v>
      </c>
      <c r="U110" s="971"/>
      <c r="V110" s="975"/>
    </row>
    <row r="111" spans="1:22">
      <c r="A111" s="969">
        <v>10</v>
      </c>
      <c r="B111" s="972">
        <v>0</v>
      </c>
      <c r="C111" s="972">
        <v>0</v>
      </c>
      <c r="D111" s="960">
        <v>1E-4</v>
      </c>
      <c r="E111" s="971">
        <f>0.5*(MAX(B111:D111)-MIN(B111:D111))</f>
        <v>5.0000000000000002E-5</v>
      </c>
      <c r="F111" s="977">
        <v>2.5999999999999998E-5</v>
      </c>
      <c r="G111" s="964"/>
      <c r="H111" s="964"/>
      <c r="I111" s="969">
        <v>10</v>
      </c>
      <c r="J111" s="972">
        <v>0</v>
      </c>
      <c r="K111" s="972">
        <v>0</v>
      </c>
      <c r="L111" s="960">
        <v>1E-4</v>
      </c>
      <c r="M111" s="971">
        <f>0.5*(MAX(J111:L111)-MIN(J111:L111))</f>
        <v>5.0000000000000002E-5</v>
      </c>
      <c r="N111" s="977">
        <v>2.5999999999999998E-5</v>
      </c>
      <c r="O111" s="964"/>
      <c r="P111" s="964"/>
      <c r="Q111" s="969">
        <v>10</v>
      </c>
      <c r="R111" s="972">
        <v>0</v>
      </c>
      <c r="S111" s="972">
        <v>0</v>
      </c>
      <c r="T111" s="960">
        <v>1E-4</v>
      </c>
      <c r="U111" s="971">
        <f>0.5*(MAX(R111:T111)-MIN(R111:T111))</f>
        <v>5.0000000000000002E-5</v>
      </c>
      <c r="V111" s="977">
        <v>2.5999999999999998E-5</v>
      </c>
    </row>
    <row r="112" spans="1:22" ht="12.75" customHeight="1">
      <c r="A112" s="114" t="s">
        <v>347</v>
      </c>
      <c r="B112" s="114" t="s">
        <v>7</v>
      </c>
      <c r="C112" s="114" t="s">
        <v>7</v>
      </c>
      <c r="D112" s="1648"/>
      <c r="E112" s="114" t="s">
        <v>2</v>
      </c>
      <c r="F112" s="980" t="s">
        <v>26</v>
      </c>
      <c r="G112" s="964"/>
      <c r="H112" s="964"/>
      <c r="I112" s="114" t="s">
        <v>347</v>
      </c>
      <c r="J112" s="114" t="s">
        <v>7</v>
      </c>
      <c r="K112" s="114" t="s">
        <v>7</v>
      </c>
      <c r="L112" s="1648"/>
      <c r="M112" s="1983" t="s">
        <v>2</v>
      </c>
      <c r="N112" s="1986" t="s">
        <v>26</v>
      </c>
      <c r="O112" s="964"/>
      <c r="P112" s="964"/>
      <c r="Q112" s="114" t="s">
        <v>347</v>
      </c>
      <c r="R112" s="114" t="s">
        <v>7</v>
      </c>
      <c r="S112" s="114" t="s">
        <v>7</v>
      </c>
      <c r="T112" s="1648"/>
      <c r="U112" s="1983" t="s">
        <v>2</v>
      </c>
      <c r="V112" s="1986" t="s">
        <v>26</v>
      </c>
    </row>
    <row r="113" spans="1:22" ht="14">
      <c r="A113" s="954" t="s">
        <v>348</v>
      </c>
      <c r="B113" s="114">
        <f>B110</f>
        <v>2018</v>
      </c>
      <c r="C113" s="114">
        <f>C110</f>
        <v>2018</v>
      </c>
      <c r="D113" s="1648">
        <f>D110</f>
        <v>2019</v>
      </c>
      <c r="E113" s="114"/>
      <c r="F113" s="980"/>
      <c r="G113" s="964"/>
      <c r="H113" s="964"/>
      <c r="I113" s="954" t="s">
        <v>348</v>
      </c>
      <c r="J113" s="114">
        <f>J110</f>
        <v>2018</v>
      </c>
      <c r="K113" s="114">
        <f>K110</f>
        <v>2018</v>
      </c>
      <c r="L113" s="1648">
        <f>L110</f>
        <v>2019</v>
      </c>
      <c r="M113" s="1983"/>
      <c r="N113" s="1986"/>
      <c r="O113" s="964"/>
      <c r="P113" s="964"/>
      <c r="Q113" s="954" t="s">
        <v>348</v>
      </c>
      <c r="R113" s="114">
        <f>R110</f>
        <v>2018</v>
      </c>
      <c r="S113" s="114">
        <f>S110</f>
        <v>2018</v>
      </c>
      <c r="T113" s="1648">
        <f>T110</f>
        <v>2019</v>
      </c>
      <c r="U113" s="1983"/>
      <c r="V113" s="1986"/>
    </row>
    <row r="114" spans="1:22">
      <c r="A114" s="981">
        <v>15</v>
      </c>
      <c r="B114" s="960">
        <v>0</v>
      </c>
      <c r="C114" s="960">
        <v>0</v>
      </c>
      <c r="D114" s="960">
        <v>1E-4</v>
      </c>
      <c r="E114" s="961">
        <f>0.5*(MAX(B114:D114)-MIN(B114:D114))</f>
        <v>5.0000000000000002E-5</v>
      </c>
      <c r="F114" s="982"/>
      <c r="G114" s="964"/>
      <c r="H114" s="964"/>
      <c r="I114" s="981">
        <v>15</v>
      </c>
      <c r="J114" s="960">
        <v>0</v>
      </c>
      <c r="K114" s="960">
        <v>0</v>
      </c>
      <c r="L114" s="960">
        <v>1E-4</v>
      </c>
      <c r="M114" s="961">
        <f>0.5*(MAX(J114:L114)-MIN(J114:L114))</f>
        <v>5.0000000000000002E-5</v>
      </c>
      <c r="N114" s="982"/>
      <c r="O114" s="964"/>
      <c r="P114" s="964"/>
      <c r="Q114" s="981">
        <v>15</v>
      </c>
      <c r="R114" s="960">
        <v>0</v>
      </c>
      <c r="S114" s="960">
        <v>0</v>
      </c>
      <c r="T114" s="960">
        <v>1E-4</v>
      </c>
      <c r="U114" s="961">
        <f>0.5*(MAX(R114:T114)-MIN(R114:T114))</f>
        <v>5.0000000000000002E-5</v>
      </c>
      <c r="V114" s="982"/>
    </row>
    <row r="115" spans="1:22">
      <c r="A115" s="963">
        <v>30</v>
      </c>
      <c r="B115" s="960">
        <v>0</v>
      </c>
      <c r="C115" s="960">
        <v>0</v>
      </c>
      <c r="D115" s="960">
        <v>1E-4</v>
      </c>
      <c r="E115" s="961">
        <f>0.5*(MAX(B115:D115)-MIN(B115:D115))</f>
        <v>5.0000000000000002E-5</v>
      </c>
      <c r="F115" s="962">
        <v>1.1999999999999999E-3</v>
      </c>
      <c r="G115" s="964"/>
      <c r="H115" s="964"/>
      <c r="I115" s="963">
        <v>30</v>
      </c>
      <c r="J115" s="960">
        <v>0</v>
      </c>
      <c r="K115" s="960">
        <v>0</v>
      </c>
      <c r="L115" s="960">
        <v>1E-4</v>
      </c>
      <c r="M115" s="961">
        <f>0.5*(MAX(J115:L115)-MIN(J115:L115))</f>
        <v>5.0000000000000002E-5</v>
      </c>
      <c r="N115" s="962">
        <v>1.1999999999999999E-3</v>
      </c>
      <c r="O115" s="964"/>
      <c r="P115" s="964"/>
      <c r="Q115" s="963">
        <v>30</v>
      </c>
      <c r="R115" s="960">
        <v>0</v>
      </c>
      <c r="S115" s="960">
        <v>0</v>
      </c>
      <c r="T115" s="960">
        <v>1E-4</v>
      </c>
      <c r="U115" s="961">
        <f>0.5*(MAX(R115:T115)-MIN(R115:T115))</f>
        <v>5.0000000000000002E-5</v>
      </c>
      <c r="V115" s="962">
        <v>1.1999999999999999E-3</v>
      </c>
    </row>
    <row r="116" spans="1:22">
      <c r="A116" s="963">
        <v>60</v>
      </c>
      <c r="B116" s="960">
        <v>0</v>
      </c>
      <c r="C116" s="960">
        <v>0</v>
      </c>
      <c r="D116" s="960">
        <v>1E-4</v>
      </c>
      <c r="E116" s="961">
        <f>0.5*(MAX(B116:D116)-MIN(B116:D116))</f>
        <v>5.0000000000000002E-5</v>
      </c>
      <c r="F116" s="962" t="s">
        <v>337</v>
      </c>
      <c r="G116" s="964"/>
      <c r="H116" s="964"/>
      <c r="I116" s="963">
        <v>60</v>
      </c>
      <c r="J116" s="960">
        <v>0</v>
      </c>
      <c r="K116" s="960">
        <v>0</v>
      </c>
      <c r="L116" s="960">
        <v>1E-4</v>
      </c>
      <c r="M116" s="961">
        <f>0.5*(MAX(J116:L116)-MIN(J116:L116))</f>
        <v>5.0000000000000002E-5</v>
      </c>
      <c r="N116" s="962" t="s">
        <v>337</v>
      </c>
      <c r="O116" s="964"/>
      <c r="P116" s="964"/>
      <c r="Q116" s="963">
        <v>60</v>
      </c>
      <c r="R116" s="960">
        <v>0</v>
      </c>
      <c r="S116" s="960">
        <v>0</v>
      </c>
      <c r="T116" s="960">
        <v>1E-4</v>
      </c>
      <c r="U116" s="961">
        <f>0.5*(MAX(R116:T116)-MIN(R116:T116))</f>
        <v>5.0000000000000002E-5</v>
      </c>
      <c r="V116" s="962" t="s">
        <v>337</v>
      </c>
    </row>
    <row r="117" spans="1:22">
      <c r="A117" s="963">
        <v>120</v>
      </c>
      <c r="B117" s="960">
        <v>0</v>
      </c>
      <c r="C117" s="960">
        <v>0</v>
      </c>
      <c r="D117" s="960">
        <v>1E-4</v>
      </c>
      <c r="E117" s="961">
        <f>0.5*(MAX(B117:D117)-MIN(B117:D117))</f>
        <v>5.0000000000000002E-5</v>
      </c>
      <c r="F117" s="962" t="s">
        <v>338</v>
      </c>
      <c r="G117" s="964"/>
      <c r="H117" s="964"/>
      <c r="I117" s="963">
        <v>120</v>
      </c>
      <c r="J117" s="960">
        <v>0</v>
      </c>
      <c r="K117" s="960">
        <v>0</v>
      </c>
      <c r="L117" s="960">
        <v>1E-4</v>
      </c>
      <c r="M117" s="961">
        <f>0.5*(MAX(J117:L117)-MIN(J117:L117))</f>
        <v>5.0000000000000002E-5</v>
      </c>
      <c r="N117" s="962" t="s">
        <v>338</v>
      </c>
      <c r="O117" s="964"/>
      <c r="P117" s="964"/>
      <c r="Q117" s="963">
        <v>120</v>
      </c>
      <c r="R117" s="960">
        <v>0</v>
      </c>
      <c r="S117" s="960">
        <v>0</v>
      </c>
      <c r="T117" s="960">
        <v>1E-4</v>
      </c>
      <c r="U117" s="961">
        <f>0.5*(MAX(R117:T117)-MIN(R117:T117))</f>
        <v>5.0000000000000002E-5</v>
      </c>
      <c r="V117" s="962" t="s">
        <v>338</v>
      </c>
    </row>
    <row r="118" spans="1:22">
      <c r="A118" s="963">
        <v>180</v>
      </c>
      <c r="B118" s="960">
        <v>0</v>
      </c>
      <c r="C118" s="960">
        <v>0</v>
      </c>
      <c r="D118" s="960">
        <v>1E-4</v>
      </c>
      <c r="E118" s="961">
        <f>0.5*(MAX(B118:D118)-MIN(B118:D118))</f>
        <v>5.0000000000000002E-5</v>
      </c>
      <c r="F118" s="962" t="s">
        <v>10</v>
      </c>
      <c r="G118" s="964"/>
      <c r="H118" s="964"/>
      <c r="I118" s="963">
        <v>180</v>
      </c>
      <c r="J118" s="960">
        <v>0</v>
      </c>
      <c r="K118" s="960">
        <v>0</v>
      </c>
      <c r="L118" s="960">
        <v>1E-4</v>
      </c>
      <c r="M118" s="961">
        <f>0.5*(MAX(J118:L118)-MIN(J118:L118))</f>
        <v>5.0000000000000002E-5</v>
      </c>
      <c r="N118" s="962" t="s">
        <v>10</v>
      </c>
      <c r="O118" s="964"/>
      <c r="P118" s="964"/>
      <c r="Q118" s="963">
        <v>180</v>
      </c>
      <c r="R118" s="960">
        <v>0</v>
      </c>
      <c r="S118" s="960">
        <v>0</v>
      </c>
      <c r="T118" s="960">
        <v>1E-4</v>
      </c>
      <c r="U118" s="961">
        <f>0.5*(MAX(R118:T118)-MIN(R118:T118))</f>
        <v>5.0000000000000002E-5</v>
      </c>
      <c r="V118" s="962" t="s">
        <v>10</v>
      </c>
    </row>
    <row r="119" spans="1:22">
      <c r="A119" s="964"/>
      <c r="B119" s="964"/>
      <c r="C119" s="964"/>
      <c r="D119" s="964"/>
      <c r="E119" s="964"/>
      <c r="F119" s="964"/>
      <c r="G119" s="964"/>
      <c r="H119" s="964"/>
      <c r="I119" s="964"/>
      <c r="J119" s="964"/>
      <c r="K119" s="964"/>
      <c r="L119" s="964"/>
      <c r="M119" s="964"/>
      <c r="N119" s="964"/>
      <c r="O119" s="964"/>
      <c r="P119" s="964"/>
      <c r="Q119" s="964"/>
      <c r="R119" s="964"/>
      <c r="S119" s="964"/>
      <c r="T119" s="964"/>
      <c r="U119" s="964"/>
      <c r="V119" s="964"/>
    </row>
    <row r="120" spans="1:22">
      <c r="A120" s="964"/>
      <c r="B120" s="964"/>
      <c r="C120" s="964"/>
      <c r="D120" s="964"/>
      <c r="E120" s="964"/>
      <c r="F120" s="964"/>
      <c r="G120" s="964"/>
      <c r="H120" s="964"/>
      <c r="I120" s="964"/>
      <c r="J120" s="964"/>
      <c r="K120" s="964"/>
      <c r="L120" s="964"/>
      <c r="M120" s="964"/>
      <c r="N120" s="964"/>
      <c r="O120" s="964"/>
      <c r="P120" s="964"/>
      <c r="Q120" s="964"/>
      <c r="R120" s="964"/>
      <c r="S120" s="964"/>
      <c r="T120" s="964"/>
      <c r="U120" s="964"/>
      <c r="V120" s="964"/>
    </row>
    <row r="121" spans="1:22" ht="28">
      <c r="A121" s="985" t="s">
        <v>359</v>
      </c>
      <c r="B121" s="964"/>
      <c r="C121" s="964"/>
      <c r="D121" s="964"/>
      <c r="E121" s="964"/>
      <c r="F121" s="964"/>
      <c r="G121" s="964"/>
      <c r="H121" s="964"/>
      <c r="I121" s="988" t="s">
        <v>360</v>
      </c>
      <c r="J121" s="964"/>
      <c r="K121" s="964"/>
      <c r="L121" s="964"/>
      <c r="M121" s="964"/>
      <c r="N121" s="964"/>
      <c r="O121" s="964"/>
      <c r="P121" s="964"/>
      <c r="Q121" s="989" t="s">
        <v>361</v>
      </c>
      <c r="R121" s="964"/>
      <c r="S121" s="964"/>
      <c r="T121" s="964"/>
      <c r="U121" s="964"/>
      <c r="V121" s="964"/>
    </row>
    <row r="122" spans="1:22" ht="15.75" customHeight="1">
      <c r="A122" s="1996" t="s">
        <v>333</v>
      </c>
      <c r="B122" s="1996"/>
      <c r="C122" s="1996"/>
      <c r="D122" s="1996"/>
      <c r="E122" s="967" t="s">
        <v>2</v>
      </c>
      <c r="F122" s="983" t="s">
        <v>26</v>
      </c>
      <c r="G122" s="964"/>
      <c r="H122" s="964"/>
      <c r="I122" s="1996" t="s">
        <v>333</v>
      </c>
      <c r="J122" s="1996"/>
      <c r="K122" s="1996"/>
      <c r="L122" s="1996"/>
      <c r="M122" s="1984" t="s">
        <v>2</v>
      </c>
      <c r="N122" s="1985" t="s">
        <v>26</v>
      </c>
      <c r="O122" s="964"/>
      <c r="P122" s="964"/>
      <c r="Q122" s="1996" t="s">
        <v>333</v>
      </c>
      <c r="R122" s="1996"/>
      <c r="S122" s="1996"/>
      <c r="T122" s="1996"/>
      <c r="U122" s="1984" t="s">
        <v>2</v>
      </c>
      <c r="V122" s="1985" t="s">
        <v>26</v>
      </c>
    </row>
    <row r="123" spans="1:22" ht="13">
      <c r="A123" s="967" t="s">
        <v>335</v>
      </c>
      <c r="B123" s="1984" t="s">
        <v>7</v>
      </c>
      <c r="C123" s="1984"/>
      <c r="D123" s="1984"/>
      <c r="E123" s="967"/>
      <c r="F123" s="983"/>
      <c r="G123" s="964"/>
      <c r="H123" s="964"/>
      <c r="I123" s="967" t="s">
        <v>335</v>
      </c>
      <c r="J123" s="1984" t="s">
        <v>7</v>
      </c>
      <c r="K123" s="1984"/>
      <c r="L123" s="1984"/>
      <c r="M123" s="1984"/>
      <c r="N123" s="1985"/>
      <c r="O123" s="964"/>
      <c r="P123" s="964"/>
      <c r="Q123" s="967" t="s">
        <v>335</v>
      </c>
      <c r="R123" s="1984" t="s">
        <v>7</v>
      </c>
      <c r="S123" s="1984"/>
      <c r="T123" s="1984"/>
      <c r="U123" s="1984"/>
      <c r="V123" s="1985"/>
    </row>
    <row r="124" spans="1:22" ht="14">
      <c r="A124" s="954" t="s">
        <v>336</v>
      </c>
      <c r="B124" s="967">
        <v>2018</v>
      </c>
      <c r="C124" s="967">
        <v>2018</v>
      </c>
      <c r="D124" s="1649">
        <v>2019</v>
      </c>
      <c r="E124" s="967"/>
      <c r="F124" s="983"/>
      <c r="G124" s="964"/>
      <c r="H124" s="964"/>
      <c r="I124" s="954" t="s">
        <v>336</v>
      </c>
      <c r="J124" s="967">
        <v>2018</v>
      </c>
      <c r="K124" s="967">
        <v>2018</v>
      </c>
      <c r="L124" s="1649">
        <v>2019</v>
      </c>
      <c r="M124" s="1984"/>
      <c r="N124" s="1985"/>
      <c r="O124" s="964"/>
      <c r="P124" s="964"/>
      <c r="Q124" s="954" t="s">
        <v>336</v>
      </c>
      <c r="R124" s="967">
        <v>2018</v>
      </c>
      <c r="S124" s="967">
        <v>2018</v>
      </c>
      <c r="T124" s="1649">
        <v>2019</v>
      </c>
      <c r="U124" s="1984"/>
      <c r="V124" s="1985"/>
    </row>
    <row r="125" spans="1:22">
      <c r="A125" s="969">
        <v>0.5</v>
      </c>
      <c r="B125" s="970" t="s">
        <v>10</v>
      </c>
      <c r="C125" s="970" t="s">
        <v>10</v>
      </c>
      <c r="D125" s="960">
        <v>1E-4</v>
      </c>
      <c r="E125" s="971">
        <f>0.5*(MAX(B125:D125)-MIN(B125:D125))</f>
        <v>0</v>
      </c>
      <c r="F125" s="969">
        <v>5.4999999999999997E-3</v>
      </c>
      <c r="G125" s="964"/>
      <c r="H125" s="964"/>
      <c r="I125" s="969">
        <v>0.5</v>
      </c>
      <c r="J125" s="970" t="s">
        <v>10</v>
      </c>
      <c r="K125" s="970" t="s">
        <v>10</v>
      </c>
      <c r="L125" s="960">
        <v>1E-4</v>
      </c>
      <c r="M125" s="971">
        <f>0.5*(MAX(J125:L125)-MIN(J125:L125))</f>
        <v>0</v>
      </c>
      <c r="N125" s="969">
        <v>5.4999999999999997E-3</v>
      </c>
      <c r="O125" s="964"/>
      <c r="P125" s="964"/>
      <c r="Q125" s="969">
        <v>0.5</v>
      </c>
      <c r="R125" s="970" t="s">
        <v>10</v>
      </c>
      <c r="S125" s="970" t="s">
        <v>10</v>
      </c>
      <c r="T125" s="960">
        <v>1E-4</v>
      </c>
      <c r="U125" s="971">
        <f>0.5*(MAX(R125:T125)-MIN(R125:T125))</f>
        <v>0</v>
      </c>
      <c r="V125" s="969">
        <v>5.4999999999999997E-3</v>
      </c>
    </row>
    <row r="126" spans="1:22">
      <c r="A126" s="969">
        <v>1</v>
      </c>
      <c r="B126" s="970" t="s">
        <v>10</v>
      </c>
      <c r="C126" s="970" t="s">
        <v>10</v>
      </c>
      <c r="D126" s="960">
        <v>1E-4</v>
      </c>
      <c r="E126" s="971">
        <f>0.5*(MAX(B126:D126)-MIN(B126:D126))</f>
        <v>0</v>
      </c>
      <c r="F126" s="969" t="s">
        <v>337</v>
      </c>
      <c r="G126" s="964"/>
      <c r="H126" s="964"/>
      <c r="I126" s="969">
        <v>1</v>
      </c>
      <c r="J126" s="970" t="s">
        <v>10</v>
      </c>
      <c r="K126" s="970" t="s">
        <v>10</v>
      </c>
      <c r="L126" s="960">
        <v>1E-4</v>
      </c>
      <c r="M126" s="971">
        <f>0.5*(MAX(J126:L126)-MIN(J126:L126))</f>
        <v>0</v>
      </c>
      <c r="N126" s="969" t="s">
        <v>337</v>
      </c>
      <c r="O126" s="964"/>
      <c r="P126" s="964"/>
      <c r="Q126" s="969">
        <v>1</v>
      </c>
      <c r="R126" s="970" t="s">
        <v>10</v>
      </c>
      <c r="S126" s="970" t="s">
        <v>10</v>
      </c>
      <c r="T126" s="960">
        <v>1E-4</v>
      </c>
      <c r="U126" s="971">
        <f>0.5*(MAX(R126:T126)-MIN(R126:T126))</f>
        <v>0</v>
      </c>
      <c r="V126" s="969" t="s">
        <v>337</v>
      </c>
    </row>
    <row r="127" spans="1:22">
      <c r="A127" s="969">
        <v>2</v>
      </c>
      <c r="B127" s="970" t="s">
        <v>10</v>
      </c>
      <c r="C127" s="970" t="s">
        <v>10</v>
      </c>
      <c r="D127" s="960">
        <v>1E-4</v>
      </c>
      <c r="E127" s="971">
        <f>0.5*(MAX(B127:D127)-MIN(B127:D127))</f>
        <v>0</v>
      </c>
      <c r="F127" s="969" t="s">
        <v>338</v>
      </c>
      <c r="G127" s="964"/>
      <c r="H127" s="964"/>
      <c r="I127" s="969">
        <v>2</v>
      </c>
      <c r="J127" s="970" t="s">
        <v>10</v>
      </c>
      <c r="K127" s="970" t="s">
        <v>10</v>
      </c>
      <c r="L127" s="960">
        <v>1E-4</v>
      </c>
      <c r="M127" s="971">
        <f>0.5*(MAX(J127:L127)-MIN(J127:L127))</f>
        <v>0</v>
      </c>
      <c r="N127" s="969" t="s">
        <v>338</v>
      </c>
      <c r="O127" s="964"/>
      <c r="P127" s="964"/>
      <c r="Q127" s="969">
        <v>2</v>
      </c>
      <c r="R127" s="970" t="s">
        <v>10</v>
      </c>
      <c r="S127" s="970" t="s">
        <v>10</v>
      </c>
      <c r="T127" s="960">
        <v>1E-4</v>
      </c>
      <c r="U127" s="971">
        <f>0.5*(MAX(R127:T127)-MIN(R127:T127))</f>
        <v>0</v>
      </c>
      <c r="V127" s="969" t="s">
        <v>338</v>
      </c>
    </row>
    <row r="128" spans="1:22">
      <c r="A128" s="969">
        <v>3</v>
      </c>
      <c r="B128" s="970" t="s">
        <v>10</v>
      </c>
      <c r="C128" s="970" t="s">
        <v>10</v>
      </c>
      <c r="D128" s="960">
        <v>1E-4</v>
      </c>
      <c r="E128" s="971">
        <f>0.5*(MAX(B128:D128)-MIN(B128:D128))</f>
        <v>0</v>
      </c>
      <c r="F128" s="969"/>
      <c r="G128" s="964"/>
      <c r="H128" s="964"/>
      <c r="I128" s="969">
        <v>3</v>
      </c>
      <c r="J128" s="970" t="s">
        <v>10</v>
      </c>
      <c r="K128" s="970" t="s">
        <v>10</v>
      </c>
      <c r="L128" s="960">
        <v>1E-4</v>
      </c>
      <c r="M128" s="971">
        <f>0.5*(MAX(J128:L128)-MIN(J128:L128))</f>
        <v>0</v>
      </c>
      <c r="N128" s="969"/>
      <c r="O128" s="964"/>
      <c r="P128" s="964"/>
      <c r="Q128" s="969">
        <v>3</v>
      </c>
      <c r="R128" s="970" t="s">
        <v>10</v>
      </c>
      <c r="S128" s="970" t="s">
        <v>10</v>
      </c>
      <c r="T128" s="960">
        <v>1E-4</v>
      </c>
      <c r="U128" s="971">
        <f>0.5*(MAX(R128:T128)-MIN(R128:T128))</f>
        <v>0</v>
      </c>
      <c r="V128" s="969"/>
    </row>
    <row r="129" spans="1:22" ht="26">
      <c r="A129" s="973" t="s">
        <v>339</v>
      </c>
      <c r="B129" s="967" t="s">
        <v>7</v>
      </c>
      <c r="C129" s="967" t="s">
        <v>7</v>
      </c>
      <c r="D129" s="1649"/>
      <c r="E129" s="974" t="s">
        <v>2</v>
      </c>
      <c r="F129" s="975" t="s">
        <v>26</v>
      </c>
      <c r="G129" s="964"/>
      <c r="H129" s="964"/>
      <c r="I129" s="973" t="s">
        <v>339</v>
      </c>
      <c r="J129" s="967" t="s">
        <v>7</v>
      </c>
      <c r="K129" s="967" t="s">
        <v>7</v>
      </c>
      <c r="L129" s="1649"/>
      <c r="M129" s="974" t="s">
        <v>2</v>
      </c>
      <c r="N129" s="975" t="s">
        <v>26</v>
      </c>
      <c r="O129" s="964"/>
      <c r="P129" s="964"/>
      <c r="Q129" s="973" t="s">
        <v>339</v>
      </c>
      <c r="R129" s="967" t="s">
        <v>7</v>
      </c>
      <c r="S129" s="967" t="s">
        <v>7</v>
      </c>
      <c r="T129" s="1649"/>
      <c r="U129" s="974" t="s">
        <v>2</v>
      </c>
      <c r="V129" s="975" t="s">
        <v>26</v>
      </c>
    </row>
    <row r="130" spans="1:22" ht="13">
      <c r="A130" s="976" t="s">
        <v>340</v>
      </c>
      <c r="B130" s="967">
        <f>B124</f>
        <v>2018</v>
      </c>
      <c r="C130" s="967">
        <f>C124</f>
        <v>2018</v>
      </c>
      <c r="D130" s="1649">
        <f>D124</f>
        <v>2019</v>
      </c>
      <c r="E130" s="971"/>
      <c r="F130" s="975"/>
      <c r="G130" s="964"/>
      <c r="H130" s="964"/>
      <c r="I130" s="976" t="s">
        <v>340</v>
      </c>
      <c r="J130" s="967">
        <f>J124</f>
        <v>2018</v>
      </c>
      <c r="K130" s="967">
        <f>K124</f>
        <v>2018</v>
      </c>
      <c r="L130" s="1649">
        <f>L124</f>
        <v>2019</v>
      </c>
      <c r="M130" s="971"/>
      <c r="N130" s="975"/>
      <c r="O130" s="964"/>
      <c r="P130" s="964"/>
      <c r="Q130" s="976" t="s">
        <v>340</v>
      </c>
      <c r="R130" s="967">
        <f>R124</f>
        <v>2018</v>
      </c>
      <c r="S130" s="967">
        <f>S124</f>
        <v>2018</v>
      </c>
      <c r="T130" s="1649">
        <f>T124</f>
        <v>2019</v>
      </c>
      <c r="U130" s="971"/>
      <c r="V130" s="975"/>
    </row>
    <row r="131" spans="1:22">
      <c r="A131" s="969">
        <v>0.5</v>
      </c>
      <c r="B131" s="972">
        <v>0</v>
      </c>
      <c r="C131" s="972">
        <v>0</v>
      </c>
      <c r="D131" s="960">
        <v>1E-4</v>
      </c>
      <c r="E131" s="971">
        <f>0.5*(MAX(B131:D131)-MIN(B131:D131))</f>
        <v>5.0000000000000002E-5</v>
      </c>
      <c r="F131" s="977">
        <v>1E-4</v>
      </c>
      <c r="G131" s="964"/>
      <c r="H131" s="964"/>
      <c r="I131" s="969">
        <v>0.5</v>
      </c>
      <c r="J131" s="972">
        <v>0</v>
      </c>
      <c r="K131" s="972">
        <v>0</v>
      </c>
      <c r="L131" s="960">
        <v>1E-4</v>
      </c>
      <c r="M131" s="971">
        <f>0.5*(MAX(J131:L131)-MIN(J131:L131))</f>
        <v>5.0000000000000002E-5</v>
      </c>
      <c r="N131" s="977">
        <v>1E-4</v>
      </c>
      <c r="O131" s="964"/>
      <c r="P131" s="964"/>
      <c r="Q131" s="969">
        <v>0.5</v>
      </c>
      <c r="R131" s="972">
        <v>0</v>
      </c>
      <c r="S131" s="972">
        <v>0</v>
      </c>
      <c r="T131" s="960">
        <v>1E-4</v>
      </c>
      <c r="U131" s="971">
        <f>0.5*(MAX(R131:T131)-MIN(R131:T131))</f>
        <v>5.0000000000000002E-5</v>
      </c>
      <c r="V131" s="977">
        <v>1E-4</v>
      </c>
    </row>
    <row r="132" spans="1:22">
      <c r="A132" s="969">
        <v>1</v>
      </c>
      <c r="B132" s="972">
        <v>0</v>
      </c>
      <c r="C132" s="972">
        <v>0</v>
      </c>
      <c r="D132" s="960">
        <v>1E-4</v>
      </c>
      <c r="E132" s="971">
        <f>0.5*(MAX(B132:D132)-MIN(B132:D132))</f>
        <v>5.0000000000000002E-5</v>
      </c>
      <c r="F132" s="977">
        <v>1E-4</v>
      </c>
      <c r="G132" s="964"/>
      <c r="H132" s="964"/>
      <c r="I132" s="969">
        <v>1</v>
      </c>
      <c r="J132" s="972">
        <v>0</v>
      </c>
      <c r="K132" s="972">
        <v>0</v>
      </c>
      <c r="L132" s="960">
        <v>1E-4</v>
      </c>
      <c r="M132" s="971">
        <f>0.5*(MAX(J132:L132)-MIN(J132:L132))</f>
        <v>5.0000000000000002E-5</v>
      </c>
      <c r="N132" s="977">
        <v>1E-4</v>
      </c>
      <c r="O132" s="964"/>
      <c r="P132" s="964"/>
      <c r="Q132" s="969">
        <v>1</v>
      </c>
      <c r="R132" s="972">
        <v>0</v>
      </c>
      <c r="S132" s="972">
        <v>0</v>
      </c>
      <c r="T132" s="960">
        <v>1E-4</v>
      </c>
      <c r="U132" s="971">
        <f>0.5*(MAX(R132:T132)-MIN(R132:T132))</f>
        <v>5.0000000000000002E-5</v>
      </c>
      <c r="V132" s="977">
        <v>1E-4</v>
      </c>
    </row>
    <row r="133" spans="1:22">
      <c r="A133" s="969">
        <v>2</v>
      </c>
      <c r="B133" s="972">
        <v>0</v>
      </c>
      <c r="C133" s="972">
        <v>0</v>
      </c>
      <c r="D133" s="960">
        <v>1E-4</v>
      </c>
      <c r="E133" s="971">
        <f>0.5*(MAX(B133:D133)-MIN(B133:D133))</f>
        <v>5.0000000000000002E-5</v>
      </c>
      <c r="F133" s="977">
        <v>1E-4</v>
      </c>
      <c r="G133" s="964"/>
      <c r="H133" s="964"/>
      <c r="I133" s="969">
        <v>2</v>
      </c>
      <c r="J133" s="972">
        <v>0</v>
      </c>
      <c r="K133" s="972">
        <v>0</v>
      </c>
      <c r="L133" s="960">
        <v>1E-4</v>
      </c>
      <c r="M133" s="971">
        <f>0.5*(MAX(J133:L133)-MIN(J133:L133))</f>
        <v>5.0000000000000002E-5</v>
      </c>
      <c r="N133" s="977">
        <v>1E-4</v>
      </c>
      <c r="O133" s="964"/>
      <c r="P133" s="964"/>
      <c r="Q133" s="969">
        <v>2</v>
      </c>
      <c r="R133" s="972">
        <v>0</v>
      </c>
      <c r="S133" s="972">
        <v>0</v>
      </c>
      <c r="T133" s="960">
        <v>1E-4</v>
      </c>
      <c r="U133" s="971">
        <f>0.5*(MAX(R133:T133)-MIN(R133:T133))</f>
        <v>5.0000000000000002E-5</v>
      </c>
      <c r="V133" s="977">
        <v>1E-4</v>
      </c>
    </row>
    <row r="134" spans="1:22" ht="26">
      <c r="A134" s="973" t="s">
        <v>343</v>
      </c>
      <c r="B134" s="967" t="s">
        <v>7</v>
      </c>
      <c r="C134" s="967" t="s">
        <v>7</v>
      </c>
      <c r="D134" s="1649"/>
      <c r="E134" s="974" t="s">
        <v>2</v>
      </c>
      <c r="F134" s="975" t="s">
        <v>26</v>
      </c>
      <c r="G134" s="964"/>
      <c r="H134" s="964"/>
      <c r="I134" s="973" t="s">
        <v>343</v>
      </c>
      <c r="J134" s="967" t="s">
        <v>7</v>
      </c>
      <c r="K134" s="967" t="s">
        <v>7</v>
      </c>
      <c r="L134" s="1649"/>
      <c r="M134" s="974" t="s">
        <v>2</v>
      </c>
      <c r="N134" s="975" t="s">
        <v>26</v>
      </c>
      <c r="O134" s="964"/>
      <c r="P134" s="964"/>
      <c r="Q134" s="973" t="s">
        <v>343</v>
      </c>
      <c r="R134" s="967" t="s">
        <v>7</v>
      </c>
      <c r="S134" s="967" t="s">
        <v>7</v>
      </c>
      <c r="T134" s="1649"/>
      <c r="U134" s="974" t="s">
        <v>2</v>
      </c>
      <c r="V134" s="975" t="s">
        <v>26</v>
      </c>
    </row>
    <row r="135" spans="1:22" ht="13">
      <c r="A135" s="973" t="s">
        <v>344</v>
      </c>
      <c r="B135" s="967">
        <f>B130</f>
        <v>2018</v>
      </c>
      <c r="C135" s="967">
        <f>C130</f>
        <v>2018</v>
      </c>
      <c r="D135" s="1649">
        <f>D130</f>
        <v>2019</v>
      </c>
      <c r="E135" s="971"/>
      <c r="F135" s="975"/>
      <c r="G135" s="964"/>
      <c r="H135" s="964"/>
      <c r="I135" s="973" t="s">
        <v>344</v>
      </c>
      <c r="J135" s="967">
        <f>J130</f>
        <v>2018</v>
      </c>
      <c r="K135" s="967">
        <f>K130</f>
        <v>2018</v>
      </c>
      <c r="L135" s="1649">
        <f>L130</f>
        <v>2019</v>
      </c>
      <c r="M135" s="971"/>
      <c r="N135" s="975"/>
      <c r="O135" s="964"/>
      <c r="P135" s="964"/>
      <c r="Q135" s="973" t="s">
        <v>344</v>
      </c>
      <c r="R135" s="967">
        <f>R130</f>
        <v>2018</v>
      </c>
      <c r="S135" s="967">
        <f>S130</f>
        <v>2018</v>
      </c>
      <c r="T135" s="1649">
        <f>T130</f>
        <v>2019</v>
      </c>
      <c r="U135" s="971"/>
      <c r="V135" s="975"/>
    </row>
    <row r="136" spans="1:22">
      <c r="A136" s="969">
        <v>0.125</v>
      </c>
      <c r="B136" s="972">
        <v>0</v>
      </c>
      <c r="C136" s="972">
        <v>0</v>
      </c>
      <c r="D136" s="960">
        <v>1E-4</v>
      </c>
      <c r="E136" s="971">
        <f>0.5*(MAX(B136:D136)-MIN(B136:D136))</f>
        <v>5.0000000000000002E-5</v>
      </c>
      <c r="F136" s="977">
        <v>2.5999999999999998E-5</v>
      </c>
      <c r="G136" s="964"/>
      <c r="H136" s="964"/>
      <c r="I136" s="969">
        <v>0.125</v>
      </c>
      <c r="J136" s="972">
        <v>0</v>
      </c>
      <c r="K136" s="972">
        <v>0</v>
      </c>
      <c r="L136" s="960">
        <v>1E-4</v>
      </c>
      <c r="M136" s="971">
        <f>0.5*(MAX(J136:L136)-MIN(J136:L136))</f>
        <v>5.0000000000000002E-5</v>
      </c>
      <c r="N136" s="977">
        <v>2.5999999999999998E-5</v>
      </c>
      <c r="O136" s="964"/>
      <c r="P136" s="964"/>
      <c r="Q136" s="969">
        <v>0.125</v>
      </c>
      <c r="R136" s="972">
        <v>0</v>
      </c>
      <c r="S136" s="972">
        <v>0</v>
      </c>
      <c r="T136" s="960">
        <v>1E-4</v>
      </c>
      <c r="U136" s="971">
        <f>0.5*(MAX(R136:T136)-MIN(R136:T136))</f>
        <v>5.0000000000000002E-5</v>
      </c>
      <c r="V136" s="977">
        <v>2.5999999999999998E-5</v>
      </c>
    </row>
    <row r="137" spans="1:22">
      <c r="A137" s="969">
        <v>2</v>
      </c>
      <c r="B137" s="972">
        <v>0</v>
      </c>
      <c r="C137" s="972">
        <v>0</v>
      </c>
      <c r="D137" s="960">
        <v>1E-4</v>
      </c>
      <c r="E137" s="971">
        <f>0.5*(MAX(B137:D137)-MIN(B137:D137))</f>
        <v>5.0000000000000002E-5</v>
      </c>
      <c r="F137" s="977">
        <v>2.5999999999999998E-5</v>
      </c>
      <c r="G137" s="964"/>
      <c r="H137" s="964"/>
      <c r="I137" s="969">
        <v>2</v>
      </c>
      <c r="J137" s="972">
        <v>0</v>
      </c>
      <c r="K137" s="972">
        <v>0</v>
      </c>
      <c r="L137" s="960">
        <v>1E-4</v>
      </c>
      <c r="M137" s="971">
        <f>0.5*(MAX(J137:L137)-MIN(J137:L137))</f>
        <v>5.0000000000000002E-5</v>
      </c>
      <c r="N137" s="977">
        <v>2.5999999999999998E-5</v>
      </c>
      <c r="O137" s="964"/>
      <c r="P137" s="964"/>
      <c r="Q137" s="969">
        <v>2</v>
      </c>
      <c r="R137" s="972">
        <v>0</v>
      </c>
      <c r="S137" s="972">
        <v>0</v>
      </c>
      <c r="T137" s="960">
        <v>1E-4</v>
      </c>
      <c r="U137" s="971">
        <f>0.5*(MAX(R137:T137)-MIN(R137:T137))</f>
        <v>5.0000000000000002E-5</v>
      </c>
      <c r="V137" s="977">
        <v>2.5999999999999998E-5</v>
      </c>
    </row>
    <row r="138" spans="1:22" ht="26">
      <c r="A138" s="973" t="s">
        <v>346</v>
      </c>
      <c r="B138" s="967" t="s">
        <v>7</v>
      </c>
      <c r="C138" s="967" t="s">
        <v>7</v>
      </c>
      <c r="D138" s="1649"/>
      <c r="E138" s="974" t="s">
        <v>2</v>
      </c>
      <c r="F138" s="975" t="s">
        <v>26</v>
      </c>
      <c r="G138" s="964"/>
      <c r="H138" s="964"/>
      <c r="I138" s="973" t="s">
        <v>346</v>
      </c>
      <c r="J138" s="967" t="s">
        <v>7</v>
      </c>
      <c r="K138" s="967" t="s">
        <v>7</v>
      </c>
      <c r="L138" s="1649"/>
      <c r="M138" s="974" t="s">
        <v>2</v>
      </c>
      <c r="N138" s="975" t="s">
        <v>26</v>
      </c>
      <c r="O138" s="964"/>
      <c r="P138" s="964"/>
      <c r="Q138" s="973" t="s">
        <v>346</v>
      </c>
      <c r="R138" s="967" t="s">
        <v>7</v>
      </c>
      <c r="S138" s="967" t="s">
        <v>7</v>
      </c>
      <c r="T138" s="1649"/>
      <c r="U138" s="974" t="s">
        <v>2</v>
      </c>
      <c r="V138" s="975" t="s">
        <v>26</v>
      </c>
    </row>
    <row r="139" spans="1:22" ht="13">
      <c r="A139" s="973" t="s">
        <v>344</v>
      </c>
      <c r="B139" s="967">
        <f>B135</f>
        <v>2018</v>
      </c>
      <c r="C139" s="967">
        <f>C135</f>
        <v>2018</v>
      </c>
      <c r="D139" s="1649">
        <f>D135</f>
        <v>2019</v>
      </c>
      <c r="E139" s="971"/>
      <c r="F139" s="975"/>
      <c r="G139" s="964"/>
      <c r="H139" s="964"/>
      <c r="I139" s="973" t="s">
        <v>344</v>
      </c>
      <c r="J139" s="967">
        <f>J135</f>
        <v>2018</v>
      </c>
      <c r="K139" s="967">
        <f>K135</f>
        <v>2018</v>
      </c>
      <c r="L139" s="1649">
        <f>L135</f>
        <v>2019</v>
      </c>
      <c r="M139" s="971"/>
      <c r="N139" s="975"/>
      <c r="O139" s="964"/>
      <c r="P139" s="964"/>
      <c r="Q139" s="973" t="s">
        <v>344</v>
      </c>
      <c r="R139" s="967">
        <f>R135</f>
        <v>2018</v>
      </c>
      <c r="S139" s="967">
        <f>S135</f>
        <v>2018</v>
      </c>
      <c r="T139" s="1649">
        <f>T135</f>
        <v>2019</v>
      </c>
      <c r="U139" s="971"/>
      <c r="V139" s="975"/>
    </row>
    <row r="140" spans="1:22">
      <c r="A140" s="969">
        <v>10</v>
      </c>
      <c r="B140" s="972">
        <v>0</v>
      </c>
      <c r="C140" s="972">
        <v>0</v>
      </c>
      <c r="D140" s="960">
        <v>1E-4</v>
      </c>
      <c r="E140" s="971">
        <f>0.5*(MAX(B140:D140)-MIN(B140:D140))</f>
        <v>5.0000000000000002E-5</v>
      </c>
      <c r="F140" s="977">
        <v>2.5999999999999998E-5</v>
      </c>
      <c r="G140" s="964"/>
      <c r="H140" s="964"/>
      <c r="I140" s="969">
        <v>10</v>
      </c>
      <c r="J140" s="972">
        <v>0</v>
      </c>
      <c r="K140" s="972">
        <v>0</v>
      </c>
      <c r="L140" s="960">
        <v>1E-4</v>
      </c>
      <c r="M140" s="971">
        <f>0.5*(MAX(J140:L140)-MIN(J140:L140))</f>
        <v>5.0000000000000002E-5</v>
      </c>
      <c r="N140" s="977">
        <v>2.5999999999999998E-5</v>
      </c>
      <c r="O140" s="964"/>
      <c r="P140" s="964"/>
      <c r="Q140" s="969">
        <v>10</v>
      </c>
      <c r="R140" s="972">
        <v>0</v>
      </c>
      <c r="S140" s="972">
        <v>0</v>
      </c>
      <c r="T140" s="960">
        <v>1E-4</v>
      </c>
      <c r="U140" s="971">
        <f>0.5*(MAX(R140:T140)-MIN(R140:T140))</f>
        <v>5.0000000000000002E-5</v>
      </c>
      <c r="V140" s="977">
        <v>2.5999999999999998E-5</v>
      </c>
    </row>
    <row r="141" spans="1:22" ht="12.75" customHeight="1">
      <c r="A141" s="114" t="s">
        <v>347</v>
      </c>
      <c r="B141" s="114" t="s">
        <v>7</v>
      </c>
      <c r="C141" s="114" t="s">
        <v>7</v>
      </c>
      <c r="D141" s="1648"/>
      <c r="E141" s="114" t="s">
        <v>2</v>
      </c>
      <c r="F141" s="980" t="s">
        <v>26</v>
      </c>
      <c r="G141" s="964"/>
      <c r="H141" s="964"/>
      <c r="I141" s="114" t="s">
        <v>347</v>
      </c>
      <c r="J141" s="114" t="s">
        <v>7</v>
      </c>
      <c r="K141" s="114" t="s">
        <v>7</v>
      </c>
      <c r="L141" s="1648"/>
      <c r="M141" s="1983" t="s">
        <v>2</v>
      </c>
      <c r="N141" s="1986" t="s">
        <v>26</v>
      </c>
      <c r="O141" s="964"/>
      <c r="P141" s="964"/>
      <c r="Q141" s="114" t="s">
        <v>347</v>
      </c>
      <c r="R141" s="114" t="s">
        <v>7</v>
      </c>
      <c r="S141" s="114" t="s">
        <v>7</v>
      </c>
      <c r="T141" s="1648"/>
      <c r="U141" s="1983" t="s">
        <v>2</v>
      </c>
      <c r="V141" s="1986" t="s">
        <v>26</v>
      </c>
    </row>
    <row r="142" spans="1:22" ht="14">
      <c r="A142" s="954" t="s">
        <v>348</v>
      </c>
      <c r="B142" s="114">
        <f>B139</f>
        <v>2018</v>
      </c>
      <c r="C142" s="114">
        <f>C139</f>
        <v>2018</v>
      </c>
      <c r="D142" s="1648">
        <f>D139</f>
        <v>2019</v>
      </c>
      <c r="E142" s="114"/>
      <c r="F142" s="980"/>
      <c r="G142" s="964"/>
      <c r="H142" s="964"/>
      <c r="I142" s="954" t="s">
        <v>348</v>
      </c>
      <c r="J142" s="114">
        <f>J139</f>
        <v>2018</v>
      </c>
      <c r="K142" s="114">
        <f>K139</f>
        <v>2018</v>
      </c>
      <c r="L142" s="1648">
        <f>L139</f>
        <v>2019</v>
      </c>
      <c r="M142" s="1983"/>
      <c r="N142" s="1986"/>
      <c r="O142" s="964"/>
      <c r="P142" s="964"/>
      <c r="Q142" s="954" t="s">
        <v>348</v>
      </c>
      <c r="R142" s="114">
        <f>R139</f>
        <v>2018</v>
      </c>
      <c r="S142" s="114">
        <f>S139</f>
        <v>2018</v>
      </c>
      <c r="T142" s="1648">
        <f>T139</f>
        <v>2019</v>
      </c>
      <c r="U142" s="1983"/>
      <c r="V142" s="1986"/>
    </row>
    <row r="143" spans="1:22">
      <c r="A143" s="981">
        <v>15</v>
      </c>
      <c r="B143" s="960">
        <v>0</v>
      </c>
      <c r="C143" s="960">
        <v>0</v>
      </c>
      <c r="D143" s="960">
        <v>1E-4</v>
      </c>
      <c r="E143" s="961">
        <f>0.5*(MAX(B143:D143)-MIN(B143:D143))</f>
        <v>5.0000000000000002E-5</v>
      </c>
      <c r="F143" s="982"/>
      <c r="G143" s="964"/>
      <c r="H143" s="964"/>
      <c r="I143" s="981">
        <v>15</v>
      </c>
      <c r="J143" s="960">
        <v>0</v>
      </c>
      <c r="K143" s="960">
        <v>0</v>
      </c>
      <c r="L143" s="960">
        <v>1E-4</v>
      </c>
      <c r="M143" s="961">
        <f>0.5*(MAX(J143:L143)-MIN(J143:L143))</f>
        <v>5.0000000000000002E-5</v>
      </c>
      <c r="N143" s="982"/>
      <c r="O143" s="964"/>
      <c r="P143" s="964"/>
      <c r="Q143" s="981">
        <v>15</v>
      </c>
      <c r="R143" s="960">
        <v>0</v>
      </c>
      <c r="S143" s="960">
        <v>0</v>
      </c>
      <c r="T143" s="960">
        <v>1E-4</v>
      </c>
      <c r="U143" s="961">
        <f>0.5*(MAX(R143:T143)-MIN(R143:T143))</f>
        <v>5.0000000000000002E-5</v>
      </c>
      <c r="V143" s="982"/>
    </row>
    <row r="144" spans="1:22">
      <c r="A144" s="963">
        <v>30</v>
      </c>
      <c r="B144" s="960">
        <v>0</v>
      </c>
      <c r="C144" s="960">
        <v>0</v>
      </c>
      <c r="D144" s="960">
        <v>1E-4</v>
      </c>
      <c r="E144" s="961">
        <f>0.5*(MAX(B144:D144)-MIN(B144:D144))</f>
        <v>5.0000000000000002E-5</v>
      </c>
      <c r="F144" s="962">
        <v>1.1999999999999999E-3</v>
      </c>
      <c r="G144" s="964"/>
      <c r="H144" s="964"/>
      <c r="I144" s="963">
        <v>30</v>
      </c>
      <c r="J144" s="960">
        <v>0</v>
      </c>
      <c r="K144" s="960">
        <v>0</v>
      </c>
      <c r="L144" s="960">
        <v>1E-4</v>
      </c>
      <c r="M144" s="961">
        <f>0.5*(MAX(J144:L144)-MIN(J144:L144))</f>
        <v>5.0000000000000002E-5</v>
      </c>
      <c r="N144" s="962">
        <v>1.1999999999999999E-3</v>
      </c>
      <c r="O144" s="964"/>
      <c r="P144" s="964"/>
      <c r="Q144" s="963">
        <v>30</v>
      </c>
      <c r="R144" s="960">
        <v>0</v>
      </c>
      <c r="S144" s="960">
        <v>0</v>
      </c>
      <c r="T144" s="960">
        <v>1E-4</v>
      </c>
      <c r="U144" s="961">
        <f>0.5*(MAX(R144:T144)-MIN(R144:T144))</f>
        <v>5.0000000000000002E-5</v>
      </c>
      <c r="V144" s="962">
        <v>1.1999999999999999E-3</v>
      </c>
    </row>
    <row r="145" spans="1:22">
      <c r="A145" s="963">
        <v>60</v>
      </c>
      <c r="B145" s="960">
        <v>0</v>
      </c>
      <c r="C145" s="960">
        <v>0</v>
      </c>
      <c r="D145" s="960">
        <v>1E-4</v>
      </c>
      <c r="E145" s="961">
        <f>0.5*(MAX(B145:D145)-MIN(B145:D145))</f>
        <v>5.0000000000000002E-5</v>
      </c>
      <c r="F145" s="962" t="s">
        <v>337</v>
      </c>
      <c r="G145" s="964"/>
      <c r="H145" s="964"/>
      <c r="I145" s="963">
        <v>60</v>
      </c>
      <c r="J145" s="960">
        <v>0</v>
      </c>
      <c r="K145" s="960">
        <v>0</v>
      </c>
      <c r="L145" s="960">
        <v>1E-4</v>
      </c>
      <c r="M145" s="961">
        <f>0.5*(MAX(J145:L145)-MIN(J145:L145))</f>
        <v>5.0000000000000002E-5</v>
      </c>
      <c r="N145" s="962" t="s">
        <v>337</v>
      </c>
      <c r="O145" s="964"/>
      <c r="P145" s="964"/>
      <c r="Q145" s="963">
        <v>60</v>
      </c>
      <c r="R145" s="960">
        <v>0</v>
      </c>
      <c r="S145" s="960">
        <v>0</v>
      </c>
      <c r="T145" s="960">
        <v>1E-4</v>
      </c>
      <c r="U145" s="961">
        <f>0.5*(MAX(R145:T145)-MIN(R145:T145))</f>
        <v>5.0000000000000002E-5</v>
      </c>
      <c r="V145" s="962" t="s">
        <v>337</v>
      </c>
    </row>
    <row r="146" spans="1:22">
      <c r="A146" s="963">
        <v>120</v>
      </c>
      <c r="B146" s="960">
        <v>0</v>
      </c>
      <c r="C146" s="960">
        <v>0</v>
      </c>
      <c r="D146" s="960">
        <v>1E-4</v>
      </c>
      <c r="E146" s="961">
        <f>0.5*(MAX(B146:D146)-MIN(B146:D146))</f>
        <v>5.0000000000000002E-5</v>
      </c>
      <c r="F146" s="962" t="s">
        <v>338</v>
      </c>
      <c r="G146" s="964"/>
      <c r="H146" s="964"/>
      <c r="I146" s="963">
        <v>120</v>
      </c>
      <c r="J146" s="960">
        <v>0</v>
      </c>
      <c r="K146" s="960">
        <v>0</v>
      </c>
      <c r="L146" s="960">
        <v>1E-4</v>
      </c>
      <c r="M146" s="961">
        <f>0.5*(MAX(J146:L146)-MIN(J146:L146))</f>
        <v>5.0000000000000002E-5</v>
      </c>
      <c r="N146" s="962" t="s">
        <v>338</v>
      </c>
      <c r="O146" s="964"/>
      <c r="P146" s="964"/>
      <c r="Q146" s="963">
        <v>120</v>
      </c>
      <c r="R146" s="960">
        <v>0</v>
      </c>
      <c r="S146" s="960">
        <v>0</v>
      </c>
      <c r="T146" s="960">
        <v>1E-4</v>
      </c>
      <c r="U146" s="961">
        <f>0.5*(MAX(R146:T146)-MIN(R146:T146))</f>
        <v>5.0000000000000002E-5</v>
      </c>
      <c r="V146" s="962" t="s">
        <v>338</v>
      </c>
    </row>
    <row r="147" spans="1:22">
      <c r="A147" s="963">
        <v>180</v>
      </c>
      <c r="B147" s="960">
        <v>0</v>
      </c>
      <c r="C147" s="960">
        <v>0</v>
      </c>
      <c r="D147" s="960">
        <v>1E-4</v>
      </c>
      <c r="E147" s="961">
        <f>0.5*(MAX(B147:D147)-MIN(B147:D147))</f>
        <v>5.0000000000000002E-5</v>
      </c>
      <c r="F147" s="962" t="s">
        <v>10</v>
      </c>
      <c r="G147" s="964"/>
      <c r="H147" s="964"/>
      <c r="I147" s="963">
        <v>180</v>
      </c>
      <c r="J147" s="960">
        <v>0</v>
      </c>
      <c r="K147" s="960">
        <v>0</v>
      </c>
      <c r="L147" s="960">
        <v>1E-4</v>
      </c>
      <c r="M147" s="961">
        <f>0.5*(MAX(J147:L147)-MIN(J147:L147))</f>
        <v>5.0000000000000002E-5</v>
      </c>
      <c r="N147" s="962" t="s">
        <v>10</v>
      </c>
      <c r="O147" s="964"/>
      <c r="P147" s="964"/>
      <c r="Q147" s="963">
        <v>180</v>
      </c>
      <c r="R147" s="960">
        <v>0</v>
      </c>
      <c r="S147" s="960">
        <v>0</v>
      </c>
      <c r="T147" s="960">
        <v>1E-4</v>
      </c>
      <c r="U147" s="961">
        <f>0.5*(MAX(R147:T147)-MIN(R147:T147))</f>
        <v>5.0000000000000002E-5</v>
      </c>
      <c r="V147" s="962" t="s">
        <v>10</v>
      </c>
    </row>
    <row r="148" spans="1:22">
      <c r="A148" s="964"/>
      <c r="B148" s="964"/>
      <c r="C148" s="964"/>
      <c r="D148" s="964"/>
      <c r="E148" s="964"/>
      <c r="F148" s="964"/>
      <c r="G148" s="964"/>
      <c r="H148" s="964"/>
      <c r="I148" s="964"/>
      <c r="J148" s="964"/>
      <c r="K148" s="964"/>
      <c r="L148" s="964"/>
      <c r="M148" s="964"/>
      <c r="N148" s="964"/>
      <c r="O148" s="964"/>
      <c r="P148" s="964"/>
      <c r="Q148" s="964"/>
      <c r="R148" s="964"/>
      <c r="S148" s="964"/>
      <c r="T148" s="964"/>
      <c r="U148" s="964"/>
      <c r="V148" s="964"/>
    </row>
    <row r="149" spans="1:22">
      <c r="A149" s="964"/>
      <c r="B149" s="964"/>
      <c r="C149" s="964"/>
      <c r="D149" s="964"/>
      <c r="E149" s="964"/>
      <c r="F149" s="964"/>
      <c r="G149" s="964"/>
      <c r="H149" s="964"/>
      <c r="I149" s="964"/>
      <c r="J149" s="964"/>
      <c r="K149" s="964"/>
      <c r="L149" s="964"/>
      <c r="M149" s="964"/>
      <c r="N149" s="964"/>
      <c r="O149" s="964"/>
      <c r="P149" s="964"/>
      <c r="Q149" s="964"/>
      <c r="R149" s="964"/>
      <c r="S149" s="964"/>
      <c r="T149" s="964"/>
      <c r="U149" s="964"/>
      <c r="V149" s="964"/>
    </row>
    <row r="150" spans="1:22" ht="28">
      <c r="A150" s="985" t="s">
        <v>362</v>
      </c>
      <c r="B150" s="964"/>
      <c r="C150" s="964"/>
      <c r="D150" s="964"/>
      <c r="E150" s="964"/>
      <c r="F150" s="964"/>
      <c r="G150" s="964"/>
      <c r="H150" s="964"/>
      <c r="I150" s="988" t="s">
        <v>363</v>
      </c>
      <c r="J150" s="964"/>
      <c r="K150" s="964"/>
      <c r="L150" s="964"/>
      <c r="M150" s="964"/>
      <c r="N150" s="964"/>
      <c r="O150" s="964"/>
      <c r="P150" s="964"/>
      <c r="Q150" s="989" t="s">
        <v>364</v>
      </c>
      <c r="R150" s="964"/>
      <c r="S150" s="964"/>
      <c r="T150" s="964"/>
      <c r="U150" s="964"/>
      <c r="V150" s="964"/>
    </row>
    <row r="151" spans="1:22" ht="15.75" customHeight="1">
      <c r="A151" s="1996" t="s">
        <v>333</v>
      </c>
      <c r="B151" s="1996"/>
      <c r="C151" s="1996"/>
      <c r="D151" s="1996"/>
      <c r="E151" s="967" t="s">
        <v>2</v>
      </c>
      <c r="F151" s="983" t="s">
        <v>26</v>
      </c>
      <c r="G151" s="964"/>
      <c r="H151" s="964"/>
      <c r="I151" s="1996" t="s">
        <v>333</v>
      </c>
      <c r="J151" s="1996"/>
      <c r="K151" s="1996"/>
      <c r="L151" s="1996"/>
      <c r="M151" s="1984" t="s">
        <v>2</v>
      </c>
      <c r="N151" s="1985" t="s">
        <v>26</v>
      </c>
      <c r="O151" s="964"/>
      <c r="P151" s="964"/>
      <c r="Q151" s="1996" t="s">
        <v>333</v>
      </c>
      <c r="R151" s="1996"/>
      <c r="S151" s="1996"/>
      <c r="T151" s="1996"/>
      <c r="U151" s="1984" t="s">
        <v>2</v>
      </c>
      <c r="V151" s="1985" t="s">
        <v>26</v>
      </c>
    </row>
    <row r="152" spans="1:22" ht="13">
      <c r="A152" s="967" t="s">
        <v>335</v>
      </c>
      <c r="B152" s="1984" t="s">
        <v>7</v>
      </c>
      <c r="C152" s="1984"/>
      <c r="D152" s="1984"/>
      <c r="E152" s="967"/>
      <c r="F152" s="983"/>
      <c r="G152" s="964"/>
      <c r="H152" s="964"/>
      <c r="I152" s="967" t="s">
        <v>335</v>
      </c>
      <c r="J152" s="1984" t="s">
        <v>7</v>
      </c>
      <c r="K152" s="1984"/>
      <c r="L152" s="1984"/>
      <c r="M152" s="1984"/>
      <c r="N152" s="1985"/>
      <c r="O152" s="964"/>
      <c r="P152" s="964"/>
      <c r="Q152" s="967" t="s">
        <v>335</v>
      </c>
      <c r="R152" s="1984" t="s">
        <v>7</v>
      </c>
      <c r="S152" s="1984"/>
      <c r="T152" s="1984"/>
      <c r="U152" s="1984"/>
      <c r="V152" s="1985"/>
    </row>
    <row r="153" spans="1:22" ht="14">
      <c r="A153" s="954" t="s">
        <v>336</v>
      </c>
      <c r="B153" s="967">
        <v>2018</v>
      </c>
      <c r="C153" s="967">
        <v>2018</v>
      </c>
      <c r="D153" s="1649">
        <v>2019</v>
      </c>
      <c r="E153" s="967"/>
      <c r="F153" s="983"/>
      <c r="G153" s="964"/>
      <c r="H153" s="964"/>
      <c r="I153" s="954" t="s">
        <v>336</v>
      </c>
      <c r="J153" s="967">
        <v>2018</v>
      </c>
      <c r="K153" s="967">
        <v>2018</v>
      </c>
      <c r="L153" s="1649">
        <v>2019</v>
      </c>
      <c r="M153" s="1984"/>
      <c r="N153" s="1985"/>
      <c r="O153" s="964"/>
      <c r="P153" s="964"/>
      <c r="Q153" s="954" t="s">
        <v>336</v>
      </c>
      <c r="R153" s="967">
        <v>2018</v>
      </c>
      <c r="S153" s="967">
        <v>2018</v>
      </c>
      <c r="T153" s="1649">
        <v>2019</v>
      </c>
      <c r="U153" s="1984"/>
      <c r="V153" s="1985"/>
    </row>
    <row r="154" spans="1:22">
      <c r="A154" s="969">
        <v>0.5</v>
      </c>
      <c r="B154" s="970" t="s">
        <v>10</v>
      </c>
      <c r="C154" s="970" t="s">
        <v>10</v>
      </c>
      <c r="D154" s="960">
        <v>1E-4</v>
      </c>
      <c r="E154" s="971">
        <f>0.5*(MAX(B154:D154)-MIN(B154:D154))</f>
        <v>0</v>
      </c>
      <c r="F154" s="969">
        <v>5.4999999999999997E-3</v>
      </c>
      <c r="G154" s="964"/>
      <c r="H154" s="964"/>
      <c r="I154" s="969">
        <v>0.5</v>
      </c>
      <c r="J154" s="970" t="s">
        <v>10</v>
      </c>
      <c r="K154" s="970" t="s">
        <v>10</v>
      </c>
      <c r="L154" s="960">
        <v>1E-4</v>
      </c>
      <c r="M154" s="971">
        <f>0.5*(MAX(J154:L154)-MIN(J154:L154))</f>
        <v>0</v>
      </c>
      <c r="N154" s="969">
        <v>5.4999999999999997E-3</v>
      </c>
      <c r="O154" s="964"/>
      <c r="P154" s="964"/>
      <c r="Q154" s="969">
        <v>0.5</v>
      </c>
      <c r="R154" s="970" t="s">
        <v>10</v>
      </c>
      <c r="S154" s="970" t="s">
        <v>10</v>
      </c>
      <c r="T154" s="960">
        <v>1E-4</v>
      </c>
      <c r="U154" s="971">
        <f>0.5*(MAX(R154:T154)-MIN(R154:T154))</f>
        <v>0</v>
      </c>
      <c r="V154" s="969">
        <v>5.4999999999999997E-3</v>
      </c>
    </row>
    <row r="155" spans="1:22">
      <c r="A155" s="969">
        <v>1</v>
      </c>
      <c r="B155" s="970" t="s">
        <v>10</v>
      </c>
      <c r="C155" s="970" t="s">
        <v>10</v>
      </c>
      <c r="D155" s="960">
        <v>1E-4</v>
      </c>
      <c r="E155" s="971">
        <f>0.5*(MAX(B155:D155)-MIN(B155:D155))</f>
        <v>0</v>
      </c>
      <c r="F155" s="969" t="s">
        <v>337</v>
      </c>
      <c r="G155" s="964"/>
      <c r="H155" s="964"/>
      <c r="I155" s="969">
        <v>1</v>
      </c>
      <c r="J155" s="970" t="s">
        <v>10</v>
      </c>
      <c r="K155" s="970" t="s">
        <v>10</v>
      </c>
      <c r="L155" s="960">
        <v>1E-4</v>
      </c>
      <c r="M155" s="971">
        <f>0.5*(MAX(J155:L155)-MIN(J155:L155))</f>
        <v>0</v>
      </c>
      <c r="N155" s="969" t="s">
        <v>337</v>
      </c>
      <c r="O155" s="964"/>
      <c r="P155" s="964"/>
      <c r="Q155" s="969">
        <v>1</v>
      </c>
      <c r="R155" s="970" t="s">
        <v>10</v>
      </c>
      <c r="S155" s="970" t="s">
        <v>10</v>
      </c>
      <c r="T155" s="960">
        <v>1E-4</v>
      </c>
      <c r="U155" s="971">
        <f>0.5*(MAX(R155:T155)-MIN(R155:T155))</f>
        <v>0</v>
      </c>
      <c r="V155" s="969" t="s">
        <v>337</v>
      </c>
    </row>
    <row r="156" spans="1:22">
      <c r="A156" s="969">
        <v>2</v>
      </c>
      <c r="B156" s="970" t="s">
        <v>10</v>
      </c>
      <c r="C156" s="970" t="s">
        <v>10</v>
      </c>
      <c r="D156" s="960">
        <v>1E-4</v>
      </c>
      <c r="E156" s="971">
        <f>0.5*(MAX(B156:D156)-MIN(B156:D156))</f>
        <v>0</v>
      </c>
      <c r="F156" s="969" t="s">
        <v>338</v>
      </c>
      <c r="G156" s="964"/>
      <c r="H156" s="964"/>
      <c r="I156" s="969">
        <v>2</v>
      </c>
      <c r="J156" s="970" t="s">
        <v>10</v>
      </c>
      <c r="K156" s="970" t="s">
        <v>10</v>
      </c>
      <c r="L156" s="960">
        <v>1E-4</v>
      </c>
      <c r="M156" s="971">
        <f>0.5*(MAX(J156:L156)-MIN(J156:L156))</f>
        <v>0</v>
      </c>
      <c r="N156" s="969" t="s">
        <v>338</v>
      </c>
      <c r="O156" s="964"/>
      <c r="P156" s="964"/>
      <c r="Q156" s="969">
        <v>2</v>
      </c>
      <c r="R156" s="970" t="s">
        <v>10</v>
      </c>
      <c r="S156" s="970" t="s">
        <v>10</v>
      </c>
      <c r="T156" s="960">
        <v>1E-4</v>
      </c>
      <c r="U156" s="971">
        <f>0.5*(MAX(R156:T156)-MIN(R156:T156))</f>
        <v>0</v>
      </c>
      <c r="V156" s="969" t="s">
        <v>338</v>
      </c>
    </row>
    <row r="157" spans="1:22">
      <c r="A157" s="969">
        <v>3</v>
      </c>
      <c r="B157" s="970" t="s">
        <v>10</v>
      </c>
      <c r="C157" s="970" t="s">
        <v>10</v>
      </c>
      <c r="D157" s="960">
        <v>1E-4</v>
      </c>
      <c r="E157" s="971">
        <f>0.5*(MAX(B157:D157)-MIN(B157:D157))</f>
        <v>0</v>
      </c>
      <c r="F157" s="969"/>
      <c r="G157" s="964"/>
      <c r="H157" s="964"/>
      <c r="I157" s="969">
        <v>3</v>
      </c>
      <c r="J157" s="970" t="s">
        <v>10</v>
      </c>
      <c r="K157" s="970" t="s">
        <v>10</v>
      </c>
      <c r="L157" s="960">
        <v>1E-4</v>
      </c>
      <c r="M157" s="971">
        <f>0.5*(MAX(J157:L157)-MIN(J157:L157))</f>
        <v>0</v>
      </c>
      <c r="N157" s="969"/>
      <c r="O157" s="964"/>
      <c r="P157" s="964"/>
      <c r="Q157" s="969">
        <v>3</v>
      </c>
      <c r="R157" s="970" t="s">
        <v>10</v>
      </c>
      <c r="S157" s="970" t="s">
        <v>10</v>
      </c>
      <c r="T157" s="960">
        <v>1E-4</v>
      </c>
      <c r="U157" s="971">
        <f>0.5*(MAX(R157:T157)-MIN(R157:T157))</f>
        <v>0</v>
      </c>
      <c r="V157" s="969"/>
    </row>
    <row r="158" spans="1:22" ht="26">
      <c r="A158" s="973" t="s">
        <v>339</v>
      </c>
      <c r="B158" s="967" t="s">
        <v>7</v>
      </c>
      <c r="C158" s="967" t="s">
        <v>7</v>
      </c>
      <c r="D158" s="1649"/>
      <c r="E158" s="974" t="s">
        <v>2</v>
      </c>
      <c r="F158" s="975" t="s">
        <v>26</v>
      </c>
      <c r="G158" s="964"/>
      <c r="H158" s="964"/>
      <c r="I158" s="973" t="s">
        <v>339</v>
      </c>
      <c r="J158" s="967" t="s">
        <v>7</v>
      </c>
      <c r="K158" s="967" t="s">
        <v>7</v>
      </c>
      <c r="L158" s="1649"/>
      <c r="M158" s="974" t="s">
        <v>2</v>
      </c>
      <c r="N158" s="975" t="s">
        <v>26</v>
      </c>
      <c r="O158" s="964"/>
      <c r="P158" s="964"/>
      <c r="Q158" s="973" t="s">
        <v>339</v>
      </c>
      <c r="R158" s="967" t="s">
        <v>7</v>
      </c>
      <c r="S158" s="967" t="s">
        <v>7</v>
      </c>
      <c r="T158" s="1649"/>
      <c r="U158" s="974" t="s">
        <v>2</v>
      </c>
      <c r="V158" s="975" t="s">
        <v>26</v>
      </c>
    </row>
    <row r="159" spans="1:22" ht="13">
      <c r="A159" s="976" t="s">
        <v>340</v>
      </c>
      <c r="B159" s="967">
        <f>B153</f>
        <v>2018</v>
      </c>
      <c r="C159" s="967">
        <f>C153</f>
        <v>2018</v>
      </c>
      <c r="D159" s="1649">
        <f>D153</f>
        <v>2019</v>
      </c>
      <c r="E159" s="971"/>
      <c r="F159" s="975"/>
      <c r="G159" s="964"/>
      <c r="H159" s="964"/>
      <c r="I159" s="976" t="s">
        <v>340</v>
      </c>
      <c r="J159" s="967">
        <f>J153</f>
        <v>2018</v>
      </c>
      <c r="K159" s="967">
        <f>K153</f>
        <v>2018</v>
      </c>
      <c r="L159" s="1649">
        <f>L153</f>
        <v>2019</v>
      </c>
      <c r="M159" s="971"/>
      <c r="N159" s="975"/>
      <c r="O159" s="964"/>
      <c r="P159" s="964"/>
      <c r="Q159" s="976" t="s">
        <v>340</v>
      </c>
      <c r="R159" s="967">
        <f>R153</f>
        <v>2018</v>
      </c>
      <c r="S159" s="967">
        <f>S153</f>
        <v>2018</v>
      </c>
      <c r="T159" s="1649">
        <f>T153</f>
        <v>2019</v>
      </c>
      <c r="U159" s="971"/>
      <c r="V159" s="975"/>
    </row>
    <row r="160" spans="1:22">
      <c r="A160" s="969">
        <v>0.5</v>
      </c>
      <c r="B160" s="972">
        <v>0</v>
      </c>
      <c r="C160" s="972">
        <v>0</v>
      </c>
      <c r="D160" s="960">
        <v>1E-4</v>
      </c>
      <c r="E160" s="971">
        <f>0.5*(MAX(B160:D160)-MIN(B160:D160))</f>
        <v>5.0000000000000002E-5</v>
      </c>
      <c r="F160" s="977">
        <v>1E-4</v>
      </c>
      <c r="G160" s="964"/>
      <c r="H160" s="964"/>
      <c r="I160" s="969">
        <v>0.5</v>
      </c>
      <c r="J160" s="972">
        <v>0</v>
      </c>
      <c r="K160" s="972">
        <v>0</v>
      </c>
      <c r="L160" s="960">
        <v>1E-4</v>
      </c>
      <c r="M160" s="971">
        <f>0.5*(MAX(J160:L160)-MIN(J160:L160))</f>
        <v>5.0000000000000002E-5</v>
      </c>
      <c r="N160" s="977">
        <v>1E-4</v>
      </c>
      <c r="O160" s="964"/>
      <c r="P160" s="964"/>
      <c r="Q160" s="969">
        <v>0.5</v>
      </c>
      <c r="R160" s="972">
        <v>0</v>
      </c>
      <c r="S160" s="972">
        <v>0</v>
      </c>
      <c r="T160" s="960">
        <v>1E-4</v>
      </c>
      <c r="U160" s="971">
        <f>0.5*(MAX(R160:T160)-MIN(R160:T160))</f>
        <v>5.0000000000000002E-5</v>
      </c>
      <c r="V160" s="977">
        <v>1E-4</v>
      </c>
    </row>
    <row r="161" spans="1:22">
      <c r="A161" s="969">
        <v>1</v>
      </c>
      <c r="B161" s="972">
        <v>0</v>
      </c>
      <c r="C161" s="972">
        <v>0</v>
      </c>
      <c r="D161" s="960">
        <v>1E-4</v>
      </c>
      <c r="E161" s="971">
        <f>0.5*(MAX(B161:D161)-MIN(B161:D161))</f>
        <v>5.0000000000000002E-5</v>
      </c>
      <c r="F161" s="977">
        <v>1E-4</v>
      </c>
      <c r="G161" s="964"/>
      <c r="H161" s="964"/>
      <c r="I161" s="969">
        <v>1</v>
      </c>
      <c r="J161" s="972">
        <v>0</v>
      </c>
      <c r="K161" s="972">
        <v>0</v>
      </c>
      <c r="L161" s="960">
        <v>1E-4</v>
      </c>
      <c r="M161" s="971">
        <f>0.5*(MAX(J161:L161)-MIN(J161:L161))</f>
        <v>5.0000000000000002E-5</v>
      </c>
      <c r="N161" s="977">
        <v>1E-4</v>
      </c>
      <c r="O161" s="964"/>
      <c r="P161" s="964"/>
      <c r="Q161" s="969">
        <v>1</v>
      </c>
      <c r="R161" s="972">
        <v>0</v>
      </c>
      <c r="S161" s="972">
        <v>0</v>
      </c>
      <c r="T161" s="960">
        <v>1E-4</v>
      </c>
      <c r="U161" s="971">
        <f>0.5*(MAX(R161:T161)-MIN(R161:T161))</f>
        <v>5.0000000000000002E-5</v>
      </c>
      <c r="V161" s="977">
        <v>1E-4</v>
      </c>
    </row>
    <row r="162" spans="1:22">
      <c r="A162" s="969">
        <v>2</v>
      </c>
      <c r="B162" s="972">
        <v>0</v>
      </c>
      <c r="C162" s="972">
        <v>0</v>
      </c>
      <c r="D162" s="960">
        <v>1E-4</v>
      </c>
      <c r="E162" s="971">
        <f>0.5*(MAX(B162:D162)-MIN(B162:D162))</f>
        <v>5.0000000000000002E-5</v>
      </c>
      <c r="F162" s="977">
        <v>1E-4</v>
      </c>
      <c r="G162" s="964"/>
      <c r="H162" s="964"/>
      <c r="I162" s="969">
        <v>2</v>
      </c>
      <c r="J162" s="972">
        <v>0</v>
      </c>
      <c r="K162" s="972">
        <v>0</v>
      </c>
      <c r="L162" s="960">
        <v>1E-4</v>
      </c>
      <c r="M162" s="971">
        <f>0.5*(MAX(J162:L162)-MIN(J162:L162))</f>
        <v>5.0000000000000002E-5</v>
      </c>
      <c r="N162" s="977">
        <v>1E-4</v>
      </c>
      <c r="O162" s="964"/>
      <c r="P162" s="964"/>
      <c r="Q162" s="969">
        <v>2</v>
      </c>
      <c r="R162" s="972">
        <v>0</v>
      </c>
      <c r="S162" s="972">
        <v>0</v>
      </c>
      <c r="T162" s="960">
        <v>1E-4</v>
      </c>
      <c r="U162" s="971">
        <f>0.5*(MAX(R162:T162)-MIN(R162:T162))</f>
        <v>5.0000000000000002E-5</v>
      </c>
      <c r="V162" s="977">
        <v>1E-4</v>
      </c>
    </row>
    <row r="163" spans="1:22" ht="26">
      <c r="A163" s="973" t="s">
        <v>343</v>
      </c>
      <c r="B163" s="967" t="s">
        <v>7</v>
      </c>
      <c r="C163" s="967" t="s">
        <v>7</v>
      </c>
      <c r="D163" s="1649"/>
      <c r="E163" s="974" t="s">
        <v>2</v>
      </c>
      <c r="F163" s="975" t="s">
        <v>26</v>
      </c>
      <c r="G163" s="964"/>
      <c r="H163" s="964"/>
      <c r="I163" s="973" t="s">
        <v>343</v>
      </c>
      <c r="J163" s="967" t="s">
        <v>7</v>
      </c>
      <c r="K163" s="967" t="s">
        <v>7</v>
      </c>
      <c r="L163" s="1649"/>
      <c r="M163" s="974" t="s">
        <v>2</v>
      </c>
      <c r="N163" s="975" t="s">
        <v>26</v>
      </c>
      <c r="O163" s="964"/>
      <c r="P163" s="964"/>
      <c r="Q163" s="973" t="s">
        <v>343</v>
      </c>
      <c r="R163" s="967" t="s">
        <v>7</v>
      </c>
      <c r="S163" s="967" t="s">
        <v>7</v>
      </c>
      <c r="T163" s="1649"/>
      <c r="U163" s="974" t="s">
        <v>2</v>
      </c>
      <c r="V163" s="975" t="s">
        <v>26</v>
      </c>
    </row>
    <row r="164" spans="1:22" ht="13">
      <c r="A164" s="973" t="s">
        <v>344</v>
      </c>
      <c r="B164" s="967">
        <f>B159</f>
        <v>2018</v>
      </c>
      <c r="C164" s="967">
        <f>C159</f>
        <v>2018</v>
      </c>
      <c r="D164" s="1649">
        <f>D159</f>
        <v>2019</v>
      </c>
      <c r="E164" s="971"/>
      <c r="F164" s="975"/>
      <c r="G164" s="964"/>
      <c r="H164" s="964"/>
      <c r="I164" s="973" t="s">
        <v>344</v>
      </c>
      <c r="J164" s="967">
        <f>J159</f>
        <v>2018</v>
      </c>
      <c r="K164" s="967">
        <f>K159</f>
        <v>2018</v>
      </c>
      <c r="L164" s="1649">
        <f>L159</f>
        <v>2019</v>
      </c>
      <c r="M164" s="971"/>
      <c r="N164" s="975"/>
      <c r="O164" s="964"/>
      <c r="P164" s="964"/>
      <c r="Q164" s="973" t="s">
        <v>344</v>
      </c>
      <c r="R164" s="967">
        <f>R159</f>
        <v>2018</v>
      </c>
      <c r="S164" s="967">
        <f>S159</f>
        <v>2018</v>
      </c>
      <c r="T164" s="1649">
        <f>T159</f>
        <v>2019</v>
      </c>
      <c r="U164" s="971"/>
      <c r="V164" s="975"/>
    </row>
    <row r="165" spans="1:22">
      <c r="A165" s="969">
        <v>0.125</v>
      </c>
      <c r="B165" s="972">
        <v>0</v>
      </c>
      <c r="C165" s="972">
        <v>0</v>
      </c>
      <c r="D165" s="960">
        <v>1E-4</v>
      </c>
      <c r="E165" s="971">
        <f>0.5*(MAX(B165:D165)-MIN(B165:D165))</f>
        <v>5.0000000000000002E-5</v>
      </c>
      <c r="F165" s="977">
        <v>2.5999999999999998E-5</v>
      </c>
      <c r="G165" s="964"/>
      <c r="H165" s="964"/>
      <c r="I165" s="969">
        <v>0.125</v>
      </c>
      <c r="J165" s="972">
        <v>0</v>
      </c>
      <c r="K165" s="972">
        <v>0</v>
      </c>
      <c r="L165" s="960">
        <v>1E-4</v>
      </c>
      <c r="M165" s="971">
        <f>0.5*(MAX(J165:L165)-MIN(J165:L165))</f>
        <v>5.0000000000000002E-5</v>
      </c>
      <c r="N165" s="977">
        <v>2.5999999999999998E-5</v>
      </c>
      <c r="O165" s="964"/>
      <c r="P165" s="964"/>
      <c r="Q165" s="969">
        <v>0.125</v>
      </c>
      <c r="R165" s="972">
        <v>0</v>
      </c>
      <c r="S165" s="972">
        <v>0</v>
      </c>
      <c r="T165" s="960">
        <v>1E-4</v>
      </c>
      <c r="U165" s="971">
        <f>0.5*(MAX(R165:T165)-MIN(R165:T165))</f>
        <v>5.0000000000000002E-5</v>
      </c>
      <c r="V165" s="977">
        <v>2.5999999999999998E-5</v>
      </c>
    </row>
    <row r="166" spans="1:22">
      <c r="A166" s="969">
        <v>2</v>
      </c>
      <c r="B166" s="972">
        <v>0</v>
      </c>
      <c r="C166" s="972">
        <v>0</v>
      </c>
      <c r="D166" s="960">
        <v>1E-4</v>
      </c>
      <c r="E166" s="971">
        <f>0.5*(MAX(B166:D166)-MIN(B166:D166))</f>
        <v>5.0000000000000002E-5</v>
      </c>
      <c r="F166" s="977">
        <v>2.5999999999999998E-5</v>
      </c>
      <c r="G166" s="964"/>
      <c r="H166" s="964"/>
      <c r="I166" s="969">
        <v>2</v>
      </c>
      <c r="J166" s="972">
        <v>0</v>
      </c>
      <c r="K166" s="972">
        <v>0</v>
      </c>
      <c r="L166" s="960">
        <v>1E-4</v>
      </c>
      <c r="M166" s="971">
        <f>0.5*(MAX(J166:L166)-MIN(J166:L166))</f>
        <v>5.0000000000000002E-5</v>
      </c>
      <c r="N166" s="977">
        <v>2.5999999999999998E-5</v>
      </c>
      <c r="O166" s="964"/>
      <c r="P166" s="964"/>
      <c r="Q166" s="969">
        <v>2</v>
      </c>
      <c r="R166" s="972">
        <v>0</v>
      </c>
      <c r="S166" s="972">
        <v>0</v>
      </c>
      <c r="T166" s="960">
        <v>1E-4</v>
      </c>
      <c r="U166" s="971">
        <f>0.5*(MAX(R166:T166)-MIN(R166:T166))</f>
        <v>5.0000000000000002E-5</v>
      </c>
      <c r="V166" s="977">
        <v>2.5999999999999998E-5</v>
      </c>
    </row>
    <row r="167" spans="1:22" ht="26">
      <c r="A167" s="973" t="s">
        <v>346</v>
      </c>
      <c r="B167" s="967" t="s">
        <v>7</v>
      </c>
      <c r="C167" s="967" t="s">
        <v>7</v>
      </c>
      <c r="D167" s="1649"/>
      <c r="E167" s="974" t="s">
        <v>2</v>
      </c>
      <c r="F167" s="975" t="s">
        <v>26</v>
      </c>
      <c r="G167" s="964"/>
      <c r="H167" s="964"/>
      <c r="I167" s="973" t="s">
        <v>346</v>
      </c>
      <c r="J167" s="967" t="s">
        <v>7</v>
      </c>
      <c r="K167" s="967" t="s">
        <v>7</v>
      </c>
      <c r="L167" s="1649"/>
      <c r="M167" s="974" t="s">
        <v>2</v>
      </c>
      <c r="N167" s="975" t="s">
        <v>26</v>
      </c>
      <c r="O167" s="964"/>
      <c r="P167" s="964"/>
      <c r="Q167" s="973" t="s">
        <v>346</v>
      </c>
      <c r="R167" s="967" t="s">
        <v>7</v>
      </c>
      <c r="S167" s="967" t="s">
        <v>7</v>
      </c>
      <c r="T167" s="1649"/>
      <c r="U167" s="974" t="s">
        <v>2</v>
      </c>
      <c r="V167" s="975" t="s">
        <v>26</v>
      </c>
    </row>
    <row r="168" spans="1:22" ht="13">
      <c r="A168" s="973" t="s">
        <v>344</v>
      </c>
      <c r="B168" s="967">
        <f>B164</f>
        <v>2018</v>
      </c>
      <c r="C168" s="967">
        <f>C164</f>
        <v>2018</v>
      </c>
      <c r="D168" s="1649">
        <f>D164</f>
        <v>2019</v>
      </c>
      <c r="E168" s="971"/>
      <c r="F168" s="975"/>
      <c r="G168" s="964"/>
      <c r="H168" s="964"/>
      <c r="I168" s="973" t="s">
        <v>344</v>
      </c>
      <c r="J168" s="967">
        <f>J164</f>
        <v>2018</v>
      </c>
      <c r="K168" s="967">
        <f>K164</f>
        <v>2018</v>
      </c>
      <c r="L168" s="1649">
        <f>L164</f>
        <v>2019</v>
      </c>
      <c r="M168" s="971"/>
      <c r="N168" s="975"/>
      <c r="O168" s="964"/>
      <c r="P168" s="964"/>
      <c r="Q168" s="973" t="s">
        <v>344</v>
      </c>
      <c r="R168" s="967">
        <f>R164</f>
        <v>2018</v>
      </c>
      <c r="S168" s="967">
        <f>S164</f>
        <v>2018</v>
      </c>
      <c r="T168" s="1649">
        <f>T164</f>
        <v>2019</v>
      </c>
      <c r="U168" s="971"/>
      <c r="V168" s="975"/>
    </row>
    <row r="169" spans="1:22">
      <c r="A169" s="969">
        <v>10</v>
      </c>
      <c r="B169" s="972">
        <v>0</v>
      </c>
      <c r="C169" s="972">
        <v>0</v>
      </c>
      <c r="D169" s="960">
        <v>1E-4</v>
      </c>
      <c r="E169" s="971">
        <f>0.5*(MAX(B169:D169)-MIN(B169:D169))</f>
        <v>5.0000000000000002E-5</v>
      </c>
      <c r="F169" s="977">
        <v>2.5999999999999998E-5</v>
      </c>
      <c r="G169" s="964"/>
      <c r="H169" s="964"/>
      <c r="I169" s="969">
        <v>10</v>
      </c>
      <c r="J169" s="972">
        <v>0</v>
      </c>
      <c r="K169" s="972">
        <v>0</v>
      </c>
      <c r="L169" s="960">
        <v>1E-4</v>
      </c>
      <c r="M169" s="971">
        <f>0.5*(MAX(J169:L169)-MIN(J169:L169))</f>
        <v>5.0000000000000002E-5</v>
      </c>
      <c r="N169" s="977">
        <v>2.5999999999999998E-5</v>
      </c>
      <c r="O169" s="964"/>
      <c r="P169" s="964"/>
      <c r="Q169" s="969">
        <v>10</v>
      </c>
      <c r="R169" s="972">
        <v>0</v>
      </c>
      <c r="S169" s="972">
        <v>0</v>
      </c>
      <c r="T169" s="960">
        <v>1E-4</v>
      </c>
      <c r="U169" s="971">
        <f>0.5*(MAX(R169:T169)-MIN(R169:T169))</f>
        <v>5.0000000000000002E-5</v>
      </c>
      <c r="V169" s="977">
        <v>2.5999999999999998E-5</v>
      </c>
    </row>
    <row r="170" spans="1:22" ht="12.75" customHeight="1">
      <c r="A170" s="114" t="s">
        <v>347</v>
      </c>
      <c r="B170" s="114" t="s">
        <v>7</v>
      </c>
      <c r="C170" s="114" t="s">
        <v>7</v>
      </c>
      <c r="D170" s="1648"/>
      <c r="E170" s="114" t="s">
        <v>2</v>
      </c>
      <c r="F170" s="980" t="s">
        <v>26</v>
      </c>
      <c r="G170" s="964"/>
      <c r="H170" s="964"/>
      <c r="I170" s="114" t="s">
        <v>347</v>
      </c>
      <c r="J170" s="114" t="s">
        <v>7</v>
      </c>
      <c r="K170" s="114" t="s">
        <v>7</v>
      </c>
      <c r="L170" s="1648"/>
      <c r="M170" s="1983" t="s">
        <v>2</v>
      </c>
      <c r="N170" s="1986" t="s">
        <v>26</v>
      </c>
      <c r="O170" s="964"/>
      <c r="P170" s="964"/>
      <c r="Q170" s="114" t="s">
        <v>347</v>
      </c>
      <c r="R170" s="114" t="s">
        <v>7</v>
      </c>
      <c r="S170" s="114" t="s">
        <v>7</v>
      </c>
      <c r="T170" s="1648"/>
      <c r="U170" s="1983" t="s">
        <v>2</v>
      </c>
      <c r="V170" s="1986" t="s">
        <v>26</v>
      </c>
    </row>
    <row r="171" spans="1:22" ht="14">
      <c r="A171" s="954" t="s">
        <v>348</v>
      </c>
      <c r="B171" s="114">
        <f>B168</f>
        <v>2018</v>
      </c>
      <c r="C171" s="114">
        <f>C168</f>
        <v>2018</v>
      </c>
      <c r="D171" s="1648">
        <f>D168</f>
        <v>2019</v>
      </c>
      <c r="E171" s="114"/>
      <c r="F171" s="980"/>
      <c r="G171" s="964"/>
      <c r="H171" s="964"/>
      <c r="I171" s="954" t="s">
        <v>348</v>
      </c>
      <c r="J171" s="114">
        <f>J168</f>
        <v>2018</v>
      </c>
      <c r="K171" s="114">
        <f>K168</f>
        <v>2018</v>
      </c>
      <c r="L171" s="1648">
        <f>L168</f>
        <v>2019</v>
      </c>
      <c r="M171" s="1983"/>
      <c r="N171" s="1986"/>
      <c r="O171" s="964"/>
      <c r="P171" s="964"/>
      <c r="Q171" s="954" t="s">
        <v>348</v>
      </c>
      <c r="R171" s="114">
        <f>R168</f>
        <v>2018</v>
      </c>
      <c r="S171" s="114">
        <f>S168</f>
        <v>2018</v>
      </c>
      <c r="T171" s="1648">
        <f>T168</f>
        <v>2019</v>
      </c>
      <c r="U171" s="1983"/>
      <c r="V171" s="1986"/>
    </row>
    <row r="172" spans="1:22">
      <c r="A172" s="981">
        <v>15</v>
      </c>
      <c r="B172" s="960">
        <v>0</v>
      </c>
      <c r="C172" s="960">
        <v>0</v>
      </c>
      <c r="D172" s="960">
        <v>1E-4</v>
      </c>
      <c r="E172" s="961">
        <f>0.5*(MAX(B172:D172)-MIN(B172:D172))</f>
        <v>5.0000000000000002E-5</v>
      </c>
      <c r="F172" s="982"/>
      <c r="G172" s="964"/>
      <c r="H172" s="964"/>
      <c r="I172" s="981">
        <v>15</v>
      </c>
      <c r="J172" s="960">
        <v>0</v>
      </c>
      <c r="K172" s="960">
        <v>0</v>
      </c>
      <c r="L172" s="960">
        <v>1E-4</v>
      </c>
      <c r="M172" s="961">
        <f>0.5*(MAX(J172:L172)-MIN(J172:L172))</f>
        <v>5.0000000000000002E-5</v>
      </c>
      <c r="N172" s="982"/>
      <c r="O172" s="964"/>
      <c r="P172" s="964"/>
      <c r="Q172" s="981">
        <v>15</v>
      </c>
      <c r="R172" s="960">
        <v>0</v>
      </c>
      <c r="S172" s="960">
        <v>0</v>
      </c>
      <c r="T172" s="960">
        <v>1E-4</v>
      </c>
      <c r="U172" s="961">
        <f>0.5*(MAX(R172:T172)-MIN(R172:T172))</f>
        <v>5.0000000000000002E-5</v>
      </c>
      <c r="V172" s="982"/>
    </row>
    <row r="173" spans="1:22">
      <c r="A173" s="963">
        <v>30</v>
      </c>
      <c r="B173" s="960">
        <v>0</v>
      </c>
      <c r="C173" s="960">
        <v>0</v>
      </c>
      <c r="D173" s="960">
        <v>1E-4</v>
      </c>
      <c r="E173" s="961">
        <f>0.5*(MAX(B173:D173)-MIN(B173:D173))</f>
        <v>5.0000000000000002E-5</v>
      </c>
      <c r="F173" s="962">
        <v>1.1999999999999999E-3</v>
      </c>
      <c r="G173" s="964"/>
      <c r="H173" s="964"/>
      <c r="I173" s="963">
        <v>30</v>
      </c>
      <c r="J173" s="960">
        <v>0</v>
      </c>
      <c r="K173" s="960">
        <v>0</v>
      </c>
      <c r="L173" s="960">
        <v>1E-4</v>
      </c>
      <c r="M173" s="961">
        <f>0.5*(MAX(J173:L173)-MIN(J173:L173))</f>
        <v>5.0000000000000002E-5</v>
      </c>
      <c r="N173" s="962">
        <v>1.1999999999999999E-3</v>
      </c>
      <c r="O173" s="964"/>
      <c r="P173" s="964"/>
      <c r="Q173" s="963">
        <v>30</v>
      </c>
      <c r="R173" s="960">
        <v>0</v>
      </c>
      <c r="S173" s="960">
        <v>0</v>
      </c>
      <c r="T173" s="960">
        <v>1E-4</v>
      </c>
      <c r="U173" s="961">
        <f>0.5*(MAX(R173:T173)-MIN(R173:T173))</f>
        <v>5.0000000000000002E-5</v>
      </c>
      <c r="V173" s="962">
        <v>1.1999999999999999E-3</v>
      </c>
    </row>
    <row r="174" spans="1:22">
      <c r="A174" s="963">
        <v>60</v>
      </c>
      <c r="B174" s="960">
        <v>0</v>
      </c>
      <c r="C174" s="960">
        <v>0</v>
      </c>
      <c r="D174" s="960">
        <v>1E-4</v>
      </c>
      <c r="E174" s="961">
        <f>0.5*(MAX(B174:D174)-MIN(B174:D174))</f>
        <v>5.0000000000000002E-5</v>
      </c>
      <c r="F174" s="962" t="s">
        <v>337</v>
      </c>
      <c r="G174" s="964"/>
      <c r="H174" s="964"/>
      <c r="I174" s="963">
        <v>60</v>
      </c>
      <c r="J174" s="960">
        <v>0</v>
      </c>
      <c r="K174" s="960">
        <v>0</v>
      </c>
      <c r="L174" s="960">
        <v>1E-4</v>
      </c>
      <c r="M174" s="961">
        <f>0.5*(MAX(J174:L174)-MIN(J174:L174))</f>
        <v>5.0000000000000002E-5</v>
      </c>
      <c r="N174" s="962" t="s">
        <v>337</v>
      </c>
      <c r="O174" s="964"/>
      <c r="P174" s="964"/>
      <c r="Q174" s="963">
        <v>60</v>
      </c>
      <c r="R174" s="960">
        <v>0</v>
      </c>
      <c r="S174" s="960">
        <v>0</v>
      </c>
      <c r="T174" s="960">
        <v>1E-4</v>
      </c>
      <c r="U174" s="961">
        <f>0.5*(MAX(R174:T174)-MIN(R174:T174))</f>
        <v>5.0000000000000002E-5</v>
      </c>
      <c r="V174" s="962" t="s">
        <v>337</v>
      </c>
    </row>
    <row r="175" spans="1:22">
      <c r="A175" s="963">
        <v>120</v>
      </c>
      <c r="B175" s="960">
        <v>0</v>
      </c>
      <c r="C175" s="960">
        <v>0</v>
      </c>
      <c r="D175" s="960">
        <v>1E-4</v>
      </c>
      <c r="E175" s="961">
        <f>0.5*(MAX(B175:D175)-MIN(B175:D175))</f>
        <v>5.0000000000000002E-5</v>
      </c>
      <c r="F175" s="962" t="s">
        <v>338</v>
      </c>
      <c r="G175" s="964"/>
      <c r="H175" s="964"/>
      <c r="I175" s="963">
        <v>120</v>
      </c>
      <c r="J175" s="960">
        <v>0</v>
      </c>
      <c r="K175" s="960">
        <v>0</v>
      </c>
      <c r="L175" s="960">
        <v>1E-4</v>
      </c>
      <c r="M175" s="961">
        <f>0.5*(MAX(J175:L175)-MIN(J175:L175))</f>
        <v>5.0000000000000002E-5</v>
      </c>
      <c r="N175" s="962" t="s">
        <v>338</v>
      </c>
      <c r="O175" s="964"/>
      <c r="P175" s="964"/>
      <c r="Q175" s="963">
        <v>120</v>
      </c>
      <c r="R175" s="960">
        <v>0</v>
      </c>
      <c r="S175" s="960">
        <v>0</v>
      </c>
      <c r="T175" s="960">
        <v>1E-4</v>
      </c>
      <c r="U175" s="961">
        <f>0.5*(MAX(R175:T175)-MIN(R175:T175))</f>
        <v>5.0000000000000002E-5</v>
      </c>
      <c r="V175" s="962" t="s">
        <v>338</v>
      </c>
    </row>
    <row r="176" spans="1:22">
      <c r="A176" s="963">
        <v>180</v>
      </c>
      <c r="B176" s="960">
        <v>0</v>
      </c>
      <c r="C176" s="960">
        <v>0</v>
      </c>
      <c r="D176" s="960">
        <v>1E-4</v>
      </c>
      <c r="E176" s="961">
        <f>0.5*(MAX(B176:D176)-MIN(B176:D176))</f>
        <v>5.0000000000000002E-5</v>
      </c>
      <c r="F176" s="962" t="s">
        <v>10</v>
      </c>
      <c r="G176" s="964"/>
      <c r="H176" s="964"/>
      <c r="I176" s="963">
        <v>180</v>
      </c>
      <c r="J176" s="960">
        <v>0</v>
      </c>
      <c r="K176" s="960">
        <v>0</v>
      </c>
      <c r="L176" s="960">
        <v>1E-4</v>
      </c>
      <c r="M176" s="961">
        <f>0.5*(MAX(J176:L176)-MIN(J176:L176))</f>
        <v>5.0000000000000002E-5</v>
      </c>
      <c r="N176" s="962" t="s">
        <v>10</v>
      </c>
      <c r="O176" s="964"/>
      <c r="P176" s="964"/>
      <c r="Q176" s="963">
        <v>180</v>
      </c>
      <c r="R176" s="960">
        <v>0</v>
      </c>
      <c r="S176" s="960">
        <v>0</v>
      </c>
      <c r="T176" s="960">
        <v>1E-4</v>
      </c>
      <c r="U176" s="961">
        <f>0.5*(MAX(R176:T176)-MIN(R176:T176))</f>
        <v>5.0000000000000002E-5</v>
      </c>
      <c r="V176" s="962" t="s">
        <v>10</v>
      </c>
    </row>
    <row r="177" spans="1:22">
      <c r="A177" s="964"/>
      <c r="B177" s="964"/>
      <c r="C177" s="964"/>
      <c r="D177" s="964"/>
      <c r="E177" s="964"/>
      <c r="F177" s="964"/>
      <c r="G177" s="964"/>
      <c r="H177" s="964"/>
      <c r="I177" s="964"/>
      <c r="J177" s="964"/>
      <c r="K177" s="964"/>
      <c r="L177" s="964"/>
      <c r="M177" s="964"/>
      <c r="N177" s="964"/>
      <c r="O177" s="964"/>
      <c r="P177" s="964"/>
      <c r="Q177" s="964"/>
      <c r="R177" s="964"/>
      <c r="S177" s="964"/>
      <c r="T177" s="964"/>
      <c r="U177" s="964"/>
      <c r="V177" s="964"/>
    </row>
    <row r="178" spans="1:22">
      <c r="A178" s="964"/>
      <c r="B178" s="964"/>
      <c r="C178" s="964"/>
      <c r="D178" s="964"/>
      <c r="E178" s="964"/>
      <c r="F178" s="964"/>
      <c r="G178" s="964"/>
      <c r="H178" s="964"/>
      <c r="I178" s="964"/>
      <c r="J178" s="964"/>
      <c r="K178" s="964"/>
      <c r="L178" s="964"/>
      <c r="M178" s="964"/>
      <c r="N178" s="964"/>
      <c r="O178" s="964"/>
      <c r="P178" s="964"/>
      <c r="Q178" s="964"/>
      <c r="R178" s="964"/>
      <c r="S178" s="964"/>
      <c r="T178" s="964"/>
      <c r="U178" s="964"/>
      <c r="V178" s="964"/>
    </row>
    <row r="179" spans="1:22" ht="28">
      <c r="A179" s="985" t="s">
        <v>365</v>
      </c>
      <c r="B179" s="964"/>
      <c r="C179" s="964"/>
      <c r="D179" s="964"/>
      <c r="E179" s="964"/>
      <c r="F179" s="964"/>
      <c r="G179" s="964"/>
      <c r="H179" s="964"/>
      <c r="I179" s="988" t="s">
        <v>366</v>
      </c>
      <c r="J179" s="964"/>
      <c r="K179" s="964"/>
      <c r="L179" s="964"/>
      <c r="M179" s="964"/>
      <c r="N179" s="964"/>
      <c r="O179" s="964"/>
      <c r="P179" s="964"/>
      <c r="Q179" s="989" t="s">
        <v>367</v>
      </c>
      <c r="R179" s="964"/>
      <c r="S179" s="964"/>
      <c r="T179" s="964"/>
      <c r="U179" s="964"/>
      <c r="V179" s="964"/>
    </row>
    <row r="180" spans="1:22" ht="15.75" customHeight="1">
      <c r="A180" s="1996" t="s">
        <v>333</v>
      </c>
      <c r="B180" s="1996"/>
      <c r="C180" s="1996"/>
      <c r="D180" s="1996"/>
      <c r="E180" s="967" t="s">
        <v>2</v>
      </c>
      <c r="F180" s="983" t="s">
        <v>26</v>
      </c>
      <c r="G180" s="964"/>
      <c r="H180" s="964"/>
      <c r="I180" s="1996" t="s">
        <v>333</v>
      </c>
      <c r="J180" s="1996"/>
      <c r="K180" s="1996"/>
      <c r="L180" s="1996"/>
      <c r="M180" s="1984" t="s">
        <v>2</v>
      </c>
      <c r="N180" s="1985" t="s">
        <v>26</v>
      </c>
      <c r="O180" s="964"/>
      <c r="P180" s="964"/>
      <c r="Q180" s="1996" t="s">
        <v>333</v>
      </c>
      <c r="R180" s="1996"/>
      <c r="S180" s="1996"/>
      <c r="T180" s="1996"/>
      <c r="U180" s="1984" t="s">
        <v>2</v>
      </c>
      <c r="V180" s="1985" t="s">
        <v>26</v>
      </c>
    </row>
    <row r="181" spans="1:22" ht="13">
      <c r="A181" s="967" t="s">
        <v>335</v>
      </c>
      <c r="B181" s="1984" t="s">
        <v>7</v>
      </c>
      <c r="C181" s="1984"/>
      <c r="D181" s="1984"/>
      <c r="E181" s="967"/>
      <c r="F181" s="983"/>
      <c r="G181" s="964"/>
      <c r="H181" s="964"/>
      <c r="I181" s="967" t="s">
        <v>335</v>
      </c>
      <c r="J181" s="1984" t="s">
        <v>7</v>
      </c>
      <c r="K181" s="1984"/>
      <c r="L181" s="1984"/>
      <c r="M181" s="1984"/>
      <c r="N181" s="1985"/>
      <c r="O181" s="964"/>
      <c r="P181" s="964"/>
      <c r="Q181" s="967" t="s">
        <v>335</v>
      </c>
      <c r="R181" s="1984" t="s">
        <v>7</v>
      </c>
      <c r="S181" s="1984"/>
      <c r="T181" s="1984"/>
      <c r="U181" s="1984"/>
      <c r="V181" s="1985"/>
    </row>
    <row r="182" spans="1:22" ht="14">
      <c r="A182" s="954" t="s">
        <v>336</v>
      </c>
      <c r="B182" s="967">
        <v>2018</v>
      </c>
      <c r="C182" s="967">
        <v>2018</v>
      </c>
      <c r="D182" s="967">
        <v>2019</v>
      </c>
      <c r="E182" s="967"/>
      <c r="F182" s="983"/>
      <c r="G182" s="964"/>
      <c r="H182" s="964"/>
      <c r="I182" s="954" t="s">
        <v>336</v>
      </c>
      <c r="J182" s="967">
        <v>2018</v>
      </c>
      <c r="K182" s="967">
        <v>2018</v>
      </c>
      <c r="L182" s="967">
        <v>2019</v>
      </c>
      <c r="M182" s="1984"/>
      <c r="N182" s="1985"/>
      <c r="O182" s="964"/>
      <c r="P182" s="964"/>
      <c r="Q182" s="954" t="s">
        <v>336</v>
      </c>
      <c r="R182" s="967">
        <v>2018</v>
      </c>
      <c r="S182" s="967">
        <v>2018</v>
      </c>
      <c r="T182" s="967">
        <v>2019</v>
      </c>
      <c r="U182" s="1984"/>
      <c r="V182" s="1985"/>
    </row>
    <row r="183" spans="1:22">
      <c r="A183" s="969">
        <v>0.5</v>
      </c>
      <c r="B183" s="970" t="s">
        <v>10</v>
      </c>
      <c r="C183" s="970" t="s">
        <v>10</v>
      </c>
      <c r="D183" s="960">
        <v>1E-4</v>
      </c>
      <c r="E183" s="971">
        <f>0.5*(MAX(B183:D183)-MIN(B183:D183))</f>
        <v>0</v>
      </c>
      <c r="F183" s="969">
        <v>5.4999999999999997E-3</v>
      </c>
      <c r="G183" s="964"/>
      <c r="H183" s="964"/>
      <c r="I183" s="969">
        <v>0.5</v>
      </c>
      <c r="J183" s="970" t="s">
        <v>10</v>
      </c>
      <c r="K183" s="970" t="s">
        <v>10</v>
      </c>
      <c r="L183" s="960">
        <v>1E-4</v>
      </c>
      <c r="M183" s="971">
        <f>0.5*(MAX(J183:L183)-MIN(J183:L183))</f>
        <v>0</v>
      </c>
      <c r="N183" s="969">
        <v>5.4999999999999997E-3</v>
      </c>
      <c r="O183" s="964"/>
      <c r="P183" s="964"/>
      <c r="Q183" s="969">
        <v>0.5</v>
      </c>
      <c r="R183" s="970" t="s">
        <v>10</v>
      </c>
      <c r="S183" s="970" t="s">
        <v>10</v>
      </c>
      <c r="T183" s="960">
        <v>1E-4</v>
      </c>
      <c r="U183" s="971">
        <f>0.5*(MAX(R183:T183)-MIN(R183:T183))</f>
        <v>0</v>
      </c>
      <c r="V183" s="969">
        <v>5.4999999999999997E-3</v>
      </c>
    </row>
    <row r="184" spans="1:22">
      <c r="A184" s="969">
        <v>1</v>
      </c>
      <c r="B184" s="970" t="s">
        <v>10</v>
      </c>
      <c r="C184" s="970" t="s">
        <v>10</v>
      </c>
      <c r="D184" s="960">
        <v>1E-4</v>
      </c>
      <c r="E184" s="971">
        <f>0.5*(MAX(B184:D184)-MIN(B184:D184))</f>
        <v>0</v>
      </c>
      <c r="F184" s="969" t="s">
        <v>337</v>
      </c>
      <c r="G184" s="964"/>
      <c r="H184" s="964"/>
      <c r="I184" s="969">
        <v>1</v>
      </c>
      <c r="J184" s="970" t="s">
        <v>10</v>
      </c>
      <c r="K184" s="970" t="s">
        <v>10</v>
      </c>
      <c r="L184" s="960">
        <v>1E-4</v>
      </c>
      <c r="M184" s="971">
        <f>0.5*(MAX(J184:L184)-MIN(J184:L184))</f>
        <v>0</v>
      </c>
      <c r="N184" s="969" t="s">
        <v>337</v>
      </c>
      <c r="O184" s="964"/>
      <c r="P184" s="964"/>
      <c r="Q184" s="969">
        <v>1</v>
      </c>
      <c r="R184" s="970" t="s">
        <v>10</v>
      </c>
      <c r="S184" s="970" t="s">
        <v>10</v>
      </c>
      <c r="T184" s="960">
        <v>1E-4</v>
      </c>
      <c r="U184" s="971">
        <f>0.5*(MAX(R184:T184)-MIN(R184:T184))</f>
        <v>0</v>
      </c>
      <c r="V184" s="969" t="s">
        <v>337</v>
      </c>
    </row>
    <row r="185" spans="1:22">
      <c r="A185" s="969">
        <v>2</v>
      </c>
      <c r="B185" s="970" t="s">
        <v>10</v>
      </c>
      <c r="C185" s="970" t="s">
        <v>10</v>
      </c>
      <c r="D185" s="960">
        <v>1E-4</v>
      </c>
      <c r="E185" s="971">
        <f>0.5*(MAX(B185:D185)-MIN(B185:D185))</f>
        <v>0</v>
      </c>
      <c r="F185" s="969" t="s">
        <v>338</v>
      </c>
      <c r="G185" s="964"/>
      <c r="H185" s="964"/>
      <c r="I185" s="969">
        <v>2</v>
      </c>
      <c r="J185" s="970" t="s">
        <v>10</v>
      </c>
      <c r="K185" s="970" t="s">
        <v>10</v>
      </c>
      <c r="L185" s="960">
        <v>1E-4</v>
      </c>
      <c r="M185" s="971">
        <f>0.5*(MAX(J185:L185)-MIN(J185:L185))</f>
        <v>0</v>
      </c>
      <c r="N185" s="969" t="s">
        <v>338</v>
      </c>
      <c r="O185" s="964"/>
      <c r="P185" s="964"/>
      <c r="Q185" s="969">
        <v>2</v>
      </c>
      <c r="R185" s="970" t="s">
        <v>10</v>
      </c>
      <c r="S185" s="970" t="s">
        <v>10</v>
      </c>
      <c r="T185" s="960">
        <v>1E-4</v>
      </c>
      <c r="U185" s="971">
        <f>0.5*(MAX(R185:T185)-MIN(R185:T185))</f>
        <v>0</v>
      </c>
      <c r="V185" s="969" t="s">
        <v>338</v>
      </c>
    </row>
    <row r="186" spans="1:22">
      <c r="A186" s="969">
        <v>3</v>
      </c>
      <c r="B186" s="970" t="s">
        <v>10</v>
      </c>
      <c r="C186" s="970" t="s">
        <v>10</v>
      </c>
      <c r="D186" s="960">
        <v>1E-4</v>
      </c>
      <c r="E186" s="971">
        <f>0.5*(MAX(B186:D186)-MIN(B186:D186))</f>
        <v>0</v>
      </c>
      <c r="F186" s="969"/>
      <c r="G186" s="964"/>
      <c r="H186" s="964"/>
      <c r="I186" s="969">
        <v>3</v>
      </c>
      <c r="J186" s="970" t="s">
        <v>10</v>
      </c>
      <c r="K186" s="970" t="s">
        <v>10</v>
      </c>
      <c r="L186" s="960">
        <v>1E-4</v>
      </c>
      <c r="M186" s="971">
        <f>0.5*(MAX(J186:L186)-MIN(J186:L186))</f>
        <v>0</v>
      </c>
      <c r="N186" s="969"/>
      <c r="O186" s="964"/>
      <c r="P186" s="964"/>
      <c r="Q186" s="969">
        <v>3</v>
      </c>
      <c r="R186" s="970" t="s">
        <v>10</v>
      </c>
      <c r="S186" s="970" t="s">
        <v>10</v>
      </c>
      <c r="T186" s="960">
        <v>1E-4</v>
      </c>
      <c r="U186" s="971">
        <f>0.5*(MAX(R186:T186)-MIN(R186:T186))</f>
        <v>0</v>
      </c>
      <c r="V186" s="969"/>
    </row>
    <row r="187" spans="1:22" ht="36.75" customHeight="1">
      <c r="A187" s="973" t="s">
        <v>339</v>
      </c>
      <c r="B187" s="967" t="s">
        <v>7</v>
      </c>
      <c r="C187" s="967" t="s">
        <v>7</v>
      </c>
      <c r="D187" s="967"/>
      <c r="E187" s="974" t="s">
        <v>2</v>
      </c>
      <c r="F187" s="975" t="s">
        <v>26</v>
      </c>
      <c r="G187" s="964"/>
      <c r="H187" s="964"/>
      <c r="I187" s="973" t="s">
        <v>339</v>
      </c>
      <c r="J187" s="967" t="s">
        <v>7</v>
      </c>
      <c r="K187" s="967" t="s">
        <v>7</v>
      </c>
      <c r="L187" s="967"/>
      <c r="M187" s="974" t="s">
        <v>2</v>
      </c>
      <c r="N187" s="975" t="s">
        <v>26</v>
      </c>
      <c r="O187" s="964"/>
      <c r="P187" s="964"/>
      <c r="Q187" s="973" t="s">
        <v>339</v>
      </c>
      <c r="R187" s="967" t="s">
        <v>7</v>
      </c>
      <c r="S187" s="967" t="s">
        <v>7</v>
      </c>
      <c r="T187" s="967"/>
      <c r="U187" s="974" t="s">
        <v>2</v>
      </c>
      <c r="V187" s="975" t="s">
        <v>26</v>
      </c>
    </row>
    <row r="188" spans="1:22" ht="13">
      <c r="A188" s="976" t="s">
        <v>340</v>
      </c>
      <c r="B188" s="967">
        <f>B182</f>
        <v>2018</v>
      </c>
      <c r="C188" s="967">
        <f>C182</f>
        <v>2018</v>
      </c>
      <c r="D188" s="967">
        <f>D182</f>
        <v>2019</v>
      </c>
      <c r="E188" s="971"/>
      <c r="F188" s="975"/>
      <c r="G188" s="964"/>
      <c r="H188" s="964"/>
      <c r="I188" s="976" t="s">
        <v>340</v>
      </c>
      <c r="J188" s="967">
        <f>J182</f>
        <v>2018</v>
      </c>
      <c r="K188" s="967">
        <f>K182</f>
        <v>2018</v>
      </c>
      <c r="L188" s="967">
        <f>L182</f>
        <v>2019</v>
      </c>
      <c r="M188" s="971"/>
      <c r="N188" s="975"/>
      <c r="O188" s="964"/>
      <c r="P188" s="964"/>
      <c r="Q188" s="976" t="s">
        <v>340</v>
      </c>
      <c r="R188" s="967">
        <f>R182</f>
        <v>2018</v>
      </c>
      <c r="S188" s="967">
        <f>S182</f>
        <v>2018</v>
      </c>
      <c r="T188" s="967">
        <f>T182</f>
        <v>2019</v>
      </c>
      <c r="U188" s="971"/>
      <c r="V188" s="975"/>
    </row>
    <row r="189" spans="1:22">
      <c r="A189" s="969">
        <v>0.5</v>
      </c>
      <c r="B189" s="972">
        <v>0</v>
      </c>
      <c r="C189" s="972">
        <v>0</v>
      </c>
      <c r="D189" s="960">
        <v>1E-4</v>
      </c>
      <c r="E189" s="971">
        <f>0.5*(MAX(B189:D189)-MIN(B189:D189))</f>
        <v>5.0000000000000002E-5</v>
      </c>
      <c r="F189" s="977">
        <v>1E-4</v>
      </c>
      <c r="G189" s="964"/>
      <c r="H189" s="964"/>
      <c r="I189" s="969">
        <v>0.5</v>
      </c>
      <c r="J189" s="972">
        <v>0</v>
      </c>
      <c r="K189" s="972">
        <v>0</v>
      </c>
      <c r="L189" s="960">
        <v>1E-4</v>
      </c>
      <c r="M189" s="971">
        <f>0.5*(MAX(J189:L189)-MIN(J189:L189))</f>
        <v>5.0000000000000002E-5</v>
      </c>
      <c r="N189" s="977">
        <v>1E-4</v>
      </c>
      <c r="O189" s="964"/>
      <c r="P189" s="964"/>
      <c r="Q189" s="969">
        <v>0.5</v>
      </c>
      <c r="R189" s="972">
        <v>0</v>
      </c>
      <c r="S189" s="972">
        <v>0</v>
      </c>
      <c r="T189" s="960">
        <v>1E-4</v>
      </c>
      <c r="U189" s="971">
        <f>0.5*(MAX(R189:T189)-MIN(R189:T189))</f>
        <v>5.0000000000000002E-5</v>
      </c>
      <c r="V189" s="977">
        <v>1E-4</v>
      </c>
    </row>
    <row r="190" spans="1:22">
      <c r="A190" s="969">
        <v>1</v>
      </c>
      <c r="B190" s="972">
        <v>0</v>
      </c>
      <c r="C190" s="972">
        <v>0</v>
      </c>
      <c r="D190" s="960">
        <v>1E-4</v>
      </c>
      <c r="E190" s="971">
        <f>0.5*(MAX(B190:D190)-MIN(B190:D190))</f>
        <v>5.0000000000000002E-5</v>
      </c>
      <c r="F190" s="977">
        <v>1E-4</v>
      </c>
      <c r="G190" s="964"/>
      <c r="H190" s="964"/>
      <c r="I190" s="969">
        <v>1</v>
      </c>
      <c r="J190" s="972">
        <v>0</v>
      </c>
      <c r="K190" s="972">
        <v>0</v>
      </c>
      <c r="L190" s="960">
        <v>1E-4</v>
      </c>
      <c r="M190" s="971">
        <f>0.5*(MAX(J190:L190)-MIN(J190:L190))</f>
        <v>5.0000000000000002E-5</v>
      </c>
      <c r="N190" s="977">
        <v>1E-4</v>
      </c>
      <c r="O190" s="964"/>
      <c r="P190" s="964"/>
      <c r="Q190" s="969">
        <v>1</v>
      </c>
      <c r="R190" s="972">
        <v>0</v>
      </c>
      <c r="S190" s="972">
        <v>0</v>
      </c>
      <c r="T190" s="960">
        <v>1E-4</v>
      </c>
      <c r="U190" s="971">
        <f>0.5*(MAX(R190:T190)-MIN(R190:T190))</f>
        <v>5.0000000000000002E-5</v>
      </c>
      <c r="V190" s="977">
        <v>1E-4</v>
      </c>
    </row>
    <row r="191" spans="1:22">
      <c r="A191" s="969">
        <v>2</v>
      </c>
      <c r="B191" s="972">
        <v>0</v>
      </c>
      <c r="C191" s="972">
        <v>0</v>
      </c>
      <c r="D191" s="960">
        <v>1E-4</v>
      </c>
      <c r="E191" s="971">
        <f>0.5*(MAX(B191:D191)-MIN(B191:D191))</f>
        <v>5.0000000000000002E-5</v>
      </c>
      <c r="F191" s="977">
        <v>1E-4</v>
      </c>
      <c r="G191" s="964"/>
      <c r="H191" s="964"/>
      <c r="I191" s="969">
        <v>2</v>
      </c>
      <c r="J191" s="972">
        <v>0</v>
      </c>
      <c r="K191" s="972">
        <v>0</v>
      </c>
      <c r="L191" s="960">
        <v>1E-4</v>
      </c>
      <c r="M191" s="971">
        <f>0.5*(MAX(J191:L191)-MIN(J191:L191))</f>
        <v>5.0000000000000002E-5</v>
      </c>
      <c r="N191" s="977">
        <v>1E-4</v>
      </c>
      <c r="O191" s="964"/>
      <c r="P191" s="964"/>
      <c r="Q191" s="969">
        <v>2</v>
      </c>
      <c r="R191" s="972">
        <v>0</v>
      </c>
      <c r="S191" s="972">
        <v>0</v>
      </c>
      <c r="T191" s="960">
        <v>1E-4</v>
      </c>
      <c r="U191" s="971">
        <f>0.5*(MAX(R191:T191)-MIN(R191:T191))</f>
        <v>5.0000000000000002E-5</v>
      </c>
      <c r="V191" s="977">
        <v>1E-4</v>
      </c>
    </row>
    <row r="192" spans="1:22" ht="26">
      <c r="A192" s="973" t="s">
        <v>343</v>
      </c>
      <c r="B192" s="967" t="s">
        <v>7</v>
      </c>
      <c r="C192" s="967" t="s">
        <v>7</v>
      </c>
      <c r="D192" s="967"/>
      <c r="E192" s="974" t="s">
        <v>2</v>
      </c>
      <c r="F192" s="975" t="s">
        <v>26</v>
      </c>
      <c r="G192" s="964"/>
      <c r="H192" s="964"/>
      <c r="I192" s="973" t="s">
        <v>343</v>
      </c>
      <c r="J192" s="967" t="s">
        <v>7</v>
      </c>
      <c r="K192" s="967" t="s">
        <v>7</v>
      </c>
      <c r="L192" s="967"/>
      <c r="M192" s="974" t="s">
        <v>2</v>
      </c>
      <c r="N192" s="975" t="s">
        <v>26</v>
      </c>
      <c r="O192" s="964"/>
      <c r="P192" s="964"/>
      <c r="Q192" s="973" t="s">
        <v>343</v>
      </c>
      <c r="R192" s="967" t="s">
        <v>7</v>
      </c>
      <c r="S192" s="967" t="s">
        <v>7</v>
      </c>
      <c r="T192" s="967"/>
      <c r="U192" s="974" t="s">
        <v>2</v>
      </c>
      <c r="V192" s="975" t="s">
        <v>26</v>
      </c>
    </row>
    <row r="193" spans="1:22" ht="13">
      <c r="A193" s="973" t="s">
        <v>344</v>
      </c>
      <c r="B193" s="967">
        <f>B188</f>
        <v>2018</v>
      </c>
      <c r="C193" s="967">
        <f>C188</f>
        <v>2018</v>
      </c>
      <c r="D193" s="967">
        <f>D188</f>
        <v>2019</v>
      </c>
      <c r="E193" s="971"/>
      <c r="F193" s="975"/>
      <c r="G193" s="964"/>
      <c r="H193" s="964"/>
      <c r="I193" s="973" t="s">
        <v>344</v>
      </c>
      <c r="J193" s="967">
        <f>J188</f>
        <v>2018</v>
      </c>
      <c r="K193" s="967">
        <f>K188</f>
        <v>2018</v>
      </c>
      <c r="L193" s="967">
        <f>L188</f>
        <v>2019</v>
      </c>
      <c r="M193" s="971"/>
      <c r="N193" s="975"/>
      <c r="O193" s="964"/>
      <c r="P193" s="964"/>
      <c r="Q193" s="973" t="s">
        <v>344</v>
      </c>
      <c r="R193" s="967">
        <f>R188</f>
        <v>2018</v>
      </c>
      <c r="S193" s="967">
        <f>S188</f>
        <v>2018</v>
      </c>
      <c r="T193" s="967">
        <f>T188</f>
        <v>2019</v>
      </c>
      <c r="U193" s="971"/>
      <c r="V193" s="975"/>
    </row>
    <row r="194" spans="1:22">
      <c r="A194" s="969">
        <v>0.125</v>
      </c>
      <c r="B194" s="972">
        <v>0</v>
      </c>
      <c r="C194" s="972">
        <v>0</v>
      </c>
      <c r="D194" s="960">
        <v>1E-4</v>
      </c>
      <c r="E194" s="971">
        <f>0.5*(MAX(B194:D194)-MIN(B194:D194))</f>
        <v>5.0000000000000002E-5</v>
      </c>
      <c r="F194" s="977">
        <v>2.5999999999999998E-5</v>
      </c>
      <c r="G194" s="964"/>
      <c r="H194" s="964"/>
      <c r="I194" s="969">
        <v>0.125</v>
      </c>
      <c r="J194" s="972">
        <v>0</v>
      </c>
      <c r="K194" s="972">
        <v>0</v>
      </c>
      <c r="L194" s="960">
        <v>1E-4</v>
      </c>
      <c r="M194" s="971">
        <f>0.5*(MAX(J194:L194)-MIN(J194:L194))</f>
        <v>5.0000000000000002E-5</v>
      </c>
      <c r="N194" s="977">
        <v>2.5999999999999998E-5</v>
      </c>
      <c r="O194" s="964"/>
      <c r="P194" s="964"/>
      <c r="Q194" s="969">
        <v>0.125</v>
      </c>
      <c r="R194" s="972">
        <v>0</v>
      </c>
      <c r="S194" s="972">
        <v>0</v>
      </c>
      <c r="T194" s="960">
        <v>1E-4</v>
      </c>
      <c r="U194" s="971">
        <f>0.5*(MAX(R194:T194)-MIN(R194:T194))</f>
        <v>5.0000000000000002E-5</v>
      </c>
      <c r="V194" s="977">
        <v>2.5999999999999998E-5</v>
      </c>
    </row>
    <row r="195" spans="1:22">
      <c r="A195" s="969">
        <v>2</v>
      </c>
      <c r="B195" s="972">
        <v>0</v>
      </c>
      <c r="C195" s="972">
        <v>0</v>
      </c>
      <c r="D195" s="960">
        <v>1E-4</v>
      </c>
      <c r="E195" s="971">
        <f>0.5*(MAX(B195:D195)-MIN(B195:D195))</f>
        <v>5.0000000000000002E-5</v>
      </c>
      <c r="F195" s="977">
        <v>2.5999999999999998E-5</v>
      </c>
      <c r="G195" s="964"/>
      <c r="H195" s="964"/>
      <c r="I195" s="969">
        <v>2</v>
      </c>
      <c r="J195" s="972">
        <v>0</v>
      </c>
      <c r="K195" s="972">
        <v>0</v>
      </c>
      <c r="L195" s="960">
        <v>1E-4</v>
      </c>
      <c r="M195" s="971">
        <f>0.5*(MAX(J195:L195)-MIN(J195:L195))</f>
        <v>5.0000000000000002E-5</v>
      </c>
      <c r="N195" s="977">
        <v>2.5999999999999998E-5</v>
      </c>
      <c r="O195" s="964"/>
      <c r="P195" s="964"/>
      <c r="Q195" s="969">
        <v>2</v>
      </c>
      <c r="R195" s="972">
        <v>0</v>
      </c>
      <c r="S195" s="972">
        <v>0</v>
      </c>
      <c r="T195" s="960">
        <v>1E-4</v>
      </c>
      <c r="U195" s="971">
        <f>0.5*(MAX(R195:T195)-MIN(R195:T195))</f>
        <v>5.0000000000000002E-5</v>
      </c>
      <c r="V195" s="977">
        <v>2.5999999999999998E-5</v>
      </c>
    </row>
    <row r="196" spans="1:22" ht="26">
      <c r="A196" s="973" t="s">
        <v>346</v>
      </c>
      <c r="B196" s="967" t="s">
        <v>7</v>
      </c>
      <c r="C196" s="967" t="s">
        <v>7</v>
      </c>
      <c r="D196" s="967"/>
      <c r="E196" s="974" t="s">
        <v>2</v>
      </c>
      <c r="F196" s="975" t="s">
        <v>26</v>
      </c>
      <c r="G196" s="964"/>
      <c r="H196" s="964"/>
      <c r="I196" s="973" t="s">
        <v>346</v>
      </c>
      <c r="J196" s="967" t="s">
        <v>7</v>
      </c>
      <c r="K196" s="967" t="s">
        <v>7</v>
      </c>
      <c r="L196" s="967"/>
      <c r="M196" s="974" t="s">
        <v>2</v>
      </c>
      <c r="N196" s="975" t="s">
        <v>26</v>
      </c>
      <c r="O196" s="964"/>
      <c r="P196" s="964"/>
      <c r="Q196" s="973" t="s">
        <v>346</v>
      </c>
      <c r="R196" s="967" t="s">
        <v>7</v>
      </c>
      <c r="S196" s="967" t="s">
        <v>7</v>
      </c>
      <c r="T196" s="967"/>
      <c r="U196" s="974" t="s">
        <v>2</v>
      </c>
      <c r="V196" s="975" t="s">
        <v>26</v>
      </c>
    </row>
    <row r="197" spans="1:22" ht="13">
      <c r="A197" s="973" t="s">
        <v>344</v>
      </c>
      <c r="B197" s="967">
        <f>B193</f>
        <v>2018</v>
      </c>
      <c r="C197" s="967">
        <f>C193</f>
        <v>2018</v>
      </c>
      <c r="D197" s="967">
        <f>D193</f>
        <v>2019</v>
      </c>
      <c r="E197" s="971"/>
      <c r="F197" s="975"/>
      <c r="G197" s="964"/>
      <c r="H197" s="964"/>
      <c r="I197" s="973" t="s">
        <v>344</v>
      </c>
      <c r="J197" s="967">
        <f>J193</f>
        <v>2018</v>
      </c>
      <c r="K197" s="967">
        <f>K193</f>
        <v>2018</v>
      </c>
      <c r="L197" s="967">
        <f>L193</f>
        <v>2019</v>
      </c>
      <c r="M197" s="971"/>
      <c r="N197" s="975"/>
      <c r="O197" s="964"/>
      <c r="P197" s="964"/>
      <c r="Q197" s="973" t="s">
        <v>344</v>
      </c>
      <c r="R197" s="967">
        <f>R193</f>
        <v>2018</v>
      </c>
      <c r="S197" s="967">
        <f>S193</f>
        <v>2018</v>
      </c>
      <c r="T197" s="967">
        <f>T193</f>
        <v>2019</v>
      </c>
      <c r="U197" s="971"/>
      <c r="V197" s="975"/>
    </row>
    <row r="198" spans="1:22">
      <c r="A198" s="969">
        <v>10</v>
      </c>
      <c r="B198" s="972">
        <v>0</v>
      </c>
      <c r="C198" s="972">
        <v>0</v>
      </c>
      <c r="D198" s="960">
        <v>1E-4</v>
      </c>
      <c r="E198" s="971">
        <f>0.5*(MAX(B198:D198)-MIN(B198:D198))</f>
        <v>5.0000000000000002E-5</v>
      </c>
      <c r="F198" s="977">
        <v>2.5999999999999998E-5</v>
      </c>
      <c r="G198" s="964"/>
      <c r="H198" s="964"/>
      <c r="I198" s="969">
        <v>10</v>
      </c>
      <c r="J198" s="972">
        <v>0</v>
      </c>
      <c r="K198" s="972">
        <v>0</v>
      </c>
      <c r="L198" s="972">
        <v>0</v>
      </c>
      <c r="M198" s="971">
        <f>0.5*(MAX(J198:L198)-MIN(J198:L198))</f>
        <v>0</v>
      </c>
      <c r="N198" s="977">
        <v>2.5999999999999998E-5</v>
      </c>
      <c r="O198" s="964"/>
      <c r="P198" s="964"/>
      <c r="Q198" s="969">
        <v>10</v>
      </c>
      <c r="R198" s="972">
        <v>0</v>
      </c>
      <c r="S198" s="972">
        <v>0</v>
      </c>
      <c r="T198" s="960">
        <v>1E-4</v>
      </c>
      <c r="U198" s="971">
        <f>0.5*(MAX(R198:T198)-MIN(R198:T198))</f>
        <v>5.0000000000000002E-5</v>
      </c>
      <c r="V198" s="977">
        <v>2.5999999999999998E-5</v>
      </c>
    </row>
    <row r="199" spans="1:22" ht="12.75" customHeight="1">
      <c r="A199" s="114" t="s">
        <v>347</v>
      </c>
      <c r="B199" s="114" t="s">
        <v>7</v>
      </c>
      <c r="C199" s="114" t="s">
        <v>7</v>
      </c>
      <c r="D199" s="114"/>
      <c r="E199" s="114" t="s">
        <v>2</v>
      </c>
      <c r="F199" s="980" t="s">
        <v>26</v>
      </c>
      <c r="G199" s="964"/>
      <c r="H199" s="964"/>
      <c r="I199" s="114" t="s">
        <v>347</v>
      </c>
      <c r="J199" s="114" t="s">
        <v>7</v>
      </c>
      <c r="K199" s="114" t="s">
        <v>7</v>
      </c>
      <c r="L199" s="114"/>
      <c r="M199" s="1983" t="s">
        <v>2</v>
      </c>
      <c r="N199" s="1986" t="s">
        <v>26</v>
      </c>
      <c r="O199" s="964"/>
      <c r="P199" s="964"/>
      <c r="Q199" s="114" t="s">
        <v>347</v>
      </c>
      <c r="R199" s="114" t="s">
        <v>7</v>
      </c>
      <c r="S199" s="114" t="s">
        <v>7</v>
      </c>
      <c r="T199" s="114"/>
      <c r="U199" s="1983" t="s">
        <v>2</v>
      </c>
      <c r="V199" s="1986" t="s">
        <v>26</v>
      </c>
    </row>
    <row r="200" spans="1:22" ht="14">
      <c r="A200" s="954" t="s">
        <v>348</v>
      </c>
      <c r="B200" s="114">
        <f>B197</f>
        <v>2018</v>
      </c>
      <c r="C200" s="114">
        <f>C197</f>
        <v>2018</v>
      </c>
      <c r="D200" s="114">
        <f>D197</f>
        <v>2019</v>
      </c>
      <c r="E200" s="114"/>
      <c r="F200" s="980"/>
      <c r="G200" s="964"/>
      <c r="H200" s="964"/>
      <c r="I200" s="954" t="s">
        <v>348</v>
      </c>
      <c r="J200" s="114">
        <f>J197</f>
        <v>2018</v>
      </c>
      <c r="K200" s="114">
        <f>K197</f>
        <v>2018</v>
      </c>
      <c r="L200" s="114">
        <f>L197</f>
        <v>2019</v>
      </c>
      <c r="M200" s="1983"/>
      <c r="N200" s="1986"/>
      <c r="O200" s="964"/>
      <c r="P200" s="964"/>
      <c r="Q200" s="954" t="s">
        <v>348</v>
      </c>
      <c r="R200" s="114">
        <f>R197</f>
        <v>2018</v>
      </c>
      <c r="S200" s="114">
        <f>S197</f>
        <v>2018</v>
      </c>
      <c r="T200" s="114">
        <f>T197</f>
        <v>2019</v>
      </c>
      <c r="U200" s="1983"/>
      <c r="V200" s="1986"/>
    </row>
    <row r="201" spans="1:22">
      <c r="A201" s="981">
        <v>15</v>
      </c>
      <c r="B201" s="960">
        <v>0</v>
      </c>
      <c r="C201" s="960">
        <v>0</v>
      </c>
      <c r="D201" s="960">
        <v>1E-4</v>
      </c>
      <c r="E201" s="961">
        <f>0.5*(MAX(B201:D201)-MIN(B201:D201))</f>
        <v>5.0000000000000002E-5</v>
      </c>
      <c r="F201" s="982"/>
      <c r="G201" s="964"/>
      <c r="H201" s="964"/>
      <c r="I201" s="981">
        <v>15</v>
      </c>
      <c r="J201" s="960">
        <v>0</v>
      </c>
      <c r="K201" s="960">
        <v>0</v>
      </c>
      <c r="L201" s="960">
        <v>1E-4</v>
      </c>
      <c r="M201" s="961">
        <f>0.5*(MAX(J201:L201)-MIN(J201:L201))</f>
        <v>5.0000000000000002E-5</v>
      </c>
      <c r="N201" s="982"/>
      <c r="O201" s="964"/>
      <c r="P201" s="964"/>
      <c r="Q201" s="981">
        <v>15</v>
      </c>
      <c r="R201" s="960">
        <v>0</v>
      </c>
      <c r="S201" s="960">
        <v>0</v>
      </c>
      <c r="T201" s="960">
        <v>1E-4</v>
      </c>
      <c r="U201" s="961">
        <f>0.5*(MAX(R201:T201)-MIN(R201:T201))</f>
        <v>5.0000000000000002E-5</v>
      </c>
      <c r="V201" s="982"/>
    </row>
    <row r="202" spans="1:22">
      <c r="A202" s="963">
        <v>30</v>
      </c>
      <c r="B202" s="960">
        <v>0</v>
      </c>
      <c r="C202" s="960">
        <v>0</v>
      </c>
      <c r="D202" s="960">
        <v>1E-4</v>
      </c>
      <c r="E202" s="961">
        <f>0.5*(MAX(B202:D202)-MIN(B202:D202))</f>
        <v>5.0000000000000002E-5</v>
      </c>
      <c r="F202" s="962">
        <v>1.1999999999999999E-3</v>
      </c>
      <c r="G202" s="964"/>
      <c r="H202" s="964"/>
      <c r="I202" s="963">
        <v>30</v>
      </c>
      <c r="J202" s="960">
        <v>0</v>
      </c>
      <c r="K202" s="960">
        <v>0</v>
      </c>
      <c r="L202" s="960">
        <v>1E-4</v>
      </c>
      <c r="M202" s="961">
        <f>0.5*(MAX(J202:L202)-MIN(J202:L202))</f>
        <v>5.0000000000000002E-5</v>
      </c>
      <c r="N202" s="962">
        <v>1.1999999999999999E-3</v>
      </c>
      <c r="O202" s="964"/>
      <c r="P202" s="964"/>
      <c r="Q202" s="963">
        <v>30</v>
      </c>
      <c r="R202" s="960">
        <v>0</v>
      </c>
      <c r="S202" s="960">
        <v>0</v>
      </c>
      <c r="T202" s="960">
        <v>1E-4</v>
      </c>
      <c r="U202" s="961">
        <f>0.5*(MAX(R202:T202)-MIN(R202:T202))</f>
        <v>5.0000000000000002E-5</v>
      </c>
      <c r="V202" s="962">
        <v>1.1999999999999999E-3</v>
      </c>
    </row>
    <row r="203" spans="1:22">
      <c r="A203" s="963">
        <v>60</v>
      </c>
      <c r="B203" s="960">
        <v>0</v>
      </c>
      <c r="C203" s="960">
        <v>0</v>
      </c>
      <c r="D203" s="960">
        <v>1E-4</v>
      </c>
      <c r="E203" s="961">
        <f>0.5*(MAX(B203:D203)-MIN(B203:D203))</f>
        <v>5.0000000000000002E-5</v>
      </c>
      <c r="F203" s="962" t="s">
        <v>337</v>
      </c>
      <c r="G203" s="964"/>
      <c r="H203" s="964"/>
      <c r="I203" s="963">
        <v>60</v>
      </c>
      <c r="J203" s="960">
        <v>0</v>
      </c>
      <c r="K203" s="960">
        <v>0</v>
      </c>
      <c r="L203" s="960">
        <v>1E-4</v>
      </c>
      <c r="M203" s="961">
        <f>0.5*(MAX(J203:L203)-MIN(J203:L203))</f>
        <v>5.0000000000000002E-5</v>
      </c>
      <c r="N203" s="962" t="s">
        <v>337</v>
      </c>
      <c r="O203" s="964"/>
      <c r="P203" s="964"/>
      <c r="Q203" s="963">
        <v>60</v>
      </c>
      <c r="R203" s="960">
        <v>0</v>
      </c>
      <c r="S203" s="960">
        <v>0</v>
      </c>
      <c r="T203" s="960">
        <v>1E-4</v>
      </c>
      <c r="U203" s="961">
        <f>0.5*(MAX(R203:T203)-MIN(R203:T203))</f>
        <v>5.0000000000000002E-5</v>
      </c>
      <c r="V203" s="962" t="s">
        <v>337</v>
      </c>
    </row>
    <row r="204" spans="1:22">
      <c r="A204" s="963">
        <v>120</v>
      </c>
      <c r="B204" s="960">
        <v>0</v>
      </c>
      <c r="C204" s="960">
        <v>0</v>
      </c>
      <c r="D204" s="960">
        <v>1E-4</v>
      </c>
      <c r="E204" s="961">
        <f>0.5*(MAX(B204:D204)-MIN(B204:D204))</f>
        <v>5.0000000000000002E-5</v>
      </c>
      <c r="F204" s="962" t="s">
        <v>338</v>
      </c>
      <c r="G204" s="964"/>
      <c r="H204" s="964"/>
      <c r="I204" s="963">
        <v>120</v>
      </c>
      <c r="J204" s="960">
        <v>0</v>
      </c>
      <c r="K204" s="960">
        <v>0</v>
      </c>
      <c r="L204" s="960">
        <v>1E-4</v>
      </c>
      <c r="M204" s="961">
        <f>0.5*(MAX(J204:L204)-MIN(J204:L204))</f>
        <v>5.0000000000000002E-5</v>
      </c>
      <c r="N204" s="962" t="s">
        <v>338</v>
      </c>
      <c r="O204" s="964"/>
      <c r="P204" s="964"/>
      <c r="Q204" s="963">
        <v>120</v>
      </c>
      <c r="R204" s="960">
        <v>0</v>
      </c>
      <c r="S204" s="960">
        <v>0</v>
      </c>
      <c r="T204" s="960">
        <v>1E-4</v>
      </c>
      <c r="U204" s="961">
        <f>0.5*(MAX(R204:T204)-MIN(R204:T204))</f>
        <v>5.0000000000000002E-5</v>
      </c>
      <c r="V204" s="962" t="s">
        <v>338</v>
      </c>
    </row>
    <row r="205" spans="1:22">
      <c r="A205" s="963">
        <v>180</v>
      </c>
      <c r="B205" s="960">
        <v>0</v>
      </c>
      <c r="C205" s="960">
        <v>0</v>
      </c>
      <c r="D205" s="960">
        <v>1E-4</v>
      </c>
      <c r="E205" s="961">
        <f>0.5*(MAX(B205:D205)-MIN(B205:D205))</f>
        <v>5.0000000000000002E-5</v>
      </c>
      <c r="F205" s="962" t="s">
        <v>10</v>
      </c>
      <c r="G205" s="964"/>
      <c r="H205" s="964"/>
      <c r="I205" s="963">
        <v>180</v>
      </c>
      <c r="J205" s="960">
        <v>0</v>
      </c>
      <c r="K205" s="960">
        <v>0</v>
      </c>
      <c r="L205" s="960">
        <v>1E-4</v>
      </c>
      <c r="M205" s="961">
        <f>0.5*(MAX(J205:L205)-MIN(J205:L205))</f>
        <v>5.0000000000000002E-5</v>
      </c>
      <c r="N205" s="962" t="s">
        <v>10</v>
      </c>
      <c r="O205" s="964"/>
      <c r="P205" s="964"/>
      <c r="Q205" s="963">
        <v>180</v>
      </c>
      <c r="R205" s="960">
        <v>0</v>
      </c>
      <c r="S205" s="960">
        <v>0</v>
      </c>
      <c r="T205" s="960">
        <v>1E-4</v>
      </c>
      <c r="U205" s="961">
        <f>0.5*(MAX(R205:T205)-MIN(R205:T205))</f>
        <v>5.0000000000000002E-5</v>
      </c>
      <c r="V205" s="962" t="s">
        <v>10</v>
      </c>
    </row>
    <row r="206" spans="1:22">
      <c r="A206" s="964"/>
      <c r="B206" s="964"/>
      <c r="C206" s="964"/>
      <c r="D206" s="964"/>
      <c r="E206" s="964"/>
      <c r="F206" s="964"/>
      <c r="G206" s="964"/>
      <c r="H206" s="964"/>
      <c r="I206" s="964"/>
      <c r="J206" s="964"/>
      <c r="K206" s="964"/>
      <c r="L206" s="964"/>
      <c r="M206" s="964"/>
      <c r="N206" s="964"/>
      <c r="O206" s="964"/>
      <c r="P206" s="964"/>
      <c r="Q206" s="964"/>
      <c r="R206" s="964"/>
      <c r="S206" s="964"/>
      <c r="T206" s="964"/>
      <c r="U206" s="964"/>
      <c r="V206" s="964"/>
    </row>
    <row r="207" spans="1:22">
      <c r="A207" s="964"/>
      <c r="B207" s="964"/>
      <c r="C207" s="964"/>
      <c r="D207" s="964"/>
      <c r="E207" s="964"/>
      <c r="F207" s="964"/>
      <c r="G207" s="964"/>
      <c r="H207" s="964"/>
      <c r="I207" s="964"/>
      <c r="J207" s="964"/>
      <c r="K207" s="964"/>
      <c r="L207" s="964"/>
      <c r="M207" s="964"/>
      <c r="N207" s="964"/>
      <c r="O207" s="964"/>
      <c r="P207" s="964"/>
      <c r="Q207" s="964"/>
      <c r="R207" s="964"/>
      <c r="S207" s="964"/>
      <c r="T207" s="964"/>
      <c r="U207" s="964"/>
      <c r="V207" s="964"/>
    </row>
    <row r="208" spans="1:22" ht="30.75" customHeight="1">
      <c r="A208" s="985" t="s">
        <v>368</v>
      </c>
      <c r="B208" s="964"/>
      <c r="C208" s="964"/>
      <c r="D208" s="964"/>
      <c r="E208" s="964"/>
      <c r="F208" s="964"/>
      <c r="G208" s="964"/>
      <c r="H208" s="964"/>
      <c r="I208" s="988" t="s">
        <v>369</v>
      </c>
      <c r="J208" s="964"/>
      <c r="K208" s="964"/>
      <c r="L208" s="964"/>
      <c r="M208" s="964"/>
      <c r="N208" s="964"/>
      <c r="O208" s="964"/>
      <c r="P208" s="964"/>
      <c r="Q208" s="989" t="s">
        <v>370</v>
      </c>
      <c r="R208" s="964"/>
      <c r="S208" s="964"/>
      <c r="T208" s="964"/>
      <c r="U208" s="964"/>
      <c r="V208" s="964"/>
    </row>
    <row r="209" spans="1:22" ht="15.75" customHeight="1">
      <c r="A209" s="1996" t="s">
        <v>333</v>
      </c>
      <c r="B209" s="1996"/>
      <c r="C209" s="1996"/>
      <c r="D209" s="1996"/>
      <c r="E209" s="967" t="s">
        <v>2</v>
      </c>
      <c r="F209" s="983" t="s">
        <v>26</v>
      </c>
      <c r="G209" s="964"/>
      <c r="H209" s="964"/>
      <c r="I209" s="1996" t="s">
        <v>333</v>
      </c>
      <c r="J209" s="1996"/>
      <c r="K209" s="1996"/>
      <c r="L209" s="1996"/>
      <c r="M209" s="1984" t="s">
        <v>2</v>
      </c>
      <c r="N209" s="1985" t="s">
        <v>26</v>
      </c>
      <c r="O209" s="964"/>
      <c r="P209" s="964"/>
      <c r="Q209" s="1996" t="s">
        <v>333</v>
      </c>
      <c r="R209" s="1996"/>
      <c r="S209" s="1996"/>
      <c r="T209" s="1996"/>
      <c r="U209" s="1984" t="s">
        <v>2</v>
      </c>
      <c r="V209" s="1985" t="s">
        <v>26</v>
      </c>
    </row>
    <row r="210" spans="1:22" ht="13">
      <c r="A210" s="967" t="s">
        <v>335</v>
      </c>
      <c r="B210" s="1984" t="s">
        <v>7</v>
      </c>
      <c r="C210" s="1984"/>
      <c r="D210" s="1984"/>
      <c r="E210" s="967"/>
      <c r="F210" s="983"/>
      <c r="G210" s="964"/>
      <c r="H210" s="964"/>
      <c r="I210" s="967" t="s">
        <v>335</v>
      </c>
      <c r="J210" s="1984" t="s">
        <v>7</v>
      </c>
      <c r="K210" s="1984"/>
      <c r="L210" s="1984"/>
      <c r="M210" s="1984"/>
      <c r="N210" s="1985"/>
      <c r="O210" s="964"/>
      <c r="P210" s="964"/>
      <c r="Q210" s="967" t="s">
        <v>335</v>
      </c>
      <c r="R210" s="1984" t="s">
        <v>7</v>
      </c>
      <c r="S210" s="1984"/>
      <c r="T210" s="1984"/>
      <c r="U210" s="1984"/>
      <c r="V210" s="1985"/>
    </row>
    <row r="211" spans="1:22" ht="15.75" customHeight="1">
      <c r="A211" s="954" t="s">
        <v>336</v>
      </c>
      <c r="B211" s="967">
        <v>2018</v>
      </c>
      <c r="C211" s="967">
        <v>2018</v>
      </c>
      <c r="D211" s="967">
        <v>2019</v>
      </c>
      <c r="E211" s="967"/>
      <c r="F211" s="983"/>
      <c r="G211" s="964"/>
      <c r="H211" s="964"/>
      <c r="I211" s="954" t="s">
        <v>336</v>
      </c>
      <c r="J211" s="967">
        <v>2018</v>
      </c>
      <c r="K211" s="967">
        <v>2018</v>
      </c>
      <c r="L211" s="967">
        <v>2019</v>
      </c>
      <c r="M211" s="1984"/>
      <c r="N211" s="1985"/>
      <c r="O211" s="964"/>
      <c r="P211" s="964"/>
      <c r="Q211" s="954" t="s">
        <v>336</v>
      </c>
      <c r="R211" s="967">
        <v>2018</v>
      </c>
      <c r="S211" s="967">
        <v>2018</v>
      </c>
      <c r="T211" s="967">
        <v>2019</v>
      </c>
      <c r="U211" s="1984"/>
      <c r="V211" s="1985"/>
    </row>
    <row r="212" spans="1:22">
      <c r="A212" s="969">
        <v>0.5</v>
      </c>
      <c r="B212" s="970" t="s">
        <v>10</v>
      </c>
      <c r="C212" s="970" t="s">
        <v>10</v>
      </c>
      <c r="D212" s="960">
        <v>1E-4</v>
      </c>
      <c r="E212" s="971">
        <f>0.5*(MAX(B212:D212)-MIN(B212:D212))</f>
        <v>0</v>
      </c>
      <c r="F212" s="969">
        <v>5.4999999999999997E-3</v>
      </c>
      <c r="G212" s="964"/>
      <c r="H212" s="964"/>
      <c r="I212" s="969">
        <v>0.5</v>
      </c>
      <c r="J212" s="970" t="s">
        <v>10</v>
      </c>
      <c r="K212" s="970" t="s">
        <v>10</v>
      </c>
      <c r="L212" s="960">
        <v>1E-4</v>
      </c>
      <c r="M212" s="971">
        <f>0.5*(MAX(J212:L212)-MIN(J212:L212))</f>
        <v>0</v>
      </c>
      <c r="N212" s="969">
        <v>5.4999999999999997E-3</v>
      </c>
      <c r="O212" s="964"/>
      <c r="P212" s="964"/>
      <c r="Q212" s="969">
        <v>0.5</v>
      </c>
      <c r="R212" s="970" t="s">
        <v>10</v>
      </c>
      <c r="S212" s="970" t="s">
        <v>10</v>
      </c>
      <c r="T212" s="960">
        <v>1E-4</v>
      </c>
      <c r="U212" s="971">
        <f>0.5*(MAX(R212:T212)-MIN(R212:T212))</f>
        <v>0</v>
      </c>
      <c r="V212" s="969">
        <v>5.4999999999999997E-3</v>
      </c>
    </row>
    <row r="213" spans="1:22">
      <c r="A213" s="969">
        <v>1</v>
      </c>
      <c r="B213" s="970" t="s">
        <v>10</v>
      </c>
      <c r="C213" s="970" t="s">
        <v>10</v>
      </c>
      <c r="D213" s="960">
        <v>1E-4</v>
      </c>
      <c r="E213" s="971">
        <f>0.5*(MAX(B213:D213)-MIN(B213:D213))</f>
        <v>0</v>
      </c>
      <c r="F213" s="969" t="s">
        <v>337</v>
      </c>
      <c r="G213" s="964"/>
      <c r="H213" s="964"/>
      <c r="I213" s="969">
        <v>1</v>
      </c>
      <c r="J213" s="970" t="s">
        <v>10</v>
      </c>
      <c r="K213" s="970" t="s">
        <v>10</v>
      </c>
      <c r="L213" s="960">
        <v>1E-4</v>
      </c>
      <c r="M213" s="971">
        <f>0.5*(MAX(J213:L213)-MIN(J213:L213))</f>
        <v>0</v>
      </c>
      <c r="N213" s="969" t="s">
        <v>337</v>
      </c>
      <c r="O213" s="964"/>
      <c r="P213" s="964"/>
      <c r="Q213" s="969">
        <v>1</v>
      </c>
      <c r="R213" s="970" t="s">
        <v>10</v>
      </c>
      <c r="S213" s="970" t="s">
        <v>10</v>
      </c>
      <c r="T213" s="960">
        <v>1E-4</v>
      </c>
      <c r="U213" s="971">
        <f>0.5*(MAX(R213:T213)-MIN(R213:T213))</f>
        <v>0</v>
      </c>
      <c r="V213" s="969" t="s">
        <v>337</v>
      </c>
    </row>
    <row r="214" spans="1:22">
      <c r="A214" s="969">
        <v>2</v>
      </c>
      <c r="B214" s="970" t="s">
        <v>10</v>
      </c>
      <c r="C214" s="970" t="s">
        <v>10</v>
      </c>
      <c r="D214" s="960">
        <v>1E-4</v>
      </c>
      <c r="E214" s="971">
        <f>0.5*(MAX(B214:D214)-MIN(B214:D214))</f>
        <v>0</v>
      </c>
      <c r="F214" s="969" t="s">
        <v>338</v>
      </c>
      <c r="G214" s="964"/>
      <c r="H214" s="964"/>
      <c r="I214" s="969">
        <v>2</v>
      </c>
      <c r="J214" s="970" t="s">
        <v>10</v>
      </c>
      <c r="K214" s="970" t="s">
        <v>10</v>
      </c>
      <c r="L214" s="960">
        <v>1E-4</v>
      </c>
      <c r="M214" s="971">
        <f>0.5*(MAX(J214:L214)-MIN(J214:L214))</f>
        <v>0</v>
      </c>
      <c r="N214" s="969" t="s">
        <v>338</v>
      </c>
      <c r="O214" s="964"/>
      <c r="P214" s="964"/>
      <c r="Q214" s="969">
        <v>2</v>
      </c>
      <c r="R214" s="970" t="s">
        <v>10</v>
      </c>
      <c r="S214" s="970" t="s">
        <v>10</v>
      </c>
      <c r="T214" s="960">
        <v>1E-4</v>
      </c>
      <c r="U214" s="971">
        <f>0.5*(MAX(R214:T214)-MIN(R214:T214))</f>
        <v>0</v>
      </c>
      <c r="V214" s="969" t="s">
        <v>338</v>
      </c>
    </row>
    <row r="215" spans="1:22">
      <c r="A215" s="969">
        <v>3</v>
      </c>
      <c r="B215" s="970" t="s">
        <v>10</v>
      </c>
      <c r="C215" s="970" t="s">
        <v>10</v>
      </c>
      <c r="D215" s="960">
        <v>1E-4</v>
      </c>
      <c r="E215" s="971">
        <f>0.5*(MAX(B215:D215)-MIN(B215:D215))</f>
        <v>0</v>
      </c>
      <c r="F215" s="969"/>
      <c r="G215" s="964"/>
      <c r="H215" s="964"/>
      <c r="I215" s="969">
        <v>3</v>
      </c>
      <c r="J215" s="970" t="s">
        <v>10</v>
      </c>
      <c r="K215" s="970" t="s">
        <v>10</v>
      </c>
      <c r="L215" s="960">
        <v>1E-4</v>
      </c>
      <c r="M215" s="971">
        <f>0.5*(MAX(J215:L215)-MIN(J215:L215))</f>
        <v>0</v>
      </c>
      <c r="N215" s="969"/>
      <c r="O215" s="964"/>
      <c r="P215" s="964"/>
      <c r="Q215" s="969">
        <v>3</v>
      </c>
      <c r="R215" s="970" t="s">
        <v>10</v>
      </c>
      <c r="S215" s="970" t="s">
        <v>10</v>
      </c>
      <c r="T215" s="960">
        <v>1E-4</v>
      </c>
      <c r="U215" s="971">
        <f>0.5*(MAX(R215:T215)-MIN(R215:T215))</f>
        <v>0</v>
      </c>
      <c r="V215" s="969"/>
    </row>
    <row r="216" spans="1:22" ht="26">
      <c r="A216" s="973" t="s">
        <v>339</v>
      </c>
      <c r="B216" s="967" t="s">
        <v>7</v>
      </c>
      <c r="C216" s="967" t="s">
        <v>7</v>
      </c>
      <c r="D216" s="967"/>
      <c r="E216" s="974" t="s">
        <v>2</v>
      </c>
      <c r="F216" s="975" t="s">
        <v>26</v>
      </c>
      <c r="G216" s="964"/>
      <c r="H216" s="964"/>
      <c r="I216" s="973" t="s">
        <v>339</v>
      </c>
      <c r="J216" s="967" t="s">
        <v>7</v>
      </c>
      <c r="K216" s="967" t="s">
        <v>7</v>
      </c>
      <c r="L216" s="967"/>
      <c r="M216" s="974" t="s">
        <v>2</v>
      </c>
      <c r="N216" s="975" t="s">
        <v>26</v>
      </c>
      <c r="O216" s="964"/>
      <c r="P216" s="964"/>
      <c r="Q216" s="973" t="s">
        <v>339</v>
      </c>
      <c r="R216" s="967" t="s">
        <v>7</v>
      </c>
      <c r="S216" s="967" t="s">
        <v>7</v>
      </c>
      <c r="T216" s="967"/>
      <c r="U216" s="974" t="s">
        <v>2</v>
      </c>
      <c r="V216" s="975" t="s">
        <v>26</v>
      </c>
    </row>
    <row r="217" spans="1:22" ht="13">
      <c r="A217" s="976" t="s">
        <v>340</v>
      </c>
      <c r="B217" s="967">
        <f>B211</f>
        <v>2018</v>
      </c>
      <c r="C217" s="967">
        <f>C211</f>
        <v>2018</v>
      </c>
      <c r="D217" s="967">
        <f>D211</f>
        <v>2019</v>
      </c>
      <c r="E217" s="971"/>
      <c r="F217" s="975"/>
      <c r="G217" s="964"/>
      <c r="H217" s="964"/>
      <c r="I217" s="976" t="s">
        <v>340</v>
      </c>
      <c r="J217" s="967">
        <f>J211</f>
        <v>2018</v>
      </c>
      <c r="K217" s="967">
        <f>K211</f>
        <v>2018</v>
      </c>
      <c r="L217" s="967">
        <f>L211</f>
        <v>2019</v>
      </c>
      <c r="M217" s="971"/>
      <c r="N217" s="975"/>
      <c r="O217" s="964"/>
      <c r="P217" s="964"/>
      <c r="Q217" s="976" t="s">
        <v>340</v>
      </c>
      <c r="R217" s="967">
        <f>R211</f>
        <v>2018</v>
      </c>
      <c r="S217" s="967">
        <f>S211</f>
        <v>2018</v>
      </c>
      <c r="T217" s="967">
        <f>T211</f>
        <v>2019</v>
      </c>
      <c r="U217" s="971"/>
      <c r="V217" s="975"/>
    </row>
    <row r="218" spans="1:22">
      <c r="A218" s="969">
        <v>0.5</v>
      </c>
      <c r="B218" s="972">
        <v>0</v>
      </c>
      <c r="C218" s="972">
        <v>0</v>
      </c>
      <c r="D218" s="960">
        <v>1E-4</v>
      </c>
      <c r="E218" s="971">
        <f>0.5*(MAX(B218:D218)-MIN(B218:D218))</f>
        <v>5.0000000000000002E-5</v>
      </c>
      <c r="F218" s="977">
        <v>1E-4</v>
      </c>
      <c r="G218" s="964"/>
      <c r="H218" s="964"/>
      <c r="I218" s="969">
        <v>0.5</v>
      </c>
      <c r="J218" s="972">
        <v>0</v>
      </c>
      <c r="K218" s="972">
        <v>0</v>
      </c>
      <c r="L218" s="960">
        <v>1E-4</v>
      </c>
      <c r="M218" s="971">
        <f>0.5*(MAX(J218:L218)-MIN(J218:L218))</f>
        <v>5.0000000000000002E-5</v>
      </c>
      <c r="N218" s="977">
        <v>1E-4</v>
      </c>
      <c r="O218" s="964"/>
      <c r="P218" s="964"/>
      <c r="Q218" s="969">
        <v>0.5</v>
      </c>
      <c r="R218" s="972">
        <v>0</v>
      </c>
      <c r="S218" s="972">
        <v>0</v>
      </c>
      <c r="T218" s="960">
        <v>1E-4</v>
      </c>
      <c r="U218" s="971">
        <f>0.5*(MAX(R218:T218)-MIN(R218:T218))</f>
        <v>5.0000000000000002E-5</v>
      </c>
      <c r="V218" s="977">
        <v>1E-4</v>
      </c>
    </row>
    <row r="219" spans="1:22">
      <c r="A219" s="969">
        <v>1</v>
      </c>
      <c r="B219" s="972">
        <v>0</v>
      </c>
      <c r="C219" s="972">
        <v>0</v>
      </c>
      <c r="D219" s="960">
        <v>1E-4</v>
      </c>
      <c r="E219" s="971">
        <f>0.5*(MAX(B219:D219)-MIN(B219:D219))</f>
        <v>5.0000000000000002E-5</v>
      </c>
      <c r="F219" s="977">
        <v>1E-4</v>
      </c>
      <c r="G219" s="964"/>
      <c r="H219" s="964"/>
      <c r="I219" s="969">
        <v>1</v>
      </c>
      <c r="J219" s="972">
        <v>0</v>
      </c>
      <c r="K219" s="972">
        <v>0</v>
      </c>
      <c r="L219" s="960">
        <v>1E-4</v>
      </c>
      <c r="M219" s="971">
        <f>0.5*(MAX(J219:L219)-MIN(J219:L219))</f>
        <v>5.0000000000000002E-5</v>
      </c>
      <c r="N219" s="977">
        <v>1E-4</v>
      </c>
      <c r="O219" s="964"/>
      <c r="P219" s="964"/>
      <c r="Q219" s="969">
        <v>1</v>
      </c>
      <c r="R219" s="972">
        <v>0</v>
      </c>
      <c r="S219" s="972">
        <v>0</v>
      </c>
      <c r="T219" s="960">
        <v>1E-4</v>
      </c>
      <c r="U219" s="971">
        <f>0.5*(MAX(R219:T219)-MIN(R219:T219))</f>
        <v>5.0000000000000002E-5</v>
      </c>
      <c r="V219" s="977">
        <v>1E-4</v>
      </c>
    </row>
    <row r="220" spans="1:22">
      <c r="A220" s="969">
        <v>2</v>
      </c>
      <c r="B220" s="972">
        <v>0</v>
      </c>
      <c r="C220" s="972">
        <v>0</v>
      </c>
      <c r="D220" s="960">
        <v>1E-4</v>
      </c>
      <c r="E220" s="971">
        <f>0.5*(MAX(B220:D220)-MIN(B220:D220))</f>
        <v>5.0000000000000002E-5</v>
      </c>
      <c r="F220" s="977">
        <v>1E-4</v>
      </c>
      <c r="G220" s="964"/>
      <c r="H220" s="964"/>
      <c r="I220" s="969">
        <v>2</v>
      </c>
      <c r="J220" s="972">
        <v>0</v>
      </c>
      <c r="K220" s="972">
        <v>0</v>
      </c>
      <c r="L220" s="960">
        <v>1E-4</v>
      </c>
      <c r="M220" s="971">
        <f>0.5*(MAX(J220:L220)-MIN(J220:L220))</f>
        <v>5.0000000000000002E-5</v>
      </c>
      <c r="N220" s="977">
        <v>1E-4</v>
      </c>
      <c r="O220" s="964"/>
      <c r="P220" s="964"/>
      <c r="Q220" s="969">
        <v>2</v>
      </c>
      <c r="R220" s="972">
        <v>0</v>
      </c>
      <c r="S220" s="972">
        <v>0</v>
      </c>
      <c r="T220" s="960">
        <v>1E-4</v>
      </c>
      <c r="U220" s="971">
        <f>0.5*(MAX(R220:T220)-MIN(R220:T220))</f>
        <v>5.0000000000000002E-5</v>
      </c>
      <c r="V220" s="977">
        <v>1E-4</v>
      </c>
    </row>
    <row r="221" spans="1:22" ht="26">
      <c r="A221" s="973" t="s">
        <v>343</v>
      </c>
      <c r="B221" s="967" t="s">
        <v>7</v>
      </c>
      <c r="C221" s="967" t="s">
        <v>7</v>
      </c>
      <c r="D221" s="967"/>
      <c r="E221" s="974" t="s">
        <v>2</v>
      </c>
      <c r="F221" s="975" t="s">
        <v>26</v>
      </c>
      <c r="G221" s="964"/>
      <c r="H221" s="964"/>
      <c r="I221" s="973" t="s">
        <v>343</v>
      </c>
      <c r="J221" s="967" t="s">
        <v>7</v>
      </c>
      <c r="K221" s="967" t="s">
        <v>7</v>
      </c>
      <c r="L221" s="967"/>
      <c r="M221" s="974" t="s">
        <v>2</v>
      </c>
      <c r="N221" s="975" t="s">
        <v>26</v>
      </c>
      <c r="O221" s="964"/>
      <c r="P221" s="964"/>
      <c r="Q221" s="973" t="s">
        <v>343</v>
      </c>
      <c r="R221" s="967" t="s">
        <v>7</v>
      </c>
      <c r="S221" s="967" t="s">
        <v>7</v>
      </c>
      <c r="T221" s="967"/>
      <c r="U221" s="974" t="s">
        <v>2</v>
      </c>
      <c r="V221" s="975" t="s">
        <v>26</v>
      </c>
    </row>
    <row r="222" spans="1:22" ht="13">
      <c r="A222" s="973" t="s">
        <v>344</v>
      </c>
      <c r="B222" s="967">
        <f>B217</f>
        <v>2018</v>
      </c>
      <c r="C222" s="967">
        <f>C217</f>
        <v>2018</v>
      </c>
      <c r="D222" s="967">
        <f>D217</f>
        <v>2019</v>
      </c>
      <c r="E222" s="971"/>
      <c r="F222" s="975"/>
      <c r="G222" s="964"/>
      <c r="H222" s="964"/>
      <c r="I222" s="973" t="s">
        <v>344</v>
      </c>
      <c r="J222" s="967">
        <f>J217</f>
        <v>2018</v>
      </c>
      <c r="K222" s="967">
        <f>K217</f>
        <v>2018</v>
      </c>
      <c r="L222" s="967">
        <f>L217</f>
        <v>2019</v>
      </c>
      <c r="M222" s="971"/>
      <c r="N222" s="975"/>
      <c r="O222" s="964"/>
      <c r="P222" s="964"/>
      <c r="Q222" s="973" t="s">
        <v>344</v>
      </c>
      <c r="R222" s="967">
        <f>R217</f>
        <v>2018</v>
      </c>
      <c r="S222" s="967">
        <f>S217</f>
        <v>2018</v>
      </c>
      <c r="T222" s="967">
        <f>T217</f>
        <v>2019</v>
      </c>
      <c r="U222" s="971"/>
      <c r="V222" s="975"/>
    </row>
    <row r="223" spans="1:22">
      <c r="A223" s="969">
        <v>0.125</v>
      </c>
      <c r="B223" s="972">
        <v>0</v>
      </c>
      <c r="C223" s="972">
        <v>0</v>
      </c>
      <c r="D223" s="960">
        <v>1E-4</v>
      </c>
      <c r="E223" s="971">
        <f>0.5*(MAX(B223:D223)-MIN(B223:D223))</f>
        <v>5.0000000000000002E-5</v>
      </c>
      <c r="F223" s="977">
        <v>2.5999999999999998E-5</v>
      </c>
      <c r="G223" s="964"/>
      <c r="H223" s="964"/>
      <c r="I223" s="969">
        <v>0.125</v>
      </c>
      <c r="J223" s="972">
        <v>0</v>
      </c>
      <c r="K223" s="972">
        <v>0</v>
      </c>
      <c r="L223" s="960">
        <v>1E-4</v>
      </c>
      <c r="M223" s="971">
        <f>0.5*(MAX(J223:L223)-MIN(J223:L223))</f>
        <v>5.0000000000000002E-5</v>
      </c>
      <c r="N223" s="977">
        <v>2.5999999999999998E-5</v>
      </c>
      <c r="O223" s="964"/>
      <c r="P223" s="964"/>
      <c r="Q223" s="969">
        <v>0.125</v>
      </c>
      <c r="R223" s="972">
        <v>0</v>
      </c>
      <c r="S223" s="972">
        <v>0</v>
      </c>
      <c r="T223" s="960">
        <v>1E-4</v>
      </c>
      <c r="U223" s="971">
        <f>0.5*(MAX(R223:T223)-MIN(R223:T223))</f>
        <v>5.0000000000000002E-5</v>
      </c>
      <c r="V223" s="977">
        <v>2.5999999999999998E-5</v>
      </c>
    </row>
    <row r="224" spans="1:22" ht="12.75" customHeight="1">
      <c r="A224" s="969">
        <v>2</v>
      </c>
      <c r="B224" s="972">
        <v>0</v>
      </c>
      <c r="C224" s="972">
        <v>0</v>
      </c>
      <c r="D224" s="960">
        <v>1E-4</v>
      </c>
      <c r="E224" s="971">
        <f>0.5*(MAX(B224:D224)-MIN(B224:D224))</f>
        <v>5.0000000000000002E-5</v>
      </c>
      <c r="F224" s="977">
        <v>2.5999999999999998E-5</v>
      </c>
      <c r="G224" s="964"/>
      <c r="H224" s="964"/>
      <c r="I224" s="969">
        <v>2</v>
      </c>
      <c r="J224" s="972">
        <v>0</v>
      </c>
      <c r="K224" s="972">
        <v>0</v>
      </c>
      <c r="L224" s="960">
        <v>1E-4</v>
      </c>
      <c r="M224" s="971">
        <f>0.5*(MAX(J224:L224)-MIN(J224:L224))</f>
        <v>5.0000000000000002E-5</v>
      </c>
      <c r="N224" s="977">
        <v>2.5999999999999998E-5</v>
      </c>
      <c r="O224" s="964"/>
      <c r="P224" s="964"/>
      <c r="Q224" s="969">
        <v>2</v>
      </c>
      <c r="R224" s="972">
        <v>0</v>
      </c>
      <c r="S224" s="972">
        <v>0</v>
      </c>
      <c r="T224" s="960">
        <v>1E-4</v>
      </c>
      <c r="U224" s="971">
        <f>0.5*(MAX(R224:T224)-MIN(R224:T224))</f>
        <v>5.0000000000000002E-5</v>
      </c>
      <c r="V224" s="977">
        <v>2.5999999999999998E-5</v>
      </c>
    </row>
    <row r="225" spans="1:22" ht="12.75" customHeight="1">
      <c r="A225" s="973" t="s">
        <v>346</v>
      </c>
      <c r="B225" s="967" t="s">
        <v>7</v>
      </c>
      <c r="C225" s="967" t="s">
        <v>7</v>
      </c>
      <c r="D225" s="967"/>
      <c r="E225" s="974" t="s">
        <v>2</v>
      </c>
      <c r="F225" s="975" t="s">
        <v>26</v>
      </c>
      <c r="G225" s="964"/>
      <c r="H225" s="964"/>
      <c r="I225" s="973" t="s">
        <v>346</v>
      </c>
      <c r="J225" s="967" t="s">
        <v>7</v>
      </c>
      <c r="K225" s="967" t="s">
        <v>7</v>
      </c>
      <c r="L225" s="967"/>
      <c r="M225" s="974" t="s">
        <v>2</v>
      </c>
      <c r="N225" s="975" t="s">
        <v>26</v>
      </c>
      <c r="O225" s="964"/>
      <c r="P225" s="964"/>
      <c r="Q225" s="973" t="s">
        <v>346</v>
      </c>
      <c r="R225" s="967" t="s">
        <v>7</v>
      </c>
      <c r="S225" s="967" t="s">
        <v>7</v>
      </c>
      <c r="T225" s="967"/>
      <c r="U225" s="974" t="s">
        <v>2</v>
      </c>
      <c r="V225" s="975" t="s">
        <v>26</v>
      </c>
    </row>
    <row r="226" spans="1:22" ht="13">
      <c r="A226" s="973" t="s">
        <v>344</v>
      </c>
      <c r="B226" s="967">
        <f>B222</f>
        <v>2018</v>
      </c>
      <c r="C226" s="967">
        <f>C222</f>
        <v>2018</v>
      </c>
      <c r="D226" s="967">
        <f>D222</f>
        <v>2019</v>
      </c>
      <c r="E226" s="971"/>
      <c r="F226" s="975"/>
      <c r="G226" s="964"/>
      <c r="H226" s="964"/>
      <c r="I226" s="973" t="s">
        <v>344</v>
      </c>
      <c r="J226" s="967">
        <f>J222</f>
        <v>2018</v>
      </c>
      <c r="K226" s="967">
        <f>K222</f>
        <v>2018</v>
      </c>
      <c r="L226" s="967">
        <f>L222</f>
        <v>2019</v>
      </c>
      <c r="M226" s="971"/>
      <c r="N226" s="975"/>
      <c r="O226" s="964"/>
      <c r="P226" s="964"/>
      <c r="Q226" s="973" t="s">
        <v>344</v>
      </c>
      <c r="R226" s="967">
        <f>R222</f>
        <v>2018</v>
      </c>
      <c r="S226" s="967">
        <f>S222</f>
        <v>2018</v>
      </c>
      <c r="T226" s="967">
        <f>T222</f>
        <v>2019</v>
      </c>
      <c r="U226" s="971"/>
      <c r="V226" s="975"/>
    </row>
    <row r="227" spans="1:22">
      <c r="A227" s="969">
        <v>10</v>
      </c>
      <c r="B227" s="972">
        <v>0</v>
      </c>
      <c r="C227" s="972">
        <v>0</v>
      </c>
      <c r="D227" s="960">
        <v>1E-4</v>
      </c>
      <c r="E227" s="971">
        <f>0.5*(MAX(B227:D227)-MIN(B227:D227))</f>
        <v>5.0000000000000002E-5</v>
      </c>
      <c r="F227" s="977">
        <v>2.5999999999999998E-5</v>
      </c>
      <c r="G227" s="964"/>
      <c r="H227" s="964"/>
      <c r="I227" s="969">
        <v>10</v>
      </c>
      <c r="J227" s="972">
        <v>0</v>
      </c>
      <c r="K227" s="972">
        <v>0</v>
      </c>
      <c r="L227" s="972">
        <v>0</v>
      </c>
      <c r="M227" s="971">
        <f>0.5*(MAX(J227:L227)-MIN(J227:L227))</f>
        <v>0</v>
      </c>
      <c r="N227" s="977">
        <v>2.5999999999999998E-5</v>
      </c>
      <c r="O227" s="964"/>
      <c r="P227" s="964"/>
      <c r="Q227" s="969">
        <v>10</v>
      </c>
      <c r="R227" s="972">
        <v>0</v>
      </c>
      <c r="S227" s="972">
        <v>0</v>
      </c>
      <c r="T227" s="960">
        <v>1E-4</v>
      </c>
      <c r="U227" s="971">
        <f>0.5*(MAX(R227:T227)-MIN(R227:T227))</f>
        <v>5.0000000000000002E-5</v>
      </c>
      <c r="V227" s="977">
        <v>2.5999999999999998E-5</v>
      </c>
    </row>
    <row r="228" spans="1:22" ht="12.75" customHeight="1">
      <c r="A228" s="114" t="s">
        <v>347</v>
      </c>
      <c r="B228" s="114" t="s">
        <v>7</v>
      </c>
      <c r="C228" s="114" t="s">
        <v>7</v>
      </c>
      <c r="D228" s="114"/>
      <c r="E228" s="114" t="s">
        <v>2</v>
      </c>
      <c r="F228" s="980" t="s">
        <v>26</v>
      </c>
      <c r="G228" s="964"/>
      <c r="H228" s="964"/>
      <c r="I228" s="114" t="s">
        <v>347</v>
      </c>
      <c r="J228" s="114" t="s">
        <v>7</v>
      </c>
      <c r="K228" s="114" t="s">
        <v>7</v>
      </c>
      <c r="L228" s="114"/>
      <c r="M228" s="1983" t="s">
        <v>2</v>
      </c>
      <c r="N228" s="1986" t="s">
        <v>26</v>
      </c>
      <c r="O228" s="964"/>
      <c r="P228" s="964"/>
      <c r="Q228" s="114" t="s">
        <v>347</v>
      </c>
      <c r="R228" s="114" t="s">
        <v>7</v>
      </c>
      <c r="S228" s="114" t="s">
        <v>7</v>
      </c>
      <c r="T228" s="114"/>
      <c r="U228" s="1983" t="s">
        <v>2</v>
      </c>
      <c r="V228" s="1986" t="s">
        <v>26</v>
      </c>
    </row>
    <row r="229" spans="1:22" ht="14">
      <c r="A229" s="954" t="s">
        <v>348</v>
      </c>
      <c r="B229" s="114">
        <f>B226</f>
        <v>2018</v>
      </c>
      <c r="C229" s="114">
        <f>C226</f>
        <v>2018</v>
      </c>
      <c r="D229" s="114">
        <f>D226</f>
        <v>2019</v>
      </c>
      <c r="E229" s="114"/>
      <c r="F229" s="980"/>
      <c r="G229" s="964"/>
      <c r="H229" s="964"/>
      <c r="I229" s="954" t="s">
        <v>348</v>
      </c>
      <c r="J229" s="114">
        <f>J226</f>
        <v>2018</v>
      </c>
      <c r="K229" s="114">
        <f>K226</f>
        <v>2018</v>
      </c>
      <c r="L229" s="114">
        <f>L226</f>
        <v>2019</v>
      </c>
      <c r="M229" s="1983"/>
      <c r="N229" s="1986"/>
      <c r="O229" s="964"/>
      <c r="P229" s="964"/>
      <c r="Q229" s="954" t="s">
        <v>348</v>
      </c>
      <c r="R229" s="114">
        <f>R226</f>
        <v>2018</v>
      </c>
      <c r="S229" s="114">
        <f>S226</f>
        <v>2018</v>
      </c>
      <c r="T229" s="114">
        <f>T226</f>
        <v>2019</v>
      </c>
      <c r="U229" s="1983"/>
      <c r="V229" s="1986"/>
    </row>
    <row r="230" spans="1:22">
      <c r="A230" s="981">
        <v>15</v>
      </c>
      <c r="B230" s="960">
        <v>0</v>
      </c>
      <c r="C230" s="960">
        <v>0</v>
      </c>
      <c r="D230" s="960">
        <v>1E-4</v>
      </c>
      <c r="E230" s="1651">
        <f>0.5*(MAX(B230:D230)-MIN(B230:D230))</f>
        <v>5.0000000000000002E-5</v>
      </c>
      <c r="F230" s="982"/>
      <c r="G230" s="964"/>
      <c r="H230" s="964"/>
      <c r="I230" s="981">
        <v>15</v>
      </c>
      <c r="J230" s="960">
        <v>0</v>
      </c>
      <c r="K230" s="960">
        <v>0</v>
      </c>
      <c r="L230" s="960">
        <v>1E-4</v>
      </c>
      <c r="M230" s="961">
        <f>0.5*(MAX(J230:L230)-MIN(J230:L230))</f>
        <v>5.0000000000000002E-5</v>
      </c>
      <c r="N230" s="982"/>
      <c r="O230" s="964"/>
      <c r="P230" s="964"/>
      <c r="Q230" s="981">
        <v>15</v>
      </c>
      <c r="R230" s="960">
        <v>0</v>
      </c>
      <c r="S230" s="960">
        <v>0</v>
      </c>
      <c r="T230" s="960">
        <v>1E-4</v>
      </c>
      <c r="U230" s="961">
        <f>0.5*(MAX(R230:T230)-MIN(R230:T230))</f>
        <v>5.0000000000000002E-5</v>
      </c>
      <c r="V230" s="982"/>
    </row>
    <row r="231" spans="1:22">
      <c r="A231" s="963">
        <v>30</v>
      </c>
      <c r="B231" s="960">
        <v>0</v>
      </c>
      <c r="C231" s="960">
        <v>0</v>
      </c>
      <c r="D231" s="960">
        <v>1E-4</v>
      </c>
      <c r="E231" s="961">
        <f>0.5*(MAX(B231:D231)-MIN(B231:D231))</f>
        <v>5.0000000000000002E-5</v>
      </c>
      <c r="F231" s="962">
        <v>1.1999999999999999E-3</v>
      </c>
      <c r="G231" s="964"/>
      <c r="H231" s="964"/>
      <c r="I231" s="963">
        <v>30</v>
      </c>
      <c r="J231" s="960">
        <v>0</v>
      </c>
      <c r="K231" s="960">
        <v>0</v>
      </c>
      <c r="L231" s="960">
        <v>1E-4</v>
      </c>
      <c r="M231" s="961">
        <f>0.5*(MAX(J231:L231)-MIN(J231:L231))</f>
        <v>5.0000000000000002E-5</v>
      </c>
      <c r="N231" s="962">
        <v>1.1999999999999999E-3</v>
      </c>
      <c r="O231" s="964"/>
      <c r="P231" s="964"/>
      <c r="Q231" s="963">
        <v>30</v>
      </c>
      <c r="R231" s="960">
        <v>0</v>
      </c>
      <c r="S231" s="960">
        <v>0</v>
      </c>
      <c r="T231" s="960">
        <v>1E-4</v>
      </c>
      <c r="U231" s="961">
        <f>0.5*(MAX(R231:T231)-MIN(R231:T231))</f>
        <v>5.0000000000000002E-5</v>
      </c>
      <c r="V231" s="962">
        <v>1.1999999999999999E-3</v>
      </c>
    </row>
    <row r="232" spans="1:22">
      <c r="A232" s="963">
        <v>60</v>
      </c>
      <c r="B232" s="960">
        <v>0</v>
      </c>
      <c r="C232" s="960">
        <v>0</v>
      </c>
      <c r="D232" s="960">
        <v>1E-4</v>
      </c>
      <c r="E232" s="961">
        <f>0.5*(MAX(B232:D232)-MIN(B232:D232))</f>
        <v>5.0000000000000002E-5</v>
      </c>
      <c r="F232" s="962" t="s">
        <v>337</v>
      </c>
      <c r="G232" s="964"/>
      <c r="H232" s="964"/>
      <c r="I232" s="963">
        <v>60</v>
      </c>
      <c r="J232" s="960">
        <v>0</v>
      </c>
      <c r="K232" s="960">
        <v>0</v>
      </c>
      <c r="L232" s="960">
        <v>1E-4</v>
      </c>
      <c r="M232" s="961">
        <f>0.5*(MAX(J232:L232)-MIN(J232:L232))</f>
        <v>5.0000000000000002E-5</v>
      </c>
      <c r="N232" s="962" t="s">
        <v>337</v>
      </c>
      <c r="O232" s="964"/>
      <c r="P232" s="964"/>
      <c r="Q232" s="963">
        <v>60</v>
      </c>
      <c r="R232" s="960">
        <v>0</v>
      </c>
      <c r="S232" s="960">
        <v>0</v>
      </c>
      <c r="T232" s="960">
        <v>1E-4</v>
      </c>
      <c r="U232" s="961">
        <f>0.5*(MAX(R232:T232)-MIN(R232:T232))</f>
        <v>5.0000000000000002E-5</v>
      </c>
      <c r="V232" s="962" t="s">
        <v>337</v>
      </c>
    </row>
    <row r="233" spans="1:22">
      <c r="A233" s="963">
        <v>120</v>
      </c>
      <c r="B233" s="960">
        <v>0</v>
      </c>
      <c r="C233" s="960">
        <v>0</v>
      </c>
      <c r="D233" s="960">
        <v>1E-4</v>
      </c>
      <c r="E233" s="961">
        <f>0.5*(MAX(B233:D233)-MIN(B233:D233))</f>
        <v>5.0000000000000002E-5</v>
      </c>
      <c r="F233" s="962" t="s">
        <v>338</v>
      </c>
      <c r="G233" s="964"/>
      <c r="H233" s="964"/>
      <c r="I233" s="963">
        <v>120</v>
      </c>
      <c r="J233" s="960">
        <v>0</v>
      </c>
      <c r="K233" s="960">
        <v>0</v>
      </c>
      <c r="L233" s="960">
        <v>1E-4</v>
      </c>
      <c r="M233" s="961">
        <f>0.5*(MAX(J233:L233)-MIN(J233:L233))</f>
        <v>5.0000000000000002E-5</v>
      </c>
      <c r="N233" s="962" t="s">
        <v>338</v>
      </c>
      <c r="O233" s="964"/>
      <c r="P233" s="964"/>
      <c r="Q233" s="963">
        <v>120</v>
      </c>
      <c r="R233" s="960">
        <v>0</v>
      </c>
      <c r="S233" s="960">
        <v>0</v>
      </c>
      <c r="T233" s="960">
        <v>1E-4</v>
      </c>
      <c r="U233" s="961">
        <f>0.5*(MAX(R233:T233)-MIN(R233:T233))</f>
        <v>5.0000000000000002E-5</v>
      </c>
      <c r="V233" s="962" t="s">
        <v>338</v>
      </c>
    </row>
    <row r="234" spans="1:22">
      <c r="A234" s="963">
        <v>180</v>
      </c>
      <c r="B234" s="960">
        <v>0</v>
      </c>
      <c r="C234" s="960">
        <v>0</v>
      </c>
      <c r="D234" s="960">
        <v>1E-4</v>
      </c>
      <c r="E234" s="961">
        <f>0.5*(MAX(B234:D234)-MIN(B234:D234))</f>
        <v>5.0000000000000002E-5</v>
      </c>
      <c r="F234" s="962" t="s">
        <v>10</v>
      </c>
      <c r="G234" s="964"/>
      <c r="H234" s="964"/>
      <c r="I234" s="963">
        <v>180</v>
      </c>
      <c r="J234" s="960">
        <v>0</v>
      </c>
      <c r="K234" s="960">
        <v>0</v>
      </c>
      <c r="L234" s="960">
        <v>1E-4</v>
      </c>
      <c r="M234" s="961">
        <f>0.5*(MAX(J234:L234)-MIN(J234:L234))</f>
        <v>5.0000000000000002E-5</v>
      </c>
      <c r="N234" s="962" t="s">
        <v>10</v>
      </c>
      <c r="O234" s="964"/>
      <c r="P234" s="964"/>
      <c r="Q234" s="963">
        <v>180</v>
      </c>
      <c r="R234" s="960">
        <v>0</v>
      </c>
      <c r="S234" s="960">
        <v>0</v>
      </c>
      <c r="T234" s="960">
        <v>1E-4</v>
      </c>
      <c r="U234" s="961">
        <f>0.5*(MAX(R234:T234)-MIN(R234:T234))</f>
        <v>5.0000000000000002E-5</v>
      </c>
      <c r="V234" s="962" t="s">
        <v>10</v>
      </c>
    </row>
    <row r="240" spans="1:22" ht="29.25" customHeight="1" thickBot="1">
      <c r="A240" s="1989" t="str">
        <f>IF($A$288=$A$289,A5,IF($A$288=$A$290,I5,IF($A$288=$A$291,Q5,IF($A$288=$A$292,A34,IF($A$288=$A$293,I34,IF($A$288=$A$294,Q34,IF($A$288=$A$295,A63,IF($A$288=$A$296,I63,IF($A$288=$A$297,Q63,IF($A$288=$A$298,A92,IF($A$288=$A$299,I92,IF($A$288=$A$300,Q92,IF($A$288=$A$301,A121,IF($A$288=$A$302,I121,IF($A$288=$A$303,Q121,IF($A$288=$A$304,A150,IF($A$288=$A$305,I150,IF($A$288=$A$306,Q150,IF($A$288=$A$307,A179,IF($A$288=$A$308,I179,IF($A$288=$A$309,Q179,IF($A$288=$A$310,A208,IF($A$288=$A$311,I208,IF($A$288=$A$312,Q208))))))))))))))))))))))))</f>
        <v>RIGEL PatSim200, SN : 11L-0293</v>
      </c>
      <c r="B240" s="1989"/>
      <c r="C240" s="1989"/>
      <c r="D240" s="1989"/>
      <c r="E240" s="1989"/>
      <c r="F240" s="1989"/>
      <c r="H240" s="380"/>
      <c r="I240" s="380"/>
      <c r="J240" s="380"/>
      <c r="K240" s="380"/>
      <c r="L240" s="380"/>
    </row>
    <row r="241" spans="1:25" ht="13.5" thickBot="1">
      <c r="A241" s="1989" t="str">
        <f t="shared" ref="A241:A267" si="1">IF($A$288=$A$289,A6,IF($A$288=$A$290,I6,IF($A$288=$A$291,Q6,IF($A$288=$A$292,A35,IF($A$288=$A$293,I35,IF($A$288=$A$294,Q35,IF($A$288=$A$295,A64,IF($A$288=$A$296,I64,IF($A$288=$A$297,Q64,IF($A$288=$A$298,A93,IF($A$288=$A$299,I93,IF($A$288=$A$300,Q93,IF($A$288=$A$301,A122,IF($A$288=$A$302,I122,IF($A$288=$A$303,Q122,IF($A$288=$A$304,A151,IF($A$288=$A$305,I151,IF($A$288=$A$306,Q151,IF($A$288=$A$307,A180,IF($A$288=$A$308,I180,IF($A$288=$A$309,Q180,IF($A$288=$A$310,A209,IF($A$288=$A$311,I209,IF($A$288=$A$312,Q209))))))))))))))))))))))))</f>
        <v xml:space="preserve"> KOREKSI ECG SIMULATOR</v>
      </c>
      <c r="B241" s="1989"/>
      <c r="C241" s="1989"/>
      <c r="D241" s="1989"/>
      <c r="E241" s="1989" t="str">
        <f t="shared" ref="B241:F255" si="2">IF($A$288=$A$289,E6,IF($A$288=$A$290,M6,IF($A$288=$A$291,U6,IF($A$288=$A$292,E35,IF($A$288=$A$293,M35,IF($A$288=$A$294,U35,IF($A$288=$A$295,E64,IF($A$288=$A$296,M64,IF($A$288=$A$297,U64,IF($A$288=$A$298,E93,IF($A$288=$A$299,M93,IF($A$288=$A$300,U93,IF($A$288=$A$301,E122,IF($A$288=$A$302,M122,IF($A$288=$A$303,U122,IF($A$288=$A$304,E151,IF($A$288=$A$305,M151,IF($A$288=$A$306,U151,IF($A$288=$A$307,E180,IF($A$288=$A$308,M180,IF($A$288=$A$309,U180,IF($A$288=$A$310,E209,IF($A$288=$A$311,M209,IF($A$288=$A$312,U209))))))))))))))))))))))))</f>
        <v>DRIFT</v>
      </c>
      <c r="F241" s="1989" t="str">
        <f t="shared" si="2"/>
        <v>U95    STD</v>
      </c>
      <c r="H241" s="377"/>
      <c r="I241" s="28"/>
      <c r="J241" s="28"/>
      <c r="K241" s="28"/>
      <c r="L241" s="29"/>
      <c r="Q241" s="1993" t="s">
        <v>40</v>
      </c>
      <c r="R241" s="1991"/>
      <c r="S241" s="1991"/>
      <c r="T241" s="1992"/>
      <c r="U241" s="1990" t="s">
        <v>41</v>
      </c>
      <c r="V241" s="1991"/>
      <c r="W241" s="1991"/>
      <c r="X241" s="1992"/>
      <c r="Y241" s="446" t="s">
        <v>81</v>
      </c>
    </row>
    <row r="242" spans="1:25" ht="14">
      <c r="A242" s="990" t="str">
        <f t="shared" si="1"/>
        <v>Setting Heart Rate</v>
      </c>
      <c r="B242" s="1989" t="str">
        <f t="shared" si="2"/>
        <v>Tahun</v>
      </c>
      <c r="C242" s="1989"/>
      <c r="D242" s="1989"/>
      <c r="E242" s="1989"/>
      <c r="F242" s="1989"/>
      <c r="H242" s="378"/>
      <c r="I242" s="28"/>
      <c r="J242" s="10"/>
      <c r="K242" s="28"/>
      <c r="L242" s="29"/>
      <c r="Q242" s="436"/>
      <c r="R242" s="437">
        <f>IF(Q243&lt;='Input Data ECG Sim'!$G$245,'Input Data ECG Sim'!$G$244,IF(Q243&lt;='Input Data ECG Sim'!$G$246,'Input Data ECG Sim'!$G$245,IF(Q243&lt;='Input Data ECG Sim'!$G$247,'Input Data ECG Sim'!$G$246)))</f>
        <v>30</v>
      </c>
      <c r="S242" s="437"/>
      <c r="T242" s="438">
        <f>IF(Q243&lt;='Input Data ECG Sim'!$G$245,'Input Data ECG Sim'!$D$244,IF(Q243&lt;='Input Data ECG Sim'!$G$246,'Input Data ECG Sim'!$D$245,IF(Q243&lt;='Input Data ECG Sim'!$G$247,'Input Data ECG Sim'!$D$246)))</f>
        <v>1E-4</v>
      </c>
      <c r="U242" s="436"/>
      <c r="V242" s="437">
        <f>IF(U243&lt;='Input Data ECG Sim'!$G$245,'Input Data ECG Sim'!$G$244,IF(U243&lt;='Input Data ECG Sim'!$G$246,'Input Data ECG Sim'!$G$245,IF(U243&lt;='Input Data ECG Sim'!$G$247,'Input Data ECG Sim'!$G$246)))</f>
        <v>30</v>
      </c>
      <c r="W242" s="437"/>
      <c r="X242" s="438">
        <f>IF(U243&lt;='Input Data ECG Sim'!$G$245,'Input Data ECG Sim'!$E$244,IF(U243&lt;='Input Data ECG Sim'!$G$246,'Input Data ECG Sim'!$E$245,IF(U243&lt;='Input Data ECG Sim'!$G$247,'Input Data ECG Sim'!$E$246)))</f>
        <v>0</v>
      </c>
      <c r="Y242" s="395"/>
    </row>
    <row r="243" spans="1:25" ht="13">
      <c r="A243" s="990" t="str">
        <f t="shared" si="1"/>
        <v>( BPM )</v>
      </c>
      <c r="B243" s="990">
        <f t="shared" si="2"/>
        <v>2018</v>
      </c>
      <c r="C243" s="990">
        <f t="shared" si="2"/>
        <v>2018</v>
      </c>
      <c r="D243" s="990">
        <f t="shared" si="2"/>
        <v>2019</v>
      </c>
      <c r="E243" s="1989"/>
      <c r="F243" s="1989"/>
      <c r="H243" s="10"/>
      <c r="I243" s="28"/>
      <c r="J243" s="26"/>
      <c r="K243" s="27"/>
      <c r="L243" s="379"/>
      <c r="Q243" s="948">
        <f>ID!K59</f>
        <v>30</v>
      </c>
      <c r="R243" s="437"/>
      <c r="S243" s="444">
        <f>((Q243-R242)/(R244-R242)*(T244-T242)+T242)</f>
        <v>1E-4</v>
      </c>
      <c r="T243" s="440"/>
      <c r="U243" s="439">
        <f>'Input Data ECG Sim'!S272</f>
        <v>30.0001</v>
      </c>
      <c r="V243" s="437"/>
      <c r="W243" s="444">
        <f>((U243-V242)/(V244-V242)*(X244-X242)+X242)</f>
        <v>0</v>
      </c>
      <c r="X243" s="440"/>
      <c r="Y243" s="445">
        <f>U243*'Input Data ECG Sim'!$F$244</f>
        <v>0.16500055</v>
      </c>
    </row>
    <row r="244" spans="1:25" ht="13.5" thickBot="1">
      <c r="A244" s="990">
        <f t="shared" si="1"/>
        <v>0.5</v>
      </c>
      <c r="B244" s="990" t="str">
        <f t="shared" si="2"/>
        <v>-</v>
      </c>
      <c r="C244" s="990" t="str">
        <f t="shared" si="2"/>
        <v>-</v>
      </c>
      <c r="D244" s="990">
        <f t="shared" si="2"/>
        <v>1E-4</v>
      </c>
      <c r="E244" s="990">
        <f t="shared" si="2"/>
        <v>0</v>
      </c>
      <c r="F244" s="990">
        <f t="shared" si="2"/>
        <v>5.4999999999999997E-3</v>
      </c>
      <c r="G244" s="991">
        <f>A244*60</f>
        <v>30</v>
      </c>
      <c r="H244" s="10"/>
      <c r="I244" s="28"/>
      <c r="J244" s="26"/>
      <c r="K244" s="27"/>
      <c r="L244" s="379"/>
      <c r="Q244" s="949"/>
      <c r="R244" s="442">
        <f>IF(Q243&lt;='Input Data ECG Sim'!$G$245,'Input Data ECG Sim'!$G$245,IF(Q243&lt;='Input Data ECG Sim'!$G$246,'Input Data ECG Sim'!$G$246,IF(Q243&lt;='Input Data ECG Sim'!$G$247,'Input Data ECG Sim'!$G$247)))</f>
        <v>60</v>
      </c>
      <c r="S244" s="442"/>
      <c r="T244" s="443">
        <f>IF(Q243&lt;='Input Data ECG Sim'!$G$244,'Input Data ECG Sim'!$D$244,IF(Q243&lt;='Input Data ECG Sim'!$G$245,'Input Data ECG Sim'!$D$245,IF(Q243&lt;='Input Data ECG Sim'!$G$246,'Input Data ECG Sim'!$D$246,IF(Q243&lt;='Input Data ECG Sim'!$G$247,'Input Data ECG Sim'!$D$247))))</f>
        <v>1E-4</v>
      </c>
      <c r="U244" s="441"/>
      <c r="V244" s="442">
        <f>IF(U243&lt;='Input Data ECG Sim'!$G$245,'Input Data ECG Sim'!$G$245,IF(U243&lt;='Input Data ECG Sim'!$G$246,'Input Data ECG Sim'!$G$246,IF(U243&lt;='Input Data ECG Sim'!$G$247,'Input Data ECG Sim'!$G$247)))</f>
        <v>60</v>
      </c>
      <c r="W244" s="442"/>
      <c r="X244" s="443">
        <f>IF(U243&lt;='Input Data ECG Sim'!$G$244,'Input Data ECG Sim'!$E$244,IF(U243&lt;='Input Data ECG Sim'!$G$245,'Input Data ECG Sim'!$E$245,IF(U243&lt;='Input Data ECG Sim'!$G$246,'Input Data ECG Sim'!$E$246,IF(U243&lt;='Input Data ECG Sim'!$G$247,'Input Data ECG Sim'!$E$247))))</f>
        <v>0</v>
      </c>
      <c r="Y244" s="396"/>
    </row>
    <row r="245" spans="1:25" ht="13">
      <c r="A245" s="990">
        <f t="shared" si="1"/>
        <v>1</v>
      </c>
      <c r="B245" s="990" t="str">
        <f t="shared" si="2"/>
        <v>-</v>
      </c>
      <c r="C245" s="990" t="str">
        <f t="shared" si="2"/>
        <v>-</v>
      </c>
      <c r="D245" s="990">
        <f t="shared" si="2"/>
        <v>1E-4</v>
      </c>
      <c r="E245" s="990">
        <f t="shared" si="2"/>
        <v>0</v>
      </c>
      <c r="F245" s="990" t="str">
        <f t="shared" si="2"/>
        <v>of</v>
      </c>
      <c r="G245" s="991">
        <f t="shared" ref="G245:G247" si="3">A245*60</f>
        <v>60</v>
      </c>
      <c r="H245" s="10"/>
      <c r="I245" s="27"/>
      <c r="J245" s="26"/>
      <c r="K245" s="27"/>
      <c r="L245" s="379"/>
      <c r="Q245" s="948"/>
      <c r="R245" s="437">
        <f>IF(Q246&lt;='Input Data ECG Sim'!$G$245,'Input Data ECG Sim'!$G$244,IF(Q246&lt;='Input Data ECG Sim'!$G$246,'Input Data ECG Sim'!$G$245,IF(Q246&lt;='Input Data ECG Sim'!$G$247,'Input Data ECG Sim'!$G$246)))</f>
        <v>30</v>
      </c>
      <c r="S245" s="437"/>
      <c r="T245" s="438">
        <f>IF(Q246&lt;='Input Data ECG Sim'!$G$245,'Input Data ECG Sim'!$D$244,IF(Q246&lt;='Input Data ECG Sim'!$G$246,'Input Data ECG Sim'!$D$245,IF(Q246&lt;='Input Data ECG Sim'!$G$247,'Input Data ECG Sim'!$D$246)))</f>
        <v>1E-4</v>
      </c>
      <c r="U245" s="436"/>
      <c r="V245" s="437">
        <f>IF(U246&lt;='Input Data ECG Sim'!$G$245,'Input Data ECG Sim'!$G$244,IF(U246&lt;='Input Data ECG Sim'!$G$246,'Input Data ECG Sim'!$G$245,IF(U246&lt;='Input Data ECG Sim'!$G$247,'Input Data ECG Sim'!$G$246)))</f>
        <v>30</v>
      </c>
      <c r="W245" s="437"/>
      <c r="X245" s="438">
        <f>IF(U246&lt;='Input Data ECG Sim'!$G$245,'Input Data ECG Sim'!$E$244,IF(U246&lt;='Input Data ECG Sim'!$G$246,'Input Data ECG Sim'!$E$245,IF(U246&lt;='Input Data ECG Sim'!$G$247,'Input Data ECG Sim'!$E$246)))</f>
        <v>0</v>
      </c>
      <c r="Y245" s="397"/>
    </row>
    <row r="246" spans="1:25" ht="13">
      <c r="A246" s="990">
        <f t="shared" si="1"/>
        <v>2</v>
      </c>
      <c r="B246" s="990" t="str">
        <f t="shared" si="2"/>
        <v>-</v>
      </c>
      <c r="C246" s="990" t="str">
        <f t="shared" si="2"/>
        <v>-</v>
      </c>
      <c r="D246" s="990">
        <f t="shared" si="2"/>
        <v>1E-4</v>
      </c>
      <c r="E246" s="990">
        <f t="shared" si="2"/>
        <v>0</v>
      </c>
      <c r="F246" s="990" t="str">
        <f t="shared" si="2"/>
        <v>reading</v>
      </c>
      <c r="G246" s="991">
        <f t="shared" si="3"/>
        <v>120</v>
      </c>
      <c r="H246" s="10"/>
      <c r="I246" s="27"/>
      <c r="J246" s="26"/>
      <c r="K246" s="27"/>
      <c r="L246" s="379"/>
      <c r="Q246" s="948">
        <f>ID!K60</f>
        <v>60</v>
      </c>
      <c r="R246" s="437"/>
      <c r="S246" s="444">
        <f>((Q246-R245)/(R247-R245)*(T247-T245)+T245)</f>
        <v>1E-4</v>
      </c>
      <c r="T246" s="440"/>
      <c r="U246" s="439">
        <f>'Input Data ECG Sim'!R273</f>
        <v>60</v>
      </c>
      <c r="V246" s="437"/>
      <c r="W246" s="444">
        <f>((U246-V245)/(V247-V245)*(X247-X245)+X245)</f>
        <v>0</v>
      </c>
      <c r="X246" s="440"/>
      <c r="Y246" s="445">
        <f>U246*'Input Data ECG Sim'!$F$244</f>
        <v>0.32999999999999996</v>
      </c>
    </row>
    <row r="247" spans="1:25" ht="13.5" thickBot="1">
      <c r="A247" s="990">
        <f t="shared" si="1"/>
        <v>3</v>
      </c>
      <c r="B247" s="990" t="str">
        <f t="shared" si="2"/>
        <v>-</v>
      </c>
      <c r="C247" s="990" t="str">
        <f t="shared" si="2"/>
        <v>-</v>
      </c>
      <c r="D247" s="990">
        <f t="shared" si="2"/>
        <v>1E-4</v>
      </c>
      <c r="E247" s="990">
        <f t="shared" si="2"/>
        <v>0</v>
      </c>
      <c r="F247" s="990">
        <f t="shared" si="2"/>
        <v>0</v>
      </c>
      <c r="G247" s="991">
        <f t="shared" si="3"/>
        <v>180</v>
      </c>
      <c r="H247" s="10"/>
      <c r="I247" s="1995"/>
      <c r="J247" s="1995"/>
      <c r="K247" s="1994"/>
      <c r="L247" s="2002"/>
      <c r="Q247" s="949"/>
      <c r="R247" s="442">
        <f>IF(Q246&lt;='Input Data ECG Sim'!$G$245,'Input Data ECG Sim'!$G$245,IF(Q246&lt;='Input Data ECG Sim'!$G$246,'Input Data ECG Sim'!$G$246,IF(Q246&lt;='Input Data ECG Sim'!$G$247,'Input Data ECG Sim'!$G$247)))</f>
        <v>60</v>
      </c>
      <c r="S247" s="442"/>
      <c r="T247" s="443">
        <f>IF(Q246&lt;='Input Data ECG Sim'!$G$244,'Input Data ECG Sim'!$D$244,IF(Q246&lt;='Input Data ECG Sim'!$G$245,'Input Data ECG Sim'!$D$245,IF(Q246&lt;='Input Data ECG Sim'!$G$246,'Input Data ECG Sim'!$D$246,IF(Q246&lt;='Input Data ECG Sim'!$G$247,'Input Data ECG Sim'!$D$247))))</f>
        <v>1E-4</v>
      </c>
      <c r="U247" s="441"/>
      <c r="V247" s="442">
        <f>IF(U246&lt;='Input Data ECG Sim'!$G$245,'Input Data ECG Sim'!$G$245,IF(U246&lt;='Input Data ECG Sim'!$G$246,'Input Data ECG Sim'!$G$246,IF(U246&lt;='Input Data ECG Sim'!$G$247,'Input Data ECG Sim'!$G$247)))</f>
        <v>60</v>
      </c>
      <c r="W247" s="442"/>
      <c r="X247" s="443">
        <f>IF(U246&lt;='Input Data ECG Sim'!$G$244,'Input Data ECG Sim'!$E$244,IF(U246&lt;='Input Data ECG Sim'!$G$245,'Input Data ECG Sim'!$E$245,IF(U246&lt;='Input Data ECG Sim'!$G$246,'Input Data ECG Sim'!$E$246,IF(U246&lt;='Input Data ECG Sim'!$G$247,'Input Data ECG Sim'!$E$247))))</f>
        <v>0</v>
      </c>
      <c r="Y247" s="396"/>
    </row>
    <row r="248" spans="1:25" ht="14">
      <c r="A248" s="990" t="str">
        <f t="shared" si="1"/>
        <v>Setting Amplitude</v>
      </c>
      <c r="B248" s="1989" t="str">
        <f t="shared" si="2"/>
        <v>Tahun</v>
      </c>
      <c r="C248" s="1989"/>
      <c r="D248" s="1989"/>
      <c r="E248" s="1989" t="str">
        <f t="shared" si="2"/>
        <v>DRIFT</v>
      </c>
      <c r="F248" s="1989" t="str">
        <f t="shared" si="2"/>
        <v>U95    STD</v>
      </c>
      <c r="H248" s="378"/>
      <c r="I248" s="379"/>
      <c r="J248" s="379"/>
      <c r="K248" s="1994"/>
      <c r="L248" s="2002"/>
      <c r="Q248" s="948"/>
      <c r="R248" s="437">
        <f>IF(Q249&lt;='Input Data ECG Sim'!$G$245,'Input Data ECG Sim'!$G$244,IF(Q249&lt;='Input Data ECG Sim'!$G$246,'Input Data ECG Sim'!$G$245,IF(Q249&lt;='Input Data ECG Sim'!$G$247,'Input Data ECG Sim'!$G$246)))</f>
        <v>60</v>
      </c>
      <c r="S248" s="437"/>
      <c r="T248" s="438">
        <f>IF(Q249&lt;='Input Data ECG Sim'!$G$245,'Input Data ECG Sim'!$D$244,IF(Q249&lt;='Input Data ECG Sim'!$G$246,'Input Data ECG Sim'!$D$245,IF(Q249&lt;='Input Data ECG Sim'!$G$247,'Input Data ECG Sim'!$D$246)))</f>
        <v>1E-4</v>
      </c>
      <c r="U248" s="436"/>
      <c r="V248" s="437">
        <f>IF(U249&lt;='Input Data ECG Sim'!$G$245,'Input Data ECG Sim'!$G$244,IF(U249&lt;='Input Data ECG Sim'!$G$246,'Input Data ECG Sim'!$G$245,IF(U249&lt;='Input Data ECG Sim'!$G$247,'Input Data ECG Sim'!$G$246)))</f>
        <v>60</v>
      </c>
      <c r="W248" s="437"/>
      <c r="X248" s="438">
        <f>IF(U249&lt;='Input Data ECG Sim'!$G$245,'Input Data ECG Sim'!$E$244,IF(U249&lt;='Input Data ECG Sim'!$G$246,'Input Data ECG Sim'!$E$245,IF(U249&lt;='Input Data ECG Sim'!$G$247,'Input Data ECG Sim'!$E$246)))</f>
        <v>0</v>
      </c>
      <c r="Y248" s="397"/>
    </row>
    <row r="249" spans="1:25" ht="13">
      <c r="A249" s="990" t="str">
        <f t="shared" si="1"/>
        <v>( mV )</v>
      </c>
      <c r="B249" s="990">
        <f t="shared" si="2"/>
        <v>2018</v>
      </c>
      <c r="C249" s="990">
        <f t="shared" si="2"/>
        <v>2018</v>
      </c>
      <c r="D249" s="990">
        <f t="shared" si="2"/>
        <v>2019</v>
      </c>
      <c r="E249" s="1989"/>
      <c r="F249" s="1989"/>
      <c r="H249" s="27"/>
      <c r="I249" s="27"/>
      <c r="J249" s="27"/>
      <c r="K249" s="27"/>
      <c r="L249" s="379"/>
      <c r="Q249" s="948">
        <f>ID!K61</f>
        <v>120</v>
      </c>
      <c r="R249" s="437"/>
      <c r="S249" s="444">
        <f>((Q249-R248)/(R250-R248)*(T250-T248)+T248)</f>
        <v>1E-4</v>
      </c>
      <c r="T249" s="440"/>
      <c r="U249" s="439">
        <f>'Input Data ECG Sim'!R274</f>
        <v>120</v>
      </c>
      <c r="V249" s="437"/>
      <c r="W249" s="444">
        <f>((U249-V248)/(V250-V248)*(X250-X248)+X248)</f>
        <v>0</v>
      </c>
      <c r="X249" s="440"/>
      <c r="Y249" s="445">
        <f>U249*'Input Data ECG Sim'!$F$244</f>
        <v>0.65999999999999992</v>
      </c>
    </row>
    <row r="250" spans="1:25" ht="13.5" thickBot="1">
      <c r="A250" s="990">
        <f t="shared" si="1"/>
        <v>0.5</v>
      </c>
      <c r="B250" s="990">
        <f t="shared" si="2"/>
        <v>0</v>
      </c>
      <c r="C250" s="990">
        <f t="shared" si="2"/>
        <v>0</v>
      </c>
      <c r="D250" s="990">
        <f t="shared" si="2"/>
        <v>1E-4</v>
      </c>
      <c r="E250" s="990">
        <f t="shared" si="2"/>
        <v>5.0000000000000002E-5</v>
      </c>
      <c r="F250" s="990">
        <f t="shared" si="2"/>
        <v>1E-4</v>
      </c>
      <c r="H250" s="27"/>
      <c r="I250" s="27"/>
      <c r="J250" s="27"/>
      <c r="K250" s="27"/>
      <c r="L250" s="379"/>
      <c r="Q250" s="949"/>
      <c r="R250" s="442">
        <f>IF(Q249&lt;='Input Data ECG Sim'!$G$245,'Input Data ECG Sim'!$G$245,IF(Q249&lt;='Input Data ECG Sim'!$G$246,'Input Data ECG Sim'!$G$246,IF(Q249&lt;='Input Data ECG Sim'!$G$247,'Input Data ECG Sim'!$G$247)))</f>
        <v>120</v>
      </c>
      <c r="S250" s="442"/>
      <c r="T250" s="443">
        <f>IF(Q249&lt;='Input Data ECG Sim'!$G$244,'Input Data ECG Sim'!$D$244,IF(Q249&lt;='Input Data ECG Sim'!$G$245,'Input Data ECG Sim'!$D$245,IF(Q249&lt;='Input Data ECG Sim'!$G$246,'Input Data ECG Sim'!$D$246,IF(Q249&lt;='Input Data ECG Sim'!$G$247,'Input Data ECG Sim'!$D$247))))</f>
        <v>1E-4</v>
      </c>
      <c r="U250" s="441"/>
      <c r="V250" s="442">
        <f>IF(U249&lt;='Input Data ECG Sim'!$G$245,'Input Data ECG Sim'!$G$245,IF(U249&lt;='Input Data ECG Sim'!$G$246,'Input Data ECG Sim'!$G$246,IF(U249&lt;='Input Data ECG Sim'!$G$247,'Input Data ECG Sim'!$G$247)))</f>
        <v>120</v>
      </c>
      <c r="W250" s="442"/>
      <c r="X250" s="443">
        <f>IF(U249&lt;='Input Data ECG Sim'!$G$244,'Input Data ECG Sim'!$E$244,IF(U249&lt;='Input Data ECG Sim'!$G$245,'Input Data ECG Sim'!$E$245,IF(U249&lt;='Input Data ECG Sim'!$G$246,'Input Data ECG Sim'!$E$246,IF(U249&lt;='Input Data ECG Sim'!$G$247,'Input Data ECG Sim'!$E$247))))</f>
        <v>0</v>
      </c>
      <c r="Y250" s="396"/>
    </row>
    <row r="251" spans="1:25" ht="13">
      <c r="A251" s="990">
        <f t="shared" si="1"/>
        <v>1</v>
      </c>
      <c r="B251" s="990">
        <f t="shared" si="2"/>
        <v>0</v>
      </c>
      <c r="C251" s="990">
        <f t="shared" si="2"/>
        <v>0</v>
      </c>
      <c r="D251" s="990">
        <f t="shared" si="2"/>
        <v>1E-4</v>
      </c>
      <c r="E251" s="990">
        <f t="shared" si="2"/>
        <v>5.0000000000000002E-5</v>
      </c>
      <c r="F251" s="990">
        <f t="shared" si="2"/>
        <v>1E-4</v>
      </c>
      <c r="H251" s="27"/>
      <c r="I251" s="27"/>
      <c r="J251" s="27"/>
      <c r="K251" s="27"/>
      <c r="L251" s="379"/>
      <c r="Q251" s="948"/>
      <c r="R251" s="437">
        <f>IF(Q252&lt;='Input Data ECG Sim'!$G$245,'Input Data ECG Sim'!$G$244,IF(Q252&lt;='Input Data ECG Sim'!$G$246,'Input Data ECG Sim'!$G$245,IF(Q252&lt;='Input Data ECG Sim'!$G$247,'Input Data ECG Sim'!$G$246)))</f>
        <v>120</v>
      </c>
      <c r="S251" s="437"/>
      <c r="T251" s="438">
        <f>IF(Q252&lt;='Input Data ECG Sim'!$G$245,'Input Data ECG Sim'!$D$244,IF(Q252&lt;='Input Data ECG Sim'!$G$246,'Input Data ECG Sim'!$D$245,IF(Q252&lt;='Input Data ECG Sim'!$G$247,'Input Data ECG Sim'!$D$246)))</f>
        <v>1E-4</v>
      </c>
      <c r="U251" s="436"/>
      <c r="V251" s="437">
        <f>IF(U252&lt;='Input Data ECG Sim'!$G$245,'Input Data ECG Sim'!$G$244,IF(U252&lt;='Input Data ECG Sim'!$G$246,'Input Data ECG Sim'!$G$245,IF(U252&lt;='Input Data ECG Sim'!$G$247,'Input Data ECG Sim'!$G$246)))</f>
        <v>120</v>
      </c>
      <c r="W251" s="437"/>
      <c r="X251" s="438">
        <f>IF(U252&lt;='Input Data ECG Sim'!$G$245,'Input Data ECG Sim'!$E$244,IF(U252&lt;='Input Data ECG Sim'!$G$246,'Input Data ECG Sim'!$E$245,IF(U252&lt;='Input Data ECG Sim'!$G$247,'Input Data ECG Sim'!$E$246)))</f>
        <v>0</v>
      </c>
      <c r="Y251" s="397"/>
    </row>
    <row r="252" spans="1:25" ht="13">
      <c r="A252" s="990">
        <f t="shared" si="1"/>
        <v>2</v>
      </c>
      <c r="B252" s="990">
        <f t="shared" si="2"/>
        <v>0</v>
      </c>
      <c r="C252" s="990">
        <f t="shared" si="2"/>
        <v>0</v>
      </c>
      <c r="D252" s="990">
        <f t="shared" si="2"/>
        <v>1E-4</v>
      </c>
      <c r="E252" s="990">
        <f t="shared" si="2"/>
        <v>5.0000000000000002E-5</v>
      </c>
      <c r="F252" s="990">
        <f t="shared" si="2"/>
        <v>1E-4</v>
      </c>
      <c r="H252" s="27"/>
      <c r="I252" s="27"/>
      <c r="J252" s="27"/>
      <c r="K252" s="27"/>
      <c r="L252" s="379"/>
      <c r="Q252" s="948">
        <f>ID!K62</f>
        <v>180</v>
      </c>
      <c r="R252" s="437"/>
      <c r="S252" s="444">
        <f>((Q252-R251)/(R253-R251)*(T253-T251)+T251)</f>
        <v>1E-4</v>
      </c>
      <c r="T252" s="440"/>
      <c r="U252" s="439">
        <f>'Input Data ECG Sim'!R275</f>
        <v>180</v>
      </c>
      <c r="V252" s="437"/>
      <c r="W252" s="444">
        <f>((U252-V251)/(V253-V251)*(X253-X251)+X251)</f>
        <v>0</v>
      </c>
      <c r="X252" s="440"/>
      <c r="Y252" s="445">
        <f>U252*'Input Data ECG Sim'!$F$244</f>
        <v>0.99</v>
      </c>
    </row>
    <row r="253" spans="1:25" ht="13" thickBot="1">
      <c r="A253" s="990" t="str">
        <f t="shared" si="1"/>
        <v>Setting Square</v>
      </c>
      <c r="B253" s="1989" t="str">
        <f t="shared" si="2"/>
        <v>Tahun</v>
      </c>
      <c r="C253" s="1989"/>
      <c r="D253" s="1989"/>
      <c r="E253" s="1989" t="str">
        <f t="shared" si="2"/>
        <v>DRIFT</v>
      </c>
      <c r="F253" s="1989" t="str">
        <f t="shared" si="2"/>
        <v>U95    STD</v>
      </c>
      <c r="Q253" s="949"/>
      <c r="R253" s="442">
        <f>IF(Q252&lt;='Input Data ECG Sim'!$G$245,'Input Data ECG Sim'!$G$245,IF(Q252&lt;='Input Data ECG Sim'!$G$246,'Input Data ECG Sim'!$G$246,IF(Q252&lt;='Input Data ECG Sim'!$G$247,'Input Data ECG Sim'!$G$247)))</f>
        <v>180</v>
      </c>
      <c r="S253" s="442"/>
      <c r="T253" s="443">
        <f>IF(Q252&lt;='Input Data ECG Sim'!$G$244,'Input Data ECG Sim'!$D$244,IF(Q252&lt;='Input Data ECG Sim'!$G$245,'Input Data ECG Sim'!$D$245,IF(Q252&lt;='Input Data ECG Sim'!$G$246,'Input Data ECG Sim'!$D$246,IF(Q252&lt;='Input Data ECG Sim'!$G$247,'Input Data ECG Sim'!$D$247))))</f>
        <v>1E-4</v>
      </c>
      <c r="U253" s="441"/>
      <c r="V253" s="442">
        <f>IF(U252&lt;='Input Data ECG Sim'!$G$245,'Input Data ECG Sim'!$G$245,IF(U252&lt;='Input Data ECG Sim'!$G$246,'Input Data ECG Sim'!$G$246,IF(U252&lt;='Input Data ECG Sim'!$G$247,'Input Data ECG Sim'!$G$247)))</f>
        <v>180</v>
      </c>
      <c r="W253" s="442"/>
      <c r="X253" s="443">
        <f>IF(U252&lt;='Input Data ECG Sim'!$G$244,'Input Data ECG Sim'!$E$244,IF(U252&lt;='Input Data ECG Sim'!$G$245,'Input Data ECG Sim'!$E$245,IF(U252&lt;='Input Data ECG Sim'!$G$246,'Input Data ECG Sim'!$E$246,IF(U252&lt;='Input Data ECG Sim'!$G$247,'Input Data ECG Sim'!$E$247))))</f>
        <v>0</v>
      </c>
      <c r="Y253" s="396"/>
    </row>
    <row r="254" spans="1:25">
      <c r="A254" s="990" t="str">
        <f t="shared" si="1"/>
        <v>( Hz )</v>
      </c>
      <c r="B254" s="990">
        <f t="shared" si="2"/>
        <v>2018</v>
      </c>
      <c r="C254" s="990">
        <f t="shared" si="2"/>
        <v>2018</v>
      </c>
      <c r="D254" s="990">
        <f t="shared" si="2"/>
        <v>2019</v>
      </c>
      <c r="E254" s="1989"/>
      <c r="F254" s="1989"/>
      <c r="Q254" s="948"/>
      <c r="R254" s="437">
        <f>IF(Q255&lt;='Input Data ECG Sim'!$A$263,'Input Data ECG Sim'!$A$262,IF(Q255&lt;='Input Data ECG Sim'!$A$264,'Input Data ECG Sim'!$A$263,IF(Q255&lt;='Input Data ECG Sim'!$A$265,'Input Data ECG Sim'!$A$264,IF(Q255&lt;='Input Data ECG Sim'!$A$266,'Input Data ECG Sim'!$A$265))))</f>
        <v>15</v>
      </c>
      <c r="S254" s="437"/>
      <c r="T254" s="438">
        <f>IF(Q255&lt;='Input Data ECG Sim'!$A$263,'Input Data ECG Sim'!$D$262,IF(Q255&lt;='Input Data ECG Sim'!$A$264,'Input Data ECG Sim'!$D$263,IF(Q255&lt;='Input Data ECG Sim'!$A$265,'Input Data ECG Sim'!$D$264,IF(Q255&lt;='Input Data ECG Sim'!$A$266,'Input Data ECG Sim'!$D$265))))</f>
        <v>1E-4</v>
      </c>
      <c r="U254" s="436"/>
      <c r="V254" s="437">
        <f>IF(U255&lt;='Input Data ECG Sim'!$A$263,'Input Data ECG Sim'!$A$262,IF(U255&lt;='Input Data ECG Sim'!$A$264,'Input Data ECG Sim'!$A$263,IF(U255&lt;='Input Data ECG Sim'!$A$265,'Input Data ECG Sim'!$A$264,IF(U255&lt;='Input Data ECG Sim'!$A$266,'Input Data ECG Sim'!$A$265))))</f>
        <v>15</v>
      </c>
      <c r="W254" s="437"/>
      <c r="X254" s="438">
        <f>IF(U255&lt;='Input Data ECG Sim'!$A$263,'Input Data ECG Sim'!$E$262,IF(U255&lt;='Input Data ECG Sim'!$A$264,'Input Data ECG Sim'!$E$263,IF(U255&lt;='Input Data ECG Sim'!$A$265,'Input Data ECG Sim'!$E$264,IF(U255&lt;='Input Data ECG Sim'!$A$266,'Input Data ECG Sim'!$E$265))))</f>
        <v>5.0000000000000002E-5</v>
      </c>
      <c r="Y254" s="397"/>
    </row>
    <row r="255" spans="1:25">
      <c r="A255" s="990">
        <f t="shared" si="1"/>
        <v>0.125</v>
      </c>
      <c r="B255" s="990">
        <f t="shared" si="2"/>
        <v>0</v>
      </c>
      <c r="C255" s="990">
        <f t="shared" si="2"/>
        <v>0</v>
      </c>
      <c r="D255" s="990">
        <f t="shared" si="2"/>
        <v>1E-4</v>
      </c>
      <c r="E255" s="990">
        <f t="shared" si="2"/>
        <v>5.0000000000000002E-5</v>
      </c>
      <c r="F255" s="990">
        <f t="shared" si="2"/>
        <v>2.5999999999999998E-5</v>
      </c>
      <c r="Q255" s="948">
        <f>ID!K71</f>
        <v>20</v>
      </c>
      <c r="R255" s="437"/>
      <c r="S255" s="444">
        <f>((Q255-R254)/(R256-R254)*(T256-T254)+T254)</f>
        <v>1E-4</v>
      </c>
      <c r="T255" s="440"/>
      <c r="U255" s="439">
        <f>Q255</f>
        <v>20</v>
      </c>
      <c r="V255" s="437"/>
      <c r="W255" s="444">
        <f>((U255-V254)/(V256-V254)*(X256-X254)+X254)</f>
        <v>5.0000000000000002E-5</v>
      </c>
      <c r="X255" s="440"/>
      <c r="Y255" s="445">
        <f>U255*'Input Data ECG Sim'!$F$263</f>
        <v>2.3999999999999997E-2</v>
      </c>
    </row>
    <row r="256" spans="1:25" ht="13" thickBot="1">
      <c r="A256" s="990">
        <f t="shared" si="1"/>
        <v>2</v>
      </c>
      <c r="B256" s="990">
        <f t="shared" ref="B256:B267" si="4">IF($A$288=$A$289,B21,IF($A$288=$A$290,J21,IF($A$288=$A$291,R21,IF($A$288=$A$292,B50,IF($A$288=$A$293,J50,IF($A$288=$A$294,R50,IF($A$288=$A$295,B79,IF($A$288=$A$296,J79,IF($A$288=$A$297,R79,IF($A$288=$A$298,B108,IF($A$288=$A$299,J108,IF($A$288=$A$300,R108,IF($A$288=$A$301,B137,IF($A$288=$A$302,J137,IF($A$288=$A$303,R137,IF($A$288=$A$304,B166,IF($A$288=$A$305,J166,IF($A$288=$A$306,R166,IF($A$288=$A$307,B195,IF($A$288=$A$308,J195,IF($A$288=$A$309,R195,IF($A$288=$A$310,B224,IF($A$288=$A$311,J224,IF($A$288=$A$312,R224))))))))))))))))))))))))</f>
        <v>0</v>
      </c>
      <c r="C256" s="990">
        <f t="shared" ref="C256:C267" si="5">IF($A$288=$A$289,C21,IF($A$288=$A$290,K21,IF($A$288=$A$291,S21,IF($A$288=$A$292,C50,IF($A$288=$A$293,K50,IF($A$288=$A$294,S50,IF($A$288=$A$295,C79,IF($A$288=$A$296,K79,IF($A$288=$A$297,S79,IF($A$288=$A$298,C108,IF($A$288=$A$299,K108,IF($A$288=$A$300,S108,IF($A$288=$A$301,C137,IF($A$288=$A$302,K137,IF($A$288=$A$303,S137,IF($A$288=$A$304,C166,IF($A$288=$A$305,K166,IF($A$288=$A$306,S166,IF($A$288=$A$307,C195,IF($A$288=$A$308,K195,IF($A$288=$A$309,S195,IF($A$288=$A$310,C224,IF($A$288=$A$311,K224,IF($A$288=$A$312,S224))))))))))))))))))))))))</f>
        <v>0</v>
      </c>
      <c r="D256" s="990">
        <f t="shared" ref="D256:D267" si="6">IF($A$288=$A$289,D21,IF($A$288=$A$290,L21,IF($A$288=$A$291,T21,IF($A$288=$A$292,D50,IF($A$288=$A$293,L50,IF($A$288=$A$294,T50,IF($A$288=$A$295,D79,IF($A$288=$A$296,L79,IF($A$288=$A$297,T79,IF($A$288=$A$298,D108,IF($A$288=$A$299,L108,IF($A$288=$A$300,T108,IF($A$288=$A$301,D137,IF($A$288=$A$302,L137,IF($A$288=$A$303,T137,IF($A$288=$A$304,D166,IF($A$288=$A$305,L166,IF($A$288=$A$306,T166,IF($A$288=$A$307,D195,IF($A$288=$A$308,L195,IF($A$288=$A$309,T195,IF($A$288=$A$310,D224,IF($A$288=$A$311,L224,IF($A$288=$A$312,T224))))))))))))))))))))))))</f>
        <v>1E-4</v>
      </c>
      <c r="E256" s="990">
        <f t="shared" ref="E256:E267" si="7">IF($A$288=$A$289,E21,IF($A$288=$A$290,M21,IF($A$288=$A$291,U21,IF($A$288=$A$292,E50,IF($A$288=$A$293,M50,IF($A$288=$A$294,U50,IF($A$288=$A$295,E79,IF($A$288=$A$296,M79,IF($A$288=$A$297,U79,IF($A$288=$A$298,E108,IF($A$288=$A$299,M108,IF($A$288=$A$300,U108,IF($A$288=$A$301,E137,IF($A$288=$A$302,M137,IF($A$288=$A$303,U137,IF($A$288=$A$304,E166,IF($A$288=$A$305,M166,IF($A$288=$A$306,U166,IF($A$288=$A$307,E195,IF($A$288=$A$308,M195,IF($A$288=$A$309,U195,IF($A$288=$A$310,E224,IF($A$288=$A$311,M224,IF($A$288=$A$312,U224))))))))))))))))))))))))</f>
        <v>5.0000000000000002E-5</v>
      </c>
      <c r="F256" s="990">
        <f t="shared" ref="F256:F267" si="8">IF($A$288=$A$289,F21,IF($A$288=$A$290,N21,IF($A$288=$A$291,V21,IF($A$288=$A$292,F50,IF($A$288=$A$293,N50,IF($A$288=$A$294,V50,IF($A$288=$A$295,F79,IF($A$288=$A$296,N79,IF($A$288=$A$297,V79,IF($A$288=$A$298,F108,IF($A$288=$A$299,N108,IF($A$288=$A$300,V108,IF($A$288=$A$301,F137,IF($A$288=$A$302,N137,IF($A$288=$A$303,V137,IF($A$288=$A$304,F166,IF($A$288=$A$305,N166,IF($A$288=$A$306,V166,IF($A$288=$A$307,F195,IF($A$288=$A$308,N195,IF($A$288=$A$309,V195,IF($A$288=$A$310,F224,IF($A$288=$A$311,N224,IF($A$288=$A$312,V224))))))))))))))))))))))))</f>
        <v>2.5999999999999998E-5</v>
      </c>
      <c r="Q256" s="949"/>
      <c r="R256" s="442">
        <f>IF(Q255&lt;='Input Data ECG Sim'!$A$263,'Input Data ECG Sim'!$A$263,IF(Q255&lt;='Input Data ECG Sim'!$A$264,'Input Data ECG Sim'!$A$264,IF(Q255&lt;='Input Data ECG Sim'!$A$265,'Input Data ECG Sim'!$A$265,IF(Q255&lt;='Input Data ECG Sim'!$A$266,'Input Data ECG Sim'!$A$266))))</f>
        <v>30</v>
      </c>
      <c r="S256" s="442"/>
      <c r="T256" s="443">
        <f>IF(Q255&lt;='Input Data ECG Sim'!$A$262,'Input Data ECG Sim'!$D$262,IF(Q255&lt;='Input Data ECG Sim'!$A$263,'Input Data ECG Sim'!$D$263,IF(Q255&lt;='Input Data ECG Sim'!$A$264,'Input Data ECG Sim'!$D$264,IF(Q255&lt;='Input Data ECG Sim'!$A$265,'Input Data ECG Sim'!$D$265,IF(Q255&lt;='Input Data ECG Sim'!$A$266,'Input Data ECG Sim'!$D$266)))))</f>
        <v>1E-4</v>
      </c>
      <c r="U256" s="441"/>
      <c r="V256" s="442">
        <f>IF(U255&lt;='Input Data ECG Sim'!$A$263,'Input Data ECG Sim'!$A$263,IF(U255&lt;='Input Data ECG Sim'!$A$264,'Input Data ECG Sim'!$A$264,IF(U255&lt;='Input Data ECG Sim'!$A$265,'Input Data ECG Sim'!$A$265,IF(U255&lt;='Input Data ECG Sim'!$A$266,'Input Data ECG Sim'!$A$266))))</f>
        <v>30</v>
      </c>
      <c r="W256" s="442"/>
      <c r="X256" s="443">
        <f>IF(U255&lt;='Input Data ECG Sim'!$A$262,'Input Data ECG Sim'!$E$262,IF(U255&lt;='Input Data ECG Sim'!$A$263,'Input Data ECG Sim'!$E$263,IF(U255&lt;='Input Data ECG Sim'!$A$264,'Input Data ECG Sim'!$E$264,IF(U255&lt;='Input Data ECG Sim'!$A$265,'Input Data ECG Sim'!$E$265,IF(U255&lt;='Input Data ECG Sim'!$A$266,'Input Data ECG Sim'!$E$266)))))</f>
        <v>5.0000000000000002E-5</v>
      </c>
      <c r="Y256" s="396"/>
    </row>
    <row r="257" spans="1:25">
      <c r="A257" s="990" t="str">
        <f t="shared" si="1"/>
        <v>Setting Sine</v>
      </c>
      <c r="B257" s="1989" t="str">
        <f t="shared" si="4"/>
        <v>Tahun</v>
      </c>
      <c r="C257" s="1989"/>
      <c r="D257" s="1989"/>
      <c r="E257" s="1989" t="str">
        <f t="shared" si="7"/>
        <v>DRIFT</v>
      </c>
      <c r="F257" s="1989" t="str">
        <f t="shared" si="8"/>
        <v>U95    STD</v>
      </c>
      <c r="Q257" s="948"/>
      <c r="R257" s="437">
        <f>IF(Q258&lt;='Input Data ECG Sim'!$A$263,'Input Data ECG Sim'!$A$262,IF(Q258&lt;='Input Data ECG Sim'!$A$264,'Input Data ECG Sim'!$A$263,IF(Q258&lt;='Input Data ECG Sim'!$A$265,'Input Data ECG Sim'!$A$264,IF(Q258&lt;='Input Data ECG Sim'!$A$266,'Input Data ECG Sim'!$A$265))))</f>
        <v>15</v>
      </c>
      <c r="S257" s="437"/>
      <c r="T257" s="438">
        <f>IF(Q258&lt;='Input Data ECG Sim'!$A$263,'Input Data ECG Sim'!$D$262,IF(Q258&lt;='Input Data ECG Sim'!$A$264,'Input Data ECG Sim'!$D$263,IF(Q258&lt;='Input Data ECG Sim'!$A$265,'Input Data ECG Sim'!$D$264,IF(Q258&lt;='Input Data ECG Sim'!$A$266,'Input Data ECG Sim'!$D$265))))</f>
        <v>1E-4</v>
      </c>
      <c r="U257" s="436"/>
      <c r="V257" s="437">
        <f>IF(U258&lt;='Input Data ECG Sim'!$A$263,'Input Data ECG Sim'!$A$262,IF(U258&lt;='Input Data ECG Sim'!$A$264,'Input Data ECG Sim'!$A$263,IF(U258&lt;='Input Data ECG Sim'!$A$265,'Input Data ECG Sim'!$A$264,IF(U258&lt;='Input Data ECG Sim'!$A$266,'Input Data ECG Sim'!$A$265))))</f>
        <v>15</v>
      </c>
      <c r="W257" s="437"/>
      <c r="X257" s="438">
        <f>IF(U258&lt;='Input Data ECG Sim'!$A$263,'Input Data ECG Sim'!$E$262,IF(U258&lt;='Input Data ECG Sim'!$A$264,'Input Data ECG Sim'!$E$263,IF(U258&lt;='Input Data ECG Sim'!$A$265,'Input Data ECG Sim'!$E$264,IF(U258&lt;='Input Data ECG Sim'!$A$266,'Input Data ECG Sim'!$E$265))))</f>
        <v>5.0000000000000002E-5</v>
      </c>
      <c r="Y257" s="397"/>
    </row>
    <row r="258" spans="1:25">
      <c r="A258" s="990" t="str">
        <f t="shared" si="1"/>
        <v>( Hz )</v>
      </c>
      <c r="B258" s="990">
        <f t="shared" si="4"/>
        <v>2018</v>
      </c>
      <c r="C258" s="990">
        <f t="shared" si="5"/>
        <v>2018</v>
      </c>
      <c r="D258" s="990">
        <f t="shared" si="6"/>
        <v>2019</v>
      </c>
      <c r="E258" s="1989"/>
      <c r="F258" s="1989"/>
      <c r="Q258" s="948">
        <f>ID!K72</f>
        <v>30</v>
      </c>
      <c r="R258" s="437"/>
      <c r="S258" s="444">
        <f>((Q258-R257)/(R259-R257)*(T259-T257)+T257)</f>
        <v>1E-4</v>
      </c>
      <c r="T258" s="440"/>
      <c r="U258" s="439">
        <f>Q258</f>
        <v>30</v>
      </c>
      <c r="V258" s="437"/>
      <c r="W258" s="444">
        <f>((U258-V257)/(V259-V257)*(X259-X257)+X257)</f>
        <v>5.0000000000000002E-5</v>
      </c>
      <c r="X258" s="440"/>
      <c r="Y258" s="445">
        <f>U258*'Input Data ECG Sim'!$F$263</f>
        <v>3.5999999999999997E-2</v>
      </c>
    </row>
    <row r="259" spans="1:25" ht="13" thickBot="1">
      <c r="A259" s="990">
        <f t="shared" si="1"/>
        <v>10</v>
      </c>
      <c r="B259" s="990">
        <f t="shared" si="4"/>
        <v>0</v>
      </c>
      <c r="C259" s="990">
        <f t="shared" si="5"/>
        <v>0</v>
      </c>
      <c r="D259" s="990">
        <f t="shared" si="6"/>
        <v>1E-4</v>
      </c>
      <c r="E259" s="990">
        <f t="shared" si="7"/>
        <v>5.0000000000000002E-5</v>
      </c>
      <c r="F259" s="990">
        <f t="shared" si="8"/>
        <v>2.5999999999999998E-5</v>
      </c>
      <c r="Q259" s="949"/>
      <c r="R259" s="442">
        <f>IF(Q258&lt;='Input Data ECG Sim'!$A$263,'Input Data ECG Sim'!$A$263,IF(Q258&lt;='Input Data ECG Sim'!$A$264,'Input Data ECG Sim'!$A$264,IF(Q258&lt;='Input Data ECG Sim'!$A$265,'Input Data ECG Sim'!$A$265,IF(Q258&lt;='Input Data ECG Sim'!$A$266,'Input Data ECG Sim'!$A$266))))</f>
        <v>30</v>
      </c>
      <c r="S259" s="442"/>
      <c r="T259" s="443">
        <f>IF(Q258&lt;='Input Data ECG Sim'!$A$262,'Input Data ECG Sim'!$D$262,IF(Q258&lt;='Input Data ECG Sim'!$A$263,'Input Data ECG Sim'!$D$263,IF(Q258&lt;='Input Data ECG Sim'!$A$264,'Input Data ECG Sim'!$D$264,IF(Q258&lt;='Input Data ECG Sim'!$A$265,'Input Data ECG Sim'!$D$265,IF(Q258&lt;='Input Data ECG Sim'!$A$266,'Input Data ECG Sim'!$D$266)))))</f>
        <v>1E-4</v>
      </c>
      <c r="U259" s="441"/>
      <c r="V259" s="442">
        <f>IF(U258&lt;='Input Data ECG Sim'!$A$263,'Input Data ECG Sim'!$A$263,IF(U258&lt;='Input Data ECG Sim'!$A$264,'Input Data ECG Sim'!$A$264,IF(U258&lt;='Input Data ECG Sim'!$A$265,'Input Data ECG Sim'!$A$265,IF(U258&lt;='Input Data ECG Sim'!$A$266,'Input Data ECG Sim'!$A$266))))</f>
        <v>30</v>
      </c>
      <c r="W259" s="442"/>
      <c r="X259" s="443">
        <f>IF(U258&lt;='Input Data ECG Sim'!$A$262,'Input Data ECG Sim'!$E$262,IF(U258&lt;='Input Data ECG Sim'!$A$263,'Input Data ECG Sim'!$E$263,IF(U258&lt;='Input Data ECG Sim'!$A$264,'Input Data ECG Sim'!$E$264,IF(U258&lt;='Input Data ECG Sim'!$A$265,'Input Data ECG Sim'!$E$265,IF(U258&lt;='Input Data ECG Sim'!$A$266,'Input Data ECG Sim'!$E$266)))))</f>
        <v>5.0000000000000002E-5</v>
      </c>
      <c r="Y259" s="396"/>
    </row>
    <row r="260" spans="1:25">
      <c r="A260" s="990" t="str">
        <f t="shared" si="1"/>
        <v>Setting Respiration</v>
      </c>
      <c r="B260" s="1989" t="str">
        <f t="shared" si="4"/>
        <v>Tahun</v>
      </c>
      <c r="C260" s="1989"/>
      <c r="D260" s="1989"/>
      <c r="E260" s="1989" t="str">
        <f t="shared" si="7"/>
        <v>DRIFT</v>
      </c>
      <c r="F260" s="1989" t="str">
        <f t="shared" si="8"/>
        <v>U95    STD</v>
      </c>
      <c r="Q260" s="948"/>
      <c r="R260" s="437">
        <f>IF(Q261&lt;='Input Data ECG Sim'!$A$263,'Input Data ECG Sim'!$A$262,IF(Q261&lt;='Input Data ECG Sim'!$A$264,'Input Data ECG Sim'!$A$263,IF(Q261&lt;='Input Data ECG Sim'!$A$265,'Input Data ECG Sim'!$A$264,IF(Q261&lt;='Input Data ECG Sim'!$A$266,'Input Data ECG Sim'!$A$265))))</f>
        <v>30</v>
      </c>
      <c r="S260" s="437"/>
      <c r="T260" s="438">
        <f>IF(Q261&lt;='Input Data ECG Sim'!$A$263,'Input Data ECG Sim'!$D$262,IF(Q261&lt;='Input Data ECG Sim'!$A$264,'Input Data ECG Sim'!$D$263,IF(Q261&lt;='Input Data ECG Sim'!$A$265,'Input Data ECG Sim'!$D$264,IF(Q261&lt;='Input Data ECG Sim'!$A$266,'Input Data ECG Sim'!$D$265))))</f>
        <v>1E-4</v>
      </c>
      <c r="U260" s="436"/>
      <c r="V260" s="437">
        <f>IF(U261&lt;='Input Data ECG Sim'!$A$263,'Input Data ECG Sim'!$A$262,IF(U261&lt;='Input Data ECG Sim'!$A$264,'Input Data ECG Sim'!$A$263,IF(U261&lt;='Input Data ECG Sim'!$A$265,'Input Data ECG Sim'!$A$264,IF(U261&lt;='Input Data ECG Sim'!$A$266,'Input Data ECG Sim'!$A$265))))</f>
        <v>30</v>
      </c>
      <c r="W260" s="437"/>
      <c r="X260" s="438">
        <f>IF(U261&lt;='Input Data ECG Sim'!$A$263,'Input Data ECG Sim'!$E$262,IF(U261&lt;='Input Data ECG Sim'!$A$264,'Input Data ECG Sim'!$E$263,IF(U261&lt;='Input Data ECG Sim'!$A$265,'Input Data ECG Sim'!$E$264,IF(U261&lt;='Input Data ECG Sim'!$A$266,'Input Data ECG Sim'!$E$265))))</f>
        <v>5.0000000000000002E-5</v>
      </c>
      <c r="Y260" s="397"/>
    </row>
    <row r="261" spans="1:25">
      <c r="A261" s="990" t="str">
        <f t="shared" si="1"/>
        <v>( BrPM )</v>
      </c>
      <c r="B261" s="990">
        <f t="shared" si="4"/>
        <v>2018</v>
      </c>
      <c r="C261" s="990">
        <f t="shared" si="5"/>
        <v>2018</v>
      </c>
      <c r="D261" s="990">
        <f t="shared" si="6"/>
        <v>2019</v>
      </c>
      <c r="E261" s="1989"/>
      <c r="F261" s="1989"/>
      <c r="Q261" s="948">
        <f>ID!K73</f>
        <v>40</v>
      </c>
      <c r="R261" s="437"/>
      <c r="S261" s="444">
        <f>((Q261-R260)/(R262-R260)*(T262-T260)+T260)</f>
        <v>1E-4</v>
      </c>
      <c r="T261" s="440"/>
      <c r="U261" s="439">
        <f>Q261</f>
        <v>40</v>
      </c>
      <c r="V261" s="437"/>
      <c r="W261" s="444">
        <f>((U261-V260)/(V262-V260)*(X262-X260)+X260)</f>
        <v>5.0000000000000002E-5</v>
      </c>
      <c r="X261" s="440"/>
      <c r="Y261" s="445">
        <f>U261*'Input Data ECG Sim'!$F$263</f>
        <v>4.7999999999999994E-2</v>
      </c>
    </row>
    <row r="262" spans="1:25" ht="13" thickBot="1">
      <c r="A262" s="990">
        <f t="shared" si="1"/>
        <v>15</v>
      </c>
      <c r="B262" s="990">
        <f t="shared" si="4"/>
        <v>0</v>
      </c>
      <c r="C262" s="990">
        <f t="shared" si="5"/>
        <v>0</v>
      </c>
      <c r="D262" s="990">
        <f t="shared" si="6"/>
        <v>1E-4</v>
      </c>
      <c r="E262" s="990">
        <f t="shared" si="7"/>
        <v>5.0000000000000002E-5</v>
      </c>
      <c r="F262" s="990">
        <f t="shared" si="8"/>
        <v>0</v>
      </c>
      <c r="Q262" s="949"/>
      <c r="R262" s="442">
        <f>IF(Q261&lt;='Input Data ECG Sim'!$A$263,'Input Data ECG Sim'!$A$263,IF(Q261&lt;='Input Data ECG Sim'!$A$264,'Input Data ECG Sim'!$A$264,IF(Q261&lt;='Input Data ECG Sim'!$A$265,'Input Data ECG Sim'!$A$265,IF(Q261&lt;='Input Data ECG Sim'!$A$266,'Input Data ECG Sim'!$A$266))))</f>
        <v>60</v>
      </c>
      <c r="S262" s="442"/>
      <c r="T262" s="443">
        <f>IF(Q261&lt;='Input Data ECG Sim'!$A$262,'Input Data ECG Sim'!$D$262,IF(Q261&lt;='Input Data ECG Sim'!$A$263,'Input Data ECG Sim'!$D$263,IF(Q261&lt;='Input Data ECG Sim'!$A$264,'Input Data ECG Sim'!$D$264,IF(Q261&lt;='Input Data ECG Sim'!$A$265,'Input Data ECG Sim'!$D$265,IF(Q261&lt;='Input Data ECG Sim'!$A$266,'Input Data ECG Sim'!$D$266)))))</f>
        <v>1E-4</v>
      </c>
      <c r="U262" s="441"/>
      <c r="V262" s="442">
        <f>IF(U261&lt;='Input Data ECG Sim'!$A$263,'Input Data ECG Sim'!$A$263,IF(U261&lt;='Input Data ECG Sim'!$A$264,'Input Data ECG Sim'!$A$264,IF(U261&lt;='Input Data ECG Sim'!$A$265,'Input Data ECG Sim'!$A$265,IF(U261&lt;='Input Data ECG Sim'!$A$266,'Input Data ECG Sim'!$A$266))))</f>
        <v>60</v>
      </c>
      <c r="W262" s="442"/>
      <c r="X262" s="443">
        <f>IF(U261&lt;='Input Data ECG Sim'!$A$262,'Input Data ECG Sim'!$E$262,IF(U261&lt;='Input Data ECG Sim'!$A$263,'Input Data ECG Sim'!$E$263,IF(U261&lt;='Input Data ECG Sim'!$A$264,'Input Data ECG Sim'!$E$264,IF(U261&lt;='Input Data ECG Sim'!$A$265,'Input Data ECG Sim'!$E$265,IF(U261&lt;='Input Data ECG Sim'!$A$266,'Input Data ECG Sim'!$E$266)))))</f>
        <v>5.0000000000000002E-5</v>
      </c>
      <c r="Y262" s="396"/>
    </row>
    <row r="263" spans="1:25">
      <c r="A263" s="990">
        <f t="shared" si="1"/>
        <v>30</v>
      </c>
      <c r="B263" s="990">
        <f t="shared" si="4"/>
        <v>0</v>
      </c>
      <c r="C263" s="990">
        <f t="shared" si="5"/>
        <v>0</v>
      </c>
      <c r="D263" s="990">
        <f t="shared" si="6"/>
        <v>1E-4</v>
      </c>
      <c r="E263" s="990">
        <f t="shared" si="7"/>
        <v>5.0000000000000002E-5</v>
      </c>
      <c r="F263" s="990">
        <f t="shared" si="8"/>
        <v>1.1999999999999999E-3</v>
      </c>
      <c r="Q263" s="948"/>
      <c r="R263" s="437">
        <f>IF(Q264&lt;='Input Data ECG Sim'!$A$263,'Input Data ECG Sim'!$A$262,IF(Q264&lt;='Input Data ECG Sim'!$A$264,'Input Data ECG Sim'!$A$263,IF(Q264&lt;='Input Data ECG Sim'!$A$265,'Input Data ECG Sim'!$A$264,IF(Q264&lt;='Input Data ECG Sim'!$A$266,'Input Data ECG Sim'!$A$265))))</f>
        <v>30</v>
      </c>
      <c r="S263" s="437"/>
      <c r="T263" s="438">
        <f>IF(Q264&lt;='Input Data ECG Sim'!$A$263,'Input Data ECG Sim'!$D$262,IF(Q264&lt;='Input Data ECG Sim'!$A$264,'Input Data ECG Sim'!$D$263,IF(Q264&lt;='Input Data ECG Sim'!$A$265,'Input Data ECG Sim'!$D$264,IF(Q264&lt;='Input Data ECG Sim'!$A$266,'Input Data ECG Sim'!$D$265))))</f>
        <v>1E-4</v>
      </c>
      <c r="U263" s="436"/>
      <c r="V263" s="437">
        <f>IF(U264&lt;='Input Data ECG Sim'!$A$263,'Input Data ECG Sim'!$A$262,IF(U264&lt;='Input Data ECG Sim'!$A$264,'Input Data ECG Sim'!$A$263,IF(U264&lt;='Input Data ECG Sim'!$A$265,'Input Data ECG Sim'!$A$264,IF(U264&lt;='Input Data ECG Sim'!$A$266,'Input Data ECG Sim'!$A$265))))</f>
        <v>30</v>
      </c>
      <c r="W263" s="437"/>
      <c r="X263" s="438">
        <f>IF(U264&lt;='Input Data ECG Sim'!$A$263,'Input Data ECG Sim'!$E$262,IF(U264&lt;='Input Data ECG Sim'!$A$264,'Input Data ECG Sim'!$E$263,IF(U264&lt;='Input Data ECG Sim'!$A$265,'Input Data ECG Sim'!$E$264,IF(U264&lt;='Input Data ECG Sim'!$A$266,'Input Data ECG Sim'!$E$265))))</f>
        <v>5.0000000000000002E-5</v>
      </c>
      <c r="Y263" s="397"/>
    </row>
    <row r="264" spans="1:25">
      <c r="A264" s="990">
        <f t="shared" si="1"/>
        <v>60</v>
      </c>
      <c r="B264" s="990">
        <f t="shared" si="4"/>
        <v>0</v>
      </c>
      <c r="C264" s="990">
        <f t="shared" si="5"/>
        <v>0</v>
      </c>
      <c r="D264" s="990">
        <f t="shared" si="6"/>
        <v>1E-4</v>
      </c>
      <c r="E264" s="990">
        <f t="shared" si="7"/>
        <v>5.0000000000000002E-5</v>
      </c>
      <c r="F264" s="990" t="str">
        <f t="shared" si="8"/>
        <v>of</v>
      </c>
      <c r="Q264" s="948">
        <f>ID!K74</f>
        <v>60</v>
      </c>
      <c r="R264" s="437"/>
      <c r="S264" s="444">
        <f>((Q264-R263)/(R265-R263)*(T265-T263)+T263)</f>
        <v>1E-4</v>
      </c>
      <c r="T264" s="440"/>
      <c r="U264" s="439">
        <f>Q264</f>
        <v>60</v>
      </c>
      <c r="V264" s="437"/>
      <c r="W264" s="444">
        <f>((U264-V263)/(V265-V263)*(X265-X263)+X263)</f>
        <v>5.0000000000000002E-5</v>
      </c>
      <c r="X264" s="440"/>
      <c r="Y264" s="445">
        <f>U264*'Input Data ECG Sim'!$F$263</f>
        <v>7.1999999999999995E-2</v>
      </c>
    </row>
    <row r="265" spans="1:25" ht="13" thickBot="1">
      <c r="A265" s="990">
        <f t="shared" si="1"/>
        <v>120</v>
      </c>
      <c r="B265" s="990">
        <f t="shared" si="4"/>
        <v>0</v>
      </c>
      <c r="C265" s="990">
        <f t="shared" si="5"/>
        <v>0</v>
      </c>
      <c r="D265" s="990">
        <f t="shared" si="6"/>
        <v>1E-4</v>
      </c>
      <c r="E265" s="990">
        <f t="shared" si="7"/>
        <v>5.0000000000000002E-5</v>
      </c>
      <c r="F265" s="990" t="str">
        <f t="shared" si="8"/>
        <v>reading</v>
      </c>
      <c r="Q265" s="949"/>
      <c r="R265" s="442">
        <f>IF(Q264&lt;='Input Data ECG Sim'!$A$263,'Input Data ECG Sim'!$A$263,IF(Q264&lt;='Input Data ECG Sim'!$A$264,'Input Data ECG Sim'!$A$264,IF(Q264&lt;='Input Data ECG Sim'!$A$265,'Input Data ECG Sim'!$A$265,IF(Q264&lt;='Input Data ECG Sim'!$A$266,'Input Data ECG Sim'!$A$266))))</f>
        <v>60</v>
      </c>
      <c r="S265" s="442"/>
      <c r="T265" s="443">
        <f>IF(Q264&lt;='Input Data ECG Sim'!$A$262,'Input Data ECG Sim'!$D$262,IF(Q264&lt;='Input Data ECG Sim'!$A$263,'Input Data ECG Sim'!$D$263,IF(Q264&lt;='Input Data ECG Sim'!$A$264,'Input Data ECG Sim'!$D$264,IF(Q264&lt;='Input Data ECG Sim'!$A$265,'Input Data ECG Sim'!$D$265,IF(Q264&lt;='Input Data ECG Sim'!$A$266,'Input Data ECG Sim'!$D$266)))))</f>
        <v>1E-4</v>
      </c>
      <c r="U265" s="441"/>
      <c r="V265" s="442">
        <f>IF(U264&lt;='Input Data ECG Sim'!$A$263,'Input Data ECG Sim'!$A$263,IF(U264&lt;='Input Data ECG Sim'!$A$264,'Input Data ECG Sim'!$A$264,IF(U264&lt;='Input Data ECG Sim'!$A$265,'Input Data ECG Sim'!$A$265,IF(U264&lt;='Input Data ECG Sim'!$A$266,'Input Data ECG Sim'!$A$266))))</f>
        <v>60</v>
      </c>
      <c r="W265" s="442"/>
      <c r="X265" s="443">
        <f>IF(U264&lt;='Input Data ECG Sim'!$A$262,'Input Data ECG Sim'!$E$262,IF(U264&lt;='Input Data ECG Sim'!$A$263,'Input Data ECG Sim'!$E$263,IF(U264&lt;='Input Data ECG Sim'!$A$264,'Input Data ECG Sim'!$E$264,IF(U264&lt;='Input Data ECG Sim'!$A$265,'Input Data ECG Sim'!$E$265,IF(U264&lt;='Input Data ECG Sim'!$A$266,'Input Data ECG Sim'!$E$266)))))</f>
        <v>5.0000000000000002E-5</v>
      </c>
      <c r="Y265" s="396"/>
    </row>
    <row r="266" spans="1:25">
      <c r="A266" s="990">
        <f t="shared" si="1"/>
        <v>180</v>
      </c>
      <c r="B266" s="990">
        <f t="shared" si="4"/>
        <v>0</v>
      </c>
      <c r="C266" s="990">
        <f t="shared" si="5"/>
        <v>0</v>
      </c>
      <c r="D266" s="990">
        <f t="shared" si="6"/>
        <v>1E-4</v>
      </c>
      <c r="E266" s="990">
        <f t="shared" si="7"/>
        <v>5.0000000000000002E-5</v>
      </c>
      <c r="F266" s="990" t="str">
        <f t="shared" si="8"/>
        <v>-</v>
      </c>
      <c r="Q266"/>
      <c r="R266"/>
      <c r="S266"/>
      <c r="T266"/>
      <c r="U266"/>
      <c r="V266"/>
      <c r="W266"/>
      <c r="X266"/>
      <c r="Y266"/>
    </row>
    <row r="267" spans="1:25" ht="12.75" customHeight="1">
      <c r="A267" s="990">
        <f t="shared" si="1"/>
        <v>0</v>
      </c>
      <c r="B267" s="990">
        <f t="shared" si="4"/>
        <v>0</v>
      </c>
      <c r="C267" s="990">
        <f t="shared" si="5"/>
        <v>0</v>
      </c>
      <c r="D267" s="990">
        <f t="shared" si="6"/>
        <v>0</v>
      </c>
      <c r="E267" s="990">
        <f t="shared" si="7"/>
        <v>0</v>
      </c>
      <c r="F267" s="990">
        <f t="shared" si="8"/>
        <v>0</v>
      </c>
      <c r="Y267"/>
    </row>
    <row r="268" spans="1:25">
      <c r="Y268"/>
    </row>
    <row r="269" spans="1:25">
      <c r="Q269" s="398" t="s">
        <v>371</v>
      </c>
      <c r="R269" s="364"/>
      <c r="S269" s="364"/>
      <c r="T269" s="364"/>
      <c r="U269" s="364"/>
      <c r="V269" s="364"/>
      <c r="W269" s="364"/>
      <c r="X269" s="364"/>
      <c r="Y269"/>
    </row>
    <row r="270" spans="1:25" ht="25.5" customHeight="1" thickBot="1">
      <c r="Q270" s="364"/>
      <c r="R270" s="364"/>
      <c r="S270" s="364"/>
      <c r="T270" s="364"/>
      <c r="U270" s="364"/>
      <c r="V270" s="364"/>
      <c r="W270" s="364"/>
      <c r="X270" s="364"/>
      <c r="Y270"/>
    </row>
    <row r="271" spans="1:25" ht="31.5">
      <c r="Q271" s="399" t="s">
        <v>372</v>
      </c>
      <c r="R271" s="400" t="s">
        <v>373</v>
      </c>
      <c r="S271" s="400" t="s">
        <v>374</v>
      </c>
      <c r="T271" s="400" t="s">
        <v>46</v>
      </c>
      <c r="U271" s="400" t="s">
        <v>49</v>
      </c>
      <c r="V271" s="401" t="s">
        <v>375</v>
      </c>
      <c r="W271" s="400" t="s">
        <v>376</v>
      </c>
      <c r="X271" s="402" t="s">
        <v>377</v>
      </c>
      <c r="Y271"/>
    </row>
    <row r="272" spans="1:25">
      <c r="Q272" s="403">
        <f>ID!D59</f>
        <v>30</v>
      </c>
      <c r="R272" s="404">
        <f>ID!K59</f>
        <v>30</v>
      </c>
      <c r="S272" s="405">
        <f>R272+'Input Data ECG Sim'!S243</f>
        <v>30.0001</v>
      </c>
      <c r="T272" s="405">
        <f>ID!M59</f>
        <v>1.0000000000000001E-5</v>
      </c>
      <c r="U272" s="405">
        <f>Q272-S272</f>
        <v>-9.9999999999766942E-5</v>
      </c>
      <c r="V272" s="406">
        <f>(U272/Q272)*100</f>
        <v>-3.3333333333255649E-4</v>
      </c>
      <c r="W272" s="406">
        <f>Budget!J15</f>
        <v>0.60096103731784867</v>
      </c>
      <c r="X272" s="417">
        <f>(W272/Q272)*100</f>
        <v>2.0032034577261619</v>
      </c>
      <c r="Y272"/>
    </row>
    <row r="273" spans="1:25">
      <c r="Q273" s="403">
        <f>ID!D60</f>
        <v>60</v>
      </c>
      <c r="R273" s="404">
        <f>ID!K60</f>
        <v>60</v>
      </c>
      <c r="S273" s="405">
        <f>R273+'Input Data ECG Sim'!S246</f>
        <v>60.000100000000003</v>
      </c>
      <c r="T273" s="405">
        <f>ID!M60</f>
        <v>1.0000000000000001E-5</v>
      </c>
      <c r="U273" s="405">
        <f t="shared" ref="U273:U275" si="9">Q273-S273</f>
        <v>-1.0000000000331966E-4</v>
      </c>
      <c r="V273" s="406">
        <f>(U273/Q273)*100</f>
        <v>-1.6666666667219943E-4</v>
      </c>
      <c r="W273" s="406">
        <f>Budget!J27</f>
        <v>0.66176759408785857</v>
      </c>
      <c r="X273" s="417">
        <f>(W273/Q273)*100</f>
        <v>1.1029459901464309</v>
      </c>
      <c r="Y273"/>
    </row>
    <row r="274" spans="1:25">
      <c r="Q274" s="403">
        <f>ID!D61</f>
        <v>120</v>
      </c>
      <c r="R274" s="404">
        <f>ID!K61</f>
        <v>120</v>
      </c>
      <c r="S274" s="405">
        <f>R274+'Input Data ECG Sim'!S249</f>
        <v>120.0001</v>
      </c>
      <c r="T274" s="405">
        <f>ID!M61</f>
        <v>1.0000000000000001E-5</v>
      </c>
      <c r="U274" s="405">
        <f t="shared" si="9"/>
        <v>-1.0000000000331966E-4</v>
      </c>
      <c r="V274" s="406">
        <f>(U274/Q274)*100</f>
        <v>-8.3333333336099713E-5</v>
      </c>
      <c r="W274" s="406">
        <f>Budget!J39</f>
        <v>0.87005313014937868</v>
      </c>
      <c r="X274" s="417">
        <f>(W274/Q274)*100</f>
        <v>0.72504427512448222</v>
      </c>
      <c r="Y274"/>
    </row>
    <row r="275" spans="1:25" ht="13" thickBot="1">
      <c r="Q275" s="407">
        <f>ID!D62</f>
        <v>180</v>
      </c>
      <c r="R275" s="408">
        <f>ID!K62</f>
        <v>180</v>
      </c>
      <c r="S275" s="409">
        <f>R275+'Input Data ECG Sim'!S252</f>
        <v>180.0001</v>
      </c>
      <c r="T275" s="409">
        <f>ID!M62</f>
        <v>1.0000000000000001E-5</v>
      </c>
      <c r="U275" s="409">
        <f t="shared" si="9"/>
        <v>-1.0000000000331966E-4</v>
      </c>
      <c r="V275" s="410">
        <f>(U275/Q275)*100</f>
        <v>-5.5555555557399806E-5</v>
      </c>
      <c r="W275" s="410">
        <f>Budget!J51</f>
        <v>1.1402585474714042</v>
      </c>
      <c r="X275" s="418">
        <f>(W275/Q275)*100</f>
        <v>0.63347697081744681</v>
      </c>
      <c r="Y275"/>
    </row>
    <row r="276" spans="1:25">
      <c r="Q276" s="364"/>
      <c r="R276" s="364"/>
      <c r="S276" s="364"/>
      <c r="T276" s="364"/>
      <c r="U276" s="364"/>
      <c r="V276" s="364"/>
      <c r="W276" s="419"/>
      <c r="X276" s="419"/>
      <c r="Y276"/>
    </row>
    <row r="277" spans="1:25">
      <c r="Q277" s="364"/>
      <c r="R277" s="364"/>
      <c r="S277" s="364"/>
      <c r="T277" s="364"/>
      <c r="U277" s="364"/>
      <c r="V277" s="364"/>
      <c r="W277" s="419"/>
      <c r="X277" s="419"/>
      <c r="Y277"/>
    </row>
    <row r="278" spans="1:25">
      <c r="Q278" s="398" t="s">
        <v>378</v>
      </c>
      <c r="R278" s="364"/>
      <c r="S278" s="364"/>
      <c r="T278" s="364"/>
      <c r="U278" s="364"/>
      <c r="V278" s="364"/>
      <c r="W278" s="419"/>
      <c r="X278" s="419"/>
    </row>
    <row r="279" spans="1:25" ht="13" thickBot="1">
      <c r="Q279" s="364"/>
      <c r="R279" s="364"/>
      <c r="S279" s="364"/>
      <c r="T279" s="364"/>
      <c r="U279" s="364"/>
      <c r="V279" s="364"/>
      <c r="W279" s="419"/>
      <c r="X279" s="419"/>
    </row>
    <row r="280" spans="1:25" ht="31.5">
      <c r="Q280" s="399" t="s">
        <v>379</v>
      </c>
      <c r="R280" s="400" t="s">
        <v>373</v>
      </c>
      <c r="S280" s="400" t="s">
        <v>374</v>
      </c>
      <c r="T280" s="400" t="s">
        <v>46</v>
      </c>
      <c r="U280" s="400" t="s">
        <v>49</v>
      </c>
      <c r="V280" s="401" t="s">
        <v>375</v>
      </c>
      <c r="W280" s="420" t="s">
        <v>376</v>
      </c>
      <c r="X280" s="421" t="s">
        <v>377</v>
      </c>
    </row>
    <row r="281" spans="1:25">
      <c r="Q281" s="411">
        <f>ID!D71</f>
        <v>20</v>
      </c>
      <c r="R281" s="412">
        <f>ID!K71</f>
        <v>20</v>
      </c>
      <c r="S281" s="413">
        <f>S255+R281</f>
        <v>20.0001</v>
      </c>
      <c r="T281" s="413">
        <f>ID!M71</f>
        <v>1.0000000000000001E-5</v>
      </c>
      <c r="U281" s="413">
        <f>Q281-S281</f>
        <v>-9.9999999999766942E-5</v>
      </c>
      <c r="V281" s="406">
        <f>(U281/Q281)*100</f>
        <v>-4.9999999999883471E-4</v>
      </c>
      <c r="W281" s="422">
        <f>Budget!J63</f>
        <v>0.58027813280182117</v>
      </c>
      <c r="X281" s="417">
        <f>(W281/Q281)*100</f>
        <v>2.9013906640091061</v>
      </c>
    </row>
    <row r="282" spans="1:25">
      <c r="Q282" s="411">
        <f>ID!D72</f>
        <v>30</v>
      </c>
      <c r="R282" s="412">
        <f>ID!K72</f>
        <v>30</v>
      </c>
      <c r="S282" s="413">
        <f>S258+R282</f>
        <v>30.0001</v>
      </c>
      <c r="T282" s="413">
        <f>ID!M72</f>
        <v>1.0000000000000001E-5</v>
      </c>
      <c r="U282" s="413">
        <f t="shared" ref="U282:U283" si="10">Q282-S282</f>
        <v>-9.9999999999766942E-5</v>
      </c>
      <c r="V282" s="406">
        <f>(U282/Q282)*100</f>
        <v>-3.3333333333255649E-4</v>
      </c>
      <c r="W282" s="422">
        <f>Budget!V15</f>
        <v>0.58084191518126949</v>
      </c>
      <c r="X282" s="417">
        <f>(W282/Q282)*100</f>
        <v>1.9361397172708981</v>
      </c>
    </row>
    <row r="283" spans="1:25">
      <c r="Q283" s="411">
        <f>ID!D73</f>
        <v>40</v>
      </c>
      <c r="R283" s="412">
        <f>ID!K73</f>
        <v>40</v>
      </c>
      <c r="S283" s="413">
        <f>S261+R283</f>
        <v>40.000100000000003</v>
      </c>
      <c r="T283" s="413">
        <f>ID!M73</f>
        <v>1.0000000000000001E-5</v>
      </c>
      <c r="U283" s="413">
        <f t="shared" si="10"/>
        <v>-1.0000000000331966E-4</v>
      </c>
      <c r="V283" s="406">
        <f>(U283/Q283)*100</f>
        <v>-2.5000000000829914E-4</v>
      </c>
      <c r="W283" s="422">
        <f>Budget!V27</f>
        <v>0.58163076746086828</v>
      </c>
      <c r="X283" s="417">
        <f>(W283/Q283)*100</f>
        <v>1.4540769186521707</v>
      </c>
    </row>
    <row r="284" spans="1:25" ht="13" thickBot="1">
      <c r="Q284" s="414">
        <f>ID!D74</f>
        <v>60</v>
      </c>
      <c r="R284" s="415">
        <f>ID!K74</f>
        <v>60</v>
      </c>
      <c r="S284" s="416">
        <f>S264+R284</f>
        <v>60.000100000000003</v>
      </c>
      <c r="T284" s="416">
        <f>ID!M74</f>
        <v>1.0000000000000001E-5</v>
      </c>
      <c r="U284" s="416">
        <f>Q284-S284</f>
        <v>-1.0000000000331966E-4</v>
      </c>
      <c r="V284" s="410">
        <f>(U284/Q284)*100</f>
        <v>-1.6666666667219943E-4</v>
      </c>
      <c r="W284" s="423">
        <f>Budget!V39</f>
        <v>0.58388175350764715</v>
      </c>
      <c r="X284" s="418">
        <f>(W284/Q284)*100</f>
        <v>0.97313625584607866</v>
      </c>
    </row>
    <row r="287" spans="1:25" ht="13" thickBot="1">
      <c r="A287" s="368"/>
    </row>
    <row r="288" spans="1:25" ht="13" thickBot="1">
      <c r="A288" s="1650" t="str">
        <f>ID!B95</f>
        <v>Multiparameter Simulator, Merek : RIGEL , Model : PatSim200, SN : 11L-0293</v>
      </c>
      <c r="B288" s="368"/>
      <c r="C288" s="368"/>
      <c r="D288" s="368"/>
      <c r="E288" s="368"/>
      <c r="F288" s="368"/>
      <c r="G288" s="368"/>
      <c r="H288" s="368"/>
      <c r="I288" s="368"/>
      <c r="J288" s="368"/>
      <c r="K288" s="368"/>
      <c r="L288" s="434" t="s">
        <v>175</v>
      </c>
      <c r="M288" s="435"/>
      <c r="N288" s="435"/>
      <c r="O288" s="1997">
        <f>A313</f>
        <v>12</v>
      </c>
      <c r="P288" s="1998"/>
      <c r="Q288" s="1998"/>
      <c r="R288" s="1998"/>
      <c r="S288" s="1998"/>
      <c r="T288" s="1998"/>
      <c r="U288" s="1998"/>
      <c r="V288" s="1998"/>
      <c r="W288" s="1998"/>
      <c r="X288" s="1999"/>
    </row>
    <row r="289" spans="1:24" ht="12.75" customHeight="1">
      <c r="A289" s="368" t="s">
        <v>380</v>
      </c>
      <c r="B289" s="424"/>
      <c r="C289" s="424"/>
      <c r="D289" s="425"/>
      <c r="E289" s="425"/>
      <c r="F289" s="425"/>
      <c r="G289" s="425"/>
      <c r="H289" s="426"/>
      <c r="I289" s="427">
        <f>B8</f>
        <v>2016</v>
      </c>
      <c r="J289" s="427">
        <f>D8</f>
        <v>2018</v>
      </c>
      <c r="K289" s="427">
        <v>1</v>
      </c>
      <c r="L289" s="428">
        <v>1</v>
      </c>
      <c r="M289" s="435"/>
      <c r="N289" s="435"/>
      <c r="O289" s="429">
        <v>1</v>
      </c>
      <c r="P289" s="369" t="s">
        <v>328</v>
      </c>
      <c r="Q289" s="370"/>
      <c r="R289" s="370"/>
      <c r="S289" s="370"/>
      <c r="T289" s="370"/>
      <c r="U289" s="370"/>
      <c r="V289" s="370"/>
      <c r="W289" s="370"/>
      <c r="X289" s="430"/>
    </row>
    <row r="290" spans="1:24" ht="12.75" customHeight="1">
      <c r="A290" s="368" t="s">
        <v>381</v>
      </c>
      <c r="B290" s="424"/>
      <c r="C290" s="424"/>
      <c r="D290" s="425"/>
      <c r="E290" s="425"/>
      <c r="F290" s="425"/>
      <c r="G290" s="425"/>
      <c r="H290" s="426"/>
      <c r="I290" s="427">
        <f>J8</f>
        <v>2017</v>
      </c>
      <c r="J290" s="427">
        <f>L8</f>
        <v>2018</v>
      </c>
      <c r="K290" s="427">
        <v>2</v>
      </c>
      <c r="L290" s="428">
        <v>1</v>
      </c>
      <c r="M290" s="435"/>
      <c r="N290" s="435"/>
      <c r="O290" s="431">
        <v>2</v>
      </c>
      <c r="P290" s="369" t="s">
        <v>328</v>
      </c>
      <c r="Q290" s="371"/>
      <c r="R290" s="371"/>
      <c r="S290" s="371"/>
      <c r="T290" s="371"/>
      <c r="U290" s="371"/>
      <c r="V290" s="371"/>
      <c r="W290" s="371"/>
      <c r="X290" s="372"/>
    </row>
    <row r="291" spans="1:24">
      <c r="A291" s="368" t="s">
        <v>382</v>
      </c>
      <c r="B291" s="424"/>
      <c r="C291" s="424"/>
      <c r="D291" s="425"/>
      <c r="E291" s="425"/>
      <c r="F291" s="425"/>
      <c r="G291" s="425"/>
      <c r="H291" s="426"/>
      <c r="I291" s="427">
        <f>R8</f>
        <v>2015</v>
      </c>
      <c r="J291" s="427">
        <f>T8</f>
        <v>2016</v>
      </c>
      <c r="K291" s="427">
        <v>3</v>
      </c>
      <c r="L291" s="428">
        <v>1</v>
      </c>
      <c r="M291" s="435"/>
      <c r="N291" s="435"/>
      <c r="O291" s="431">
        <v>3</v>
      </c>
      <c r="P291" s="369" t="s">
        <v>328</v>
      </c>
      <c r="Q291" s="371"/>
      <c r="R291" s="371"/>
      <c r="S291" s="371"/>
      <c r="T291" s="371"/>
      <c r="U291" s="371"/>
      <c r="V291" s="371"/>
      <c r="W291" s="371"/>
      <c r="X291" s="372"/>
    </row>
    <row r="292" spans="1:24">
      <c r="A292" s="368" t="s">
        <v>383</v>
      </c>
      <c r="B292" s="424"/>
      <c r="C292" s="424"/>
      <c r="D292" s="425"/>
      <c r="E292" s="425"/>
      <c r="F292" s="425"/>
      <c r="G292" s="425"/>
      <c r="H292" s="426"/>
      <c r="I292" s="427">
        <f>B37</f>
        <v>2014</v>
      </c>
      <c r="J292" s="427">
        <f>D37</f>
        <v>2017</v>
      </c>
      <c r="K292" s="427">
        <v>4</v>
      </c>
      <c r="L292" s="428">
        <v>1</v>
      </c>
      <c r="M292" s="435"/>
      <c r="N292" s="435"/>
      <c r="O292" s="431">
        <v>4</v>
      </c>
      <c r="P292" s="369" t="s">
        <v>328</v>
      </c>
      <c r="Q292" s="371"/>
      <c r="R292" s="371"/>
      <c r="S292" s="371"/>
      <c r="T292" s="371"/>
      <c r="U292" s="371"/>
      <c r="V292" s="371"/>
      <c r="W292" s="371"/>
      <c r="X292" s="372"/>
    </row>
    <row r="293" spans="1:24">
      <c r="A293" s="368" t="s">
        <v>384</v>
      </c>
      <c r="B293" s="424"/>
      <c r="C293" s="424"/>
      <c r="D293" s="425"/>
      <c r="E293" s="425"/>
      <c r="F293" s="425"/>
      <c r="G293" s="425"/>
      <c r="H293" s="426"/>
      <c r="I293" s="427">
        <f>J37</f>
        <v>2016</v>
      </c>
      <c r="J293" s="427">
        <f>L37</f>
        <v>2017</v>
      </c>
      <c r="K293" s="427">
        <v>5</v>
      </c>
      <c r="L293" s="428">
        <v>1</v>
      </c>
      <c r="M293" s="435"/>
      <c r="N293" s="435"/>
      <c r="O293" s="431">
        <v>5</v>
      </c>
      <c r="P293" s="369" t="s">
        <v>328</v>
      </c>
      <c r="Q293" s="371"/>
      <c r="R293" s="371"/>
      <c r="S293" s="371"/>
      <c r="T293" s="371"/>
      <c r="U293" s="371"/>
      <c r="V293" s="371"/>
      <c r="W293" s="371"/>
      <c r="X293" s="372"/>
    </row>
    <row r="294" spans="1:24">
      <c r="A294" s="368" t="s">
        <v>327</v>
      </c>
      <c r="B294" s="424"/>
      <c r="C294" s="424"/>
      <c r="D294" s="425"/>
      <c r="E294" s="425"/>
      <c r="F294" s="425"/>
      <c r="G294" s="425"/>
      <c r="H294" s="426"/>
      <c r="I294" s="427">
        <f>R37</f>
        <v>2015</v>
      </c>
      <c r="J294" s="427">
        <f>T37</f>
        <v>2017</v>
      </c>
      <c r="K294" s="427">
        <v>6</v>
      </c>
      <c r="L294" s="428">
        <v>1</v>
      </c>
      <c r="M294" s="435"/>
      <c r="N294" s="435"/>
      <c r="O294" s="431">
        <v>6</v>
      </c>
      <c r="P294" s="369" t="s">
        <v>328</v>
      </c>
      <c r="Q294" s="371"/>
      <c r="R294" s="371"/>
      <c r="S294" s="371"/>
      <c r="T294" s="371"/>
      <c r="U294" s="371"/>
      <c r="V294" s="371"/>
      <c r="W294" s="371"/>
      <c r="X294" s="372"/>
    </row>
    <row r="295" spans="1:24">
      <c r="A295" s="368" t="s">
        <v>326</v>
      </c>
      <c r="B295" s="424"/>
      <c r="C295" s="424"/>
      <c r="D295" s="425"/>
      <c r="E295" s="425"/>
      <c r="F295" s="425"/>
      <c r="G295" s="425"/>
      <c r="H295" s="426"/>
      <c r="I295" s="427">
        <f>B66</f>
        <v>2015</v>
      </c>
      <c r="J295" s="427">
        <f>D66</f>
        <v>2018</v>
      </c>
      <c r="K295" s="427">
        <v>7</v>
      </c>
      <c r="L295" s="428">
        <v>1</v>
      </c>
      <c r="M295" s="435"/>
      <c r="N295" s="435"/>
      <c r="O295" s="431">
        <v>7</v>
      </c>
      <c r="P295" s="369" t="s">
        <v>328</v>
      </c>
      <c r="Q295" s="371"/>
      <c r="R295" s="371"/>
      <c r="S295" s="371"/>
      <c r="T295" s="371"/>
      <c r="U295" s="371"/>
      <c r="V295" s="371"/>
      <c r="W295" s="371"/>
      <c r="X295" s="372"/>
    </row>
    <row r="296" spans="1:24">
      <c r="A296" s="368" t="s">
        <v>385</v>
      </c>
      <c r="B296" s="424"/>
      <c r="C296" s="424"/>
      <c r="D296" s="425"/>
      <c r="E296" s="425"/>
      <c r="F296" s="425"/>
      <c r="G296" s="425"/>
      <c r="H296" s="426"/>
      <c r="I296" s="427">
        <f>J66</f>
        <v>2015</v>
      </c>
      <c r="J296" s="427">
        <f>L66</f>
        <v>2017</v>
      </c>
      <c r="K296" s="427">
        <v>8</v>
      </c>
      <c r="L296" s="428">
        <v>1</v>
      </c>
      <c r="M296" s="435"/>
      <c r="N296" s="435"/>
      <c r="O296" s="431">
        <v>8</v>
      </c>
      <c r="P296" s="369" t="s">
        <v>328</v>
      </c>
      <c r="Q296" s="371"/>
      <c r="R296" s="371"/>
      <c r="S296" s="371"/>
      <c r="T296" s="371"/>
      <c r="U296" s="371"/>
      <c r="V296" s="371"/>
      <c r="W296" s="371"/>
      <c r="X296" s="372"/>
    </row>
    <row r="297" spans="1:24">
      <c r="A297" s="368" t="s">
        <v>386</v>
      </c>
      <c r="B297" s="424"/>
      <c r="C297" s="424"/>
      <c r="D297" s="425"/>
      <c r="E297" s="425"/>
      <c r="F297" s="425"/>
      <c r="G297" s="425"/>
      <c r="H297" s="426"/>
      <c r="I297" s="427">
        <f>R66</f>
        <v>2018</v>
      </c>
      <c r="J297" s="427">
        <f>T66</f>
        <v>2019</v>
      </c>
      <c r="K297" s="427">
        <v>9</v>
      </c>
      <c r="L297" s="428">
        <v>1</v>
      </c>
      <c r="M297" s="435"/>
      <c r="N297" s="435"/>
      <c r="O297" s="432">
        <v>9</v>
      </c>
      <c r="P297" s="369" t="s">
        <v>328</v>
      </c>
      <c r="Q297" s="371"/>
      <c r="R297" s="371"/>
      <c r="S297" s="371"/>
      <c r="T297" s="371"/>
      <c r="U297" s="371"/>
      <c r="V297" s="371"/>
      <c r="W297" s="371"/>
      <c r="X297" s="373"/>
    </row>
    <row r="298" spans="1:24">
      <c r="A298" s="368" t="s">
        <v>387</v>
      </c>
      <c r="B298" s="424"/>
      <c r="C298" s="424"/>
      <c r="D298" s="425"/>
      <c r="E298" s="425"/>
      <c r="F298" s="425"/>
      <c r="G298" s="425"/>
      <c r="H298" s="426"/>
      <c r="I298" s="427">
        <f>B95</f>
        <v>2018</v>
      </c>
      <c r="J298" s="427">
        <f>D95</f>
        <v>2019</v>
      </c>
      <c r="K298" s="427">
        <v>10</v>
      </c>
      <c r="L298" s="428">
        <v>1</v>
      </c>
      <c r="M298" s="435"/>
      <c r="N298" s="435"/>
      <c r="O298" s="431">
        <v>10</v>
      </c>
      <c r="P298" s="369" t="s">
        <v>328</v>
      </c>
      <c r="Q298" s="371"/>
      <c r="R298" s="371"/>
      <c r="S298" s="371"/>
      <c r="T298" s="371"/>
      <c r="U298" s="371"/>
      <c r="V298" s="371"/>
      <c r="W298" s="371"/>
      <c r="X298" s="373"/>
    </row>
    <row r="299" spans="1:24">
      <c r="A299" s="368" t="s">
        <v>388</v>
      </c>
      <c r="B299" s="424"/>
      <c r="C299" s="424"/>
      <c r="D299" s="425"/>
      <c r="E299" s="425"/>
      <c r="F299" s="425"/>
      <c r="G299" s="425"/>
      <c r="H299" s="426"/>
      <c r="I299" s="427">
        <f>J95</f>
        <v>2018</v>
      </c>
      <c r="J299" s="427">
        <f>L95</f>
        <v>2019</v>
      </c>
      <c r="K299" s="427">
        <v>11</v>
      </c>
      <c r="L299" s="428">
        <v>1</v>
      </c>
      <c r="M299" s="435"/>
      <c r="N299" s="435"/>
      <c r="O299" s="431">
        <v>11</v>
      </c>
      <c r="P299" s="369" t="s">
        <v>328</v>
      </c>
      <c r="Q299" s="371"/>
      <c r="R299" s="371"/>
      <c r="S299" s="371"/>
      <c r="T299" s="371"/>
      <c r="U299" s="371"/>
      <c r="V299" s="371"/>
      <c r="W299" s="371"/>
      <c r="X299" s="373"/>
    </row>
    <row r="300" spans="1:24">
      <c r="A300" s="368" t="s">
        <v>319</v>
      </c>
      <c r="B300" s="424"/>
      <c r="C300" s="424"/>
      <c r="D300" s="425"/>
      <c r="E300" s="425"/>
      <c r="F300" s="425"/>
      <c r="G300" s="425"/>
      <c r="H300" s="426"/>
      <c r="I300" s="427">
        <f>R95</f>
        <v>2018</v>
      </c>
      <c r="J300" s="427">
        <f>T95</f>
        <v>2019</v>
      </c>
      <c r="K300" s="427">
        <v>12</v>
      </c>
      <c r="L300" s="428">
        <v>1</v>
      </c>
      <c r="M300" s="435"/>
      <c r="N300" s="435"/>
      <c r="O300" s="431">
        <v>12</v>
      </c>
      <c r="P300" s="369" t="s">
        <v>328</v>
      </c>
      <c r="Q300" s="371"/>
      <c r="R300" s="371"/>
      <c r="S300" s="371"/>
      <c r="T300" s="371"/>
      <c r="U300" s="371"/>
      <c r="V300" s="371"/>
      <c r="W300" s="371"/>
      <c r="X300" s="373"/>
    </row>
    <row r="301" spans="1:24">
      <c r="A301" s="368" t="s">
        <v>389</v>
      </c>
      <c r="B301" s="424"/>
      <c r="C301" s="424"/>
      <c r="D301" s="425"/>
      <c r="E301" s="425"/>
      <c r="F301" s="425"/>
      <c r="G301" s="425"/>
      <c r="H301" s="426"/>
      <c r="I301" s="427">
        <f>B124</f>
        <v>2018</v>
      </c>
      <c r="J301" s="427">
        <f>D124</f>
        <v>2019</v>
      </c>
      <c r="K301" s="427">
        <v>13</v>
      </c>
      <c r="L301" s="428">
        <v>1</v>
      </c>
      <c r="M301" s="435"/>
      <c r="N301" s="435"/>
      <c r="O301" s="431">
        <v>13</v>
      </c>
      <c r="P301" s="369" t="s">
        <v>328</v>
      </c>
      <c r="Q301" s="371"/>
      <c r="R301" s="371"/>
      <c r="S301" s="371"/>
      <c r="T301" s="371"/>
      <c r="U301" s="371"/>
      <c r="V301" s="371"/>
      <c r="W301" s="371"/>
      <c r="X301" s="373"/>
    </row>
    <row r="302" spans="1:24">
      <c r="A302" s="368" t="s">
        <v>390</v>
      </c>
      <c r="B302" s="424"/>
      <c r="C302" s="424"/>
      <c r="D302" s="425"/>
      <c r="E302" s="425"/>
      <c r="F302" s="425"/>
      <c r="G302" s="425"/>
      <c r="H302" s="426"/>
      <c r="I302" s="427">
        <f>J124</f>
        <v>2018</v>
      </c>
      <c r="J302" s="427">
        <f>L124</f>
        <v>2019</v>
      </c>
      <c r="K302" s="427">
        <v>14</v>
      </c>
      <c r="L302" s="428">
        <v>1</v>
      </c>
      <c r="M302" s="435"/>
      <c r="N302" s="435"/>
      <c r="O302" s="431">
        <v>14</v>
      </c>
      <c r="P302" s="369" t="s">
        <v>328</v>
      </c>
      <c r="Q302" s="371"/>
      <c r="R302" s="371"/>
      <c r="S302" s="371"/>
      <c r="T302" s="371"/>
      <c r="U302" s="371"/>
      <c r="V302" s="371"/>
      <c r="W302" s="371"/>
      <c r="X302" s="373"/>
    </row>
    <row r="303" spans="1:24">
      <c r="A303" s="368" t="s">
        <v>391</v>
      </c>
      <c r="B303" s="424"/>
      <c r="C303" s="424"/>
      <c r="D303" s="425"/>
      <c r="E303" s="425"/>
      <c r="F303" s="425"/>
      <c r="G303" s="425"/>
      <c r="H303" s="426"/>
      <c r="I303" s="427">
        <f>R124</f>
        <v>2018</v>
      </c>
      <c r="J303" s="427">
        <f>T124</f>
        <v>2019</v>
      </c>
      <c r="K303" s="427">
        <v>15</v>
      </c>
      <c r="L303" s="428">
        <v>1</v>
      </c>
      <c r="M303" s="435"/>
      <c r="N303" s="435"/>
      <c r="O303" s="431">
        <v>15</v>
      </c>
      <c r="P303" s="369" t="s">
        <v>328</v>
      </c>
      <c r="Q303" s="371"/>
      <c r="R303" s="371"/>
      <c r="S303" s="371"/>
      <c r="T303" s="371"/>
      <c r="U303" s="371"/>
      <c r="V303" s="371"/>
      <c r="W303" s="371"/>
      <c r="X303" s="373"/>
    </row>
    <row r="304" spans="1:24">
      <c r="A304" s="368" t="s">
        <v>392</v>
      </c>
      <c r="B304" s="424"/>
      <c r="C304" s="424"/>
      <c r="D304" s="425"/>
      <c r="E304" s="425"/>
      <c r="F304" s="425"/>
      <c r="G304" s="425"/>
      <c r="H304" s="426"/>
      <c r="I304" s="427">
        <f>B153</f>
        <v>2018</v>
      </c>
      <c r="J304" s="427">
        <f>D153</f>
        <v>2019</v>
      </c>
      <c r="K304" s="427">
        <v>16</v>
      </c>
      <c r="L304" s="428">
        <v>1</v>
      </c>
      <c r="M304" s="435"/>
      <c r="N304" s="435"/>
      <c r="O304" s="431">
        <v>16</v>
      </c>
      <c r="P304" s="369" t="s">
        <v>328</v>
      </c>
      <c r="Q304" s="371"/>
      <c r="R304" s="371"/>
      <c r="S304" s="371"/>
      <c r="T304" s="371"/>
      <c r="U304" s="371"/>
      <c r="V304" s="371"/>
      <c r="W304" s="371"/>
      <c r="X304" s="373"/>
    </row>
    <row r="305" spans="1:24">
      <c r="A305" s="368" t="s">
        <v>393</v>
      </c>
      <c r="B305" s="424"/>
      <c r="C305" s="424"/>
      <c r="D305" s="425"/>
      <c r="E305" s="425"/>
      <c r="F305" s="425"/>
      <c r="G305" s="425"/>
      <c r="H305" s="426"/>
      <c r="I305" s="427">
        <f>J153</f>
        <v>2018</v>
      </c>
      <c r="J305" s="427">
        <f>L153</f>
        <v>2019</v>
      </c>
      <c r="K305" s="427">
        <v>17</v>
      </c>
      <c r="L305" s="428">
        <v>1</v>
      </c>
      <c r="M305" s="435"/>
      <c r="N305" s="435"/>
      <c r="O305" s="432">
        <v>17</v>
      </c>
      <c r="P305" s="369" t="s">
        <v>328</v>
      </c>
      <c r="Q305" s="371"/>
      <c r="R305" s="371"/>
      <c r="S305" s="371"/>
      <c r="T305" s="371"/>
      <c r="U305" s="371"/>
      <c r="V305" s="371"/>
      <c r="W305" s="371"/>
      <c r="X305" s="373"/>
    </row>
    <row r="306" spans="1:24">
      <c r="A306" s="368" t="s">
        <v>394</v>
      </c>
      <c r="B306" s="424"/>
      <c r="C306" s="424"/>
      <c r="D306" s="425"/>
      <c r="E306" s="425"/>
      <c r="F306" s="425"/>
      <c r="G306" s="425"/>
      <c r="H306" s="426"/>
      <c r="I306" s="427">
        <f>R153</f>
        <v>2018</v>
      </c>
      <c r="J306" s="427">
        <f>T153</f>
        <v>2019</v>
      </c>
      <c r="K306" s="427">
        <v>18</v>
      </c>
      <c r="L306" s="428">
        <v>1</v>
      </c>
      <c r="M306" s="435"/>
      <c r="N306" s="435"/>
      <c r="O306" s="431">
        <v>18</v>
      </c>
      <c r="P306" s="369" t="s">
        <v>328</v>
      </c>
      <c r="Q306" s="371"/>
      <c r="R306" s="371"/>
      <c r="S306" s="371"/>
      <c r="T306" s="371"/>
      <c r="U306" s="371"/>
      <c r="V306" s="371"/>
      <c r="W306" s="371"/>
      <c r="X306" s="373"/>
    </row>
    <row r="307" spans="1:24">
      <c r="A307" s="368" t="s">
        <v>395</v>
      </c>
      <c r="B307" s="424"/>
      <c r="C307" s="424"/>
      <c r="D307" s="425"/>
      <c r="E307" s="425"/>
      <c r="F307" s="425"/>
      <c r="G307" s="425"/>
      <c r="H307" s="426"/>
      <c r="I307" s="427">
        <f>B182</f>
        <v>2018</v>
      </c>
      <c r="J307" s="427">
        <f>D182</f>
        <v>2019</v>
      </c>
      <c r="K307" s="427">
        <v>19</v>
      </c>
      <c r="L307" s="428">
        <v>1</v>
      </c>
      <c r="M307" s="435"/>
      <c r="N307" s="435"/>
      <c r="O307" s="431">
        <v>19</v>
      </c>
      <c r="P307" s="369" t="s">
        <v>328</v>
      </c>
      <c r="Q307" s="371"/>
      <c r="R307" s="371"/>
      <c r="S307" s="371"/>
      <c r="T307" s="371"/>
      <c r="U307" s="371"/>
      <c r="V307" s="371"/>
      <c r="W307" s="371"/>
      <c r="X307" s="373"/>
    </row>
    <row r="308" spans="1:24">
      <c r="A308" s="368" t="s">
        <v>396</v>
      </c>
      <c r="B308" s="424"/>
      <c r="C308" s="424"/>
      <c r="D308" s="425"/>
      <c r="E308" s="425"/>
      <c r="F308" s="425"/>
      <c r="G308" s="425"/>
      <c r="H308" s="426"/>
      <c r="I308" s="427">
        <f>J182</f>
        <v>2018</v>
      </c>
      <c r="J308" s="427">
        <f>L182</f>
        <v>2019</v>
      </c>
      <c r="K308" s="427">
        <v>20</v>
      </c>
      <c r="L308" s="428">
        <v>1</v>
      </c>
      <c r="M308" s="435"/>
      <c r="N308" s="435"/>
      <c r="O308" s="431">
        <v>20</v>
      </c>
      <c r="P308" s="369" t="s">
        <v>328</v>
      </c>
      <c r="Q308" s="371"/>
      <c r="R308" s="371"/>
      <c r="S308" s="371"/>
      <c r="T308" s="371"/>
      <c r="U308" s="371"/>
      <c r="V308" s="371"/>
      <c r="W308" s="371"/>
      <c r="X308" s="373"/>
    </row>
    <row r="309" spans="1:24">
      <c r="A309" s="368" t="s">
        <v>397</v>
      </c>
      <c r="B309" s="424"/>
      <c r="C309" s="424"/>
      <c r="D309" s="425"/>
      <c r="E309" s="425"/>
      <c r="F309" s="425"/>
      <c r="G309" s="425"/>
      <c r="H309" s="426"/>
      <c r="I309" s="427">
        <f>R182</f>
        <v>2018</v>
      </c>
      <c r="J309" s="427">
        <f>T182</f>
        <v>2019</v>
      </c>
      <c r="K309" s="427">
        <v>21</v>
      </c>
      <c r="L309" s="428">
        <v>1</v>
      </c>
      <c r="M309" s="435"/>
      <c r="N309" s="435"/>
      <c r="O309" s="431">
        <v>21</v>
      </c>
      <c r="P309" s="369" t="s">
        <v>328</v>
      </c>
      <c r="Q309" s="371"/>
      <c r="R309" s="371"/>
      <c r="S309" s="371"/>
      <c r="T309" s="371"/>
      <c r="U309" s="371"/>
      <c r="V309" s="371"/>
      <c r="W309" s="371"/>
      <c r="X309" s="373"/>
    </row>
    <row r="310" spans="1:24">
      <c r="A310" s="368" t="s">
        <v>398</v>
      </c>
      <c r="B310" s="424"/>
      <c r="C310" s="424"/>
      <c r="D310" s="425"/>
      <c r="E310" s="425"/>
      <c r="F310" s="425"/>
      <c r="G310" s="425"/>
      <c r="H310" s="426"/>
      <c r="I310" s="427">
        <f>B211</f>
        <v>2018</v>
      </c>
      <c r="J310" s="427">
        <f>D211</f>
        <v>2019</v>
      </c>
      <c r="K310" s="427">
        <v>22</v>
      </c>
      <c r="L310" s="428">
        <v>1</v>
      </c>
      <c r="M310" s="435"/>
      <c r="N310" s="435"/>
      <c r="O310" s="431">
        <v>22</v>
      </c>
      <c r="P310" s="369" t="s">
        <v>328</v>
      </c>
      <c r="Q310" s="371"/>
      <c r="R310" s="371"/>
      <c r="S310" s="371"/>
      <c r="T310" s="371"/>
      <c r="U310" s="371"/>
      <c r="V310" s="371"/>
      <c r="W310" s="371"/>
      <c r="X310" s="373"/>
    </row>
    <row r="311" spans="1:24">
      <c r="A311" s="368" t="s">
        <v>399</v>
      </c>
      <c r="B311" s="424"/>
      <c r="C311" s="424"/>
      <c r="D311" s="425"/>
      <c r="E311" s="425"/>
      <c r="F311" s="425"/>
      <c r="G311" s="425"/>
      <c r="H311" s="426"/>
      <c r="I311" s="427">
        <f>J211</f>
        <v>2018</v>
      </c>
      <c r="J311" s="427">
        <f>L211</f>
        <v>2019</v>
      </c>
      <c r="K311" s="427">
        <v>23</v>
      </c>
      <c r="L311" s="428">
        <v>1</v>
      </c>
      <c r="M311" s="435"/>
      <c r="N311" s="435"/>
      <c r="O311" s="431">
        <v>23</v>
      </c>
      <c r="P311" s="369" t="s">
        <v>328</v>
      </c>
      <c r="Q311" s="371"/>
      <c r="R311" s="371"/>
      <c r="S311" s="371"/>
      <c r="T311" s="371"/>
      <c r="U311" s="371"/>
      <c r="V311" s="371"/>
      <c r="W311" s="371"/>
      <c r="X311" s="373"/>
    </row>
    <row r="312" spans="1:24" ht="13" thickBot="1">
      <c r="A312" s="368" t="s">
        <v>400</v>
      </c>
      <c r="B312" s="424"/>
      <c r="C312" s="424"/>
      <c r="D312" s="425"/>
      <c r="E312" s="425"/>
      <c r="F312" s="425"/>
      <c r="G312" s="425"/>
      <c r="H312" s="426"/>
      <c r="I312" s="427">
        <f>R211</f>
        <v>2018</v>
      </c>
      <c r="J312" s="427">
        <f>T211</f>
        <v>2019</v>
      </c>
      <c r="K312" s="427">
        <v>24</v>
      </c>
      <c r="L312" s="428">
        <v>1</v>
      </c>
      <c r="M312" s="435"/>
      <c r="N312" s="435"/>
      <c r="O312" s="433">
        <v>24</v>
      </c>
      <c r="P312" s="369" t="s">
        <v>328</v>
      </c>
      <c r="Q312" s="374"/>
      <c r="R312" s="374"/>
      <c r="S312" s="374"/>
      <c r="T312" s="374"/>
      <c r="U312" s="374"/>
      <c r="V312" s="374"/>
      <c r="W312" s="374"/>
      <c r="X312" s="375"/>
    </row>
    <row r="313" spans="1:24" ht="13" thickBot="1">
      <c r="A313" s="1987">
        <f>VLOOKUP(A288,A289:L312,11,(FALSE))</f>
        <v>12</v>
      </c>
      <c r="B313" s="1988"/>
      <c r="C313" s="1988"/>
      <c r="D313" s="1988"/>
      <c r="E313" s="1988"/>
      <c r="F313" s="1988"/>
      <c r="G313" s="1988"/>
      <c r="H313" s="1988"/>
      <c r="I313" s="1988"/>
      <c r="J313" s="1988"/>
      <c r="K313" s="1988"/>
      <c r="L313" s="376"/>
      <c r="M313" s="435"/>
      <c r="N313" s="435"/>
      <c r="O313" s="1980" t="str">
        <f>VLOOKUP(O288,O289:X312,2,FALSE)</f>
        <v>tertelusur ke Satuan Internasional ( SI ) melalui Caltek PTE LTD</v>
      </c>
      <c r="P313" s="1981"/>
      <c r="Q313" s="1981"/>
      <c r="R313" s="1981"/>
      <c r="S313" s="1981"/>
      <c r="T313" s="1981"/>
      <c r="U313" s="1981"/>
      <c r="V313" s="1981"/>
      <c r="W313" s="1981"/>
      <c r="X313" s="1982"/>
    </row>
    <row r="314" spans="1:24" ht="13" thickBot="1">
      <c r="A314" s="435"/>
      <c r="B314" s="435"/>
      <c r="C314" s="435"/>
      <c r="D314" s="435"/>
      <c r="E314" s="435"/>
      <c r="F314" s="435"/>
      <c r="G314" s="435"/>
      <c r="H314" s="435"/>
      <c r="I314" s="435"/>
      <c r="J314" s="435"/>
      <c r="K314" s="435"/>
      <c r="L314" s="435"/>
      <c r="M314" s="435"/>
      <c r="N314" s="435"/>
      <c r="O314" s="1980" t="str">
        <f>O316&amp;O313</f>
        <v>Hasil kalibrasi Heart Rate tertelusur ke Satuan Internasional ( SI ) melalui Caltek PTE LTD</v>
      </c>
      <c r="P314" s="1981"/>
      <c r="Q314" s="1981"/>
      <c r="R314" s="1981"/>
      <c r="S314" s="1981"/>
      <c r="T314" s="1981"/>
      <c r="U314" s="1981"/>
      <c r="V314" s="1981"/>
      <c r="W314" s="1981"/>
      <c r="X314" s="1982"/>
    </row>
    <row r="315" spans="1:24" ht="13" thickBot="1">
      <c r="A315" s="435"/>
      <c r="B315" s="435"/>
      <c r="C315" s="435"/>
      <c r="D315" s="435"/>
      <c r="E315" s="435"/>
      <c r="F315" s="435"/>
      <c r="G315" s="435"/>
      <c r="H315" s="435"/>
      <c r="I315" s="435"/>
      <c r="J315" s="435"/>
      <c r="K315" s="435"/>
      <c r="L315" s="435"/>
      <c r="M315" s="435"/>
      <c r="N315" s="435"/>
      <c r="O315" s="1980" t="str">
        <f>O317&amp;O313</f>
        <v>Hasil kalibrasi Respirasi tertelusur ke Satuan Internasional ( SI ) melalui Caltek PTE LTD</v>
      </c>
      <c r="P315" s="1981"/>
      <c r="Q315" s="1981"/>
      <c r="R315" s="1981"/>
      <c r="S315" s="1981"/>
      <c r="T315" s="1981"/>
      <c r="U315" s="1981"/>
      <c r="V315" s="1981"/>
      <c r="W315" s="1981"/>
      <c r="X315" s="1982"/>
    </row>
    <row r="316" spans="1:24">
      <c r="A316" s="941"/>
      <c r="B316" s="435"/>
      <c r="C316" s="435"/>
      <c r="D316" s="435"/>
      <c r="E316" s="435"/>
      <c r="F316" s="435"/>
      <c r="G316" s="435"/>
      <c r="H316" s="435"/>
      <c r="I316" s="435"/>
      <c r="J316" s="435"/>
      <c r="K316" s="435"/>
      <c r="L316" s="435"/>
      <c r="M316" s="435"/>
      <c r="N316" s="435"/>
      <c r="O316" s="435" t="s">
        <v>401</v>
      </c>
      <c r="P316" s="435"/>
      <c r="Q316" s="435"/>
      <c r="R316" s="435"/>
      <c r="S316" s="435"/>
      <c r="T316" s="435"/>
      <c r="U316" s="435"/>
      <c r="V316" s="435"/>
      <c r="W316" s="435"/>
      <c r="X316" s="435"/>
    </row>
    <row r="317" spans="1:24">
      <c r="A317" s="942" t="s">
        <v>312</v>
      </c>
      <c r="O317" s="435" t="s">
        <v>402</v>
      </c>
    </row>
    <row r="318" spans="1:24">
      <c r="A318" s="364" t="s">
        <v>10</v>
      </c>
      <c r="O318" s="364" t="s">
        <v>10</v>
      </c>
    </row>
    <row r="325" ht="12.75" customHeight="1"/>
    <row r="337" ht="12.75" customHeight="1"/>
    <row r="353" ht="12.75" customHeight="1"/>
    <row r="365" ht="12.75" customHeight="1"/>
    <row r="381" ht="12.75" customHeight="1"/>
    <row r="393" ht="12.75" customHeight="1"/>
  </sheetData>
  <mergeCells count="147">
    <mergeCell ref="B260:D260"/>
    <mergeCell ref="B210:D210"/>
    <mergeCell ref="J210:L210"/>
    <mergeCell ref="R210:T210"/>
    <mergeCell ref="A240:F240"/>
    <mergeCell ref="A241:D241"/>
    <mergeCell ref="B242:D242"/>
    <mergeCell ref="B248:D248"/>
    <mergeCell ref="B253:D253"/>
    <mergeCell ref="B257:D257"/>
    <mergeCell ref="E260:E261"/>
    <mergeCell ref="F260:F261"/>
    <mergeCell ref="L247:L248"/>
    <mergeCell ref="A180:D180"/>
    <mergeCell ref="I180:L180"/>
    <mergeCell ref="Q180:T180"/>
    <mergeCell ref="B181:D181"/>
    <mergeCell ref="J181:L181"/>
    <mergeCell ref="R181:T181"/>
    <mergeCell ref="A209:D209"/>
    <mergeCell ref="I209:L209"/>
    <mergeCell ref="Q209:T209"/>
    <mergeCell ref="M180:M182"/>
    <mergeCell ref="N180:N182"/>
    <mergeCell ref="M199:M200"/>
    <mergeCell ref="N199:N200"/>
    <mergeCell ref="A93:D93"/>
    <mergeCell ref="I93:L93"/>
    <mergeCell ref="Q93:T93"/>
    <mergeCell ref="B94:D94"/>
    <mergeCell ref="J94:L94"/>
    <mergeCell ref="R94:T94"/>
    <mergeCell ref="I122:L122"/>
    <mergeCell ref="Q122:T122"/>
    <mergeCell ref="J123:L123"/>
    <mergeCell ref="R123:T123"/>
    <mergeCell ref="A5:F5"/>
    <mergeCell ref="I5:N5"/>
    <mergeCell ref="Q5:V5"/>
    <mergeCell ref="A6:D6"/>
    <mergeCell ref="E6:E8"/>
    <mergeCell ref="F6:F8"/>
    <mergeCell ref="I6:L6"/>
    <mergeCell ref="Q6:T6"/>
    <mergeCell ref="B7:D7"/>
    <mergeCell ref="J7:L7"/>
    <mergeCell ref="R7:T7"/>
    <mergeCell ref="A34:F34"/>
    <mergeCell ref="I34:N34"/>
    <mergeCell ref="Q34:V34"/>
    <mergeCell ref="A35:D35"/>
    <mergeCell ref="I35:L35"/>
    <mergeCell ref="Q35:T35"/>
    <mergeCell ref="B36:D36"/>
    <mergeCell ref="J36:L36"/>
    <mergeCell ref="R36:T36"/>
    <mergeCell ref="M151:M153"/>
    <mergeCell ref="I151:L151"/>
    <mergeCell ref="J152:L152"/>
    <mergeCell ref="V112:V113"/>
    <mergeCell ref="U122:U124"/>
    <mergeCell ref="V122:V124"/>
    <mergeCell ref="B123:D123"/>
    <mergeCell ref="A122:D122"/>
    <mergeCell ref="M122:M124"/>
    <mergeCell ref="N122:N124"/>
    <mergeCell ref="U141:U142"/>
    <mergeCell ref="V141:V142"/>
    <mergeCell ref="N141:N142"/>
    <mergeCell ref="U151:U153"/>
    <mergeCell ref="V151:V153"/>
    <mergeCell ref="N151:N153"/>
    <mergeCell ref="M141:M142"/>
    <mergeCell ref="Q151:T151"/>
    <mergeCell ref="R152:T152"/>
    <mergeCell ref="B65:D65"/>
    <mergeCell ref="A64:D64"/>
    <mergeCell ref="M64:M66"/>
    <mergeCell ref="I64:L64"/>
    <mergeCell ref="Q64:T64"/>
    <mergeCell ref="J65:L65"/>
    <mergeCell ref="R65:T65"/>
    <mergeCell ref="O288:X288"/>
    <mergeCell ref="E248:E249"/>
    <mergeCell ref="F248:F249"/>
    <mergeCell ref="U209:U211"/>
    <mergeCell ref="U83:U84"/>
    <mergeCell ref="M112:M113"/>
    <mergeCell ref="N112:N113"/>
    <mergeCell ref="U112:U113"/>
    <mergeCell ref="V83:V84"/>
    <mergeCell ref="M83:M84"/>
    <mergeCell ref="N83:N84"/>
    <mergeCell ref="U93:U95"/>
    <mergeCell ref="V93:V95"/>
    <mergeCell ref="U64:U66"/>
    <mergeCell ref="V64:V66"/>
    <mergeCell ref="B152:D152"/>
    <mergeCell ref="A151:D151"/>
    <mergeCell ref="A313:K313"/>
    <mergeCell ref="O313:X313"/>
    <mergeCell ref="M25:M26"/>
    <mergeCell ref="N25:N26"/>
    <mergeCell ref="E253:E254"/>
    <mergeCell ref="F253:F254"/>
    <mergeCell ref="E257:E258"/>
    <mergeCell ref="F257:F258"/>
    <mergeCell ref="V25:V26"/>
    <mergeCell ref="U35:U37"/>
    <mergeCell ref="V35:V37"/>
    <mergeCell ref="U241:X241"/>
    <mergeCell ref="Q241:T241"/>
    <mergeCell ref="E241:E243"/>
    <mergeCell ref="F241:F243"/>
    <mergeCell ref="K247:K248"/>
    <mergeCell ref="I247:J247"/>
    <mergeCell ref="V54:V55"/>
    <mergeCell ref="V209:V211"/>
    <mergeCell ref="M209:M211"/>
    <mergeCell ref="N209:N211"/>
    <mergeCell ref="M93:M95"/>
    <mergeCell ref="N93:N95"/>
    <mergeCell ref="N64:N66"/>
    <mergeCell ref="O315:X315"/>
    <mergeCell ref="U54:U55"/>
    <mergeCell ref="M6:M8"/>
    <mergeCell ref="N6:N8"/>
    <mergeCell ref="U6:U8"/>
    <mergeCell ref="U25:U26"/>
    <mergeCell ref="O314:X314"/>
    <mergeCell ref="V6:V8"/>
    <mergeCell ref="M35:M37"/>
    <mergeCell ref="N35:N37"/>
    <mergeCell ref="M54:M55"/>
    <mergeCell ref="N54:N55"/>
    <mergeCell ref="M170:M171"/>
    <mergeCell ref="N170:N171"/>
    <mergeCell ref="V170:V171"/>
    <mergeCell ref="U170:U171"/>
    <mergeCell ref="V199:V200"/>
    <mergeCell ref="M228:M229"/>
    <mergeCell ref="N228:N229"/>
    <mergeCell ref="U199:U200"/>
    <mergeCell ref="U228:U229"/>
    <mergeCell ref="V228:V229"/>
    <mergeCell ref="U180:U182"/>
    <mergeCell ref="V180:V182"/>
  </mergeCells>
  <pageMargins left="0.7" right="0.7" top="0.75" bottom="0.75" header="0.3" footer="0.3"/>
  <pageSetup orientation="portrait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O226"/>
  <sheetViews>
    <sheetView tabSelected="1" view="pageBreakPreview" zoomScale="59" zoomScaleNormal="100" zoomScaleSheetLayoutView="59" zoomScalePageLayoutView="86" workbookViewId="0">
      <selection activeCell="J26" sqref="J26"/>
    </sheetView>
  </sheetViews>
  <sheetFormatPr defaultRowHeight="12.5"/>
  <cols>
    <col min="1" max="1" width="22" customWidth="1"/>
    <col min="3" max="3" width="17" customWidth="1"/>
    <col min="4" max="4" width="7.54296875" customWidth="1"/>
    <col min="6" max="6" width="9.1796875" customWidth="1"/>
    <col min="8" max="8" width="11.1796875" customWidth="1"/>
    <col min="9" max="9" width="11.453125" customWidth="1"/>
    <col min="10" max="10" width="11.1796875" customWidth="1"/>
    <col min="11" max="11" width="12.453125" customWidth="1"/>
    <col min="12" max="12" width="6.453125" customWidth="1"/>
    <col min="13" max="13" width="15.1796875" customWidth="1"/>
    <col min="14" max="14" width="9" customWidth="1"/>
    <col min="15" max="15" width="18.7265625" customWidth="1"/>
    <col min="16" max="16" width="8.7265625" customWidth="1"/>
    <col min="17" max="17" width="14.54296875" customWidth="1"/>
    <col min="18" max="18" width="12.54296875" customWidth="1"/>
    <col min="19" max="20" width="10.7265625" customWidth="1"/>
    <col min="21" max="21" width="12.81640625" customWidth="1"/>
    <col min="22" max="22" width="11.26953125" customWidth="1"/>
    <col min="23" max="23" width="13.453125" customWidth="1"/>
    <col min="24" max="24" width="11.1796875" customWidth="1"/>
    <col min="30" max="30" width="10.54296875" customWidth="1"/>
  </cols>
  <sheetData>
    <row r="1" spans="1:23" ht="13" thickBot="1">
      <c r="W1" s="113" t="s">
        <v>403</v>
      </c>
    </row>
    <row r="2" spans="1:23" ht="13">
      <c r="A2" s="2003" t="s">
        <v>404</v>
      </c>
      <c r="B2" s="2004"/>
      <c r="C2" s="2004"/>
      <c r="D2" s="2004"/>
      <c r="E2" s="2004"/>
      <c r="F2" s="2004"/>
      <c r="G2" s="2004"/>
      <c r="H2" s="2004"/>
      <c r="I2" s="2004"/>
      <c r="J2" s="2004"/>
      <c r="K2" s="2004"/>
      <c r="L2" s="2004"/>
      <c r="M2" s="2004"/>
      <c r="N2" s="2004"/>
      <c r="O2" s="2004"/>
      <c r="P2" s="2004"/>
      <c r="Q2" s="2004"/>
      <c r="R2" s="2004"/>
      <c r="S2" s="2004"/>
      <c r="T2" s="2004"/>
      <c r="U2" s="2004"/>
      <c r="V2" s="2004"/>
      <c r="W2" s="2005"/>
    </row>
    <row r="3" spans="1:23" ht="13.5" thickBot="1">
      <c r="A3" s="2006"/>
      <c r="B3" s="2007"/>
      <c r="C3" s="2007"/>
      <c r="D3" s="2007"/>
      <c r="E3" s="2007"/>
      <c r="F3" s="2007"/>
      <c r="G3" s="2007"/>
      <c r="H3" s="2007"/>
      <c r="I3" s="2007"/>
      <c r="J3" s="2007"/>
      <c r="K3" s="2007"/>
      <c r="M3" s="2007"/>
      <c r="N3" s="2007"/>
      <c r="O3" s="2007"/>
      <c r="P3" s="2007"/>
      <c r="Q3" s="2007"/>
      <c r="R3" s="2007"/>
      <c r="S3" s="2007"/>
      <c r="T3" s="2007"/>
      <c r="U3" s="2007"/>
      <c r="V3" s="2007"/>
      <c r="W3" s="2008"/>
    </row>
    <row r="4" spans="1:23" ht="13">
      <c r="A4" s="575" t="s">
        <v>405</v>
      </c>
      <c r="B4" s="576"/>
      <c r="C4" s="577">
        <f>ID!D59/60</f>
        <v>0.5</v>
      </c>
      <c r="D4" s="578" t="s">
        <v>406</v>
      </c>
      <c r="E4" s="579"/>
      <c r="F4" s="579"/>
      <c r="G4" s="579"/>
      <c r="H4" s="579"/>
      <c r="I4" s="579"/>
      <c r="J4" s="579"/>
      <c r="K4" s="580"/>
      <c r="M4" s="582" t="s">
        <v>407</v>
      </c>
      <c r="N4" s="576"/>
      <c r="O4" s="577">
        <f>ID!D72/60</f>
        <v>0.5</v>
      </c>
      <c r="P4" s="578" t="s">
        <v>406</v>
      </c>
      <c r="Q4" s="583" t="s">
        <v>408</v>
      </c>
      <c r="R4" s="579"/>
      <c r="S4" s="579"/>
      <c r="T4" s="579"/>
      <c r="U4" s="579"/>
      <c r="V4" s="579"/>
      <c r="W4" s="580"/>
    </row>
    <row r="5" spans="1:23" ht="14">
      <c r="A5" s="72" t="s">
        <v>409</v>
      </c>
      <c r="B5" s="73" t="s">
        <v>410</v>
      </c>
      <c r="C5" s="74" t="s">
        <v>411</v>
      </c>
      <c r="D5" s="73" t="s">
        <v>412</v>
      </c>
      <c r="E5" s="75" t="s">
        <v>413</v>
      </c>
      <c r="F5" s="73" t="s">
        <v>156</v>
      </c>
      <c r="G5" s="74" t="s">
        <v>157</v>
      </c>
      <c r="H5" s="73" t="s">
        <v>158</v>
      </c>
      <c r="I5" s="74" t="s">
        <v>159</v>
      </c>
      <c r="J5" s="73" t="s">
        <v>160</v>
      </c>
      <c r="K5" s="76" t="s">
        <v>161</v>
      </c>
      <c r="M5" s="72" t="s">
        <v>409</v>
      </c>
      <c r="N5" s="73" t="s">
        <v>410</v>
      </c>
      <c r="O5" s="74" t="s">
        <v>411</v>
      </c>
      <c r="P5" s="73" t="s">
        <v>412</v>
      </c>
      <c r="Q5" s="75" t="s">
        <v>413</v>
      </c>
      <c r="R5" s="73" t="s">
        <v>156</v>
      </c>
      <c r="S5" s="74" t="s">
        <v>157</v>
      </c>
      <c r="T5" s="73" t="s">
        <v>158</v>
      </c>
      <c r="U5" s="74" t="s">
        <v>159</v>
      </c>
      <c r="V5" s="73" t="s">
        <v>160</v>
      </c>
      <c r="W5" s="76" t="s">
        <v>161</v>
      </c>
    </row>
    <row r="6" spans="1:23" ht="13">
      <c r="A6" s="77" t="s">
        <v>162</v>
      </c>
      <c r="B6" s="143" t="s">
        <v>414</v>
      </c>
      <c r="C6" s="152" t="s">
        <v>415</v>
      </c>
      <c r="D6" s="382">
        <f>'Input Data ECG Sim'!T272</f>
        <v>1.0000000000000001E-5</v>
      </c>
      <c r="E6" s="153">
        <f>SQRT(6)</f>
        <v>2.4494897427831779</v>
      </c>
      <c r="F6" s="78">
        <v>5</v>
      </c>
      <c r="G6" s="154">
        <f>D6/E6</f>
        <v>4.0824829046386308E-6</v>
      </c>
      <c r="H6" s="79">
        <v>1</v>
      </c>
      <c r="I6" s="154">
        <f>G6*H6</f>
        <v>4.0824829046386308E-6</v>
      </c>
      <c r="J6" s="80">
        <f>I6^2</f>
        <v>1.6666666666666671E-11</v>
      </c>
      <c r="K6" s="81">
        <f>I6^4/F6</f>
        <v>5.5555555555555577E-23</v>
      </c>
      <c r="M6" s="77" t="s">
        <v>162</v>
      </c>
      <c r="N6" s="143" t="str">
        <f>Q4</f>
        <v>BrPM</v>
      </c>
      <c r="O6" s="152" t="s">
        <v>415</v>
      </c>
      <c r="P6" s="386">
        <f>'Input Data ECG Sim'!T282</f>
        <v>1.0000000000000001E-5</v>
      </c>
      <c r="Q6" s="153">
        <f>SQRT(6)</f>
        <v>2.4494897427831779</v>
      </c>
      <c r="R6" s="78">
        <v>5</v>
      </c>
      <c r="S6" s="154">
        <f>P6/Q6</f>
        <v>4.0824829046386308E-6</v>
      </c>
      <c r="T6" s="79">
        <v>1</v>
      </c>
      <c r="U6" s="154">
        <f>S6*T6</f>
        <v>4.0824829046386308E-6</v>
      </c>
      <c r="V6" s="80">
        <f>U6^2</f>
        <v>1.6666666666666671E-11</v>
      </c>
      <c r="W6" s="81">
        <f>U6^4/R6</f>
        <v>5.5555555555555577E-23</v>
      </c>
    </row>
    <row r="7" spans="1:23" ht="13">
      <c r="A7" s="82" t="s">
        <v>416</v>
      </c>
      <c r="B7" s="143" t="s">
        <v>414</v>
      </c>
      <c r="C7" s="83" t="s">
        <v>417</v>
      </c>
      <c r="D7" s="383">
        <f>0.5*1</f>
        <v>0.5</v>
      </c>
      <c r="E7" s="84">
        <f>SQRT(3)</f>
        <v>1.7320508075688772</v>
      </c>
      <c r="F7" s="78">
        <v>50</v>
      </c>
      <c r="G7" s="85">
        <f>D7/E7</f>
        <v>0.28867513459481292</v>
      </c>
      <c r="H7" s="78">
        <v>1</v>
      </c>
      <c r="I7" s="85">
        <f>G7*H7</f>
        <v>0.28867513459481292</v>
      </c>
      <c r="J7" s="86">
        <f>I7^2</f>
        <v>8.3333333333333356E-2</v>
      </c>
      <c r="K7" s="87">
        <f>I7^4/F7</f>
        <v>1.3888888888888897E-4</v>
      </c>
      <c r="M7" s="82" t="s">
        <v>416</v>
      </c>
      <c r="N7" s="143" t="str">
        <f>N6</f>
        <v>BrPM</v>
      </c>
      <c r="O7" s="83" t="s">
        <v>417</v>
      </c>
      <c r="P7" s="387">
        <f>0.5*1</f>
        <v>0.5</v>
      </c>
      <c r="Q7" s="84">
        <f>SQRT(3)</f>
        <v>1.7320508075688772</v>
      </c>
      <c r="R7" s="78">
        <v>50</v>
      </c>
      <c r="S7" s="85">
        <f>P7/Q7</f>
        <v>0.28867513459481292</v>
      </c>
      <c r="T7" s="78">
        <v>1</v>
      </c>
      <c r="U7" s="85">
        <f>S7*T7</f>
        <v>0.28867513459481292</v>
      </c>
      <c r="V7" s="86">
        <f>U7^2</f>
        <v>8.3333333333333356E-2</v>
      </c>
      <c r="W7" s="87">
        <f>U7^4/R7</f>
        <v>1.3888888888888897E-4</v>
      </c>
    </row>
    <row r="8" spans="1:23" ht="13">
      <c r="A8" s="77" t="s">
        <v>418</v>
      </c>
      <c r="B8" s="143" t="s">
        <v>414</v>
      </c>
      <c r="C8" s="78" t="s">
        <v>417</v>
      </c>
      <c r="D8" s="384">
        <f>'Input Data ECG Sim'!W243</f>
        <v>0</v>
      </c>
      <c r="E8" s="88">
        <f>SQRT(3)</f>
        <v>1.7320508075688772</v>
      </c>
      <c r="F8" s="78">
        <v>50</v>
      </c>
      <c r="G8" s="89">
        <f>D8/E8</f>
        <v>0</v>
      </c>
      <c r="H8" s="78">
        <v>1</v>
      </c>
      <c r="I8" s="89">
        <f>G8*H8</f>
        <v>0</v>
      </c>
      <c r="J8" s="86">
        <f>I8^2</f>
        <v>0</v>
      </c>
      <c r="K8" s="90">
        <f>I8^4/F8</f>
        <v>0</v>
      </c>
      <c r="M8" s="77" t="s">
        <v>418</v>
      </c>
      <c r="N8" s="143" t="str">
        <f>N7</f>
        <v>BrPM</v>
      </c>
      <c r="O8" s="78" t="s">
        <v>417</v>
      </c>
      <c r="P8" s="388">
        <f>'Input Data ECG Sim'!W258</f>
        <v>5.0000000000000002E-5</v>
      </c>
      <c r="Q8" s="88">
        <f>SQRT(3)</f>
        <v>1.7320508075688772</v>
      </c>
      <c r="R8" s="78">
        <v>50</v>
      </c>
      <c r="S8" s="89">
        <f>P8/Q8</f>
        <v>2.8867513459481293E-5</v>
      </c>
      <c r="T8" s="78">
        <v>1</v>
      </c>
      <c r="U8" s="89">
        <f>S8*T8</f>
        <v>2.8867513459481293E-5</v>
      </c>
      <c r="V8" s="86">
        <f>U8^2</f>
        <v>8.3333333333333356E-10</v>
      </c>
      <c r="W8" s="90">
        <f>U8^4/R8</f>
        <v>1.3888888888888897E-20</v>
      </c>
    </row>
    <row r="9" spans="1:23" ht="13">
      <c r="A9" s="91" t="s">
        <v>419</v>
      </c>
      <c r="B9" s="143" t="s">
        <v>414</v>
      </c>
      <c r="C9" s="83" t="s">
        <v>415</v>
      </c>
      <c r="D9" s="385">
        <f>'Input Data ECG Sim'!Y243</f>
        <v>0.16500055</v>
      </c>
      <c r="E9" s="92">
        <v>2</v>
      </c>
      <c r="F9" s="78">
        <v>50</v>
      </c>
      <c r="G9" s="85">
        <f>D9/E9</f>
        <v>8.2500274999999998E-2</v>
      </c>
      <c r="H9" s="78">
        <v>1</v>
      </c>
      <c r="I9" s="85">
        <f>G9*H9</f>
        <v>8.2500274999999998E-2</v>
      </c>
      <c r="J9" s="86">
        <f>I9^2</f>
        <v>6.8062953750756246E-3</v>
      </c>
      <c r="K9" s="90">
        <f>I9^4/F9</f>
        <v>9.2651313465551672E-7</v>
      </c>
      <c r="M9" s="91" t="s">
        <v>419</v>
      </c>
      <c r="N9" s="143" t="str">
        <f>N8</f>
        <v>BrPM</v>
      </c>
      <c r="O9" s="83" t="s">
        <v>415</v>
      </c>
      <c r="P9" s="389">
        <f>'Input Data ECG Sim'!Y258</f>
        <v>3.5999999999999997E-2</v>
      </c>
      <c r="Q9" s="92">
        <v>2</v>
      </c>
      <c r="R9" s="78">
        <v>50</v>
      </c>
      <c r="S9" s="85">
        <f>P9/Q9</f>
        <v>1.7999999999999999E-2</v>
      </c>
      <c r="T9" s="78">
        <v>1</v>
      </c>
      <c r="U9" s="85">
        <f>S9*T9</f>
        <v>1.7999999999999999E-2</v>
      </c>
      <c r="V9" s="86">
        <f>U9^2</f>
        <v>3.2399999999999996E-4</v>
      </c>
      <c r="W9" s="90">
        <f>U9^4/R9</f>
        <v>2.0995199999999994E-9</v>
      </c>
    </row>
    <row r="10" spans="1:23" ht="13">
      <c r="A10" s="91"/>
      <c r="B10" s="78"/>
      <c r="C10" s="78"/>
      <c r="D10" s="78"/>
      <c r="E10" s="88"/>
      <c r="F10" s="78"/>
      <c r="G10" s="89"/>
      <c r="H10" s="78"/>
      <c r="I10" s="89"/>
      <c r="J10" s="86"/>
      <c r="K10" s="90"/>
      <c r="M10" s="91"/>
      <c r="N10" s="78"/>
      <c r="O10" s="78"/>
      <c r="P10" s="78"/>
      <c r="Q10" s="88"/>
      <c r="R10" s="78"/>
      <c r="S10" s="89"/>
      <c r="T10" s="78"/>
      <c r="U10" s="89"/>
      <c r="V10" s="86"/>
      <c r="W10" s="90"/>
    </row>
    <row r="11" spans="1:23" ht="15.75" customHeight="1">
      <c r="A11" s="5" t="s">
        <v>166</v>
      </c>
      <c r="B11" s="155"/>
      <c r="C11" s="155"/>
      <c r="D11" s="155"/>
      <c r="E11" s="156"/>
      <c r="F11" s="155"/>
      <c r="G11" s="155"/>
      <c r="H11" s="155"/>
      <c r="I11" s="155"/>
      <c r="J11" s="93">
        <f>SUM(J6:J9)</f>
        <v>9.0139628725075652E-2</v>
      </c>
      <c r="K11" s="94">
        <f>SUM(K6:K9)</f>
        <v>1.3981540202354448E-4</v>
      </c>
      <c r="M11" s="5" t="s">
        <v>166</v>
      </c>
      <c r="N11" s="155"/>
      <c r="O11" s="155"/>
      <c r="P11" s="155"/>
      <c r="Q11" s="156"/>
      <c r="R11" s="155"/>
      <c r="S11" s="155"/>
      <c r="T11" s="155"/>
      <c r="U11" s="155"/>
      <c r="V11" s="93">
        <f>SUM(V6:V9)</f>
        <v>8.3657334183333362E-2</v>
      </c>
      <c r="W11" s="94">
        <f>SUM(W6:W9)</f>
        <v>1.3889098840888899E-4</v>
      </c>
    </row>
    <row r="12" spans="1:23" ht="17">
      <c r="A12" s="95" t="s">
        <v>168</v>
      </c>
      <c r="B12" s="96"/>
      <c r="C12" s="96"/>
      <c r="D12" s="96"/>
      <c r="E12" s="97"/>
      <c r="F12" s="96"/>
      <c r="G12" s="98" t="s">
        <v>420</v>
      </c>
      <c r="H12" s="96"/>
      <c r="I12" s="96"/>
      <c r="J12" s="99">
        <f>SQRT(J11)</f>
        <v>0.30023262435164444</v>
      </c>
      <c r="K12" s="100"/>
      <c r="M12" s="95" t="s">
        <v>168</v>
      </c>
      <c r="N12" s="96"/>
      <c r="O12" s="96"/>
      <c r="P12" s="96"/>
      <c r="Q12" s="97"/>
      <c r="R12" s="96"/>
      <c r="S12" s="98" t="s">
        <v>420</v>
      </c>
      <c r="T12" s="96"/>
      <c r="U12" s="96"/>
      <c r="V12" s="99">
        <f>SQRT(V11)</f>
        <v>0.28923577611238444</v>
      </c>
      <c r="W12" s="100"/>
    </row>
    <row r="13" spans="1:23" ht="17.5">
      <c r="A13" s="5" t="s">
        <v>169</v>
      </c>
      <c r="B13" s="6"/>
      <c r="C13" s="6"/>
      <c r="D13" s="6"/>
      <c r="E13" s="7"/>
      <c r="F13" s="6"/>
      <c r="G13" s="157" t="s">
        <v>421</v>
      </c>
      <c r="H13" s="6"/>
      <c r="I13" s="6"/>
      <c r="J13" s="101">
        <f>J12^4/(K11)</f>
        <v>58.113430631385164</v>
      </c>
      <c r="K13" s="102"/>
      <c r="M13" s="5" t="s">
        <v>169</v>
      </c>
      <c r="N13" s="6"/>
      <c r="O13" s="6"/>
      <c r="P13" s="6"/>
      <c r="Q13" s="7"/>
      <c r="R13" s="6"/>
      <c r="S13" s="157" t="s">
        <v>421</v>
      </c>
      <c r="T13" s="6"/>
      <c r="U13" s="6"/>
      <c r="V13" s="101">
        <f>V12^4/(W11)</f>
        <v>50.388795146726842</v>
      </c>
      <c r="W13" s="102"/>
    </row>
    <row r="14" spans="1:23" ht="15.5">
      <c r="A14" s="95" t="s">
        <v>170</v>
      </c>
      <c r="B14" s="96"/>
      <c r="C14" s="96"/>
      <c r="D14" s="96"/>
      <c r="E14" s="97"/>
      <c r="F14" s="96"/>
      <c r="G14" s="103" t="s">
        <v>422</v>
      </c>
      <c r="H14" s="96"/>
      <c r="I14" s="96"/>
      <c r="J14" s="104">
        <f>1.95996+(2.37356/J13)+(2.818745/J13^2)+(2.546662/J13^3)+(1.761829/J13^4)+(0.245458/J13^5)+(1.000764/J13^6)</f>
        <v>2.0016513482358236</v>
      </c>
      <c r="K14" s="381">
        <f>TINV(0.05,J13)</f>
        <v>2.0017174841452352</v>
      </c>
      <c r="M14" s="95" t="s">
        <v>170</v>
      </c>
      <c r="N14" s="96"/>
      <c r="O14" s="96"/>
      <c r="P14" s="96"/>
      <c r="Q14" s="97"/>
      <c r="R14" s="96"/>
      <c r="S14" s="103" t="s">
        <v>422</v>
      </c>
      <c r="T14" s="96"/>
      <c r="U14" s="96"/>
      <c r="V14" s="104">
        <f>1.95996+(2.37356/V13)+(2.818745/V13^2)+(2.546662/V13^3)+(1.761829/V13^4)+(0.245458/V13^5)+(1.000764/V13^6)</f>
        <v>2.008195261970565</v>
      </c>
      <c r="W14" s="381">
        <f>TINV(0.05,V13)</f>
        <v>2.0085591121007611</v>
      </c>
    </row>
    <row r="15" spans="1:23" ht="14">
      <c r="A15" s="105" t="s">
        <v>171</v>
      </c>
      <c r="B15" s="106"/>
      <c r="C15" s="106"/>
      <c r="D15" s="106"/>
      <c r="E15" s="107"/>
      <c r="F15" s="106"/>
      <c r="G15" s="108" t="s">
        <v>423</v>
      </c>
      <c r="H15" s="106"/>
      <c r="I15" s="106"/>
      <c r="J15" s="394">
        <f>J12*J14</f>
        <v>0.60096103731784867</v>
      </c>
      <c r="K15" s="109" t="s">
        <v>414</v>
      </c>
      <c r="M15" s="105" t="s">
        <v>171</v>
      </c>
      <c r="N15" s="106"/>
      <c r="O15" s="106"/>
      <c r="P15" s="106"/>
      <c r="Q15" s="107"/>
      <c r="R15" s="106"/>
      <c r="S15" s="108" t="s">
        <v>423</v>
      </c>
      <c r="T15" s="106"/>
      <c r="U15" s="106"/>
      <c r="V15" s="394">
        <f>V12*V14</f>
        <v>0.58084191518126949</v>
      </c>
      <c r="W15" s="109" t="str">
        <f>Q4</f>
        <v>BrPM</v>
      </c>
    </row>
    <row r="16" spans="1:23" ht="13">
      <c r="A16" s="144" t="s">
        <v>405</v>
      </c>
      <c r="B16" s="145"/>
      <c r="C16" s="146">
        <f>ID!D60/60</f>
        <v>1</v>
      </c>
      <c r="D16" s="147" t="s">
        <v>406</v>
      </c>
      <c r="E16" s="150"/>
      <c r="F16" s="150"/>
      <c r="G16" s="150"/>
      <c r="H16" s="150"/>
      <c r="I16" s="150"/>
      <c r="J16" s="150"/>
      <c r="K16" s="151"/>
      <c r="M16" s="68" t="s">
        <v>407</v>
      </c>
      <c r="N16" s="145"/>
      <c r="O16" s="146">
        <f>ID!D73/60</f>
        <v>0.66666666666666663</v>
      </c>
      <c r="P16" s="147" t="s">
        <v>406</v>
      </c>
      <c r="Q16" s="390" t="s">
        <v>408</v>
      </c>
      <c r="R16" s="150"/>
      <c r="S16" s="150"/>
      <c r="T16" s="150"/>
      <c r="U16" s="150"/>
      <c r="V16" s="150"/>
      <c r="W16" s="151"/>
    </row>
    <row r="17" spans="1:23" ht="14">
      <c r="A17" s="72" t="s">
        <v>409</v>
      </c>
      <c r="B17" s="73" t="s">
        <v>410</v>
      </c>
      <c r="C17" s="74" t="s">
        <v>411</v>
      </c>
      <c r="D17" s="73" t="s">
        <v>412</v>
      </c>
      <c r="E17" s="75" t="s">
        <v>413</v>
      </c>
      <c r="F17" s="73" t="s">
        <v>156</v>
      </c>
      <c r="G17" s="74" t="s">
        <v>157</v>
      </c>
      <c r="H17" s="73" t="s">
        <v>158</v>
      </c>
      <c r="I17" s="74" t="s">
        <v>159</v>
      </c>
      <c r="J17" s="73" t="s">
        <v>160</v>
      </c>
      <c r="K17" s="76" t="s">
        <v>161</v>
      </c>
      <c r="M17" s="72" t="s">
        <v>409</v>
      </c>
      <c r="N17" s="73" t="s">
        <v>410</v>
      </c>
      <c r="O17" s="74" t="s">
        <v>411</v>
      </c>
      <c r="P17" s="73" t="s">
        <v>412</v>
      </c>
      <c r="Q17" s="75" t="s">
        <v>413</v>
      </c>
      <c r="R17" s="73" t="s">
        <v>156</v>
      </c>
      <c r="S17" s="74" t="s">
        <v>157</v>
      </c>
      <c r="T17" s="73" t="s">
        <v>158</v>
      </c>
      <c r="U17" s="74" t="s">
        <v>159</v>
      </c>
      <c r="V17" s="73" t="s">
        <v>160</v>
      </c>
      <c r="W17" s="76" t="s">
        <v>161</v>
      </c>
    </row>
    <row r="18" spans="1:23" ht="13">
      <c r="A18" s="77" t="s">
        <v>162</v>
      </c>
      <c r="B18" s="143" t="s">
        <v>414</v>
      </c>
      <c r="C18" s="152" t="s">
        <v>415</v>
      </c>
      <c r="D18" s="386">
        <f>'Input Data ECG Sim'!T273</f>
        <v>1.0000000000000001E-5</v>
      </c>
      <c r="E18" s="153">
        <f>SQRT(6)</f>
        <v>2.4494897427831779</v>
      </c>
      <c r="F18" s="78">
        <v>5</v>
      </c>
      <c r="G18" s="154">
        <f>D18/E18</f>
        <v>4.0824829046386308E-6</v>
      </c>
      <c r="H18" s="79">
        <v>1</v>
      </c>
      <c r="I18" s="154">
        <f>G18*H18</f>
        <v>4.0824829046386308E-6</v>
      </c>
      <c r="J18" s="80">
        <f>I18^2</f>
        <v>1.6666666666666671E-11</v>
      </c>
      <c r="K18" s="81">
        <f>I18^4/F18</f>
        <v>5.5555555555555577E-23</v>
      </c>
      <c r="M18" s="77" t="s">
        <v>162</v>
      </c>
      <c r="N18" s="143" t="str">
        <f>Q16</f>
        <v>BrPM</v>
      </c>
      <c r="O18" s="152" t="s">
        <v>415</v>
      </c>
      <c r="P18" s="386">
        <f>'Input Data ECG Sim'!T283</f>
        <v>1.0000000000000001E-5</v>
      </c>
      <c r="Q18" s="153">
        <f>SQRT(6)</f>
        <v>2.4494897427831779</v>
      </c>
      <c r="R18" s="78">
        <v>5</v>
      </c>
      <c r="S18" s="154">
        <f>P18/Q18</f>
        <v>4.0824829046386308E-6</v>
      </c>
      <c r="T18" s="79">
        <v>1</v>
      </c>
      <c r="U18" s="154">
        <f>S18*T18</f>
        <v>4.0824829046386308E-6</v>
      </c>
      <c r="V18" s="80">
        <f>U18^2</f>
        <v>1.6666666666666671E-11</v>
      </c>
      <c r="W18" s="81">
        <f>U18^4/R18</f>
        <v>5.5555555555555577E-23</v>
      </c>
    </row>
    <row r="19" spans="1:23" ht="13">
      <c r="A19" s="82" t="s">
        <v>416</v>
      </c>
      <c r="B19" s="143" t="s">
        <v>414</v>
      </c>
      <c r="C19" s="83" t="s">
        <v>417</v>
      </c>
      <c r="D19" s="387">
        <f>0.5*1</f>
        <v>0.5</v>
      </c>
      <c r="E19" s="84">
        <f>SQRT(3)</f>
        <v>1.7320508075688772</v>
      </c>
      <c r="F19" s="78">
        <v>50</v>
      </c>
      <c r="G19" s="85">
        <f>D19/E19</f>
        <v>0.28867513459481292</v>
      </c>
      <c r="H19" s="78">
        <v>1</v>
      </c>
      <c r="I19" s="85">
        <f>G19*H19</f>
        <v>0.28867513459481292</v>
      </c>
      <c r="J19" s="86">
        <f>I19^2</f>
        <v>8.3333333333333356E-2</v>
      </c>
      <c r="K19" s="87">
        <f>I19^4/F19</f>
        <v>1.3888888888888897E-4</v>
      </c>
      <c r="M19" s="82" t="s">
        <v>416</v>
      </c>
      <c r="N19" s="143" t="str">
        <f>N18</f>
        <v>BrPM</v>
      </c>
      <c r="O19" s="83" t="s">
        <v>417</v>
      </c>
      <c r="P19" s="387">
        <f>0.5*1</f>
        <v>0.5</v>
      </c>
      <c r="Q19" s="84">
        <f>SQRT(3)</f>
        <v>1.7320508075688772</v>
      </c>
      <c r="R19" s="78">
        <v>50</v>
      </c>
      <c r="S19" s="85">
        <f>P19/Q19</f>
        <v>0.28867513459481292</v>
      </c>
      <c r="T19" s="78">
        <v>1</v>
      </c>
      <c r="U19" s="85">
        <f>S19*T19</f>
        <v>0.28867513459481292</v>
      </c>
      <c r="V19" s="86">
        <f>U19^2</f>
        <v>8.3333333333333356E-2</v>
      </c>
      <c r="W19" s="87">
        <f>U19^4/R19</f>
        <v>1.3888888888888897E-4</v>
      </c>
    </row>
    <row r="20" spans="1:23" ht="13">
      <c r="A20" s="77" t="s">
        <v>418</v>
      </c>
      <c r="B20" s="143" t="s">
        <v>414</v>
      </c>
      <c r="C20" s="78" t="s">
        <v>417</v>
      </c>
      <c r="D20" s="388">
        <f>'Input Data ECG Sim'!W246</f>
        <v>0</v>
      </c>
      <c r="E20" s="88">
        <f>SQRT(3)</f>
        <v>1.7320508075688772</v>
      </c>
      <c r="F20" s="78">
        <v>50</v>
      </c>
      <c r="G20" s="89">
        <f>D20/E20</f>
        <v>0</v>
      </c>
      <c r="H20" s="78">
        <v>1</v>
      </c>
      <c r="I20" s="89">
        <f>G20*H20</f>
        <v>0</v>
      </c>
      <c r="J20" s="86">
        <f>I20^2</f>
        <v>0</v>
      </c>
      <c r="K20" s="90">
        <f>I20^4/F20</f>
        <v>0</v>
      </c>
      <c r="M20" s="77" t="s">
        <v>418</v>
      </c>
      <c r="N20" s="143" t="str">
        <f>N19</f>
        <v>BrPM</v>
      </c>
      <c r="O20" s="78" t="s">
        <v>417</v>
      </c>
      <c r="P20" s="388">
        <f>'Input Data ECG Sim'!W261</f>
        <v>5.0000000000000002E-5</v>
      </c>
      <c r="Q20" s="88">
        <f>SQRT(3)</f>
        <v>1.7320508075688772</v>
      </c>
      <c r="R20" s="78">
        <v>50</v>
      </c>
      <c r="S20" s="89">
        <f>P20/Q20</f>
        <v>2.8867513459481293E-5</v>
      </c>
      <c r="T20" s="78">
        <v>1</v>
      </c>
      <c r="U20" s="89">
        <f>S20*T20</f>
        <v>2.8867513459481293E-5</v>
      </c>
      <c r="V20" s="86">
        <f>U20^2</f>
        <v>8.3333333333333356E-10</v>
      </c>
      <c r="W20" s="90">
        <f>U20^4/R20</f>
        <v>1.3888888888888897E-20</v>
      </c>
    </row>
    <row r="21" spans="1:23" ht="13">
      <c r="A21" s="91" t="s">
        <v>419</v>
      </c>
      <c r="B21" s="143" t="s">
        <v>414</v>
      </c>
      <c r="C21" s="83" t="s">
        <v>415</v>
      </c>
      <c r="D21" s="389">
        <f>'Input Data ECG Sim'!Y246</f>
        <v>0.32999999999999996</v>
      </c>
      <c r="E21" s="92">
        <v>2</v>
      </c>
      <c r="F21" s="78">
        <v>50</v>
      </c>
      <c r="G21" s="85">
        <f>D21/E21</f>
        <v>0.16499999999999998</v>
      </c>
      <c r="H21" s="78">
        <v>1</v>
      </c>
      <c r="I21" s="85">
        <f>G21*H21</f>
        <v>0.16499999999999998</v>
      </c>
      <c r="J21" s="86">
        <f>I21^2</f>
        <v>2.7224999999999992E-2</v>
      </c>
      <c r="K21" s="90">
        <f>I21^4/F21</f>
        <v>1.4824012499999991E-5</v>
      </c>
      <c r="M21" s="91" t="s">
        <v>419</v>
      </c>
      <c r="N21" s="143" t="str">
        <f>N20</f>
        <v>BrPM</v>
      </c>
      <c r="O21" s="83" t="s">
        <v>415</v>
      </c>
      <c r="P21" s="389">
        <f>'Input Data ECG Sim'!Y261</f>
        <v>4.7999999999999994E-2</v>
      </c>
      <c r="Q21" s="92">
        <v>2</v>
      </c>
      <c r="R21" s="78">
        <v>50</v>
      </c>
      <c r="S21" s="85">
        <f>P21/Q21</f>
        <v>2.3999999999999997E-2</v>
      </c>
      <c r="T21" s="78">
        <v>1</v>
      </c>
      <c r="U21" s="85">
        <f>S21*T21</f>
        <v>2.3999999999999997E-2</v>
      </c>
      <c r="V21" s="86">
        <f>U21^2</f>
        <v>5.7599999999999991E-4</v>
      </c>
      <c r="W21" s="90">
        <f>U21^4/R21</f>
        <v>6.6355199999999982E-9</v>
      </c>
    </row>
    <row r="22" spans="1:23" ht="13">
      <c r="A22" s="91"/>
      <c r="B22" s="78"/>
      <c r="C22" s="78"/>
      <c r="D22" s="78"/>
      <c r="E22" s="88"/>
      <c r="F22" s="78"/>
      <c r="G22" s="89"/>
      <c r="H22" s="78"/>
      <c r="I22" s="89"/>
      <c r="J22" s="86"/>
      <c r="K22" s="90"/>
      <c r="M22" s="91"/>
      <c r="N22" s="78"/>
      <c r="O22" s="78"/>
      <c r="P22" s="78"/>
      <c r="Q22" s="88"/>
      <c r="R22" s="78"/>
      <c r="S22" s="89"/>
      <c r="T22" s="78"/>
      <c r="U22" s="89"/>
      <c r="V22" s="86"/>
      <c r="W22" s="90"/>
    </row>
    <row r="23" spans="1:23" ht="14">
      <c r="A23" s="5" t="s">
        <v>166</v>
      </c>
      <c r="B23" s="155"/>
      <c r="C23" s="155"/>
      <c r="D23" s="155"/>
      <c r="E23" s="156"/>
      <c r="F23" s="155"/>
      <c r="G23" s="155"/>
      <c r="H23" s="155"/>
      <c r="I23" s="155"/>
      <c r="J23" s="93">
        <f>SUM(J18:J21)</f>
        <v>0.11055833335000001</v>
      </c>
      <c r="K23" s="94">
        <f>SUM(K18:K21)</f>
        <v>1.5371290138888895E-4</v>
      </c>
      <c r="M23" s="5" t="s">
        <v>166</v>
      </c>
      <c r="N23" s="155"/>
      <c r="O23" s="155"/>
      <c r="P23" s="155"/>
      <c r="Q23" s="156"/>
      <c r="R23" s="155"/>
      <c r="S23" s="155"/>
      <c r="T23" s="155"/>
      <c r="U23" s="155"/>
      <c r="V23" s="93">
        <f>SUM(V18:V21)</f>
        <v>8.3909334183333351E-2</v>
      </c>
      <c r="W23" s="94">
        <f>SUM(W18:W21)</f>
        <v>1.38895524408889E-4</v>
      </c>
    </row>
    <row r="24" spans="1:23" ht="17">
      <c r="A24" s="95" t="s">
        <v>168</v>
      </c>
      <c r="B24" s="96"/>
      <c r="C24" s="96"/>
      <c r="D24" s="96"/>
      <c r="E24" s="97"/>
      <c r="F24" s="96"/>
      <c r="G24" s="98" t="s">
        <v>420</v>
      </c>
      <c r="H24" s="96"/>
      <c r="I24" s="96"/>
      <c r="J24" s="99">
        <f>SQRT(J23)</f>
        <v>0.33250313284238392</v>
      </c>
      <c r="K24" s="100"/>
      <c r="M24" s="95" t="s">
        <v>168</v>
      </c>
      <c r="N24" s="96"/>
      <c r="O24" s="96"/>
      <c r="P24" s="96"/>
      <c r="Q24" s="97"/>
      <c r="R24" s="96"/>
      <c r="S24" s="98" t="s">
        <v>420</v>
      </c>
      <c r="T24" s="96"/>
      <c r="U24" s="96"/>
      <c r="V24" s="99">
        <f>SQRT(V23)</f>
        <v>0.28967107930087421</v>
      </c>
      <c r="W24" s="100"/>
    </row>
    <row r="25" spans="1:23" ht="17.5">
      <c r="A25" s="5" t="s">
        <v>169</v>
      </c>
      <c r="B25" s="6"/>
      <c r="C25" s="6"/>
      <c r="D25" s="6"/>
      <c r="E25" s="7"/>
      <c r="F25" s="6"/>
      <c r="G25" s="157" t="s">
        <v>421</v>
      </c>
      <c r="H25" s="6"/>
      <c r="I25" s="6"/>
      <c r="J25" s="101">
        <f>J24^4/(K23)</f>
        <v>79.519317914672229</v>
      </c>
      <c r="K25" s="102"/>
      <c r="M25" s="5" t="s">
        <v>169</v>
      </c>
      <c r="N25" s="6"/>
      <c r="O25" s="6"/>
      <c r="P25" s="6"/>
      <c r="Q25" s="7"/>
      <c r="R25" s="6"/>
      <c r="S25" s="157" t="s">
        <v>421</v>
      </c>
      <c r="T25" s="6"/>
      <c r="U25" s="6"/>
      <c r="V25" s="101">
        <f>V24^4/(W23)</f>
        <v>50.691168005984515</v>
      </c>
      <c r="W25" s="102"/>
    </row>
    <row r="26" spans="1:23" ht="15.5">
      <c r="A26" s="95" t="s">
        <v>170</v>
      </c>
      <c r="B26" s="96"/>
      <c r="C26" s="96"/>
      <c r="D26" s="96"/>
      <c r="E26" s="97"/>
      <c r="F26" s="96"/>
      <c r="G26" s="103" t="s">
        <v>422</v>
      </c>
      <c r="H26" s="96"/>
      <c r="I26" s="96"/>
      <c r="J26" s="104">
        <f>1.95996+(2.37356/J25)+(2.818745/J25^2)+(2.546662/J25^3)+(1.761829/J25^4)+(0.245458/J25^5)+(1.000764/J25^6)</f>
        <v>1.990259726068673</v>
      </c>
      <c r="K26" s="381">
        <f>TINV(0.05,J25)</f>
        <v>1.9904502102301287</v>
      </c>
      <c r="M26" s="95" t="s">
        <v>170</v>
      </c>
      <c r="N26" s="96"/>
      <c r="O26" s="96"/>
      <c r="P26" s="96"/>
      <c r="Q26" s="97"/>
      <c r="R26" s="96"/>
      <c r="S26" s="103" t="s">
        <v>422</v>
      </c>
      <c r="T26" s="96"/>
      <c r="U26" s="96"/>
      <c r="V26" s="104">
        <f>1.95996+(2.37356/V25)+(2.818745/V25^2)+(2.546662/V25^3)+(1.761829/V25^4)+(0.245458/V25^5)+(1.000764/V25^6)</f>
        <v>2.0079007157519606</v>
      </c>
      <c r="W26" s="381">
        <f>TINV(0.05,V25)</f>
        <v>2.0085591121007611</v>
      </c>
    </row>
    <row r="27" spans="1:23" ht="14">
      <c r="A27" s="105" t="s">
        <v>171</v>
      </c>
      <c r="B27" s="106"/>
      <c r="C27" s="106"/>
      <c r="D27" s="106"/>
      <c r="E27" s="107"/>
      <c r="F27" s="106"/>
      <c r="G27" s="108" t="s">
        <v>423</v>
      </c>
      <c r="H27" s="106"/>
      <c r="I27" s="106"/>
      <c r="J27" s="394">
        <f>J24*J26</f>
        <v>0.66176759408785857</v>
      </c>
      <c r="K27" s="109" t="s">
        <v>414</v>
      </c>
      <c r="M27" s="105" t="s">
        <v>171</v>
      </c>
      <c r="N27" s="106"/>
      <c r="O27" s="106"/>
      <c r="P27" s="106"/>
      <c r="Q27" s="107"/>
      <c r="R27" s="106"/>
      <c r="S27" s="108" t="s">
        <v>423</v>
      </c>
      <c r="T27" s="106"/>
      <c r="U27" s="106"/>
      <c r="V27" s="394">
        <f>V24*V26</f>
        <v>0.58163076746086828</v>
      </c>
      <c r="W27" s="109" t="str">
        <f>Q16</f>
        <v>BrPM</v>
      </c>
    </row>
    <row r="28" spans="1:23" ht="13">
      <c r="A28" s="144" t="s">
        <v>405</v>
      </c>
      <c r="B28" s="145"/>
      <c r="C28" s="146">
        <f>ID!D61/60</f>
        <v>2</v>
      </c>
      <c r="D28" s="147" t="s">
        <v>406</v>
      </c>
      <c r="E28" s="390" t="s">
        <v>414</v>
      </c>
      <c r="F28" s="150"/>
      <c r="G28" s="150"/>
      <c r="H28" s="150"/>
      <c r="I28" s="150"/>
      <c r="J28" s="150"/>
      <c r="K28" s="151"/>
      <c r="M28" s="68" t="s">
        <v>407</v>
      </c>
      <c r="N28" s="69"/>
      <c r="O28" s="70">
        <f>ID!D74/60</f>
        <v>1</v>
      </c>
      <c r="P28" s="71" t="s">
        <v>406</v>
      </c>
      <c r="Q28" s="390" t="s">
        <v>408</v>
      </c>
      <c r="R28" s="150"/>
      <c r="S28" s="150"/>
      <c r="T28" s="150"/>
      <c r="U28" s="150"/>
      <c r="V28" s="150"/>
      <c r="W28" s="151"/>
    </row>
    <row r="29" spans="1:23" ht="14">
      <c r="A29" s="72" t="s">
        <v>409</v>
      </c>
      <c r="B29" s="73" t="s">
        <v>410</v>
      </c>
      <c r="C29" s="74" t="s">
        <v>411</v>
      </c>
      <c r="D29" s="73" t="s">
        <v>412</v>
      </c>
      <c r="E29" s="75" t="s">
        <v>413</v>
      </c>
      <c r="F29" s="73" t="s">
        <v>156</v>
      </c>
      <c r="G29" s="74" t="s">
        <v>157</v>
      </c>
      <c r="H29" s="73" t="s">
        <v>158</v>
      </c>
      <c r="I29" s="74" t="s">
        <v>159</v>
      </c>
      <c r="J29" s="73" t="s">
        <v>160</v>
      </c>
      <c r="K29" s="76" t="s">
        <v>161</v>
      </c>
      <c r="M29" s="72" t="s">
        <v>409</v>
      </c>
      <c r="N29" s="73" t="s">
        <v>410</v>
      </c>
      <c r="O29" s="74" t="s">
        <v>411</v>
      </c>
      <c r="P29" s="73" t="s">
        <v>412</v>
      </c>
      <c r="Q29" s="75" t="s">
        <v>413</v>
      </c>
      <c r="R29" s="73" t="s">
        <v>156</v>
      </c>
      <c r="S29" s="74" t="s">
        <v>157</v>
      </c>
      <c r="T29" s="73" t="s">
        <v>158</v>
      </c>
      <c r="U29" s="74" t="s">
        <v>159</v>
      </c>
      <c r="V29" s="73" t="s">
        <v>160</v>
      </c>
      <c r="W29" s="76" t="s">
        <v>161</v>
      </c>
    </row>
    <row r="30" spans="1:23" ht="13">
      <c r="A30" s="82" t="s">
        <v>162</v>
      </c>
      <c r="B30" s="393" t="str">
        <f>E28</f>
        <v>bpm</v>
      </c>
      <c r="C30" s="152" t="s">
        <v>415</v>
      </c>
      <c r="D30" s="386">
        <f>'Input Data ECG Sim'!T274</f>
        <v>1.0000000000000001E-5</v>
      </c>
      <c r="E30" s="153">
        <f>SQRT(6)</f>
        <v>2.4494897427831779</v>
      </c>
      <c r="F30" s="78">
        <v>5</v>
      </c>
      <c r="G30" s="154">
        <f>D30/E30</f>
        <v>4.0824829046386308E-6</v>
      </c>
      <c r="H30" s="79">
        <v>1</v>
      </c>
      <c r="I30" s="154">
        <f>G30*H30</f>
        <v>4.0824829046386308E-6</v>
      </c>
      <c r="J30" s="80">
        <f>I30^2</f>
        <v>1.6666666666666671E-11</v>
      </c>
      <c r="K30" s="81">
        <f>I30^4/F30</f>
        <v>5.5555555555555577E-23</v>
      </c>
      <c r="M30" s="77" t="s">
        <v>162</v>
      </c>
      <c r="N30" s="143" t="str">
        <f>Q28</f>
        <v>BrPM</v>
      </c>
      <c r="O30" s="152" t="s">
        <v>415</v>
      </c>
      <c r="P30" s="386">
        <f>'Input Data ECG Sim'!T284</f>
        <v>1.0000000000000001E-5</v>
      </c>
      <c r="Q30" s="153">
        <f>SQRT(6)</f>
        <v>2.4494897427831779</v>
      </c>
      <c r="R30" s="78">
        <v>5</v>
      </c>
      <c r="S30" s="154">
        <f>P30/Q30</f>
        <v>4.0824829046386308E-6</v>
      </c>
      <c r="T30" s="79">
        <v>1</v>
      </c>
      <c r="U30" s="154">
        <f>S30*T30</f>
        <v>4.0824829046386308E-6</v>
      </c>
      <c r="V30" s="80">
        <f>U30^2</f>
        <v>1.6666666666666671E-11</v>
      </c>
      <c r="W30" s="81">
        <f>U30^4/R30</f>
        <v>5.5555555555555577E-23</v>
      </c>
    </row>
    <row r="31" spans="1:23" ht="13">
      <c r="A31" s="82" t="s">
        <v>416</v>
      </c>
      <c r="B31" s="393" t="str">
        <f>B30</f>
        <v>bpm</v>
      </c>
      <c r="C31" s="83" t="s">
        <v>417</v>
      </c>
      <c r="D31" s="387">
        <f>0.5*1</f>
        <v>0.5</v>
      </c>
      <c r="E31" s="84">
        <f>SQRT(3)</f>
        <v>1.7320508075688772</v>
      </c>
      <c r="F31" s="78">
        <v>50</v>
      </c>
      <c r="G31" s="85">
        <f>D31/E31</f>
        <v>0.28867513459481292</v>
      </c>
      <c r="H31" s="78">
        <v>1</v>
      </c>
      <c r="I31" s="85">
        <f>G31*H31</f>
        <v>0.28867513459481292</v>
      </c>
      <c r="J31" s="86">
        <f>I31^2</f>
        <v>8.3333333333333356E-2</v>
      </c>
      <c r="K31" s="87">
        <f>I31^4/F31</f>
        <v>1.3888888888888897E-4</v>
      </c>
      <c r="M31" s="82" t="s">
        <v>416</v>
      </c>
      <c r="N31" s="143" t="str">
        <f>N30</f>
        <v>BrPM</v>
      </c>
      <c r="O31" s="83" t="s">
        <v>417</v>
      </c>
      <c r="P31" s="387">
        <f>0.5*1</f>
        <v>0.5</v>
      </c>
      <c r="Q31" s="84">
        <f>SQRT(3)</f>
        <v>1.7320508075688772</v>
      </c>
      <c r="R31" s="78">
        <v>50</v>
      </c>
      <c r="S31" s="85">
        <f>P31/Q31</f>
        <v>0.28867513459481292</v>
      </c>
      <c r="T31" s="78">
        <v>1</v>
      </c>
      <c r="U31" s="85">
        <f>S31*T31</f>
        <v>0.28867513459481292</v>
      </c>
      <c r="V31" s="86">
        <f>U31^2</f>
        <v>8.3333333333333356E-2</v>
      </c>
      <c r="W31" s="87">
        <f>U31^4/R31</f>
        <v>1.3888888888888897E-4</v>
      </c>
    </row>
    <row r="32" spans="1:23" ht="13">
      <c r="A32" s="82" t="s">
        <v>418</v>
      </c>
      <c r="B32" s="393" t="str">
        <f>B31</f>
        <v>bpm</v>
      </c>
      <c r="C32" s="392" t="s">
        <v>417</v>
      </c>
      <c r="D32" s="388">
        <f>'Input Data ECG Sim'!W249</f>
        <v>0</v>
      </c>
      <c r="E32" s="88">
        <f>SQRT(3)</f>
        <v>1.7320508075688772</v>
      </c>
      <c r="F32" s="78">
        <v>50</v>
      </c>
      <c r="G32" s="89">
        <f>D32/E32</f>
        <v>0</v>
      </c>
      <c r="H32" s="78">
        <v>1</v>
      </c>
      <c r="I32" s="89">
        <f>G32*H32</f>
        <v>0</v>
      </c>
      <c r="J32" s="86">
        <f>I32^2</f>
        <v>0</v>
      </c>
      <c r="K32" s="90">
        <f>I32^4/F32</f>
        <v>0</v>
      </c>
      <c r="M32" s="77" t="s">
        <v>418</v>
      </c>
      <c r="N32" s="143" t="str">
        <f>N31</f>
        <v>BrPM</v>
      </c>
      <c r="O32" s="78" t="s">
        <v>417</v>
      </c>
      <c r="P32" s="388">
        <f>'Input Data ECG Sim'!W264</f>
        <v>5.0000000000000002E-5</v>
      </c>
      <c r="Q32" s="88">
        <f>SQRT(3)</f>
        <v>1.7320508075688772</v>
      </c>
      <c r="R32" s="78">
        <v>50</v>
      </c>
      <c r="S32" s="89">
        <f>P32/Q32</f>
        <v>2.8867513459481293E-5</v>
      </c>
      <c r="T32" s="78">
        <v>1</v>
      </c>
      <c r="U32" s="89">
        <f>S32*T32</f>
        <v>2.8867513459481293E-5</v>
      </c>
      <c r="V32" s="86">
        <f>U32^2</f>
        <v>8.3333333333333356E-10</v>
      </c>
      <c r="W32" s="90">
        <f>U32^4/R32</f>
        <v>1.3888888888888897E-20</v>
      </c>
    </row>
    <row r="33" spans="1:23" ht="13">
      <c r="A33" s="391" t="s">
        <v>419</v>
      </c>
      <c r="B33" s="393" t="str">
        <f>B32</f>
        <v>bpm</v>
      </c>
      <c r="C33" s="83" t="s">
        <v>415</v>
      </c>
      <c r="D33" s="389">
        <f>'Input Data ECG Sim'!Y249</f>
        <v>0.65999999999999992</v>
      </c>
      <c r="E33" s="92">
        <v>2</v>
      </c>
      <c r="F33" s="78">
        <v>50</v>
      </c>
      <c r="G33" s="85">
        <f>D33/E33</f>
        <v>0.32999999999999996</v>
      </c>
      <c r="H33" s="78">
        <v>1</v>
      </c>
      <c r="I33" s="85">
        <f>G33*H33</f>
        <v>0.32999999999999996</v>
      </c>
      <c r="J33" s="86">
        <f>I33^2</f>
        <v>0.10889999999999997</v>
      </c>
      <c r="K33" s="90">
        <f>I33^4/F33</f>
        <v>2.3718419999999986E-4</v>
      </c>
      <c r="M33" s="91" t="s">
        <v>419</v>
      </c>
      <c r="N33" s="143" t="str">
        <f>N32</f>
        <v>BrPM</v>
      </c>
      <c r="O33" s="83" t="s">
        <v>415</v>
      </c>
      <c r="P33" s="389">
        <f>'Input Data ECG Sim'!Y264</f>
        <v>7.1999999999999995E-2</v>
      </c>
      <c r="Q33" s="92">
        <v>2</v>
      </c>
      <c r="R33" s="78">
        <v>50</v>
      </c>
      <c r="S33" s="85">
        <f>P33/Q33</f>
        <v>3.5999999999999997E-2</v>
      </c>
      <c r="T33" s="78">
        <v>1</v>
      </c>
      <c r="U33" s="85">
        <f>S33*T33</f>
        <v>3.5999999999999997E-2</v>
      </c>
      <c r="V33" s="86">
        <f>U33^2</f>
        <v>1.2959999999999998E-3</v>
      </c>
      <c r="W33" s="90">
        <f>U33^4/R33</f>
        <v>3.359231999999999E-8</v>
      </c>
    </row>
    <row r="34" spans="1:23" ht="13">
      <c r="A34" s="391"/>
      <c r="B34" s="78"/>
      <c r="C34" s="392"/>
      <c r="D34" s="78"/>
      <c r="E34" s="88"/>
      <c r="F34" s="78"/>
      <c r="G34" s="89"/>
      <c r="H34" s="78"/>
      <c r="I34" s="89"/>
      <c r="J34" s="86"/>
      <c r="K34" s="90"/>
      <c r="M34" s="91"/>
      <c r="N34" s="78"/>
      <c r="O34" s="78"/>
      <c r="P34" s="78"/>
      <c r="Q34" s="88"/>
      <c r="R34" s="78"/>
      <c r="S34" s="89"/>
      <c r="T34" s="78"/>
      <c r="U34" s="89"/>
      <c r="V34" s="86"/>
      <c r="W34" s="90"/>
    </row>
    <row r="35" spans="1:23" ht="14">
      <c r="A35" s="5" t="s">
        <v>166</v>
      </c>
      <c r="B35" s="155"/>
      <c r="C35" s="155"/>
      <c r="D35" s="155"/>
      <c r="E35" s="156"/>
      <c r="F35" s="155"/>
      <c r="G35" s="155"/>
      <c r="H35" s="155"/>
      <c r="I35" s="155"/>
      <c r="J35" s="93">
        <f>SUM(J30:J33)</f>
        <v>0.19223333334999998</v>
      </c>
      <c r="K35" s="94">
        <f>SUM(K30:K33)</f>
        <v>3.7607308888888886E-4</v>
      </c>
      <c r="M35" s="5" t="s">
        <v>166</v>
      </c>
      <c r="N35" s="155"/>
      <c r="O35" s="155"/>
      <c r="P35" s="155"/>
      <c r="Q35" s="156"/>
      <c r="R35" s="155"/>
      <c r="S35" s="155"/>
      <c r="T35" s="155"/>
      <c r="U35" s="155"/>
      <c r="V35" s="93">
        <f>SUM(V30:V33)</f>
        <v>8.4629334183333363E-2</v>
      </c>
      <c r="W35" s="94">
        <f>SUM(W30:W33)</f>
        <v>1.3892248120888899E-4</v>
      </c>
    </row>
    <row r="36" spans="1:23" ht="17">
      <c r="A36" s="95" t="s">
        <v>168</v>
      </c>
      <c r="B36" s="96"/>
      <c r="C36" s="96"/>
      <c r="D36" s="96"/>
      <c r="E36" s="97"/>
      <c r="F36" s="96"/>
      <c r="G36" s="98" t="s">
        <v>420</v>
      </c>
      <c r="H36" s="96"/>
      <c r="I36" s="96"/>
      <c r="J36" s="99">
        <f>SQRT(J35)</f>
        <v>0.43844421920011672</v>
      </c>
      <c r="K36" s="100"/>
      <c r="M36" s="95" t="s">
        <v>168</v>
      </c>
      <c r="N36" s="96"/>
      <c r="O36" s="96"/>
      <c r="P36" s="96"/>
      <c r="Q36" s="97"/>
      <c r="R36" s="96"/>
      <c r="S36" s="98" t="s">
        <v>420</v>
      </c>
      <c r="T36" s="96"/>
      <c r="U36" s="96"/>
      <c r="V36" s="99">
        <f>SQRT(V35)</f>
        <v>0.29091121357440547</v>
      </c>
      <c r="W36" s="100"/>
    </row>
    <row r="37" spans="1:23" ht="17.5">
      <c r="A37" s="5" t="s">
        <v>169</v>
      </c>
      <c r="B37" s="6"/>
      <c r="C37" s="6"/>
      <c r="D37" s="6"/>
      <c r="E37" s="7"/>
      <c r="F37" s="6"/>
      <c r="G37" s="157" t="s">
        <v>421</v>
      </c>
      <c r="H37" s="6"/>
      <c r="I37" s="6"/>
      <c r="J37" s="101">
        <f>J36^4/(K35)</f>
        <v>98.261895207743024</v>
      </c>
      <c r="K37" s="102"/>
      <c r="M37" s="5" t="s">
        <v>169</v>
      </c>
      <c r="N37" s="6"/>
      <c r="O37" s="6"/>
      <c r="P37" s="6"/>
      <c r="Q37" s="7"/>
      <c r="R37" s="6"/>
      <c r="S37" s="157" t="s">
        <v>421</v>
      </c>
      <c r="T37" s="6"/>
      <c r="U37" s="6"/>
      <c r="V37" s="101">
        <f>V36^4/(W35)</f>
        <v>51.554824978579809</v>
      </c>
      <c r="W37" s="102"/>
    </row>
    <row r="38" spans="1:23" ht="15.5">
      <c r="A38" s="95" t="s">
        <v>170</v>
      </c>
      <c r="B38" s="96"/>
      <c r="C38" s="96"/>
      <c r="D38" s="96"/>
      <c r="E38" s="97"/>
      <c r="F38" s="96"/>
      <c r="G38" s="103" t="s">
        <v>422</v>
      </c>
      <c r="H38" s="96"/>
      <c r="I38" s="96"/>
      <c r="J38" s="104">
        <f>1.95996+(2.37356/J37)+(2.818745/J37^2)+(2.546662/J37^3)+(1.761829/J37^4)+(0.245458/J37^5)+(1.000764/J37^6)</f>
        <v>1.9844100846777615</v>
      </c>
      <c r="K38" s="381">
        <f>TINV(0.05,J37)</f>
        <v>1.9844674545084788</v>
      </c>
      <c r="M38" s="95" t="s">
        <v>170</v>
      </c>
      <c r="N38" s="96"/>
      <c r="O38" s="96"/>
      <c r="P38" s="96"/>
      <c r="Q38" s="97"/>
      <c r="R38" s="96"/>
      <c r="S38" s="103" t="s">
        <v>422</v>
      </c>
      <c r="T38" s="96"/>
      <c r="U38" s="96"/>
      <c r="V38" s="104">
        <f>1.95996+(2.37356/V37)+(2.818745/V37^2)+(2.546662/V37^3)+(1.761829/V37^4)+(0.245458/V37^5)+(1.000764/V37^6)</f>
        <v>2.0070788827062849</v>
      </c>
      <c r="W38" s="381">
        <f>TINV(0.05,V37)</f>
        <v>2.007583770315835</v>
      </c>
    </row>
    <row r="39" spans="1:23" ht="14.5" thickBot="1">
      <c r="A39" s="105" t="s">
        <v>171</v>
      </c>
      <c r="B39" s="106"/>
      <c r="C39" s="106"/>
      <c r="D39" s="106"/>
      <c r="E39" s="107"/>
      <c r="F39" s="106"/>
      <c r="G39" s="108" t="s">
        <v>423</v>
      </c>
      <c r="H39" s="106"/>
      <c r="I39" s="106"/>
      <c r="J39" s="394">
        <f>J36*J38</f>
        <v>0.87005313014937868</v>
      </c>
      <c r="K39" s="109" t="str">
        <f>E28</f>
        <v>bpm</v>
      </c>
      <c r="M39" s="12" t="s">
        <v>171</v>
      </c>
      <c r="N39" s="13"/>
      <c r="O39" s="13"/>
      <c r="P39" s="13"/>
      <c r="Q39" s="14"/>
      <c r="R39" s="13"/>
      <c r="S39" s="15" t="s">
        <v>423</v>
      </c>
      <c r="T39" s="13"/>
      <c r="U39" s="13"/>
      <c r="V39" s="585">
        <f>V36*V38</f>
        <v>0.58388175350764715</v>
      </c>
      <c r="W39" s="586" t="str">
        <f>Q28</f>
        <v>BrPM</v>
      </c>
    </row>
    <row r="40" spans="1:23" ht="13.5" thickBot="1">
      <c r="A40" s="144" t="s">
        <v>405</v>
      </c>
      <c r="B40" s="145"/>
      <c r="C40" s="146">
        <f>ID!D62/60</f>
        <v>3</v>
      </c>
      <c r="D40" s="147" t="s">
        <v>406</v>
      </c>
      <c r="E40" s="150"/>
      <c r="F40" s="150"/>
      <c r="G40" s="150"/>
      <c r="H40" s="150"/>
      <c r="I40" s="150"/>
      <c r="J40" s="150"/>
      <c r="K40" s="151"/>
      <c r="M40" s="584"/>
      <c r="N40" s="149"/>
      <c r="O40" s="149"/>
      <c r="P40" s="149"/>
      <c r="Q40" s="149"/>
      <c r="R40" s="149"/>
      <c r="S40" s="149"/>
      <c r="T40" s="149"/>
      <c r="U40" s="149"/>
      <c r="V40" s="149"/>
      <c r="W40" s="158"/>
    </row>
    <row r="41" spans="1:23" ht="14">
      <c r="A41" s="72" t="s">
        <v>409</v>
      </c>
      <c r="B41" s="73" t="s">
        <v>410</v>
      </c>
      <c r="C41" s="74" t="s">
        <v>411</v>
      </c>
      <c r="D41" s="73" t="s">
        <v>412</v>
      </c>
      <c r="E41" s="75" t="s">
        <v>413</v>
      </c>
      <c r="F41" s="73" t="s">
        <v>156</v>
      </c>
      <c r="G41" s="74" t="s">
        <v>157</v>
      </c>
      <c r="H41" s="73" t="s">
        <v>158</v>
      </c>
      <c r="I41" s="74" t="s">
        <v>159</v>
      </c>
      <c r="J41" s="73" t="s">
        <v>160</v>
      </c>
      <c r="K41" s="76" t="s">
        <v>161</v>
      </c>
      <c r="M41" s="575"/>
      <c r="N41" s="576"/>
      <c r="O41" s="577"/>
      <c r="P41" s="578"/>
      <c r="Q41" s="579"/>
      <c r="R41" s="579"/>
      <c r="S41" s="579"/>
      <c r="T41" s="579"/>
      <c r="U41" s="579"/>
      <c r="V41" s="579"/>
      <c r="W41" s="580"/>
    </row>
    <row r="42" spans="1:23" ht="14">
      <c r="A42" s="77" t="s">
        <v>162</v>
      </c>
      <c r="B42" s="143" t="s">
        <v>414</v>
      </c>
      <c r="C42" s="152" t="s">
        <v>415</v>
      </c>
      <c r="D42" s="386">
        <f>'Input Data ECG Sim'!T275</f>
        <v>1.0000000000000001E-5</v>
      </c>
      <c r="E42" s="153">
        <f>SQRT(6)</f>
        <v>2.4494897427831779</v>
      </c>
      <c r="F42" s="78">
        <v>5</v>
      </c>
      <c r="G42" s="154">
        <f>D42/E42</f>
        <v>4.0824829046386308E-6</v>
      </c>
      <c r="H42" s="79">
        <v>1</v>
      </c>
      <c r="I42" s="154">
        <f>G42*H42</f>
        <v>4.0824829046386308E-6</v>
      </c>
      <c r="J42" s="80">
        <f>I42^2</f>
        <v>1.6666666666666671E-11</v>
      </c>
      <c r="K42" s="81">
        <f>I42^4/F42</f>
        <v>5.5555555555555577E-23</v>
      </c>
      <c r="M42" s="72"/>
      <c r="N42" s="73"/>
      <c r="O42" s="74"/>
      <c r="P42" s="73"/>
      <c r="Q42" s="75"/>
      <c r="R42" s="73"/>
      <c r="S42" s="74"/>
      <c r="T42" s="73"/>
      <c r="U42" s="74"/>
      <c r="V42" s="73"/>
      <c r="W42" s="76"/>
    </row>
    <row r="43" spans="1:23" ht="13">
      <c r="A43" s="82" t="s">
        <v>416</v>
      </c>
      <c r="B43" s="143" t="s">
        <v>414</v>
      </c>
      <c r="C43" s="83" t="s">
        <v>417</v>
      </c>
      <c r="D43" s="387">
        <f>0.5*1</f>
        <v>0.5</v>
      </c>
      <c r="E43" s="84">
        <f>SQRT(3)</f>
        <v>1.7320508075688772</v>
      </c>
      <c r="F43" s="78">
        <v>50</v>
      </c>
      <c r="G43" s="85">
        <f>D43/E43</f>
        <v>0.28867513459481292</v>
      </c>
      <c r="H43" s="78">
        <v>1</v>
      </c>
      <c r="I43" s="85">
        <f>G43*H43</f>
        <v>0.28867513459481292</v>
      </c>
      <c r="J43" s="86">
        <f>I43^2</f>
        <v>8.3333333333333356E-2</v>
      </c>
      <c r="K43" s="87">
        <f>I43^4/F43</f>
        <v>1.3888888888888897E-4</v>
      </c>
      <c r="M43" s="77"/>
      <c r="N43" s="143"/>
      <c r="O43" s="152"/>
      <c r="P43" s="450"/>
      <c r="Q43" s="153"/>
      <c r="R43" s="78"/>
      <c r="S43" s="154"/>
      <c r="T43" s="79"/>
      <c r="U43" s="154"/>
      <c r="V43" s="80"/>
      <c r="W43" s="81"/>
    </row>
    <row r="44" spans="1:23" ht="13">
      <c r="A44" s="77" t="s">
        <v>418</v>
      </c>
      <c r="B44" s="143" t="s">
        <v>414</v>
      </c>
      <c r="C44" s="78" t="s">
        <v>417</v>
      </c>
      <c r="D44" s="388">
        <f>'Input Data ECG Sim'!W252</f>
        <v>0</v>
      </c>
      <c r="E44" s="88">
        <f>SQRT(3)</f>
        <v>1.7320508075688772</v>
      </c>
      <c r="F44" s="78">
        <v>50</v>
      </c>
      <c r="G44" s="89">
        <f>D44/E44</f>
        <v>0</v>
      </c>
      <c r="H44" s="78">
        <v>1</v>
      </c>
      <c r="I44" s="89">
        <f>G44*H44</f>
        <v>0</v>
      </c>
      <c r="J44" s="86">
        <f>I44^2</f>
        <v>0</v>
      </c>
      <c r="K44" s="90">
        <f>I44^4/F44</f>
        <v>0</v>
      </c>
      <c r="M44" s="82"/>
      <c r="N44" s="143"/>
      <c r="O44" s="83"/>
      <c r="P44" s="451"/>
      <c r="Q44" s="84"/>
      <c r="R44" s="78"/>
      <c r="S44" s="85"/>
      <c r="T44" s="78"/>
      <c r="U44" s="85"/>
      <c r="V44" s="86"/>
      <c r="W44" s="87"/>
    </row>
    <row r="45" spans="1:23" ht="13">
      <c r="A45" s="91" t="s">
        <v>419</v>
      </c>
      <c r="B45" s="143" t="s">
        <v>414</v>
      </c>
      <c r="C45" s="83" t="s">
        <v>415</v>
      </c>
      <c r="D45" s="389">
        <f>'Input Data ECG Sim'!Y252</f>
        <v>0.99</v>
      </c>
      <c r="E45" s="92">
        <v>2</v>
      </c>
      <c r="F45" s="78">
        <v>50</v>
      </c>
      <c r="G45" s="85">
        <f>D45/E45</f>
        <v>0.495</v>
      </c>
      <c r="H45" s="78">
        <v>1</v>
      </c>
      <c r="I45" s="85">
        <f>G45*H45</f>
        <v>0.495</v>
      </c>
      <c r="J45" s="86">
        <f>I45^2</f>
        <v>0.24502499999999999</v>
      </c>
      <c r="K45" s="90">
        <f>I45^4/F45</f>
        <v>1.2007450125E-3</v>
      </c>
      <c r="M45" s="91"/>
      <c r="N45" s="78"/>
      <c r="O45" s="78"/>
      <c r="P45" s="78"/>
      <c r="Q45" s="88"/>
      <c r="R45" s="78"/>
      <c r="S45" s="89"/>
      <c r="T45" s="78"/>
      <c r="U45" s="89"/>
      <c r="V45" s="86"/>
      <c r="W45" s="90"/>
    </row>
    <row r="46" spans="1:23" ht="14">
      <c r="A46" s="91"/>
      <c r="B46" s="78"/>
      <c r="C46" s="78"/>
      <c r="D46" s="78"/>
      <c r="E46" s="88"/>
      <c r="F46" s="78"/>
      <c r="G46" s="89"/>
      <c r="H46" s="78"/>
      <c r="I46" s="89"/>
      <c r="J46" s="86"/>
      <c r="K46" s="90"/>
      <c r="M46" s="5"/>
      <c r="N46" s="155"/>
      <c r="O46" s="155"/>
      <c r="P46" s="155"/>
      <c r="Q46" s="156"/>
      <c r="R46" s="155"/>
      <c r="S46" s="155"/>
      <c r="T46" s="155"/>
      <c r="U46" s="155"/>
      <c r="V46" s="93"/>
      <c r="W46" s="94"/>
    </row>
    <row r="47" spans="1:23" ht="17">
      <c r="A47" s="5" t="s">
        <v>166</v>
      </c>
      <c r="B47" s="155"/>
      <c r="C47" s="155"/>
      <c r="D47" s="155"/>
      <c r="E47" s="156"/>
      <c r="F47" s="155"/>
      <c r="G47" s="155"/>
      <c r="H47" s="155"/>
      <c r="I47" s="155"/>
      <c r="J47" s="93">
        <f>SUM(J42:J45)</f>
        <v>0.32835833335000003</v>
      </c>
      <c r="K47" s="94">
        <f>SUM(K42:K45)</f>
        <v>1.3396339013888889E-3</v>
      </c>
      <c r="M47" s="95"/>
      <c r="N47" s="96"/>
      <c r="O47" s="96"/>
      <c r="P47" s="96"/>
      <c r="Q47" s="97"/>
      <c r="R47" s="96"/>
      <c r="S47" s="98"/>
      <c r="T47" s="96"/>
      <c r="U47" s="96"/>
      <c r="V47" s="99"/>
      <c r="W47" s="100"/>
    </row>
    <row r="48" spans="1:23" ht="17">
      <c r="A48" s="95" t="s">
        <v>168</v>
      </c>
      <c r="B48" s="96"/>
      <c r="C48" s="96"/>
      <c r="D48" s="96"/>
      <c r="E48" s="97"/>
      <c r="F48" s="96"/>
      <c r="G48" s="98" t="s">
        <v>420</v>
      </c>
      <c r="H48" s="96"/>
      <c r="I48" s="96"/>
      <c r="J48" s="99">
        <f>SQRT(J47)</f>
        <v>0.57302559571977241</v>
      </c>
      <c r="K48" s="100"/>
      <c r="M48" s="5"/>
      <c r="N48" s="6"/>
      <c r="O48" s="6"/>
      <c r="P48" s="6"/>
      <c r="Q48" s="7"/>
      <c r="R48" s="6"/>
      <c r="S48" s="157"/>
      <c r="T48" s="6"/>
      <c r="U48" s="6"/>
      <c r="V48" s="101"/>
      <c r="W48" s="102"/>
    </row>
    <row r="49" spans="1:23" ht="17.5">
      <c r="A49" s="5" t="s">
        <v>169</v>
      </c>
      <c r="B49" s="6"/>
      <c r="C49" s="6"/>
      <c r="D49" s="6"/>
      <c r="E49" s="7"/>
      <c r="F49" s="6"/>
      <c r="G49" s="157" t="s">
        <v>421</v>
      </c>
      <c r="H49" s="6"/>
      <c r="I49" s="6"/>
      <c r="J49" s="101">
        <f>J48^4/(K47)</f>
        <v>80.484074767446771</v>
      </c>
      <c r="K49" s="102"/>
      <c r="M49" s="95"/>
      <c r="N49" s="96"/>
      <c r="O49" s="96"/>
      <c r="P49" s="96"/>
      <c r="Q49" s="97"/>
      <c r="R49" s="96"/>
      <c r="S49" s="103"/>
      <c r="T49" s="96"/>
      <c r="U49" s="96"/>
      <c r="V49" s="104"/>
      <c r="W49" s="100"/>
    </row>
    <row r="50" spans="1:23" ht="15.5">
      <c r="A50" s="95" t="s">
        <v>170</v>
      </c>
      <c r="B50" s="96"/>
      <c r="C50" s="96"/>
      <c r="D50" s="96"/>
      <c r="E50" s="97"/>
      <c r="F50" s="96"/>
      <c r="G50" s="103" t="s">
        <v>422</v>
      </c>
      <c r="H50" s="96"/>
      <c r="I50" s="96"/>
      <c r="J50" s="104">
        <f>1.95996+(2.37356/J49)+(2.818745/J49^2)+(2.546662/J49^3)+(1.761829/J49^4)+(0.245458/J49^5)+(1.000764/J49^6)</f>
        <v>1.9898911252631488</v>
      </c>
      <c r="K50" s="381">
        <f>TINV(0.05,J49)</f>
        <v>1.9900634212544475</v>
      </c>
      <c r="M50" s="105"/>
      <c r="N50" s="106"/>
      <c r="O50" s="106"/>
      <c r="P50" s="106"/>
      <c r="Q50" s="107"/>
      <c r="R50" s="106"/>
      <c r="S50" s="108"/>
      <c r="T50" s="106"/>
      <c r="U50" s="106"/>
      <c r="V50" s="454"/>
      <c r="W50" s="109"/>
    </row>
    <row r="51" spans="1:23" ht="15.5">
      <c r="A51" s="105" t="s">
        <v>171</v>
      </c>
      <c r="B51" s="106"/>
      <c r="C51" s="106"/>
      <c r="D51" s="106"/>
      <c r="E51" s="107"/>
      <c r="F51" s="106"/>
      <c r="G51" s="108" t="s">
        <v>423</v>
      </c>
      <c r="H51" s="106"/>
      <c r="I51" s="106"/>
      <c r="J51" s="394">
        <f>J48*J50</f>
        <v>1.1402585474714042</v>
      </c>
      <c r="K51" s="109" t="s">
        <v>414</v>
      </c>
      <c r="M51" s="587"/>
      <c r="N51" s="515"/>
      <c r="O51" s="515"/>
      <c r="P51" s="515"/>
      <c r="Q51" s="516"/>
      <c r="R51" s="515"/>
      <c r="S51" s="519"/>
      <c r="T51" s="515"/>
      <c r="U51" s="515"/>
      <c r="V51" s="520"/>
      <c r="W51" s="588"/>
    </row>
    <row r="52" spans="1:23" ht="13">
      <c r="A52" s="68" t="s">
        <v>407</v>
      </c>
      <c r="B52" s="69"/>
      <c r="C52" s="148">
        <f>ID!D71/60</f>
        <v>0.33333333333333331</v>
      </c>
      <c r="D52" s="71" t="s">
        <v>406</v>
      </c>
      <c r="E52" s="390" t="s">
        <v>408</v>
      </c>
      <c r="F52" s="150"/>
      <c r="G52" s="150"/>
      <c r="H52" s="150"/>
      <c r="I52" s="150"/>
      <c r="J52" s="150"/>
      <c r="K52" s="151"/>
      <c r="M52" s="144"/>
      <c r="N52" s="145"/>
      <c r="O52" s="146"/>
      <c r="P52" s="147"/>
      <c r="Q52" s="150"/>
      <c r="R52" s="150"/>
      <c r="S52" s="150"/>
      <c r="T52" s="150"/>
      <c r="U52" s="150"/>
      <c r="V52" s="150"/>
      <c r="W52" s="151"/>
    </row>
    <row r="53" spans="1:23" ht="14">
      <c r="A53" s="72" t="s">
        <v>409</v>
      </c>
      <c r="B53" s="73" t="s">
        <v>410</v>
      </c>
      <c r="C53" s="74" t="s">
        <v>411</v>
      </c>
      <c r="D53" s="73" t="s">
        <v>412</v>
      </c>
      <c r="E53" s="75" t="s">
        <v>413</v>
      </c>
      <c r="F53" s="73" t="s">
        <v>156</v>
      </c>
      <c r="G53" s="74" t="s">
        <v>157</v>
      </c>
      <c r="H53" s="73" t="s">
        <v>158</v>
      </c>
      <c r="I53" s="74" t="s">
        <v>159</v>
      </c>
      <c r="J53" s="73" t="s">
        <v>160</v>
      </c>
      <c r="K53" s="76" t="s">
        <v>161</v>
      </c>
      <c r="M53" s="72"/>
      <c r="N53" s="73"/>
      <c r="O53" s="74"/>
      <c r="P53" s="73"/>
      <c r="Q53" s="75"/>
      <c r="R53" s="73"/>
      <c r="S53" s="74"/>
      <c r="T53" s="73"/>
      <c r="U53" s="74"/>
      <c r="V53" s="73"/>
      <c r="W53" s="76"/>
    </row>
    <row r="54" spans="1:23" ht="13">
      <c r="A54" s="77" t="s">
        <v>162</v>
      </c>
      <c r="B54" s="143" t="str">
        <f>E52</f>
        <v>BrPM</v>
      </c>
      <c r="C54" s="152" t="s">
        <v>415</v>
      </c>
      <c r="D54" s="382">
        <f>'Input Data ECG Sim'!T281</f>
        <v>1.0000000000000001E-5</v>
      </c>
      <c r="E54" s="153">
        <f>SQRT(6)</f>
        <v>2.4494897427831779</v>
      </c>
      <c r="F54" s="78">
        <v>5</v>
      </c>
      <c r="G54" s="154">
        <f>D54/E54</f>
        <v>4.0824829046386308E-6</v>
      </c>
      <c r="H54" s="79">
        <v>1</v>
      </c>
      <c r="I54" s="154">
        <f>G54*H54</f>
        <v>4.0824829046386308E-6</v>
      </c>
      <c r="J54" s="80">
        <f>I54^2</f>
        <v>1.6666666666666671E-11</v>
      </c>
      <c r="K54" s="81">
        <f>I54^4/F54</f>
        <v>5.5555555555555577E-23</v>
      </c>
      <c r="M54" s="77"/>
      <c r="N54" s="143"/>
      <c r="O54" s="152"/>
      <c r="P54" s="450"/>
      <c r="Q54" s="153"/>
      <c r="R54" s="78"/>
      <c r="S54" s="154"/>
      <c r="T54" s="79"/>
      <c r="U54" s="154"/>
      <c r="V54" s="80"/>
      <c r="W54" s="81"/>
    </row>
    <row r="55" spans="1:23" ht="13">
      <c r="A55" s="82" t="s">
        <v>416</v>
      </c>
      <c r="B55" s="143" t="str">
        <f>B54</f>
        <v>BrPM</v>
      </c>
      <c r="C55" s="83" t="s">
        <v>417</v>
      </c>
      <c r="D55" s="383">
        <f>0.5*1</f>
        <v>0.5</v>
      </c>
      <c r="E55" s="84">
        <f>SQRT(3)</f>
        <v>1.7320508075688772</v>
      </c>
      <c r="F55" s="78">
        <v>50</v>
      </c>
      <c r="G55" s="85">
        <f>D55/E55</f>
        <v>0.28867513459481292</v>
      </c>
      <c r="H55" s="78">
        <v>1</v>
      </c>
      <c r="I55" s="85">
        <f>G55*H55</f>
        <v>0.28867513459481292</v>
      </c>
      <c r="J55" s="86">
        <f>I55^2</f>
        <v>8.3333333333333356E-2</v>
      </c>
      <c r="K55" s="87">
        <f>I55^4/F55</f>
        <v>1.3888888888888897E-4</v>
      </c>
      <c r="M55" s="82"/>
      <c r="N55" s="143"/>
      <c r="O55" s="83"/>
      <c r="P55" s="451"/>
      <c r="Q55" s="84"/>
      <c r="R55" s="78"/>
      <c r="S55" s="85"/>
      <c r="T55" s="78"/>
      <c r="U55" s="85"/>
      <c r="V55" s="86"/>
      <c r="W55" s="87"/>
    </row>
    <row r="56" spans="1:23" ht="13">
      <c r="A56" s="77" t="s">
        <v>418</v>
      </c>
      <c r="B56" s="143" t="str">
        <f>B55</f>
        <v>BrPM</v>
      </c>
      <c r="C56" s="78" t="s">
        <v>417</v>
      </c>
      <c r="D56" s="384">
        <f>'Input Data ECG Sim'!W255</f>
        <v>5.0000000000000002E-5</v>
      </c>
      <c r="E56" s="88">
        <f>SQRT(3)</f>
        <v>1.7320508075688772</v>
      </c>
      <c r="F56" s="78">
        <v>50</v>
      </c>
      <c r="G56" s="89">
        <f>D56/E56</f>
        <v>2.8867513459481293E-5</v>
      </c>
      <c r="H56" s="78">
        <v>1</v>
      </c>
      <c r="I56" s="89">
        <f>G56*H56</f>
        <v>2.8867513459481293E-5</v>
      </c>
      <c r="J56" s="86">
        <f>I56^2</f>
        <v>8.3333333333333356E-10</v>
      </c>
      <c r="K56" s="90">
        <f>I56^4/F56</f>
        <v>1.3888888888888897E-20</v>
      </c>
      <c r="M56" s="91"/>
      <c r="N56" s="78"/>
      <c r="O56" s="78"/>
      <c r="P56" s="78"/>
      <c r="Q56" s="88"/>
      <c r="R56" s="78"/>
      <c r="S56" s="89"/>
      <c r="T56" s="78"/>
      <c r="U56" s="89"/>
      <c r="V56" s="86"/>
      <c r="W56" s="90"/>
    </row>
    <row r="57" spans="1:23" ht="14">
      <c r="A57" s="91" t="s">
        <v>419</v>
      </c>
      <c r="B57" s="143" t="str">
        <f>B56</f>
        <v>BrPM</v>
      </c>
      <c r="C57" s="83" t="s">
        <v>415</v>
      </c>
      <c r="D57" s="385">
        <f>'Input Data ECG Sim'!Y255</f>
        <v>2.3999999999999997E-2</v>
      </c>
      <c r="E57" s="92">
        <v>2</v>
      </c>
      <c r="F57" s="78">
        <v>50</v>
      </c>
      <c r="G57" s="85">
        <f>D57/E57</f>
        <v>1.1999999999999999E-2</v>
      </c>
      <c r="H57" s="78">
        <v>1</v>
      </c>
      <c r="I57" s="85">
        <f>G57*H57</f>
        <v>1.1999999999999999E-2</v>
      </c>
      <c r="J57" s="86">
        <f>I57^2</f>
        <v>1.4399999999999998E-4</v>
      </c>
      <c r="K57" s="90">
        <f>I57^4/F57</f>
        <v>4.1471999999999989E-10</v>
      </c>
      <c r="M57" s="5"/>
      <c r="N57" s="155"/>
      <c r="O57" s="155"/>
      <c r="P57" s="155"/>
      <c r="Q57" s="156"/>
      <c r="R57" s="155"/>
      <c r="S57" s="155"/>
      <c r="T57" s="155"/>
      <c r="U57" s="155"/>
      <c r="V57" s="93"/>
      <c r="W57" s="94"/>
    </row>
    <row r="58" spans="1:23" ht="17">
      <c r="A58" s="91"/>
      <c r="B58" s="78"/>
      <c r="C58" s="78"/>
      <c r="D58" s="78"/>
      <c r="E58" s="88"/>
      <c r="F58" s="78"/>
      <c r="G58" s="89"/>
      <c r="H58" s="78"/>
      <c r="I58" s="89"/>
      <c r="J58" s="86"/>
      <c r="K58" s="90"/>
      <c r="M58" s="95"/>
      <c r="N58" s="96"/>
      <c r="O58" s="96"/>
      <c r="P58" s="96"/>
      <c r="Q58" s="97"/>
      <c r="R58" s="96"/>
      <c r="S58" s="98"/>
      <c r="T58" s="96"/>
      <c r="U58" s="96"/>
      <c r="V58" s="99"/>
      <c r="W58" s="100"/>
    </row>
    <row r="59" spans="1:23" ht="14">
      <c r="A59" s="5" t="s">
        <v>166</v>
      </c>
      <c r="B59" s="155"/>
      <c r="C59" s="155"/>
      <c r="D59" s="155"/>
      <c r="E59" s="156"/>
      <c r="F59" s="155"/>
      <c r="G59" s="155"/>
      <c r="H59" s="155"/>
      <c r="I59" s="155"/>
      <c r="J59" s="93">
        <f>SUM(J54:J57)</f>
        <v>8.3477334183333363E-2</v>
      </c>
      <c r="K59" s="94">
        <f>SUM(K54:K57)</f>
        <v>1.3888930360888898E-4</v>
      </c>
      <c r="M59" s="5"/>
      <c r="N59" s="6"/>
      <c r="O59" s="6"/>
      <c r="P59" s="6"/>
      <c r="Q59" s="7"/>
      <c r="R59" s="6"/>
      <c r="S59" s="157"/>
      <c r="T59" s="6"/>
      <c r="U59" s="6"/>
      <c r="V59" s="101"/>
      <c r="W59" s="102"/>
    </row>
    <row r="60" spans="1:23" ht="17">
      <c r="A60" s="95" t="s">
        <v>168</v>
      </c>
      <c r="B60" s="96"/>
      <c r="C60" s="96"/>
      <c r="D60" s="96"/>
      <c r="E60" s="97"/>
      <c r="F60" s="96"/>
      <c r="G60" s="98" t="s">
        <v>420</v>
      </c>
      <c r="H60" s="96"/>
      <c r="I60" s="96"/>
      <c r="J60" s="99">
        <f>SQRT(J59)</f>
        <v>0.28892444372765236</v>
      </c>
      <c r="K60" s="100"/>
      <c r="M60" s="95"/>
      <c r="N60" s="96"/>
      <c r="O60" s="96"/>
      <c r="P60" s="96"/>
      <c r="Q60" s="97"/>
      <c r="R60" s="96"/>
      <c r="S60" s="103"/>
      <c r="T60" s="96"/>
      <c r="U60" s="96"/>
      <c r="V60" s="104"/>
      <c r="W60" s="100"/>
    </row>
    <row r="61" spans="1:23" ht="17.5">
      <c r="A61" s="5" t="s">
        <v>169</v>
      </c>
      <c r="B61" s="6"/>
      <c r="C61" s="6"/>
      <c r="D61" s="6"/>
      <c r="E61" s="7"/>
      <c r="F61" s="6"/>
      <c r="G61" s="157" t="s">
        <v>421</v>
      </c>
      <c r="H61" s="6"/>
      <c r="I61" s="6"/>
      <c r="J61" s="101">
        <f>J60^4/(K59)</f>
        <v>50.172800505783009</v>
      </c>
      <c r="K61" s="102"/>
      <c r="M61" s="105"/>
      <c r="N61" s="106"/>
      <c r="O61" s="106"/>
      <c r="P61" s="106"/>
      <c r="Q61" s="107"/>
      <c r="R61" s="106"/>
      <c r="S61" s="108"/>
      <c r="T61" s="106"/>
      <c r="U61" s="106"/>
      <c r="V61" s="454"/>
      <c r="W61" s="109"/>
    </row>
    <row r="62" spans="1:23" ht="15.5">
      <c r="A62" s="95" t="s">
        <v>170</v>
      </c>
      <c r="B62" s="96"/>
      <c r="C62" s="96"/>
      <c r="D62" s="96"/>
      <c r="E62" s="97"/>
      <c r="F62" s="96"/>
      <c r="G62" s="103" t="s">
        <v>422</v>
      </c>
      <c r="H62" s="96"/>
      <c r="I62" s="96"/>
      <c r="J62" s="104">
        <f>1.95996+(2.37356/J61)+(2.818745/J61^2)+(2.546662/J61^3)+(1.761829/J61^4)+(0.245458/J61^5)+(1.000764/J61^6)</f>
        <v>2.0084078914029382</v>
      </c>
      <c r="K62" s="381">
        <f>TINV(0.05,J61)</f>
        <v>2.0085591121007611</v>
      </c>
      <c r="M62" s="587"/>
      <c r="N62" s="515"/>
      <c r="O62" s="515"/>
      <c r="P62" s="515"/>
      <c r="Q62" s="516"/>
      <c r="R62" s="515"/>
      <c r="S62" s="517"/>
      <c r="T62" s="515"/>
      <c r="U62" s="515"/>
      <c r="V62" s="518"/>
      <c r="W62" s="571"/>
    </row>
    <row r="63" spans="1:23" ht="14">
      <c r="A63" s="105" t="s">
        <v>171</v>
      </c>
      <c r="B63" s="106"/>
      <c r="C63" s="106"/>
      <c r="D63" s="106"/>
      <c r="E63" s="107"/>
      <c r="F63" s="106"/>
      <c r="G63" s="108" t="s">
        <v>423</v>
      </c>
      <c r="H63" s="106"/>
      <c r="I63" s="106"/>
      <c r="J63" s="394">
        <f>J60*J62</f>
        <v>0.58027813280182117</v>
      </c>
      <c r="K63" s="109" t="str">
        <f>E52</f>
        <v>BrPM</v>
      </c>
      <c r="M63" s="144"/>
      <c r="N63" s="145"/>
      <c r="O63" s="146"/>
      <c r="P63" s="147"/>
      <c r="Q63" s="150"/>
      <c r="R63" s="150"/>
      <c r="S63" s="150"/>
      <c r="T63" s="150"/>
      <c r="U63" s="150"/>
      <c r="V63" s="150"/>
      <c r="W63" s="151"/>
    </row>
    <row r="64" spans="1:23" ht="14.5" thickBot="1">
      <c r="A64" s="12"/>
      <c r="B64" s="13"/>
      <c r="C64" s="13"/>
      <c r="D64" s="13"/>
      <c r="E64" s="14"/>
      <c r="F64" s="13"/>
      <c r="G64" s="15"/>
      <c r="H64" s="13"/>
      <c r="I64" s="13"/>
      <c r="J64" s="16"/>
      <c r="K64" s="581"/>
      <c r="M64" s="72"/>
      <c r="N64" s="73"/>
      <c r="O64" s="74"/>
      <c r="P64" s="73"/>
      <c r="Q64" s="75"/>
      <c r="R64" s="73"/>
      <c r="S64" s="74"/>
      <c r="T64" s="73"/>
      <c r="U64" s="74"/>
      <c r="V64" s="73"/>
      <c r="W64" s="76"/>
    </row>
    <row r="65" spans="1:35" ht="14">
      <c r="A65" s="5"/>
      <c r="B65" s="6"/>
      <c r="C65" s="6"/>
      <c r="D65" s="6"/>
      <c r="E65" s="7"/>
      <c r="F65" s="6"/>
      <c r="G65" s="66"/>
      <c r="H65" s="6"/>
      <c r="I65" s="6"/>
      <c r="J65" s="67"/>
      <c r="K65" s="65"/>
      <c r="M65" s="77"/>
      <c r="N65" s="143"/>
      <c r="O65" s="152"/>
      <c r="P65" s="450"/>
      <c r="Q65" s="153"/>
      <c r="R65" s="78"/>
      <c r="S65" s="154"/>
      <c r="T65" s="79"/>
      <c r="U65" s="154"/>
      <c r="V65" s="80"/>
      <c r="W65" s="81"/>
    </row>
    <row r="66" spans="1:35" ht="13">
      <c r="M66" s="82"/>
      <c r="N66" s="143"/>
      <c r="O66" s="83"/>
      <c r="P66" s="451"/>
      <c r="Q66" s="84"/>
      <c r="R66" s="78"/>
      <c r="S66" s="85"/>
      <c r="T66" s="78"/>
      <c r="U66" s="85"/>
      <c r="V66" s="86"/>
      <c r="W66" s="87"/>
    </row>
    <row r="67" spans="1:35" ht="13">
      <c r="A67" s="574"/>
      <c r="B67" s="574"/>
      <c r="C67" s="574"/>
      <c r="D67" s="574"/>
      <c r="E67" s="574"/>
      <c r="F67" s="574"/>
      <c r="G67" s="574"/>
      <c r="H67" s="574"/>
      <c r="I67" s="574"/>
      <c r="J67" s="574"/>
      <c r="K67" s="574"/>
      <c r="L67" s="574"/>
      <c r="M67" s="91"/>
      <c r="N67" s="78"/>
      <c r="O67" s="78"/>
      <c r="P67" s="78"/>
      <c r="Q67" s="88"/>
      <c r="R67" s="78"/>
      <c r="S67" s="89"/>
      <c r="T67" s="78"/>
      <c r="U67" s="89"/>
      <c r="V67" s="86"/>
      <c r="W67" s="90"/>
    </row>
    <row r="68" spans="1:35" ht="15" customHeight="1">
      <c r="L68" s="149"/>
      <c r="M68" s="5"/>
      <c r="N68" s="155"/>
      <c r="O68" s="155"/>
      <c r="P68" s="155"/>
      <c r="Q68" s="156"/>
      <c r="R68" s="155"/>
      <c r="S68" s="155"/>
      <c r="T68" s="155"/>
      <c r="U68" s="155"/>
      <c r="V68" s="93"/>
      <c r="W68" s="94"/>
    </row>
    <row r="69" spans="1:35" ht="17">
      <c r="L69" s="149"/>
      <c r="M69" s="95"/>
      <c r="N69" s="96"/>
      <c r="O69" s="96"/>
      <c r="P69" s="96"/>
      <c r="Q69" s="97"/>
      <c r="R69" s="96"/>
      <c r="S69" s="98"/>
      <c r="T69" s="96"/>
      <c r="U69" s="96"/>
      <c r="V69" s="99"/>
      <c r="W69" s="100"/>
    </row>
    <row r="70" spans="1:35" ht="14">
      <c r="L70" s="149"/>
      <c r="M70" s="5"/>
      <c r="N70" s="6"/>
      <c r="O70" s="6"/>
      <c r="P70" s="6"/>
      <c r="Q70" s="7"/>
      <c r="R70" s="6"/>
      <c r="S70" s="157"/>
      <c r="T70" s="6"/>
      <c r="U70" s="6"/>
      <c r="V70" s="101"/>
      <c r="W70" s="102"/>
    </row>
    <row r="71" spans="1:35" ht="15.5">
      <c r="L71" s="149"/>
      <c r="M71" s="95"/>
      <c r="N71" s="96"/>
      <c r="O71" s="96"/>
      <c r="P71" s="96"/>
      <c r="Q71" s="97"/>
      <c r="R71" s="96"/>
      <c r="S71" s="103"/>
      <c r="T71" s="96"/>
      <c r="U71" s="96"/>
      <c r="V71" s="104"/>
      <c r="W71" s="100"/>
    </row>
    <row r="72" spans="1:35" ht="16.5" customHeight="1" thickBot="1">
      <c r="L72" s="149"/>
      <c r="M72" s="12"/>
      <c r="N72" s="13"/>
      <c r="O72" s="13"/>
      <c r="P72" s="13"/>
      <c r="Q72" s="14"/>
      <c r="R72" s="13"/>
      <c r="S72" s="15"/>
      <c r="T72" s="13"/>
      <c r="U72" s="13"/>
      <c r="V72" s="589"/>
      <c r="W72" s="586"/>
    </row>
    <row r="73" spans="1:35" ht="15" customHeight="1">
      <c r="L73" s="149"/>
    </row>
    <row r="74" spans="1:35" ht="15" customHeight="1" thickBot="1">
      <c r="W74" s="113" t="s">
        <v>403</v>
      </c>
    </row>
    <row r="75" spans="1:35" ht="15" customHeight="1">
      <c r="A75" s="2003" t="s">
        <v>404</v>
      </c>
      <c r="B75" s="2004"/>
      <c r="C75" s="2004"/>
      <c r="D75" s="2004"/>
      <c r="E75" s="2004"/>
      <c r="F75" s="2004"/>
      <c r="G75" s="2004"/>
      <c r="H75" s="2004"/>
      <c r="I75" s="2004"/>
      <c r="J75" s="2004"/>
      <c r="K75" s="2004"/>
      <c r="L75" s="2004"/>
      <c r="M75" s="2004"/>
      <c r="N75" s="2004"/>
      <c r="O75" s="2004"/>
      <c r="P75" s="2004"/>
      <c r="Q75" s="2004"/>
      <c r="R75" s="2004"/>
      <c r="S75" s="2004"/>
      <c r="T75" s="2004"/>
      <c r="U75" s="2004"/>
      <c r="V75" s="2004"/>
      <c r="W75" s="2005"/>
    </row>
    <row r="76" spans="1:35" ht="15" customHeight="1">
      <c r="A76" s="144"/>
      <c r="B76" s="145"/>
      <c r="C76" s="162"/>
      <c r="D76" s="147"/>
      <c r="E76" s="150"/>
      <c r="F76" s="150"/>
      <c r="G76" s="150"/>
      <c r="H76" s="150"/>
      <c r="I76" s="150"/>
      <c r="J76" s="150"/>
      <c r="K76" s="150"/>
      <c r="L76" s="161"/>
      <c r="M76" s="144"/>
      <c r="N76" s="145"/>
      <c r="O76" s="162"/>
      <c r="P76" s="147"/>
      <c r="Q76" s="150"/>
      <c r="R76" s="150"/>
      <c r="S76" s="150"/>
      <c r="T76" s="150"/>
      <c r="U76" s="150"/>
      <c r="V76" s="150"/>
      <c r="W76" s="151"/>
      <c r="Y76" s="455"/>
      <c r="Z76" s="455"/>
      <c r="AA76" s="455"/>
      <c r="AB76" s="455"/>
      <c r="AC76" s="455"/>
      <c r="AD76" s="455"/>
      <c r="AE76" s="455"/>
      <c r="AF76" s="455"/>
      <c r="AG76" s="455"/>
      <c r="AH76" s="455"/>
      <c r="AI76" s="455"/>
    </row>
    <row r="77" spans="1:35" ht="15" customHeight="1">
      <c r="A77" s="72"/>
      <c r="B77" s="73"/>
      <c r="C77" s="74"/>
      <c r="D77" s="73"/>
      <c r="E77" s="75"/>
      <c r="F77" s="73"/>
      <c r="G77" s="74"/>
      <c r="H77" s="73"/>
      <c r="I77" s="74"/>
      <c r="J77" s="73"/>
      <c r="K77" s="76"/>
      <c r="L77" s="161"/>
      <c r="M77" s="72"/>
      <c r="N77" s="73"/>
      <c r="O77" s="74"/>
      <c r="P77" s="73"/>
      <c r="Q77" s="75"/>
      <c r="R77" s="73"/>
      <c r="S77" s="74"/>
      <c r="T77" s="73"/>
      <c r="U77" s="74"/>
      <c r="V77" s="73"/>
      <c r="W77" s="76"/>
      <c r="Y77" s="456"/>
      <c r="Z77" s="457"/>
      <c r="AA77" s="457"/>
      <c r="AB77" s="458"/>
      <c r="AC77" s="459"/>
      <c r="AD77" s="457"/>
      <c r="AE77" s="459"/>
      <c r="AF77" s="457"/>
      <c r="AG77" s="459"/>
      <c r="AH77" s="460"/>
      <c r="AI77" s="461"/>
    </row>
    <row r="78" spans="1:35" ht="15" customHeight="1">
      <c r="A78" s="77"/>
      <c r="B78" s="143"/>
      <c r="C78" s="152"/>
      <c r="D78" s="450"/>
      <c r="E78" s="153"/>
      <c r="F78" s="78"/>
      <c r="G78" s="154"/>
      <c r="H78" s="79"/>
      <c r="I78" s="154"/>
      <c r="J78" s="80"/>
      <c r="K78" s="81"/>
      <c r="L78" s="161"/>
      <c r="M78" s="77"/>
      <c r="N78" s="143"/>
      <c r="O78" s="152"/>
      <c r="P78" s="450"/>
      <c r="Q78" s="153"/>
      <c r="R78" s="78"/>
      <c r="S78" s="154"/>
      <c r="T78" s="79"/>
      <c r="U78" s="154"/>
      <c r="V78" s="80"/>
      <c r="W78" s="81"/>
      <c r="Y78" s="462"/>
      <c r="Z78" s="457"/>
      <c r="AA78" s="457"/>
      <c r="AB78" s="458"/>
      <c r="AC78" s="459"/>
      <c r="AD78" s="457"/>
      <c r="AE78" s="459"/>
      <c r="AF78" s="457"/>
      <c r="AG78" s="459"/>
      <c r="AH78" s="460"/>
      <c r="AI78" s="461"/>
    </row>
    <row r="79" spans="1:35" ht="15" customHeight="1">
      <c r="A79" s="82"/>
      <c r="B79" s="143"/>
      <c r="C79" s="83"/>
      <c r="D79" s="451"/>
      <c r="E79" s="84"/>
      <c r="F79" s="78"/>
      <c r="G79" s="85"/>
      <c r="H79" s="78"/>
      <c r="I79" s="85"/>
      <c r="J79" s="86"/>
      <c r="K79" s="87"/>
      <c r="L79" s="161"/>
      <c r="M79" s="82"/>
      <c r="N79" s="143"/>
      <c r="O79" s="83"/>
      <c r="P79" s="451"/>
      <c r="Q79" s="84"/>
      <c r="R79" s="78"/>
      <c r="S79" s="85"/>
      <c r="T79" s="78"/>
      <c r="U79" s="85"/>
      <c r="V79" s="86"/>
      <c r="W79" s="87"/>
      <c r="Y79" s="462"/>
      <c r="Z79" s="457"/>
      <c r="AA79" s="457"/>
      <c r="AB79" s="458"/>
      <c r="AC79" s="459"/>
      <c r="AD79" s="457"/>
      <c r="AE79" s="459"/>
      <c r="AF79" s="457"/>
      <c r="AG79" s="459"/>
      <c r="AH79" s="460"/>
      <c r="AI79" s="461"/>
    </row>
    <row r="80" spans="1:35" ht="15" customHeight="1">
      <c r="A80" s="77"/>
      <c r="B80" s="143"/>
      <c r="C80" s="78"/>
      <c r="D80" s="452"/>
      <c r="E80" s="88"/>
      <c r="F80" s="78"/>
      <c r="G80" s="89"/>
      <c r="H80" s="78"/>
      <c r="I80" s="89"/>
      <c r="J80" s="86"/>
      <c r="K80" s="90"/>
      <c r="L80" s="161"/>
      <c r="M80" s="77"/>
      <c r="N80" s="143"/>
      <c r="O80" s="78"/>
      <c r="P80" s="452"/>
      <c r="Q80" s="88"/>
      <c r="R80" s="78"/>
      <c r="S80" s="89"/>
      <c r="T80" s="78"/>
      <c r="U80" s="89"/>
      <c r="V80" s="86"/>
      <c r="W80" s="90"/>
      <c r="Y80" s="462"/>
      <c r="Z80" s="457"/>
      <c r="AA80" s="457"/>
      <c r="AB80" s="458"/>
      <c r="AC80" s="459"/>
      <c r="AD80" s="457"/>
      <c r="AE80" s="459"/>
      <c r="AF80" s="457"/>
      <c r="AG80" s="459"/>
      <c r="AH80" s="460"/>
      <c r="AI80" s="461"/>
    </row>
    <row r="81" spans="1:35" ht="15" customHeight="1">
      <c r="A81" s="91"/>
      <c r="B81" s="143"/>
      <c r="C81" s="83"/>
      <c r="D81" s="453"/>
      <c r="E81" s="92"/>
      <c r="F81" s="78"/>
      <c r="G81" s="85"/>
      <c r="H81" s="78"/>
      <c r="I81" s="85"/>
      <c r="J81" s="86"/>
      <c r="K81" s="90"/>
      <c r="L81" s="161"/>
      <c r="M81" s="91"/>
      <c r="N81" s="143"/>
      <c r="O81" s="83"/>
      <c r="P81" s="453"/>
      <c r="Q81" s="92"/>
      <c r="R81" s="78"/>
      <c r="S81" s="85"/>
      <c r="T81" s="78"/>
      <c r="U81" s="85"/>
      <c r="V81" s="86"/>
      <c r="W81" s="90"/>
      <c r="Y81" s="456"/>
      <c r="Z81" s="456"/>
      <c r="AA81" s="456"/>
      <c r="AB81" s="456"/>
      <c r="AC81" s="456"/>
      <c r="AD81" s="456"/>
      <c r="AE81" s="456"/>
      <c r="AF81" s="456"/>
      <c r="AG81" s="456"/>
      <c r="AH81" s="460"/>
      <c r="AI81" s="461"/>
    </row>
    <row r="82" spans="1:35" ht="15" customHeight="1">
      <c r="A82" s="91"/>
      <c r="B82" s="78"/>
      <c r="C82" s="78"/>
      <c r="D82" s="78"/>
      <c r="E82" s="88"/>
      <c r="F82" s="78"/>
      <c r="G82" s="89"/>
      <c r="H82" s="78"/>
      <c r="I82" s="89"/>
      <c r="J82" s="86"/>
      <c r="K82" s="90"/>
      <c r="L82" s="161"/>
      <c r="M82" s="91"/>
      <c r="N82" s="78"/>
      <c r="O82" s="78"/>
      <c r="P82" s="78"/>
      <c r="Q82" s="88"/>
      <c r="R82" s="78"/>
      <c r="S82" s="89"/>
      <c r="T82" s="78"/>
      <c r="U82" s="89"/>
      <c r="V82" s="86"/>
      <c r="W82" s="90"/>
      <c r="Y82" s="456"/>
      <c r="Z82" s="456"/>
      <c r="AA82" s="456"/>
      <c r="AB82" s="456"/>
      <c r="AC82" s="456"/>
      <c r="AD82" s="456"/>
      <c r="AE82" s="456"/>
      <c r="AF82" s="463"/>
      <c r="AG82" s="456"/>
      <c r="AH82" s="464"/>
      <c r="AI82" s="459"/>
    </row>
    <row r="83" spans="1:35" ht="15" customHeight="1">
      <c r="A83" s="5"/>
      <c r="B83" s="155"/>
      <c r="C83" s="155"/>
      <c r="D83" s="155"/>
      <c r="E83" s="156"/>
      <c r="F83" s="155"/>
      <c r="G83" s="155"/>
      <c r="H83" s="155"/>
      <c r="I83" s="155"/>
      <c r="J83" s="93"/>
      <c r="K83" s="94"/>
      <c r="L83" s="161"/>
      <c r="M83" s="5"/>
      <c r="N83" s="155"/>
      <c r="O83" s="155"/>
      <c r="P83" s="155"/>
      <c r="Q83" s="156"/>
      <c r="R83" s="155"/>
      <c r="S83" s="155"/>
      <c r="T83" s="155"/>
      <c r="U83" s="155"/>
      <c r="V83" s="93"/>
      <c r="W83" s="94"/>
      <c r="Y83" s="456"/>
      <c r="Z83" s="456"/>
      <c r="AA83" s="456"/>
      <c r="AB83" s="456"/>
      <c r="AC83" s="456"/>
      <c r="AD83" s="456"/>
      <c r="AE83" s="456"/>
      <c r="AF83" s="465"/>
      <c r="AG83" s="456"/>
      <c r="AH83" s="459"/>
      <c r="AI83" s="459"/>
    </row>
    <row r="84" spans="1:35" ht="15" customHeight="1">
      <c r="A84" s="95"/>
      <c r="B84" s="96"/>
      <c r="C84" s="96"/>
      <c r="D84" s="96"/>
      <c r="E84" s="97"/>
      <c r="F84" s="96"/>
      <c r="G84" s="98"/>
      <c r="H84" s="96"/>
      <c r="I84" s="96"/>
      <c r="J84" s="99"/>
      <c r="K84" s="100"/>
      <c r="L84" s="161"/>
      <c r="M84" s="95"/>
      <c r="N84" s="96"/>
      <c r="O84" s="96"/>
      <c r="P84" s="96"/>
      <c r="Q84" s="97"/>
      <c r="R84" s="96"/>
      <c r="S84" s="98"/>
      <c r="T84" s="96"/>
      <c r="U84" s="96"/>
      <c r="V84" s="99"/>
      <c r="W84" s="100"/>
      <c r="Y84" s="456"/>
      <c r="Z84" s="456"/>
      <c r="AA84" s="456"/>
      <c r="AB84" s="456"/>
      <c r="AC84" s="456"/>
      <c r="AD84" s="456"/>
      <c r="AE84" s="456"/>
      <c r="AF84" s="465"/>
      <c r="AG84" s="456"/>
      <c r="AH84" s="459"/>
      <c r="AI84" s="466"/>
    </row>
    <row r="85" spans="1:35" ht="15" customHeight="1">
      <c r="A85" s="5"/>
      <c r="B85" s="6"/>
      <c r="C85" s="6"/>
      <c r="D85" s="6"/>
      <c r="E85" s="7"/>
      <c r="F85" s="6"/>
      <c r="G85" s="157"/>
      <c r="H85" s="6"/>
      <c r="I85" s="6"/>
      <c r="J85" s="101"/>
      <c r="K85" s="102"/>
      <c r="L85" s="161"/>
      <c r="M85" s="5"/>
      <c r="N85" s="6"/>
      <c r="O85" s="6"/>
      <c r="P85" s="6"/>
      <c r="Q85" s="7"/>
      <c r="R85" s="6"/>
      <c r="S85" s="157"/>
      <c r="T85" s="6"/>
      <c r="U85" s="6"/>
      <c r="V85" s="101"/>
      <c r="W85" s="102"/>
      <c r="Y85" s="456"/>
      <c r="Z85" s="456"/>
      <c r="AA85" s="456"/>
      <c r="AB85" s="456"/>
      <c r="AC85" s="456"/>
      <c r="AD85" s="456"/>
      <c r="AE85" s="456"/>
      <c r="AF85" s="465"/>
      <c r="AG85" s="456"/>
      <c r="AH85" s="467"/>
      <c r="AI85" s="457"/>
    </row>
    <row r="86" spans="1:35" ht="15" customHeight="1">
      <c r="A86" s="95"/>
      <c r="B86" s="96"/>
      <c r="C86" s="96"/>
      <c r="D86" s="96"/>
      <c r="E86" s="97"/>
      <c r="F86" s="96"/>
      <c r="G86" s="103"/>
      <c r="H86" s="96"/>
      <c r="I86" s="96"/>
      <c r="J86" s="104"/>
      <c r="K86" s="381"/>
      <c r="L86" s="161"/>
      <c r="M86" s="95"/>
      <c r="N86" s="96"/>
      <c r="O86" s="96"/>
      <c r="P86" s="96"/>
      <c r="Q86" s="97"/>
      <c r="R86" s="96"/>
      <c r="S86" s="103"/>
      <c r="T86" s="96"/>
      <c r="U86" s="96"/>
      <c r="V86" s="104"/>
      <c r="W86" s="381"/>
    </row>
    <row r="87" spans="1:35" ht="15" customHeight="1">
      <c r="A87" s="105"/>
      <c r="B87" s="106"/>
      <c r="C87" s="106"/>
      <c r="D87" s="106"/>
      <c r="E87" s="107"/>
      <c r="F87" s="106"/>
      <c r="G87" s="108"/>
      <c r="H87" s="106"/>
      <c r="I87" s="106"/>
      <c r="J87" s="454"/>
      <c r="K87" s="147"/>
      <c r="L87" s="161"/>
      <c r="M87" s="105"/>
      <c r="N87" s="106"/>
      <c r="O87" s="106"/>
      <c r="P87" s="106"/>
      <c r="Q87" s="107"/>
      <c r="R87" s="106"/>
      <c r="S87" s="108"/>
      <c r="T87" s="106"/>
      <c r="U87" s="106"/>
      <c r="V87" s="454"/>
      <c r="W87" s="591"/>
    </row>
    <row r="88" spans="1:35" ht="15" customHeight="1">
      <c r="A88" s="144"/>
      <c r="B88" s="145"/>
      <c r="C88" s="162"/>
      <c r="D88" s="147"/>
      <c r="E88" s="150"/>
      <c r="F88" s="150"/>
      <c r="G88" s="150"/>
      <c r="H88" s="150"/>
      <c r="I88" s="150"/>
      <c r="J88" s="150"/>
      <c r="K88" s="150"/>
      <c r="L88" s="161"/>
      <c r="M88" s="144"/>
      <c r="N88" s="145"/>
      <c r="O88" s="162"/>
      <c r="P88" s="147"/>
      <c r="Q88" s="150"/>
      <c r="R88" s="150"/>
      <c r="S88" s="150"/>
      <c r="T88" s="150"/>
      <c r="U88" s="150"/>
      <c r="V88" s="150"/>
      <c r="W88" s="151"/>
    </row>
    <row r="89" spans="1:35" ht="15" customHeight="1">
      <c r="A89" s="72"/>
      <c r="B89" s="73"/>
      <c r="C89" s="74"/>
      <c r="D89" s="73"/>
      <c r="E89" s="75"/>
      <c r="F89" s="73"/>
      <c r="G89" s="74"/>
      <c r="H89" s="73"/>
      <c r="I89" s="74"/>
      <c r="J89" s="73"/>
      <c r="K89" s="76"/>
      <c r="L89" s="161"/>
      <c r="M89" s="72"/>
      <c r="N89" s="73"/>
      <c r="O89" s="74"/>
      <c r="P89" s="73"/>
      <c r="Q89" s="75"/>
      <c r="R89" s="73"/>
      <c r="S89" s="74"/>
      <c r="T89" s="73"/>
      <c r="U89" s="74"/>
      <c r="V89" s="73"/>
      <c r="W89" s="76"/>
    </row>
    <row r="90" spans="1:35" ht="15" customHeight="1">
      <c r="A90" s="77"/>
      <c r="B90" s="143"/>
      <c r="C90" s="152"/>
      <c r="D90" s="450"/>
      <c r="E90" s="153"/>
      <c r="F90" s="78"/>
      <c r="G90" s="154"/>
      <c r="H90" s="79"/>
      <c r="I90" s="154"/>
      <c r="J90" s="80"/>
      <c r="K90" s="81"/>
      <c r="L90" s="161"/>
      <c r="M90" s="77"/>
      <c r="N90" s="143"/>
      <c r="O90" s="152"/>
      <c r="P90" s="450"/>
      <c r="Q90" s="153"/>
      <c r="R90" s="78"/>
      <c r="S90" s="154"/>
      <c r="T90" s="79"/>
      <c r="U90" s="154"/>
      <c r="V90" s="80"/>
      <c r="W90" s="81"/>
    </row>
    <row r="91" spans="1:35" ht="15" customHeight="1">
      <c r="A91" s="82"/>
      <c r="B91" s="143"/>
      <c r="C91" s="83"/>
      <c r="D91" s="451"/>
      <c r="E91" s="84"/>
      <c r="F91" s="78"/>
      <c r="G91" s="85"/>
      <c r="H91" s="78"/>
      <c r="I91" s="85"/>
      <c r="J91" s="86"/>
      <c r="K91" s="87"/>
      <c r="L91" s="161"/>
      <c r="M91" s="82"/>
      <c r="N91" s="143"/>
      <c r="O91" s="83"/>
      <c r="P91" s="451"/>
      <c r="Q91" s="84"/>
      <c r="R91" s="78"/>
      <c r="S91" s="85"/>
      <c r="T91" s="78"/>
      <c r="U91" s="85"/>
      <c r="V91" s="86"/>
      <c r="W91" s="87"/>
    </row>
    <row r="92" spans="1:35" ht="15" customHeight="1">
      <c r="A92" s="77"/>
      <c r="B92" s="143"/>
      <c r="C92" s="78"/>
      <c r="D92" s="452"/>
      <c r="E92" s="88"/>
      <c r="F92" s="78"/>
      <c r="G92" s="89"/>
      <c r="H92" s="78"/>
      <c r="I92" s="89"/>
      <c r="J92" s="86"/>
      <c r="K92" s="90"/>
      <c r="L92" s="161"/>
      <c r="M92" s="77"/>
      <c r="N92" s="143"/>
      <c r="O92" s="78"/>
      <c r="P92" s="452"/>
      <c r="Q92" s="88"/>
      <c r="R92" s="78"/>
      <c r="S92" s="89"/>
      <c r="T92" s="78"/>
      <c r="U92" s="89"/>
      <c r="V92" s="86"/>
      <c r="W92" s="90"/>
    </row>
    <row r="93" spans="1:35" ht="15" customHeight="1">
      <c r="A93" s="91"/>
      <c r="B93" s="143"/>
      <c r="C93" s="83"/>
      <c r="D93" s="453"/>
      <c r="E93" s="92"/>
      <c r="F93" s="78"/>
      <c r="G93" s="85"/>
      <c r="H93" s="78"/>
      <c r="I93" s="85"/>
      <c r="J93" s="86"/>
      <c r="K93" s="90"/>
      <c r="L93" s="161"/>
      <c r="M93" s="91"/>
      <c r="N93" s="143"/>
      <c r="O93" s="83"/>
      <c r="P93" s="453"/>
      <c r="Q93" s="92"/>
      <c r="R93" s="78"/>
      <c r="S93" s="85"/>
      <c r="T93" s="78"/>
      <c r="U93" s="85"/>
      <c r="V93" s="86"/>
      <c r="W93" s="90"/>
    </row>
    <row r="94" spans="1:35" ht="15" customHeight="1">
      <c r="A94" s="91"/>
      <c r="B94" s="78"/>
      <c r="C94" s="78"/>
      <c r="D94" s="78"/>
      <c r="E94" s="88"/>
      <c r="F94" s="78"/>
      <c r="G94" s="89"/>
      <c r="H94" s="78"/>
      <c r="I94" s="89"/>
      <c r="J94" s="86"/>
      <c r="K94" s="90"/>
      <c r="L94" s="161"/>
      <c r="M94" s="91"/>
      <c r="N94" s="78"/>
      <c r="O94" s="78"/>
      <c r="P94" s="78"/>
      <c r="Q94" s="88"/>
      <c r="R94" s="78"/>
      <c r="S94" s="89"/>
      <c r="T94" s="78"/>
      <c r="U94" s="89"/>
      <c r="V94" s="86"/>
      <c r="W94" s="90"/>
    </row>
    <row r="95" spans="1:35" ht="15" customHeight="1">
      <c r="A95" s="5"/>
      <c r="B95" s="155"/>
      <c r="C95" s="155"/>
      <c r="D95" s="155"/>
      <c r="E95" s="156"/>
      <c r="F95" s="155"/>
      <c r="G95" s="155"/>
      <c r="H95" s="155"/>
      <c r="I95" s="155"/>
      <c r="J95" s="93"/>
      <c r="K95" s="94"/>
      <c r="L95" s="161"/>
      <c r="M95" s="5"/>
      <c r="N95" s="155"/>
      <c r="O95" s="155"/>
      <c r="P95" s="155"/>
      <c r="Q95" s="156"/>
      <c r="R95" s="155"/>
      <c r="S95" s="155"/>
      <c r="T95" s="155"/>
      <c r="U95" s="155"/>
      <c r="V95" s="93"/>
      <c r="W95" s="94"/>
    </row>
    <row r="96" spans="1:35" ht="15" customHeight="1">
      <c r="A96" s="95"/>
      <c r="B96" s="96"/>
      <c r="C96" s="96"/>
      <c r="D96" s="96"/>
      <c r="E96" s="97"/>
      <c r="F96" s="96"/>
      <c r="G96" s="98"/>
      <c r="H96" s="96"/>
      <c r="I96" s="96"/>
      <c r="J96" s="99"/>
      <c r="K96" s="100"/>
      <c r="L96" s="161"/>
      <c r="M96" s="95"/>
      <c r="N96" s="96"/>
      <c r="O96" s="96"/>
      <c r="P96" s="96"/>
      <c r="Q96" s="97"/>
      <c r="R96" s="96"/>
      <c r="S96" s="98"/>
      <c r="T96" s="96"/>
      <c r="U96" s="96"/>
      <c r="V96" s="99"/>
      <c r="W96" s="100"/>
    </row>
    <row r="97" spans="1:23" ht="15" customHeight="1">
      <c r="A97" s="5"/>
      <c r="B97" s="6"/>
      <c r="C97" s="6"/>
      <c r="D97" s="6"/>
      <c r="E97" s="7"/>
      <c r="F97" s="6"/>
      <c r="G97" s="157"/>
      <c r="H97" s="6"/>
      <c r="I97" s="6"/>
      <c r="J97" s="101"/>
      <c r="K97" s="102"/>
      <c r="L97" s="161"/>
      <c r="M97" s="5"/>
      <c r="N97" s="6"/>
      <c r="O97" s="6"/>
      <c r="P97" s="6"/>
      <c r="Q97" s="7"/>
      <c r="R97" s="6"/>
      <c r="S97" s="157"/>
      <c r="T97" s="6"/>
      <c r="U97" s="6"/>
      <c r="V97" s="101"/>
      <c r="W97" s="102"/>
    </row>
    <row r="98" spans="1:23" ht="15" customHeight="1">
      <c r="A98" s="95"/>
      <c r="B98" s="96"/>
      <c r="C98" s="96"/>
      <c r="D98" s="96"/>
      <c r="E98" s="97"/>
      <c r="F98" s="96"/>
      <c r="G98" s="103"/>
      <c r="H98" s="96"/>
      <c r="I98" s="96"/>
      <c r="J98" s="104"/>
      <c r="K98" s="381"/>
      <c r="L98" s="161"/>
      <c r="M98" s="95"/>
      <c r="N98" s="96"/>
      <c r="O98" s="96"/>
      <c r="P98" s="96"/>
      <c r="Q98" s="97"/>
      <c r="R98" s="96"/>
      <c r="S98" s="103"/>
      <c r="T98" s="96"/>
      <c r="U98" s="96"/>
      <c r="V98" s="104"/>
      <c r="W98" s="381"/>
    </row>
    <row r="99" spans="1:23" ht="15" customHeight="1">
      <c r="A99" s="105"/>
      <c r="B99" s="106"/>
      <c r="C99" s="106"/>
      <c r="D99" s="106"/>
      <c r="E99" s="107"/>
      <c r="F99" s="106"/>
      <c r="G99" s="108"/>
      <c r="H99" s="106"/>
      <c r="I99" s="106"/>
      <c r="J99" s="454"/>
      <c r="K99" s="147"/>
      <c r="L99" s="161"/>
      <c r="M99" s="105"/>
      <c r="N99" s="106"/>
      <c r="O99" s="106"/>
      <c r="P99" s="106"/>
      <c r="Q99" s="107"/>
      <c r="R99" s="106"/>
      <c r="S99" s="108"/>
      <c r="T99" s="106"/>
      <c r="U99" s="106"/>
      <c r="V99" s="454"/>
      <c r="W99" s="591"/>
    </row>
    <row r="100" spans="1:23" ht="15" customHeight="1">
      <c r="A100" s="144"/>
      <c r="B100" s="145"/>
      <c r="C100" s="162"/>
      <c r="D100" s="147"/>
      <c r="E100" s="150"/>
      <c r="F100" s="150"/>
      <c r="G100" s="150"/>
      <c r="H100" s="150"/>
      <c r="I100" s="150"/>
      <c r="J100" s="150"/>
      <c r="K100" s="150"/>
      <c r="L100" s="161"/>
      <c r="M100" s="144"/>
      <c r="N100" s="145"/>
      <c r="O100" s="162"/>
      <c r="P100" s="147"/>
      <c r="Q100" s="150"/>
      <c r="R100" s="150"/>
      <c r="S100" s="150"/>
      <c r="T100" s="150"/>
      <c r="U100" s="150"/>
      <c r="V100" s="150"/>
      <c r="W100" s="151"/>
    </row>
    <row r="101" spans="1:23" ht="15" customHeight="1">
      <c r="A101" s="72"/>
      <c r="B101" s="73"/>
      <c r="C101" s="74"/>
      <c r="D101" s="73"/>
      <c r="E101" s="75"/>
      <c r="F101" s="73"/>
      <c r="G101" s="74"/>
      <c r="H101" s="73"/>
      <c r="I101" s="74"/>
      <c r="J101" s="73"/>
      <c r="K101" s="76"/>
      <c r="L101" s="161"/>
      <c r="M101" s="72"/>
      <c r="N101" s="73"/>
      <c r="O101" s="74"/>
      <c r="P101" s="73"/>
      <c r="Q101" s="75"/>
      <c r="R101" s="73"/>
      <c r="S101" s="74"/>
      <c r="T101" s="73"/>
      <c r="U101" s="74"/>
      <c r="V101" s="73"/>
      <c r="W101" s="76"/>
    </row>
    <row r="102" spans="1:23" ht="15" customHeight="1">
      <c r="A102" s="77"/>
      <c r="B102" s="143"/>
      <c r="C102" s="152"/>
      <c r="D102" s="450"/>
      <c r="E102" s="153"/>
      <c r="F102" s="78"/>
      <c r="G102" s="154"/>
      <c r="H102" s="79"/>
      <c r="I102" s="154"/>
      <c r="J102" s="80"/>
      <c r="K102" s="81"/>
      <c r="L102" s="161"/>
      <c r="M102" s="77"/>
      <c r="N102" s="143"/>
      <c r="O102" s="152"/>
      <c r="P102" s="450"/>
      <c r="Q102" s="153"/>
      <c r="R102" s="78"/>
      <c r="S102" s="154"/>
      <c r="T102" s="79"/>
      <c r="U102" s="154"/>
      <c r="V102" s="80"/>
      <c r="W102" s="81"/>
    </row>
    <row r="103" spans="1:23" ht="15" customHeight="1">
      <c r="A103" s="82"/>
      <c r="B103" s="143"/>
      <c r="C103" s="83"/>
      <c r="D103" s="451"/>
      <c r="E103" s="84"/>
      <c r="F103" s="78"/>
      <c r="G103" s="85"/>
      <c r="H103" s="78"/>
      <c r="I103" s="85"/>
      <c r="J103" s="86"/>
      <c r="K103" s="87"/>
      <c r="L103" s="161"/>
      <c r="M103" s="82"/>
      <c r="N103" s="143"/>
      <c r="O103" s="83"/>
      <c r="P103" s="451"/>
      <c r="Q103" s="84"/>
      <c r="R103" s="78"/>
      <c r="S103" s="85"/>
      <c r="T103" s="78"/>
      <c r="U103" s="85"/>
      <c r="V103" s="86"/>
      <c r="W103" s="87"/>
    </row>
    <row r="104" spans="1:23" ht="15" customHeight="1">
      <c r="A104" s="77"/>
      <c r="B104" s="143"/>
      <c r="C104" s="78"/>
      <c r="D104" s="452"/>
      <c r="E104" s="88"/>
      <c r="F104" s="78"/>
      <c r="G104" s="89"/>
      <c r="H104" s="78"/>
      <c r="I104" s="89"/>
      <c r="J104" s="86"/>
      <c r="K104" s="90"/>
      <c r="L104" s="161"/>
      <c r="M104" s="77"/>
      <c r="N104" s="143"/>
      <c r="O104" s="78"/>
      <c r="P104" s="452"/>
      <c r="Q104" s="88"/>
      <c r="R104" s="78"/>
      <c r="S104" s="89"/>
      <c r="T104" s="78"/>
      <c r="U104" s="89"/>
      <c r="V104" s="86"/>
      <c r="W104" s="90"/>
    </row>
    <row r="105" spans="1:23" ht="15" customHeight="1">
      <c r="A105" s="91"/>
      <c r="B105" s="143"/>
      <c r="C105" s="83"/>
      <c r="D105" s="453"/>
      <c r="E105" s="92"/>
      <c r="F105" s="78"/>
      <c r="G105" s="85"/>
      <c r="H105" s="78"/>
      <c r="I105" s="85"/>
      <c r="J105" s="86"/>
      <c r="K105" s="90"/>
      <c r="L105" s="161"/>
      <c r="M105" s="91"/>
      <c r="N105" s="143"/>
      <c r="O105" s="83"/>
      <c r="P105" s="453"/>
      <c r="Q105" s="92"/>
      <c r="R105" s="78"/>
      <c r="S105" s="85"/>
      <c r="T105" s="78"/>
      <c r="U105" s="85"/>
      <c r="V105" s="86"/>
      <c r="W105" s="90"/>
    </row>
    <row r="106" spans="1:23" ht="15" customHeight="1">
      <c r="A106" s="91"/>
      <c r="B106" s="78"/>
      <c r="C106" s="78"/>
      <c r="D106" s="78"/>
      <c r="E106" s="88"/>
      <c r="F106" s="78"/>
      <c r="G106" s="89"/>
      <c r="H106" s="78"/>
      <c r="I106" s="89"/>
      <c r="J106" s="86"/>
      <c r="K106" s="90"/>
      <c r="L106" s="161"/>
      <c r="M106" s="91"/>
      <c r="N106" s="78"/>
      <c r="O106" s="78"/>
      <c r="P106" s="78"/>
      <c r="Q106" s="88"/>
      <c r="R106" s="78"/>
      <c r="S106" s="89"/>
      <c r="T106" s="78"/>
      <c r="U106" s="89"/>
      <c r="V106" s="86"/>
      <c r="W106" s="90"/>
    </row>
    <row r="107" spans="1:23" ht="15" customHeight="1">
      <c r="A107" s="5"/>
      <c r="B107" s="155"/>
      <c r="C107" s="155"/>
      <c r="D107" s="155"/>
      <c r="E107" s="156"/>
      <c r="F107" s="155"/>
      <c r="G107" s="155"/>
      <c r="H107" s="155"/>
      <c r="I107" s="155"/>
      <c r="J107" s="93"/>
      <c r="K107" s="94"/>
      <c r="L107" s="161"/>
      <c r="M107" s="5"/>
      <c r="N107" s="155"/>
      <c r="O107" s="155"/>
      <c r="P107" s="155"/>
      <c r="Q107" s="156"/>
      <c r="R107" s="155"/>
      <c r="S107" s="155"/>
      <c r="T107" s="155"/>
      <c r="U107" s="155"/>
      <c r="V107" s="93"/>
      <c r="W107" s="94"/>
    </row>
    <row r="108" spans="1:23" ht="15" customHeight="1">
      <c r="A108" s="95"/>
      <c r="B108" s="96"/>
      <c r="C108" s="96"/>
      <c r="D108" s="96"/>
      <c r="E108" s="97"/>
      <c r="F108" s="96"/>
      <c r="G108" s="98"/>
      <c r="H108" s="96"/>
      <c r="I108" s="96"/>
      <c r="J108" s="99"/>
      <c r="K108" s="100"/>
      <c r="L108" s="161"/>
      <c r="M108" s="95"/>
      <c r="N108" s="96"/>
      <c r="O108" s="96"/>
      <c r="P108" s="96"/>
      <c r="Q108" s="97"/>
      <c r="R108" s="96"/>
      <c r="S108" s="98"/>
      <c r="T108" s="96"/>
      <c r="U108" s="96"/>
      <c r="V108" s="99"/>
      <c r="W108" s="100"/>
    </row>
    <row r="109" spans="1:23" ht="15" customHeight="1">
      <c r="A109" s="5"/>
      <c r="B109" s="6"/>
      <c r="C109" s="6"/>
      <c r="D109" s="6"/>
      <c r="E109" s="7"/>
      <c r="F109" s="6"/>
      <c r="G109" s="157"/>
      <c r="H109" s="6"/>
      <c r="I109" s="6"/>
      <c r="J109" s="101"/>
      <c r="K109" s="102"/>
      <c r="L109" s="161"/>
      <c r="M109" s="5"/>
      <c r="N109" s="6"/>
      <c r="O109" s="6"/>
      <c r="P109" s="6"/>
      <c r="Q109" s="7"/>
      <c r="R109" s="6"/>
      <c r="S109" s="157"/>
      <c r="T109" s="6"/>
      <c r="U109" s="6"/>
      <c r="V109" s="101"/>
      <c r="W109" s="102"/>
    </row>
    <row r="110" spans="1:23" ht="15" customHeight="1">
      <c r="A110" s="95"/>
      <c r="B110" s="96"/>
      <c r="C110" s="96"/>
      <c r="D110" s="96"/>
      <c r="E110" s="97"/>
      <c r="F110" s="96"/>
      <c r="G110" s="103"/>
      <c r="H110" s="96"/>
      <c r="I110" s="96"/>
      <c r="J110" s="104"/>
      <c r="K110" s="381"/>
      <c r="L110" s="161"/>
      <c r="M110" s="95"/>
      <c r="N110" s="96"/>
      <c r="O110" s="96"/>
      <c r="P110" s="96"/>
      <c r="Q110" s="97"/>
      <c r="R110" s="96"/>
      <c r="S110" s="103"/>
      <c r="T110" s="96"/>
      <c r="U110" s="96"/>
      <c r="V110" s="104"/>
      <c r="W110" s="381"/>
    </row>
    <row r="111" spans="1:23" ht="15" customHeight="1">
      <c r="A111" s="105"/>
      <c r="B111" s="106"/>
      <c r="C111" s="106"/>
      <c r="D111" s="106"/>
      <c r="E111" s="107"/>
      <c r="F111" s="106"/>
      <c r="G111" s="108"/>
      <c r="H111" s="106"/>
      <c r="I111" s="106"/>
      <c r="J111" s="454"/>
      <c r="K111" s="147"/>
      <c r="L111" s="161"/>
      <c r="M111" s="105"/>
      <c r="N111" s="106"/>
      <c r="O111" s="106"/>
      <c r="P111" s="106"/>
      <c r="Q111" s="107"/>
      <c r="R111" s="106"/>
      <c r="S111" s="108"/>
      <c r="T111" s="106"/>
      <c r="U111" s="106"/>
      <c r="V111" s="454"/>
      <c r="W111" s="591"/>
    </row>
    <row r="112" spans="1:23" ht="15" customHeight="1">
      <c r="A112" s="144"/>
      <c r="B112" s="145"/>
      <c r="C112" s="162"/>
      <c r="D112" s="147"/>
      <c r="E112" s="150"/>
      <c r="F112" s="150"/>
      <c r="G112" s="150"/>
      <c r="H112" s="150"/>
      <c r="I112" s="150"/>
      <c r="J112" s="150"/>
      <c r="K112" s="150"/>
      <c r="L112" s="161"/>
      <c r="M112" s="144"/>
      <c r="N112" s="145"/>
      <c r="O112" s="162"/>
      <c r="P112" s="147"/>
      <c r="Q112" s="150"/>
      <c r="R112" s="150"/>
      <c r="S112" s="150"/>
      <c r="T112" s="150"/>
      <c r="U112" s="150"/>
      <c r="V112" s="150"/>
      <c r="W112" s="151"/>
    </row>
    <row r="113" spans="1:23" ht="15" customHeight="1">
      <c r="A113" s="72"/>
      <c r="B113" s="73"/>
      <c r="C113" s="74"/>
      <c r="D113" s="73"/>
      <c r="E113" s="75"/>
      <c r="F113" s="73"/>
      <c r="G113" s="74"/>
      <c r="H113" s="73"/>
      <c r="I113" s="74"/>
      <c r="J113" s="73"/>
      <c r="K113" s="76"/>
      <c r="L113" s="161"/>
      <c r="M113" s="72"/>
      <c r="N113" s="73"/>
      <c r="O113" s="74"/>
      <c r="P113" s="73"/>
      <c r="Q113" s="75"/>
      <c r="R113" s="73"/>
      <c r="S113" s="74"/>
      <c r="T113" s="73"/>
      <c r="U113" s="74"/>
      <c r="V113" s="73"/>
      <c r="W113" s="76"/>
    </row>
    <row r="114" spans="1:23" ht="15" customHeight="1">
      <c r="A114" s="77"/>
      <c r="B114" s="143"/>
      <c r="C114" s="152"/>
      <c r="D114" s="450"/>
      <c r="E114" s="153"/>
      <c r="F114" s="78"/>
      <c r="G114" s="154"/>
      <c r="H114" s="79"/>
      <c r="I114" s="154"/>
      <c r="J114" s="80"/>
      <c r="K114" s="81"/>
      <c r="L114" s="161"/>
      <c r="M114" s="77"/>
      <c r="N114" s="143"/>
      <c r="O114" s="152"/>
      <c r="P114" s="450"/>
      <c r="Q114" s="153"/>
      <c r="R114" s="78"/>
      <c r="S114" s="154"/>
      <c r="T114" s="79"/>
      <c r="U114" s="154"/>
      <c r="V114" s="80"/>
      <c r="W114" s="81"/>
    </row>
    <row r="115" spans="1:23" ht="15" customHeight="1">
      <c r="A115" s="82"/>
      <c r="B115" s="143"/>
      <c r="C115" s="83"/>
      <c r="D115" s="451"/>
      <c r="E115" s="84"/>
      <c r="F115" s="78"/>
      <c r="G115" s="85"/>
      <c r="H115" s="78"/>
      <c r="I115" s="85"/>
      <c r="J115" s="86"/>
      <c r="K115" s="87"/>
      <c r="L115" s="161"/>
      <c r="M115" s="82"/>
      <c r="N115" s="143"/>
      <c r="O115" s="83"/>
      <c r="P115" s="451"/>
      <c r="Q115" s="84"/>
      <c r="R115" s="78"/>
      <c r="S115" s="85"/>
      <c r="T115" s="78"/>
      <c r="U115" s="85"/>
      <c r="V115" s="86"/>
      <c r="W115" s="87"/>
    </row>
    <row r="116" spans="1:23" ht="15" customHeight="1">
      <c r="A116" s="77"/>
      <c r="B116" s="143"/>
      <c r="C116" s="78"/>
      <c r="D116" s="452"/>
      <c r="E116" s="88"/>
      <c r="F116" s="78"/>
      <c r="G116" s="89"/>
      <c r="H116" s="78"/>
      <c r="I116" s="89"/>
      <c r="J116" s="86"/>
      <c r="K116" s="90"/>
      <c r="L116" s="161"/>
      <c r="M116" s="77"/>
      <c r="N116" s="143"/>
      <c r="O116" s="78"/>
      <c r="P116" s="452"/>
      <c r="Q116" s="88"/>
      <c r="R116" s="78"/>
      <c r="S116" s="89"/>
      <c r="T116" s="78"/>
      <c r="U116" s="89"/>
      <c r="V116" s="86"/>
      <c r="W116" s="90"/>
    </row>
    <row r="117" spans="1:23" ht="15" customHeight="1">
      <c r="A117" s="91"/>
      <c r="B117" s="143"/>
      <c r="C117" s="83"/>
      <c r="D117" s="453"/>
      <c r="E117" s="92"/>
      <c r="F117" s="78"/>
      <c r="G117" s="85"/>
      <c r="H117" s="78"/>
      <c r="I117" s="85"/>
      <c r="J117" s="86"/>
      <c r="K117" s="90"/>
      <c r="L117" s="149"/>
      <c r="M117" s="91"/>
      <c r="N117" s="143"/>
      <c r="O117" s="83"/>
      <c r="P117" s="453"/>
      <c r="Q117" s="92"/>
      <c r="R117" s="78"/>
      <c r="S117" s="85"/>
      <c r="T117" s="78"/>
      <c r="U117" s="85"/>
      <c r="V117" s="86"/>
      <c r="W117" s="90"/>
    </row>
    <row r="118" spans="1:23" ht="15" customHeight="1">
      <c r="A118" s="91"/>
      <c r="B118" s="78"/>
      <c r="C118" s="78"/>
      <c r="D118" s="78"/>
      <c r="E118" s="88"/>
      <c r="F118" s="78"/>
      <c r="G118" s="89"/>
      <c r="H118" s="78"/>
      <c r="I118" s="89"/>
      <c r="J118" s="86"/>
      <c r="K118" s="90"/>
      <c r="L118" s="149"/>
      <c r="M118" s="91"/>
      <c r="N118" s="78"/>
      <c r="O118" s="78"/>
      <c r="P118" s="78"/>
      <c r="Q118" s="88"/>
      <c r="R118" s="78"/>
      <c r="S118" s="89"/>
      <c r="T118" s="78"/>
      <c r="U118" s="89"/>
      <c r="V118" s="86"/>
      <c r="W118" s="90"/>
    </row>
    <row r="119" spans="1:23" ht="15" customHeight="1">
      <c r="A119" s="5"/>
      <c r="B119" s="155"/>
      <c r="C119" s="155"/>
      <c r="D119" s="155"/>
      <c r="E119" s="156"/>
      <c r="F119" s="155"/>
      <c r="G119" s="155"/>
      <c r="H119" s="155"/>
      <c r="I119" s="155"/>
      <c r="J119" s="93"/>
      <c r="K119" s="94"/>
      <c r="L119" s="149"/>
      <c r="M119" s="5"/>
      <c r="N119" s="155"/>
      <c r="O119" s="155"/>
      <c r="P119" s="155"/>
      <c r="Q119" s="156"/>
      <c r="R119" s="155"/>
      <c r="S119" s="155"/>
      <c r="T119" s="155"/>
      <c r="U119" s="155"/>
      <c r="V119" s="93"/>
      <c r="W119" s="94"/>
    </row>
    <row r="120" spans="1:23" ht="15" customHeight="1">
      <c r="A120" s="95"/>
      <c r="B120" s="96"/>
      <c r="C120" s="96"/>
      <c r="D120" s="96"/>
      <c r="E120" s="97"/>
      <c r="F120" s="96"/>
      <c r="G120" s="98"/>
      <c r="H120" s="96"/>
      <c r="I120" s="96"/>
      <c r="J120" s="99"/>
      <c r="K120" s="100"/>
      <c r="L120" s="149"/>
      <c r="M120" s="95"/>
      <c r="N120" s="96"/>
      <c r="O120" s="96"/>
      <c r="P120" s="96"/>
      <c r="Q120" s="97"/>
      <c r="R120" s="96"/>
      <c r="S120" s="98"/>
      <c r="T120" s="96"/>
      <c r="U120" s="96"/>
      <c r="V120" s="99"/>
      <c r="W120" s="100"/>
    </row>
    <row r="121" spans="1:23" ht="15" customHeight="1">
      <c r="A121" s="5"/>
      <c r="B121" s="6"/>
      <c r="C121" s="6"/>
      <c r="D121" s="6"/>
      <c r="E121" s="7"/>
      <c r="F121" s="6"/>
      <c r="G121" s="157"/>
      <c r="H121" s="6"/>
      <c r="I121" s="6"/>
      <c r="J121" s="101"/>
      <c r="K121" s="102"/>
      <c r="L121" s="149"/>
      <c r="M121" s="5"/>
      <c r="N121" s="6"/>
      <c r="O121" s="6"/>
      <c r="P121" s="6"/>
      <c r="Q121" s="7"/>
      <c r="R121" s="6"/>
      <c r="S121" s="157"/>
      <c r="T121" s="6"/>
      <c r="U121" s="6"/>
      <c r="V121" s="101"/>
      <c r="W121" s="102"/>
    </row>
    <row r="122" spans="1:23" ht="15" customHeight="1">
      <c r="A122" s="95"/>
      <c r="B122" s="96"/>
      <c r="C122" s="96"/>
      <c r="D122" s="96"/>
      <c r="E122" s="97"/>
      <c r="F122" s="96"/>
      <c r="G122" s="103"/>
      <c r="H122" s="96"/>
      <c r="I122" s="96"/>
      <c r="J122" s="104"/>
      <c r="K122" s="381"/>
      <c r="L122" s="149"/>
      <c r="M122" s="95"/>
      <c r="N122" s="96"/>
      <c r="O122" s="96"/>
      <c r="P122" s="96"/>
      <c r="Q122" s="97"/>
      <c r="R122" s="96"/>
      <c r="S122" s="103"/>
      <c r="T122" s="96"/>
      <c r="U122" s="96"/>
      <c r="V122" s="104"/>
      <c r="W122" s="381"/>
    </row>
    <row r="123" spans="1:23" ht="15" customHeight="1">
      <c r="A123" s="105"/>
      <c r="B123" s="106"/>
      <c r="C123" s="106"/>
      <c r="D123" s="106"/>
      <c r="E123" s="107"/>
      <c r="F123" s="106"/>
      <c r="G123" s="108"/>
      <c r="H123" s="106"/>
      <c r="I123" s="106"/>
      <c r="J123" s="454"/>
      <c r="K123" s="147"/>
      <c r="L123" s="149"/>
      <c r="M123" s="95"/>
      <c r="N123" s="96"/>
      <c r="O123" s="96"/>
      <c r="P123" s="96"/>
      <c r="Q123" s="97"/>
      <c r="R123" s="96"/>
      <c r="S123" s="103"/>
      <c r="T123" s="96"/>
      <c r="U123" s="96"/>
      <c r="V123" s="514"/>
      <c r="W123" s="591"/>
    </row>
    <row r="124" spans="1:23" ht="15" customHeight="1" thickBot="1">
      <c r="A124" s="144"/>
      <c r="B124" s="145"/>
      <c r="C124" s="162"/>
      <c r="D124" s="147"/>
      <c r="E124" s="150"/>
      <c r="F124" s="150"/>
      <c r="G124" s="150"/>
      <c r="H124" s="150"/>
      <c r="I124" s="150"/>
      <c r="J124" s="150"/>
      <c r="K124" s="150"/>
      <c r="L124" s="149"/>
      <c r="M124" s="509" t="s">
        <v>425</v>
      </c>
      <c r="N124" s="510"/>
      <c r="O124" s="511"/>
      <c r="P124" s="512" t="s">
        <v>426</v>
      </c>
      <c r="Q124" s="507"/>
      <c r="R124" s="507"/>
      <c r="S124" s="507"/>
      <c r="T124" s="507"/>
      <c r="U124" s="507"/>
      <c r="V124" s="507"/>
      <c r="W124" s="592"/>
    </row>
    <row r="125" spans="1:23" ht="15" customHeight="1">
      <c r="A125" s="72"/>
      <c r="B125" s="73"/>
      <c r="C125" s="74"/>
      <c r="D125" s="73"/>
      <c r="E125" s="75"/>
      <c r="F125" s="73"/>
      <c r="G125" s="74"/>
      <c r="H125" s="73"/>
      <c r="I125" s="74"/>
      <c r="J125" s="73"/>
      <c r="K125" s="76"/>
      <c r="L125" s="149"/>
      <c r="M125" s="575"/>
      <c r="N125" s="576"/>
      <c r="O125" s="577"/>
      <c r="P125" s="578"/>
      <c r="Q125" s="579"/>
      <c r="R125" s="579"/>
      <c r="S125" s="579"/>
      <c r="T125" s="579"/>
      <c r="U125" s="579"/>
      <c r="V125" s="579"/>
      <c r="W125" s="580"/>
    </row>
    <row r="126" spans="1:23" ht="15" customHeight="1">
      <c r="A126" s="77"/>
      <c r="B126" s="143"/>
      <c r="C126" s="152"/>
      <c r="D126" s="450"/>
      <c r="E126" s="153"/>
      <c r="F126" s="78"/>
      <c r="G126" s="154"/>
      <c r="H126" s="79"/>
      <c r="I126" s="154"/>
      <c r="J126" s="80"/>
      <c r="K126" s="81"/>
      <c r="L126" s="149"/>
      <c r="M126" s="72"/>
      <c r="N126" s="73"/>
      <c r="O126" s="74"/>
      <c r="P126" s="73"/>
      <c r="Q126" s="75"/>
      <c r="R126" s="73"/>
      <c r="S126" s="74"/>
      <c r="T126" s="73"/>
      <c r="U126" s="74"/>
      <c r="V126" s="73"/>
      <c r="W126" s="76"/>
    </row>
    <row r="127" spans="1:23" ht="15" customHeight="1">
      <c r="A127" s="82"/>
      <c r="B127" s="143"/>
      <c r="C127" s="83"/>
      <c r="D127" s="451"/>
      <c r="E127" s="84"/>
      <c r="F127" s="78"/>
      <c r="G127" s="85"/>
      <c r="H127" s="78"/>
      <c r="I127" s="85"/>
      <c r="J127" s="86"/>
      <c r="K127" s="87"/>
      <c r="L127" s="149"/>
      <c r="M127" s="77"/>
      <c r="N127" s="143"/>
      <c r="O127" s="152"/>
      <c r="P127" s="450"/>
      <c r="Q127" s="153"/>
      <c r="R127" s="78"/>
      <c r="S127" s="154"/>
      <c r="T127" s="79"/>
      <c r="U127" s="154"/>
      <c r="V127" s="80"/>
      <c r="W127" s="81"/>
    </row>
    <row r="128" spans="1:23" ht="15" customHeight="1">
      <c r="A128" s="77"/>
      <c r="B128" s="143"/>
      <c r="C128" s="78"/>
      <c r="D128" s="452"/>
      <c r="E128" s="88"/>
      <c r="F128" s="78"/>
      <c r="G128" s="89"/>
      <c r="H128" s="78"/>
      <c r="I128" s="89"/>
      <c r="J128" s="86"/>
      <c r="K128" s="90"/>
      <c r="L128" s="149"/>
      <c r="M128" s="82"/>
      <c r="N128" s="143"/>
      <c r="O128" s="83"/>
      <c r="P128" s="451"/>
      <c r="Q128" s="84"/>
      <c r="R128" s="78"/>
      <c r="S128" s="85"/>
      <c r="T128" s="78"/>
      <c r="U128" s="85"/>
      <c r="V128" s="86"/>
      <c r="W128" s="87"/>
    </row>
    <row r="129" spans="1:23" ht="15" customHeight="1">
      <c r="A129" s="91"/>
      <c r="B129" s="143"/>
      <c r="C129" s="83"/>
      <c r="D129" s="453"/>
      <c r="E129" s="92"/>
      <c r="F129" s="78"/>
      <c r="G129" s="85"/>
      <c r="H129" s="78"/>
      <c r="I129" s="85"/>
      <c r="J129" s="86"/>
      <c r="K129" s="90"/>
      <c r="L129" s="149"/>
      <c r="M129" s="91"/>
      <c r="N129" s="78"/>
      <c r="O129" s="78"/>
      <c r="P129" s="78"/>
      <c r="Q129" s="88"/>
      <c r="R129" s="78"/>
      <c r="S129" s="89"/>
      <c r="T129" s="78"/>
      <c r="U129" s="89"/>
      <c r="V129" s="86"/>
      <c r="W129" s="90"/>
    </row>
    <row r="130" spans="1:23" ht="15" customHeight="1">
      <c r="A130" s="91"/>
      <c r="B130" s="78"/>
      <c r="C130" s="78"/>
      <c r="D130" s="78"/>
      <c r="E130" s="88"/>
      <c r="F130" s="78"/>
      <c r="G130" s="89"/>
      <c r="H130" s="78"/>
      <c r="I130" s="89"/>
      <c r="J130" s="86"/>
      <c r="K130" s="90"/>
      <c r="L130" s="149"/>
      <c r="M130" s="5"/>
      <c r="N130" s="155"/>
      <c r="O130" s="155"/>
      <c r="P130" s="155"/>
      <c r="Q130" s="156"/>
      <c r="R130" s="155"/>
      <c r="S130" s="155"/>
      <c r="T130" s="155"/>
      <c r="U130" s="155"/>
      <c r="V130" s="93"/>
      <c r="W130" s="94"/>
    </row>
    <row r="131" spans="1:23" ht="15" customHeight="1">
      <c r="A131" s="5"/>
      <c r="B131" s="155"/>
      <c r="C131" s="155"/>
      <c r="D131" s="155"/>
      <c r="E131" s="156"/>
      <c r="F131" s="155"/>
      <c r="G131" s="155"/>
      <c r="H131" s="155"/>
      <c r="I131" s="155"/>
      <c r="J131" s="93"/>
      <c r="K131" s="94"/>
      <c r="L131" s="149"/>
      <c r="M131" s="95"/>
      <c r="N131" s="96"/>
      <c r="O131" s="96"/>
      <c r="P131" s="96"/>
      <c r="Q131" s="97"/>
      <c r="R131" s="96"/>
      <c r="S131" s="98"/>
      <c r="T131" s="96"/>
      <c r="U131" s="96"/>
      <c r="V131" s="99"/>
      <c r="W131" s="100"/>
    </row>
    <row r="132" spans="1:23" ht="15" customHeight="1">
      <c r="A132" s="95"/>
      <c r="B132" s="96"/>
      <c r="C132" s="96"/>
      <c r="D132" s="96"/>
      <c r="E132" s="97"/>
      <c r="F132" s="96"/>
      <c r="G132" s="98"/>
      <c r="H132" s="96"/>
      <c r="I132" s="96"/>
      <c r="J132" s="99"/>
      <c r="K132" s="100"/>
      <c r="L132" s="149"/>
      <c r="M132" s="5"/>
      <c r="N132" s="6"/>
      <c r="O132" s="6"/>
      <c r="P132" s="6"/>
      <c r="Q132" s="7"/>
      <c r="R132" s="6"/>
      <c r="S132" s="157"/>
      <c r="T132" s="6"/>
      <c r="U132" s="6"/>
      <c r="V132" s="101"/>
      <c r="W132" s="102"/>
    </row>
    <row r="133" spans="1:23" ht="15" customHeight="1">
      <c r="A133" s="5"/>
      <c r="B133" s="6"/>
      <c r="C133" s="6"/>
      <c r="D133" s="6"/>
      <c r="E133" s="7"/>
      <c r="F133" s="6"/>
      <c r="G133" s="157"/>
      <c r="H133" s="6"/>
      <c r="I133" s="6"/>
      <c r="J133" s="101"/>
      <c r="K133" s="102"/>
      <c r="L133" s="149"/>
      <c r="M133" s="95"/>
      <c r="N133" s="96"/>
      <c r="O133" s="96"/>
      <c r="P133" s="96"/>
      <c r="Q133" s="97"/>
      <c r="R133" s="96"/>
      <c r="S133" s="103"/>
      <c r="T133" s="96"/>
      <c r="U133" s="96"/>
      <c r="V133" s="104"/>
      <c r="W133" s="100"/>
    </row>
    <row r="134" spans="1:23" ht="15" customHeight="1">
      <c r="A134" s="95"/>
      <c r="B134" s="96"/>
      <c r="C134" s="96"/>
      <c r="D134" s="96"/>
      <c r="E134" s="97"/>
      <c r="F134" s="96"/>
      <c r="G134" s="103"/>
      <c r="H134" s="96"/>
      <c r="I134" s="96"/>
      <c r="J134" s="104"/>
      <c r="K134" s="381"/>
      <c r="L134" s="149"/>
      <c r="M134" s="105"/>
      <c r="N134" s="106"/>
      <c r="O134" s="106"/>
      <c r="P134" s="106"/>
      <c r="Q134" s="107"/>
      <c r="R134" s="106"/>
      <c r="S134" s="108"/>
      <c r="T134" s="106"/>
      <c r="U134" s="106"/>
      <c r="V134" s="454"/>
      <c r="W134" s="109"/>
    </row>
    <row r="135" spans="1:23" ht="15" customHeight="1">
      <c r="A135" s="105"/>
      <c r="B135" s="106"/>
      <c r="C135" s="106"/>
      <c r="D135" s="106"/>
      <c r="E135" s="107"/>
      <c r="F135" s="106"/>
      <c r="G135" s="108"/>
      <c r="H135" s="106"/>
      <c r="I135" s="106"/>
      <c r="J135" s="454"/>
      <c r="K135" s="147"/>
      <c r="L135" s="149"/>
      <c r="M135" s="594"/>
      <c r="N135" s="508"/>
      <c r="O135" s="508"/>
      <c r="P135" s="515"/>
      <c r="Q135" s="516"/>
      <c r="R135" s="515"/>
      <c r="S135" s="519"/>
      <c r="T135" s="515"/>
      <c r="U135" s="515"/>
      <c r="V135" s="521"/>
      <c r="W135" s="593"/>
    </row>
    <row r="136" spans="1:23" ht="15" customHeight="1">
      <c r="A136" s="144"/>
      <c r="B136" s="145"/>
      <c r="C136" s="162"/>
      <c r="D136" s="147"/>
      <c r="E136" s="150"/>
      <c r="F136" s="150"/>
      <c r="G136" s="150"/>
      <c r="H136" s="150"/>
      <c r="I136" s="150"/>
      <c r="J136" s="150"/>
      <c r="K136" s="150"/>
      <c r="L136" s="149"/>
      <c r="M136" s="595"/>
      <c r="N136" s="510"/>
      <c r="O136" s="511"/>
      <c r="P136" s="522"/>
      <c r="Q136" s="523"/>
      <c r="R136" s="523"/>
      <c r="S136" s="523"/>
      <c r="T136" s="523"/>
      <c r="U136" s="523"/>
      <c r="V136" s="523"/>
      <c r="W136" s="592"/>
    </row>
    <row r="137" spans="1:23" ht="15" customHeight="1">
      <c r="A137" s="72"/>
      <c r="B137" s="73"/>
      <c r="C137" s="74"/>
      <c r="D137" s="73"/>
      <c r="E137" s="75"/>
      <c r="F137" s="73"/>
      <c r="G137" s="74"/>
      <c r="H137" s="73"/>
      <c r="I137" s="74"/>
      <c r="J137" s="73"/>
      <c r="K137" s="76"/>
      <c r="L137" s="149"/>
      <c r="M137" s="144"/>
      <c r="N137" s="145"/>
      <c r="O137" s="146"/>
      <c r="P137" s="147"/>
      <c r="Q137" s="150"/>
      <c r="R137" s="150"/>
      <c r="S137" s="150"/>
      <c r="T137" s="150"/>
      <c r="U137" s="150"/>
      <c r="V137" s="150"/>
      <c r="W137" s="151"/>
    </row>
    <row r="138" spans="1:23" ht="15" customHeight="1">
      <c r="A138" s="77"/>
      <c r="B138" s="143"/>
      <c r="C138" s="152"/>
      <c r="D138" s="450"/>
      <c r="E138" s="153"/>
      <c r="F138" s="78"/>
      <c r="G138" s="154"/>
      <c r="H138" s="79"/>
      <c r="I138" s="154"/>
      <c r="J138" s="80"/>
      <c r="K138" s="81"/>
      <c r="L138" s="149"/>
      <c r="M138" s="72"/>
      <c r="N138" s="73"/>
      <c r="O138" s="74"/>
      <c r="P138" s="73"/>
      <c r="Q138" s="75"/>
      <c r="R138" s="73"/>
      <c r="S138" s="74"/>
      <c r="T138" s="73"/>
      <c r="U138" s="74"/>
      <c r="V138" s="73"/>
      <c r="W138" s="76"/>
    </row>
    <row r="139" spans="1:23" ht="13">
      <c r="A139" s="82"/>
      <c r="B139" s="143"/>
      <c r="C139" s="83"/>
      <c r="D139" s="451"/>
      <c r="E139" s="84"/>
      <c r="F139" s="78"/>
      <c r="G139" s="85"/>
      <c r="H139" s="78"/>
      <c r="I139" s="85"/>
      <c r="J139" s="86"/>
      <c r="K139" s="87"/>
      <c r="L139" s="149"/>
      <c r="M139" s="77"/>
      <c r="N139" s="143"/>
      <c r="O139" s="152"/>
      <c r="P139" s="450"/>
      <c r="Q139" s="153"/>
      <c r="R139" s="78"/>
      <c r="S139" s="154"/>
      <c r="T139" s="79"/>
      <c r="U139" s="154"/>
      <c r="V139" s="80"/>
      <c r="W139" s="81"/>
    </row>
    <row r="140" spans="1:23" ht="13">
      <c r="A140" s="77"/>
      <c r="B140" s="143"/>
      <c r="C140" s="78"/>
      <c r="D140" s="452"/>
      <c r="E140" s="88"/>
      <c r="F140" s="78"/>
      <c r="G140" s="89"/>
      <c r="H140" s="78"/>
      <c r="I140" s="89"/>
      <c r="J140" s="86"/>
      <c r="K140" s="90"/>
      <c r="L140" s="149"/>
      <c r="M140" s="82"/>
      <c r="N140" s="143"/>
      <c r="O140" s="83"/>
      <c r="P140" s="451"/>
      <c r="Q140" s="84"/>
      <c r="R140" s="78"/>
      <c r="S140" s="85"/>
      <c r="T140" s="78"/>
      <c r="U140" s="85"/>
      <c r="V140" s="86"/>
      <c r="W140" s="87"/>
    </row>
    <row r="141" spans="1:23" ht="13">
      <c r="A141" s="91"/>
      <c r="B141" s="143"/>
      <c r="C141" s="83"/>
      <c r="D141" s="453"/>
      <c r="E141" s="92"/>
      <c r="F141" s="78"/>
      <c r="G141" s="85"/>
      <c r="H141" s="78"/>
      <c r="I141" s="85"/>
      <c r="J141" s="86"/>
      <c r="K141" s="90"/>
      <c r="L141" s="149"/>
      <c r="M141" s="91"/>
      <c r="N141" s="78"/>
      <c r="O141" s="78"/>
      <c r="P141" s="78"/>
      <c r="Q141" s="88"/>
      <c r="R141" s="78"/>
      <c r="S141" s="89"/>
      <c r="T141" s="78"/>
      <c r="U141" s="89"/>
      <c r="V141" s="86"/>
      <c r="W141" s="90"/>
    </row>
    <row r="142" spans="1:23" ht="14">
      <c r="A142" s="91"/>
      <c r="B142" s="78"/>
      <c r="C142" s="78"/>
      <c r="D142" s="78"/>
      <c r="E142" s="88"/>
      <c r="F142" s="78"/>
      <c r="G142" s="89"/>
      <c r="H142" s="78"/>
      <c r="I142" s="89"/>
      <c r="J142" s="86"/>
      <c r="K142" s="90"/>
      <c r="L142" s="149"/>
      <c r="M142" s="5"/>
      <c r="N142" s="155"/>
      <c r="O142" s="155"/>
      <c r="P142" s="155"/>
      <c r="Q142" s="156"/>
      <c r="R142" s="155"/>
      <c r="S142" s="155"/>
      <c r="T142" s="155"/>
      <c r="U142" s="155"/>
      <c r="V142" s="93"/>
      <c r="W142" s="94"/>
    </row>
    <row r="143" spans="1:23" ht="17">
      <c r="A143" s="5"/>
      <c r="B143" s="155"/>
      <c r="C143" s="155"/>
      <c r="D143" s="155"/>
      <c r="E143" s="156"/>
      <c r="F143" s="155"/>
      <c r="G143" s="155"/>
      <c r="H143" s="155"/>
      <c r="I143" s="155"/>
      <c r="J143" s="93"/>
      <c r="K143" s="94"/>
      <c r="L143" s="149"/>
      <c r="M143" s="95"/>
      <c r="N143" s="96"/>
      <c r="O143" s="96"/>
      <c r="P143" s="96"/>
      <c r="Q143" s="97"/>
      <c r="R143" s="96"/>
      <c r="S143" s="98"/>
      <c r="T143" s="96"/>
      <c r="U143" s="96"/>
      <c r="V143" s="99"/>
      <c r="W143" s="100"/>
    </row>
    <row r="144" spans="1:23" ht="15" customHeight="1">
      <c r="A144" s="95"/>
      <c r="B144" s="96"/>
      <c r="C144" s="96"/>
      <c r="D144" s="96"/>
      <c r="E144" s="97"/>
      <c r="F144" s="96"/>
      <c r="G144" s="98"/>
      <c r="H144" s="96"/>
      <c r="I144" s="96"/>
      <c r="J144" s="99"/>
      <c r="K144" s="100"/>
      <c r="L144" s="149"/>
      <c r="M144" s="5"/>
      <c r="N144" s="6"/>
      <c r="O144" s="6"/>
      <c r="P144" s="6"/>
      <c r="Q144" s="7"/>
      <c r="R144" s="6"/>
      <c r="S144" s="157"/>
      <c r="T144" s="6"/>
      <c r="U144" s="6"/>
      <c r="V144" s="101"/>
      <c r="W144" s="102"/>
    </row>
    <row r="145" spans="1:34" ht="16.5" customHeight="1">
      <c r="A145" s="5"/>
      <c r="B145" s="6"/>
      <c r="C145" s="6"/>
      <c r="D145" s="6"/>
      <c r="E145" s="7"/>
      <c r="F145" s="6"/>
      <c r="G145" s="157"/>
      <c r="H145" s="6"/>
      <c r="I145" s="6"/>
      <c r="J145" s="101"/>
      <c r="K145" s="102"/>
      <c r="L145" s="149"/>
      <c r="M145" s="95"/>
      <c r="N145" s="96"/>
      <c r="O145" s="96"/>
      <c r="P145" s="96"/>
      <c r="Q145" s="97"/>
      <c r="R145" s="96"/>
      <c r="S145" s="103"/>
      <c r="T145" s="96"/>
      <c r="U145" s="96"/>
      <c r="V145" s="104"/>
      <c r="W145" s="100"/>
    </row>
    <row r="146" spans="1:34" ht="15" customHeight="1" thickBot="1">
      <c r="A146" s="95"/>
      <c r="B146" s="96"/>
      <c r="C146" s="96"/>
      <c r="D146" s="96"/>
      <c r="E146" s="97"/>
      <c r="F146" s="96"/>
      <c r="G146" s="103"/>
      <c r="H146" s="96"/>
      <c r="I146" s="96"/>
      <c r="J146" s="104"/>
      <c r="K146" s="381"/>
      <c r="L146" s="149"/>
      <c r="M146" s="12"/>
      <c r="N146" s="13"/>
      <c r="O146" s="13"/>
      <c r="P146" s="13"/>
      <c r="Q146" s="14"/>
      <c r="R146" s="13"/>
      <c r="S146" s="15"/>
      <c r="T146" s="13"/>
      <c r="U146" s="13"/>
      <c r="V146" s="1663"/>
      <c r="W146" s="586"/>
    </row>
    <row r="147" spans="1:34" ht="15.75" customHeight="1">
      <c r="A147" s="105"/>
      <c r="B147" s="106"/>
      <c r="C147" s="106"/>
      <c r="D147" s="106"/>
      <c r="E147" s="107"/>
      <c r="F147" s="106"/>
      <c r="G147" s="108"/>
      <c r="H147" s="106"/>
      <c r="I147" s="106"/>
      <c r="J147" s="454"/>
      <c r="K147" s="147"/>
      <c r="L147" s="149"/>
      <c r="M147" s="513" t="s">
        <v>171</v>
      </c>
      <c r="N147" s="508"/>
      <c r="O147" s="508"/>
      <c r="P147" s="515"/>
      <c r="Q147" s="516"/>
      <c r="R147" s="515"/>
      <c r="S147" s="519" t="s">
        <v>423</v>
      </c>
      <c r="T147" s="515"/>
      <c r="U147" s="515"/>
      <c r="V147" s="521"/>
      <c r="W147" s="593" t="s">
        <v>426</v>
      </c>
    </row>
    <row r="148" spans="1:34" ht="15" customHeight="1" thickBot="1">
      <c r="A148" s="163"/>
      <c r="B148" s="159"/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  <c r="W148" s="160"/>
    </row>
    <row r="149" spans="1:34" ht="15" customHeight="1">
      <c r="A149" s="584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58"/>
    </row>
    <row r="150" spans="1:34" ht="14.5" thickBot="1">
      <c r="A150" s="5"/>
      <c r="B150" s="6"/>
      <c r="C150" s="6"/>
      <c r="D150" s="6"/>
      <c r="E150" s="7"/>
      <c r="F150" s="6"/>
      <c r="G150" s="66"/>
      <c r="H150" s="6"/>
      <c r="I150" s="6"/>
      <c r="J150" s="124"/>
      <c r="K150" s="125"/>
      <c r="W150" s="113" t="s">
        <v>403</v>
      </c>
    </row>
    <row r="151" spans="1:34" ht="13">
      <c r="A151" s="2009" t="s">
        <v>404</v>
      </c>
      <c r="B151" s="2010"/>
      <c r="C151" s="2010"/>
      <c r="D151" s="2010"/>
      <c r="E151" s="2010"/>
      <c r="F151" s="2010"/>
      <c r="G151" s="2010"/>
      <c r="H151" s="2010"/>
      <c r="I151" s="2010"/>
      <c r="J151" s="2010"/>
      <c r="K151" s="2010"/>
      <c r="L151" s="2010"/>
      <c r="M151" s="2010"/>
      <c r="N151" s="2010"/>
      <c r="O151" s="2010"/>
      <c r="P151" s="2010"/>
      <c r="Q151" s="2010"/>
      <c r="R151" s="2010"/>
      <c r="S151" s="2010"/>
      <c r="T151" s="2010"/>
      <c r="U151" s="2010"/>
      <c r="V151" s="2010"/>
      <c r="W151" s="2011"/>
    </row>
    <row r="152" spans="1:34" ht="13">
      <c r="A152" s="2012"/>
      <c r="B152" s="2013"/>
      <c r="C152" s="2013"/>
      <c r="D152" s="2013"/>
      <c r="E152" s="2013"/>
      <c r="F152" s="2013"/>
      <c r="G152" s="2013"/>
      <c r="H152" s="2013"/>
      <c r="I152" s="2013"/>
      <c r="J152" s="2013"/>
      <c r="K152" s="2013"/>
      <c r="L152" s="117"/>
      <c r="M152" s="2013"/>
      <c r="N152" s="2013"/>
      <c r="O152" s="2013"/>
      <c r="P152" s="2013"/>
      <c r="Q152" s="2013"/>
      <c r="R152" s="2013"/>
      <c r="S152" s="2013"/>
      <c r="T152" s="2013"/>
      <c r="U152" s="2013"/>
      <c r="V152" s="2013"/>
      <c r="W152" s="2014"/>
    </row>
    <row r="153" spans="1:34" ht="14">
      <c r="A153" s="144" t="s">
        <v>427</v>
      </c>
      <c r="B153" s="145"/>
      <c r="C153" s="162">
        <f>[3]Input!D36</f>
        <v>5</v>
      </c>
      <c r="D153" s="147" t="s">
        <v>428</v>
      </c>
      <c r="E153" s="117"/>
      <c r="F153" s="117"/>
      <c r="G153" s="117"/>
      <c r="H153" s="117"/>
      <c r="I153" s="117"/>
      <c r="J153" s="117"/>
      <c r="K153" s="117"/>
      <c r="L153" s="117"/>
      <c r="M153" s="144" t="s">
        <v>427</v>
      </c>
      <c r="N153" s="145"/>
      <c r="O153" s="162">
        <f>[3]Input!D41</f>
        <v>100</v>
      </c>
      <c r="P153" s="147" t="s">
        <v>428</v>
      </c>
      <c r="Q153" s="117"/>
      <c r="R153" s="117"/>
      <c r="S153" s="117"/>
      <c r="T153" s="117"/>
      <c r="U153" s="117"/>
      <c r="V153" s="117"/>
      <c r="W153" s="322"/>
      <c r="X153" s="2017"/>
      <c r="Y153" s="2017"/>
      <c r="Z153" s="2017"/>
      <c r="AA153" s="1995"/>
      <c r="AB153" s="2002"/>
      <c r="AD153" s="2017"/>
      <c r="AE153" s="2017"/>
      <c r="AF153" s="2017"/>
      <c r="AG153" s="1995"/>
      <c r="AH153" s="2002"/>
    </row>
    <row r="154" spans="1:34" ht="14">
      <c r="A154" s="692" t="s">
        <v>409</v>
      </c>
      <c r="B154" s="693" t="s">
        <v>410</v>
      </c>
      <c r="C154" s="694" t="s">
        <v>411</v>
      </c>
      <c r="D154" s="693" t="s">
        <v>412</v>
      </c>
      <c r="E154" s="695" t="s">
        <v>413</v>
      </c>
      <c r="F154" s="693" t="s">
        <v>156</v>
      </c>
      <c r="G154" s="694" t="s">
        <v>157</v>
      </c>
      <c r="H154" s="693" t="s">
        <v>158</v>
      </c>
      <c r="I154" s="694" t="s">
        <v>159</v>
      </c>
      <c r="J154" s="693" t="s">
        <v>160</v>
      </c>
      <c r="K154" s="696" t="s">
        <v>161</v>
      </c>
      <c r="L154" s="117"/>
      <c r="M154" s="692" t="s">
        <v>409</v>
      </c>
      <c r="N154" s="693" t="s">
        <v>410</v>
      </c>
      <c r="O154" s="694" t="s">
        <v>411</v>
      </c>
      <c r="P154" s="693" t="s">
        <v>412</v>
      </c>
      <c r="Q154" s="695" t="s">
        <v>413</v>
      </c>
      <c r="R154" s="693" t="s">
        <v>156</v>
      </c>
      <c r="S154" s="694" t="s">
        <v>157</v>
      </c>
      <c r="T154" s="693" t="s">
        <v>158</v>
      </c>
      <c r="U154" s="694" t="s">
        <v>159</v>
      </c>
      <c r="V154" s="693" t="s">
        <v>160</v>
      </c>
      <c r="W154" s="696" t="s">
        <v>161</v>
      </c>
      <c r="X154" s="377"/>
      <c r="Y154" s="1995"/>
      <c r="Z154" s="1995"/>
      <c r="AA154" s="1995"/>
      <c r="AB154" s="2002"/>
      <c r="AD154" s="377"/>
      <c r="AE154" s="1995"/>
      <c r="AF154" s="1995"/>
      <c r="AG154" s="1995"/>
      <c r="AH154" s="2002"/>
    </row>
    <row r="155" spans="1:34" ht="14">
      <c r="A155" s="697" t="s">
        <v>429</v>
      </c>
      <c r="B155" s="143" t="s">
        <v>428</v>
      </c>
      <c r="C155" s="698" t="s">
        <v>415</v>
      </c>
      <c r="D155" s="761">
        <f>'Input Data Sertifikat Defib'!F103</f>
        <v>1.0000000000000001E-5</v>
      </c>
      <c r="E155" s="700">
        <f>SQRT(3)</f>
        <v>1.7320508075688772</v>
      </c>
      <c r="F155" s="143">
        <v>2</v>
      </c>
      <c r="G155" s="701">
        <f>D155/E155</f>
        <v>5.7735026918962587E-6</v>
      </c>
      <c r="H155" s="702">
        <v>1</v>
      </c>
      <c r="I155" s="701">
        <f>G155*H155</f>
        <v>5.7735026918962587E-6</v>
      </c>
      <c r="J155" s="703">
        <f>I155^2</f>
        <v>3.3333333333333347E-11</v>
      </c>
      <c r="K155" s="704">
        <f>I155^4/F155</f>
        <v>5.5555555555555605E-22</v>
      </c>
      <c r="L155" s="117"/>
      <c r="M155" s="697" t="s">
        <v>429</v>
      </c>
      <c r="N155" s="143" t="s">
        <v>428</v>
      </c>
      <c r="O155" s="698" t="s">
        <v>415</v>
      </c>
      <c r="P155" s="761">
        <f>'Input Data Sertifikat Defib'!F108</f>
        <v>2.3094010767585034</v>
      </c>
      <c r="Q155" s="700">
        <f>SQRT(3)</f>
        <v>1.7320508075688772</v>
      </c>
      <c r="R155" s="143">
        <v>2</v>
      </c>
      <c r="S155" s="701">
        <f>P155/Q155</f>
        <v>1.3333333333333335</v>
      </c>
      <c r="T155" s="702">
        <v>1</v>
      </c>
      <c r="U155" s="701">
        <f>S155*T155</f>
        <v>1.3333333333333335</v>
      </c>
      <c r="V155" s="703">
        <f>U155^2</f>
        <v>1.7777777777777781</v>
      </c>
      <c r="W155" s="704">
        <f>U155^4/R155</f>
        <v>1.5802469135802475</v>
      </c>
      <c r="X155" s="378"/>
      <c r="Y155" s="10"/>
      <c r="Z155" s="10"/>
      <c r="AA155" s="1995"/>
      <c r="AB155" s="2002"/>
      <c r="AD155" s="378"/>
      <c r="AE155" s="379"/>
      <c r="AF155" s="379"/>
      <c r="AG155" s="1995"/>
      <c r="AH155" s="2002"/>
    </row>
    <row r="156" spans="1:34" ht="13">
      <c r="A156" s="705" t="s">
        <v>430</v>
      </c>
      <c r="B156" s="143" t="s">
        <v>428</v>
      </c>
      <c r="C156" s="706" t="s">
        <v>417</v>
      </c>
      <c r="D156" s="762">
        <f>'Input Data Sertifikat Defib'!L103</f>
        <v>0.5</v>
      </c>
      <c r="E156" s="707">
        <f>SQRT(3)</f>
        <v>1.7320508075688772</v>
      </c>
      <c r="F156" s="143">
        <f>0.5*((100/10)^2)</f>
        <v>50</v>
      </c>
      <c r="G156" s="708">
        <f>D156/E156</f>
        <v>0.28867513459481292</v>
      </c>
      <c r="H156" s="143">
        <v>1</v>
      </c>
      <c r="I156" s="708">
        <f>G156*H156</f>
        <v>0.28867513459481292</v>
      </c>
      <c r="J156" s="709">
        <f>I156^2</f>
        <v>8.3333333333333356E-2</v>
      </c>
      <c r="K156" s="710">
        <f>I156^4/F156</f>
        <v>1.3888888888888897E-4</v>
      </c>
      <c r="L156" s="117"/>
      <c r="M156" s="705" t="s">
        <v>430</v>
      </c>
      <c r="N156" s="143" t="s">
        <v>428</v>
      </c>
      <c r="O156" s="706" t="s">
        <v>417</v>
      </c>
      <c r="P156" s="762">
        <f>'Input Data Sertifikat Defib'!L108</f>
        <v>0.5</v>
      </c>
      <c r="Q156" s="707">
        <f>SQRT(3)</f>
        <v>1.7320508075688772</v>
      </c>
      <c r="R156" s="143">
        <f>0.5*((100/10)^2)</f>
        <v>50</v>
      </c>
      <c r="S156" s="708">
        <f>P156/Q156</f>
        <v>0.28867513459481292</v>
      </c>
      <c r="T156" s="143">
        <v>1</v>
      </c>
      <c r="U156" s="708">
        <f>S156*T156</f>
        <v>0.28867513459481292</v>
      </c>
      <c r="V156" s="709">
        <f>U156^2</f>
        <v>8.3333333333333356E-2</v>
      </c>
      <c r="W156" s="710">
        <f>U156^4/R156</f>
        <v>1.3888888888888897E-4</v>
      </c>
      <c r="X156" s="10"/>
      <c r="Y156" s="447"/>
      <c r="Z156" s="447"/>
      <c r="AA156" s="447"/>
      <c r="AB156" s="447"/>
      <c r="AD156" s="10"/>
      <c r="AE156" s="27"/>
      <c r="AF156" s="27"/>
      <c r="AG156" s="27"/>
      <c r="AH156" s="27"/>
    </row>
    <row r="157" spans="1:34" ht="13">
      <c r="A157" s="697" t="s">
        <v>418</v>
      </c>
      <c r="B157" s="143" t="s">
        <v>428</v>
      </c>
      <c r="C157" s="143" t="s">
        <v>417</v>
      </c>
      <c r="D157" s="763">
        <f>'Input Data Sertifikat Defib'!M80</f>
        <v>3.5598751371960242E-3</v>
      </c>
      <c r="E157" s="711">
        <f>SQRT(3)</f>
        <v>1.7320508075688772</v>
      </c>
      <c r="F157" s="143">
        <f>0.5*((100/10)^2)</f>
        <v>50</v>
      </c>
      <c r="G157" s="712">
        <f>D157/E157</f>
        <v>2.0552948687415805E-3</v>
      </c>
      <c r="H157" s="143">
        <v>1</v>
      </c>
      <c r="I157" s="712">
        <f>G157*H157</f>
        <v>2.0552948687415805E-3</v>
      </c>
      <c r="J157" s="709">
        <f>I157^2</f>
        <v>4.2242369974754705E-6</v>
      </c>
      <c r="K157" s="713">
        <f>I157^4/F157</f>
        <v>3.5688356421681157E-13</v>
      </c>
      <c r="L157" s="117"/>
      <c r="M157" s="697" t="s">
        <v>418</v>
      </c>
      <c r="N157" s="143" t="s">
        <v>428</v>
      </c>
      <c r="O157" s="143" t="s">
        <v>417</v>
      </c>
      <c r="P157" s="763">
        <f>'Input Data Sertifikat Defib'!M85</f>
        <v>0.10937253677705536</v>
      </c>
      <c r="Q157" s="711">
        <f>SQRT(3)</f>
        <v>1.7320508075688772</v>
      </c>
      <c r="R157" s="143">
        <f>0.5*((100/10)^2)</f>
        <v>50</v>
      </c>
      <c r="S157" s="712">
        <f>P157/Q157</f>
        <v>6.3146263550185155E-2</v>
      </c>
      <c r="T157" s="143">
        <v>1</v>
      </c>
      <c r="U157" s="712">
        <f>S157*T157</f>
        <v>6.3146263550185155E-2</v>
      </c>
      <c r="V157" s="709">
        <f>U157^2</f>
        <v>3.9874506003494421E-3</v>
      </c>
      <c r="W157" s="713">
        <f>U157^4/R157</f>
        <v>3.1799524580454246E-7</v>
      </c>
      <c r="X157" s="10"/>
      <c r="Y157" s="447"/>
      <c r="Z157" s="447"/>
      <c r="AA157" s="447"/>
      <c r="AB157" s="447"/>
      <c r="AD157" s="10"/>
      <c r="AE157" s="27"/>
      <c r="AF157" s="27"/>
      <c r="AG157" s="27"/>
      <c r="AH157" s="27"/>
    </row>
    <row r="158" spans="1:34" ht="13">
      <c r="A158" s="714" t="s">
        <v>419</v>
      </c>
      <c r="B158" s="143" t="s">
        <v>428</v>
      </c>
      <c r="C158" s="706" t="s">
        <v>415</v>
      </c>
      <c r="D158" s="764">
        <f>'Input Data Sertifikat Defib'!N80</f>
        <v>2.6097225298425682E-2</v>
      </c>
      <c r="E158" s="716">
        <v>2</v>
      </c>
      <c r="F158" s="143">
        <f>0.5*((100/10)^2)</f>
        <v>50</v>
      </c>
      <c r="G158" s="708">
        <f>D158/E158</f>
        <v>1.3048612649212841E-2</v>
      </c>
      <c r="H158" s="143">
        <v>1</v>
      </c>
      <c r="I158" s="708">
        <f>G158*H158</f>
        <v>1.3048612649212841E-2</v>
      </c>
      <c r="J158" s="709">
        <f>I158^2</f>
        <v>1.7026629206919736E-4</v>
      </c>
      <c r="K158" s="713">
        <f>I158^4/F158</f>
        <v>5.7981220429986439E-10</v>
      </c>
      <c r="L158" s="117"/>
      <c r="M158" s="714" t="s">
        <v>419</v>
      </c>
      <c r="N158" s="143" t="s">
        <v>428</v>
      </c>
      <c r="O158" s="706" t="s">
        <v>415</v>
      </c>
      <c r="P158" s="764">
        <f>'Input Data Sertifikat Defib'!N85</f>
        <v>0.47462549061582915</v>
      </c>
      <c r="Q158" s="716">
        <v>2</v>
      </c>
      <c r="R158" s="143">
        <f>0.5*((100/10)^2)</f>
        <v>50</v>
      </c>
      <c r="S158" s="708">
        <f>P158/Q158</f>
        <v>0.23731274530791457</v>
      </c>
      <c r="T158" s="143">
        <v>1</v>
      </c>
      <c r="U158" s="708">
        <f>S158*T158</f>
        <v>0.23731274530791457</v>
      </c>
      <c r="V158" s="709">
        <f>U158^2</f>
        <v>5.6317339085579128E-2</v>
      </c>
      <c r="W158" s="713">
        <f>U158^4/R158</f>
        <v>6.3432853633601968E-5</v>
      </c>
      <c r="X158" s="10"/>
      <c r="Y158" s="447"/>
      <c r="Z158" s="447"/>
      <c r="AA158" s="447"/>
      <c r="AB158" s="447"/>
      <c r="AD158" s="10"/>
      <c r="AE158" s="27"/>
      <c r="AF158" s="27"/>
      <c r="AG158" s="27"/>
      <c r="AH158" s="27"/>
    </row>
    <row r="159" spans="1:34" ht="13">
      <c r="A159" s="714"/>
      <c r="B159" s="143"/>
      <c r="C159" s="143"/>
      <c r="D159" s="143"/>
      <c r="E159" s="711"/>
      <c r="F159" s="143"/>
      <c r="G159" s="712"/>
      <c r="H159" s="143"/>
      <c r="I159" s="712"/>
      <c r="J159" s="709"/>
      <c r="K159" s="713"/>
      <c r="L159" s="117"/>
      <c r="M159" s="714"/>
      <c r="N159" s="143"/>
      <c r="O159" s="143"/>
      <c r="P159" s="143"/>
      <c r="Q159" s="711"/>
      <c r="R159" s="143"/>
      <c r="S159" s="712"/>
      <c r="T159" s="143"/>
      <c r="U159" s="712"/>
      <c r="V159" s="709"/>
      <c r="W159" s="713"/>
      <c r="X159" s="10"/>
      <c r="Y159" s="447"/>
      <c r="Z159" s="447"/>
      <c r="AA159" s="447"/>
      <c r="AB159" s="447"/>
      <c r="AD159" s="10"/>
      <c r="AE159" s="27"/>
      <c r="AF159" s="27"/>
      <c r="AG159" s="27"/>
      <c r="AH159" s="27"/>
    </row>
    <row r="160" spans="1:34" ht="14">
      <c r="A160" s="717" t="s">
        <v>166</v>
      </c>
      <c r="B160" s="327"/>
      <c r="C160" s="327"/>
      <c r="D160" s="327"/>
      <c r="E160" s="718"/>
      <c r="F160" s="327"/>
      <c r="G160" s="327"/>
      <c r="H160" s="327"/>
      <c r="I160" s="327"/>
      <c r="J160" s="719">
        <f>SUM(J155:J158)</f>
        <v>8.3507823895733357E-2</v>
      </c>
      <c r="K160" s="720">
        <f>SUM(K155:K158)</f>
        <v>1.3888946905797684E-4</v>
      </c>
      <c r="L160" s="117"/>
      <c r="M160" s="717" t="s">
        <v>166</v>
      </c>
      <c r="N160" s="327"/>
      <c r="O160" s="327"/>
      <c r="P160" s="327"/>
      <c r="Q160" s="718"/>
      <c r="R160" s="327"/>
      <c r="S160" s="327"/>
      <c r="T160" s="327"/>
      <c r="U160" s="327"/>
      <c r="V160" s="719">
        <f>SUM(V155:V158)</f>
        <v>1.9214159007970399</v>
      </c>
      <c r="W160" s="720">
        <f>SUM(W155:W158)</f>
        <v>1.5804495533180158</v>
      </c>
      <c r="X160" s="10"/>
      <c r="Y160" s="447"/>
      <c r="Z160" s="447"/>
      <c r="AA160" s="447"/>
      <c r="AB160" s="447"/>
      <c r="AD160" s="10"/>
      <c r="AE160" s="27"/>
      <c r="AF160" s="27"/>
      <c r="AG160" s="27"/>
      <c r="AH160" s="27"/>
    </row>
    <row r="161" spans="1:41" ht="17">
      <c r="A161" s="721" t="s">
        <v>168</v>
      </c>
      <c r="B161" s="722"/>
      <c r="C161" s="722"/>
      <c r="D161" s="722"/>
      <c r="E161" s="723"/>
      <c r="F161" s="722"/>
      <c r="G161" s="724" t="s">
        <v>420</v>
      </c>
      <c r="H161" s="722"/>
      <c r="I161" s="722"/>
      <c r="J161" s="725">
        <f>SQRT(J160)</f>
        <v>0.28897720307272223</v>
      </c>
      <c r="K161" s="726"/>
      <c r="L161" s="117"/>
      <c r="M161" s="721" t="s">
        <v>168</v>
      </c>
      <c r="N161" s="722"/>
      <c r="O161" s="722"/>
      <c r="P161" s="722"/>
      <c r="Q161" s="723"/>
      <c r="R161" s="722"/>
      <c r="S161" s="724" t="s">
        <v>420</v>
      </c>
      <c r="T161" s="722"/>
      <c r="U161" s="722"/>
      <c r="V161" s="725">
        <f>SQRT(V160)</f>
        <v>1.3861514710871392</v>
      </c>
      <c r="W161" s="726"/>
      <c r="X161" s="10"/>
      <c r="Y161" s="447"/>
      <c r="Z161" s="447"/>
      <c r="AA161" s="447"/>
      <c r="AB161" s="447"/>
      <c r="AD161" s="10"/>
      <c r="AE161" s="27"/>
      <c r="AF161" s="27"/>
      <c r="AG161" s="27"/>
      <c r="AH161" s="27"/>
    </row>
    <row r="162" spans="1:41" ht="17.5">
      <c r="A162" s="717" t="s">
        <v>169</v>
      </c>
      <c r="B162" s="727"/>
      <c r="C162" s="727"/>
      <c r="D162" s="727"/>
      <c r="E162" s="728"/>
      <c r="F162" s="727"/>
      <c r="G162" s="729" t="s">
        <v>421</v>
      </c>
      <c r="H162" s="727"/>
      <c r="I162" s="727"/>
      <c r="J162" s="730">
        <f>J161^4/(K160)</f>
        <v>50.209398157392556</v>
      </c>
      <c r="K162" s="731"/>
      <c r="L162" s="117"/>
      <c r="M162" s="717" t="s">
        <v>169</v>
      </c>
      <c r="N162" s="727"/>
      <c r="O162" s="727"/>
      <c r="P162" s="727"/>
      <c r="Q162" s="728"/>
      <c r="R162" s="727"/>
      <c r="S162" s="729" t="s">
        <v>421</v>
      </c>
      <c r="T162" s="727"/>
      <c r="U162" s="727"/>
      <c r="V162" s="730">
        <f>V161^4/(W160)</f>
        <v>2.3359423627821641</v>
      </c>
      <c r="W162" s="731"/>
      <c r="X162" s="10"/>
      <c r="Y162" s="447"/>
      <c r="Z162" s="447"/>
      <c r="AA162" s="447"/>
      <c r="AB162" s="447"/>
      <c r="AD162" s="10"/>
      <c r="AE162" s="27"/>
      <c r="AF162" s="27"/>
      <c r="AG162" s="27"/>
      <c r="AH162" s="27"/>
    </row>
    <row r="163" spans="1:41" ht="15.5">
      <c r="A163" s="721" t="s">
        <v>170</v>
      </c>
      <c r="B163" s="722"/>
      <c r="C163" s="722"/>
      <c r="D163" s="722"/>
      <c r="E163" s="723"/>
      <c r="F163" s="722"/>
      <c r="G163" s="732" t="s">
        <v>422</v>
      </c>
      <c r="H163" s="722"/>
      <c r="I163" s="722"/>
      <c r="J163" s="733">
        <f>1.95996+(2.37356/J162)+(2.818745/J162^2)+(2.546662/J162^3)+(1.761829/J162^4)+(0.245458/J162^5)+(1.000764/J162^6)</f>
        <v>2.0083717321548962</v>
      </c>
      <c r="K163" s="726"/>
      <c r="L163" s="117"/>
      <c r="M163" s="721" t="s">
        <v>170</v>
      </c>
      <c r="N163" s="722"/>
      <c r="O163" s="722"/>
      <c r="P163" s="722"/>
      <c r="Q163" s="723"/>
      <c r="R163" s="722"/>
      <c r="S163" s="732" t="s">
        <v>422</v>
      </c>
      <c r="T163" s="722"/>
      <c r="U163" s="722"/>
      <c r="V163" s="733">
        <f>1.95996+(2.37356/V162)+(2.818745/V162^2)+(2.546662/V162^3)+(1.761829/V162^4)+(0.245458/V162^5)+(1.000764/V162^6)</f>
        <v>3.7612924754081063</v>
      </c>
      <c r="W163" s="726"/>
      <c r="X163" s="10"/>
      <c r="Y163" s="447"/>
      <c r="Z163" s="447"/>
      <c r="AA163" s="447"/>
      <c r="AB163" s="447"/>
      <c r="AD163" s="10"/>
      <c r="AE163" s="27"/>
      <c r="AF163" s="27"/>
      <c r="AG163" s="27"/>
      <c r="AH163" s="27"/>
    </row>
    <row r="164" spans="1:41" ht="15.75" customHeight="1">
      <c r="A164" s="734" t="s">
        <v>171</v>
      </c>
      <c r="B164" s="735"/>
      <c r="C164" s="735"/>
      <c r="D164" s="735"/>
      <c r="E164" s="736"/>
      <c r="F164" s="735"/>
      <c r="G164" s="737" t="s">
        <v>423</v>
      </c>
      <c r="H164" s="735"/>
      <c r="I164" s="735"/>
      <c r="J164" s="738">
        <f>J161*J163</f>
        <v>0.58037364588844031</v>
      </c>
      <c r="K164" s="739" t="s">
        <v>428</v>
      </c>
      <c r="L164" s="117"/>
      <c r="M164" s="734" t="s">
        <v>171</v>
      </c>
      <c r="N164" s="735"/>
      <c r="O164" s="735"/>
      <c r="P164" s="735"/>
      <c r="Q164" s="736"/>
      <c r="R164" s="735"/>
      <c r="S164" s="737" t="s">
        <v>423</v>
      </c>
      <c r="T164" s="735"/>
      <c r="U164" s="735"/>
      <c r="V164" s="738">
        <f>V161*V163</f>
        <v>5.2137210979759336</v>
      </c>
      <c r="W164" s="739" t="s">
        <v>428</v>
      </c>
      <c r="AD164" s="10"/>
      <c r="AE164" s="27"/>
      <c r="AF164" s="27"/>
      <c r="AG164" s="27"/>
      <c r="AH164" s="27"/>
    </row>
    <row r="165" spans="1:41" ht="13">
      <c r="A165" s="144" t="s">
        <v>427</v>
      </c>
      <c r="B165" s="145"/>
      <c r="C165" s="162">
        <f>[3]Input!D37</f>
        <v>10</v>
      </c>
      <c r="D165" s="147" t="s">
        <v>428</v>
      </c>
      <c r="E165" s="117"/>
      <c r="F165" s="117"/>
      <c r="G165" s="117"/>
      <c r="H165" s="117"/>
      <c r="I165" s="117"/>
      <c r="J165" s="750">
        <f>(J164/C153)*100</f>
        <v>11.607472917768806</v>
      </c>
      <c r="K165" s="751" t="s">
        <v>424</v>
      </c>
      <c r="L165" s="117"/>
      <c r="M165" s="144" t="s">
        <v>427</v>
      </c>
      <c r="N165" s="145"/>
      <c r="O165" s="162">
        <f>[3]Input!D42</f>
        <v>150</v>
      </c>
      <c r="P165" s="147" t="s">
        <v>428</v>
      </c>
      <c r="Q165" s="117"/>
      <c r="R165" s="117"/>
      <c r="S165" s="117"/>
      <c r="T165" s="117"/>
      <c r="U165" s="117"/>
      <c r="V165" s="750">
        <f>(V164/O153)*100</f>
        <v>5.2137210979759336</v>
      </c>
      <c r="W165" s="752" t="s">
        <v>424</v>
      </c>
      <c r="AD165" s="10"/>
      <c r="AE165" s="27"/>
      <c r="AF165" s="27"/>
      <c r="AG165" s="27"/>
      <c r="AH165" s="27"/>
    </row>
    <row r="166" spans="1:41" ht="14">
      <c r="A166" s="692" t="s">
        <v>409</v>
      </c>
      <c r="B166" s="693" t="s">
        <v>410</v>
      </c>
      <c r="C166" s="694" t="s">
        <v>411</v>
      </c>
      <c r="D166" s="693" t="s">
        <v>412</v>
      </c>
      <c r="E166" s="695" t="s">
        <v>413</v>
      </c>
      <c r="F166" s="693" t="s">
        <v>156</v>
      </c>
      <c r="G166" s="694" t="s">
        <v>157</v>
      </c>
      <c r="H166" s="693" t="s">
        <v>158</v>
      </c>
      <c r="I166" s="694" t="s">
        <v>159</v>
      </c>
      <c r="J166" s="693" t="s">
        <v>160</v>
      </c>
      <c r="K166" s="696" t="s">
        <v>161</v>
      </c>
      <c r="L166" s="117"/>
      <c r="M166" s="692" t="s">
        <v>409</v>
      </c>
      <c r="N166" s="693" t="s">
        <v>410</v>
      </c>
      <c r="O166" s="694" t="s">
        <v>411</v>
      </c>
      <c r="P166" s="693" t="s">
        <v>412</v>
      </c>
      <c r="Q166" s="695" t="s">
        <v>413</v>
      </c>
      <c r="R166" s="693" t="s">
        <v>156</v>
      </c>
      <c r="S166" s="694" t="s">
        <v>157</v>
      </c>
      <c r="T166" s="693" t="s">
        <v>158</v>
      </c>
      <c r="U166" s="694" t="s">
        <v>159</v>
      </c>
      <c r="V166" s="693" t="s">
        <v>160</v>
      </c>
      <c r="W166" s="696" t="s">
        <v>161</v>
      </c>
      <c r="AD166" s="10"/>
      <c r="AE166" s="27"/>
      <c r="AF166" s="27"/>
      <c r="AG166" s="27"/>
      <c r="AH166" s="27"/>
    </row>
    <row r="167" spans="1:41" ht="13">
      <c r="A167" s="697" t="s">
        <v>429</v>
      </c>
      <c r="B167" s="143" t="s">
        <v>428</v>
      </c>
      <c r="C167" s="698" t="s">
        <v>415</v>
      </c>
      <c r="D167" s="761">
        <f>'Input Data Sertifikat Defib'!F104</f>
        <v>0.5</v>
      </c>
      <c r="E167" s="700">
        <f>SQRT(3)</f>
        <v>1.7320508075688772</v>
      </c>
      <c r="F167" s="143">
        <v>2</v>
      </c>
      <c r="G167" s="701">
        <f>D167/E167</f>
        <v>0.28867513459481292</v>
      </c>
      <c r="H167" s="702">
        <v>1</v>
      </c>
      <c r="I167" s="701">
        <f>G167*H167</f>
        <v>0.28867513459481292</v>
      </c>
      <c r="J167" s="703">
        <f>I167^2</f>
        <v>8.3333333333333356E-2</v>
      </c>
      <c r="K167" s="704">
        <f>I167^4/F167</f>
        <v>3.4722222222222242E-3</v>
      </c>
      <c r="L167" s="117"/>
      <c r="M167" s="697" t="s">
        <v>429</v>
      </c>
      <c r="N167" s="143" t="s">
        <v>428</v>
      </c>
      <c r="O167" s="698" t="s">
        <v>415</v>
      </c>
      <c r="P167" s="761">
        <f>'Input Data Sertifikat Defib'!F109</f>
        <v>1.5275252316519465</v>
      </c>
      <c r="Q167" s="700">
        <f>SQRT(3)</f>
        <v>1.7320508075688772</v>
      </c>
      <c r="R167" s="143">
        <v>2</v>
      </c>
      <c r="S167" s="701">
        <f>P167/Q167</f>
        <v>0.88191710368819687</v>
      </c>
      <c r="T167" s="702">
        <v>1</v>
      </c>
      <c r="U167" s="701">
        <f>S167*T167</f>
        <v>0.88191710368819687</v>
      </c>
      <c r="V167" s="703">
        <f>U167^2</f>
        <v>0.77777777777777779</v>
      </c>
      <c r="W167" s="704">
        <f>U167^4/R167</f>
        <v>0.30246913580246915</v>
      </c>
    </row>
    <row r="168" spans="1:41" ht="13">
      <c r="A168" s="705" t="s">
        <v>430</v>
      </c>
      <c r="B168" s="143" t="s">
        <v>428</v>
      </c>
      <c r="C168" s="706" t="s">
        <v>417</v>
      </c>
      <c r="D168" s="762">
        <f>'Input Data Sertifikat Defib'!L104</f>
        <v>0.5</v>
      </c>
      <c r="E168" s="707">
        <f>SQRT(3)</f>
        <v>1.7320508075688772</v>
      </c>
      <c r="F168" s="143">
        <f>0.5*((100/10)^2)</f>
        <v>50</v>
      </c>
      <c r="G168" s="708">
        <f>D168/E168</f>
        <v>0.28867513459481292</v>
      </c>
      <c r="H168" s="143">
        <v>1</v>
      </c>
      <c r="I168" s="708">
        <f>G168*H168</f>
        <v>0.28867513459481292</v>
      </c>
      <c r="J168" s="709">
        <f>I168^2</f>
        <v>8.3333333333333356E-2</v>
      </c>
      <c r="K168" s="710">
        <f>I168^4/F168</f>
        <v>1.3888888888888897E-4</v>
      </c>
      <c r="L168" s="117"/>
      <c r="M168" s="705" t="s">
        <v>430</v>
      </c>
      <c r="N168" s="143" t="s">
        <v>428</v>
      </c>
      <c r="O168" s="706" t="s">
        <v>417</v>
      </c>
      <c r="P168" s="762">
        <f>'Input Data Sertifikat Defib'!L109</f>
        <v>0.5</v>
      </c>
      <c r="Q168" s="707">
        <f>SQRT(3)</f>
        <v>1.7320508075688772</v>
      </c>
      <c r="R168" s="143">
        <f>0.5*((100/10)^2)</f>
        <v>50</v>
      </c>
      <c r="S168" s="708">
        <f>P168/Q168</f>
        <v>0.28867513459481292</v>
      </c>
      <c r="T168" s="143">
        <v>1</v>
      </c>
      <c r="U168" s="708">
        <f>S168*T168</f>
        <v>0.28867513459481292</v>
      </c>
      <c r="V168" s="709">
        <f>U168^2</f>
        <v>8.3333333333333356E-2</v>
      </c>
      <c r="W168" s="710">
        <f>U168^4/R168</f>
        <v>1.3888888888888897E-4</v>
      </c>
    </row>
    <row r="169" spans="1:41" ht="13">
      <c r="A169" s="697" t="s">
        <v>418</v>
      </c>
      <c r="B169" s="143" t="s">
        <v>428</v>
      </c>
      <c r="C169" s="143" t="s">
        <v>417</v>
      </c>
      <c r="D169" s="763">
        <f>'Input Data Sertifikat Defib'!M81</f>
        <v>9.7730741302838493E-3</v>
      </c>
      <c r="E169" s="711">
        <f>SQRT(3)</f>
        <v>1.7320508075688772</v>
      </c>
      <c r="F169" s="143">
        <f>0.5*((100/10)^2)</f>
        <v>50</v>
      </c>
      <c r="G169" s="712">
        <f>D169/E169</f>
        <v>5.6424869799295485E-3</v>
      </c>
      <c r="H169" s="143">
        <v>1</v>
      </c>
      <c r="I169" s="712">
        <f>G169*H169</f>
        <v>5.6424869799295485E-3</v>
      </c>
      <c r="J169" s="709">
        <f>I169^2</f>
        <v>3.1837659318674479E-5</v>
      </c>
      <c r="K169" s="713">
        <f>I169^4/F169</f>
        <v>2.0272731017839595E-11</v>
      </c>
      <c r="L169" s="117"/>
      <c r="M169" s="697" t="s">
        <v>418</v>
      </c>
      <c r="N169" s="143" t="s">
        <v>428</v>
      </c>
      <c r="O169" s="143" t="s">
        <v>417</v>
      </c>
      <c r="P169" s="763">
        <f>'Input Data Sertifikat Defib'!M86</f>
        <v>0.16698583653114243</v>
      </c>
      <c r="Q169" s="711">
        <f>SQRT(3)</f>
        <v>1.7320508075688772</v>
      </c>
      <c r="R169" s="143">
        <f>0.5*((100/10)^2)</f>
        <v>50</v>
      </c>
      <c r="S169" s="712">
        <f>P169/Q169</f>
        <v>9.6409317672109932E-2</v>
      </c>
      <c r="T169" s="143">
        <v>1</v>
      </c>
      <c r="U169" s="712">
        <f>S169*T169</f>
        <v>9.6409317672109932E-2</v>
      </c>
      <c r="V169" s="709">
        <f>U169^2</f>
        <v>9.2947565340018076E-3</v>
      </c>
      <c r="W169" s="713">
        <f>U169^4/R169</f>
        <v>1.7278499805273858E-6</v>
      </c>
    </row>
    <row r="170" spans="1:41" ht="13">
      <c r="A170" s="714" t="s">
        <v>419</v>
      </c>
      <c r="B170" s="143" t="s">
        <v>428</v>
      </c>
      <c r="C170" s="706" t="s">
        <v>415</v>
      </c>
      <c r="D170" s="764">
        <f>'Input Data Sertifikat Defib'!N81</f>
        <v>5.2434294258344394E-2</v>
      </c>
      <c r="E170" s="716">
        <v>2</v>
      </c>
      <c r="F170" s="143">
        <f>0.5*((100/10)^2)</f>
        <v>50</v>
      </c>
      <c r="G170" s="708">
        <f>D170/E170</f>
        <v>2.6217147129172197E-2</v>
      </c>
      <c r="H170" s="143">
        <v>1</v>
      </c>
      <c r="I170" s="708">
        <f>G170*H170</f>
        <v>2.6217147129172197E-2</v>
      </c>
      <c r="J170" s="709">
        <f>I170^2</f>
        <v>6.8733880359266193E-4</v>
      </c>
      <c r="K170" s="713">
        <f>I170^4/F170</f>
        <v>9.4486926184838376E-9</v>
      </c>
      <c r="L170" s="117"/>
      <c r="M170" s="714" t="s">
        <v>419</v>
      </c>
      <c r="N170" s="143" t="s">
        <v>428</v>
      </c>
      <c r="O170" s="706" t="s">
        <v>415</v>
      </c>
      <c r="P170" s="764">
        <f>'Input Data Sertifikat Defib'!N86</f>
        <v>0.71884194824416614</v>
      </c>
      <c r="Q170" s="716">
        <v>2</v>
      </c>
      <c r="R170" s="143">
        <f>0.5*((100/10)^2)</f>
        <v>50</v>
      </c>
      <c r="S170" s="708">
        <f>P170/Q170</f>
        <v>0.35942097412208307</v>
      </c>
      <c r="T170" s="143">
        <v>1</v>
      </c>
      <c r="U170" s="708">
        <f>S170*T170</f>
        <v>0.35942097412208307</v>
      </c>
      <c r="V170" s="709">
        <f>U170^2</f>
        <v>0.12918343663886711</v>
      </c>
      <c r="W170" s="713">
        <f>U170^4/R170</f>
        <v>3.337672060365639E-4</v>
      </c>
    </row>
    <row r="171" spans="1:41" ht="13">
      <c r="A171" s="714"/>
      <c r="B171" s="143"/>
      <c r="C171" s="143"/>
      <c r="D171" s="143"/>
      <c r="E171" s="711"/>
      <c r="F171" s="143"/>
      <c r="G171" s="712"/>
      <c r="H171" s="143"/>
      <c r="I171" s="712"/>
      <c r="J171" s="709"/>
      <c r="K171" s="713"/>
      <c r="L171" s="117"/>
      <c r="M171" s="714"/>
      <c r="N171" s="143"/>
      <c r="O171" s="143"/>
      <c r="P171" s="143"/>
      <c r="Q171" s="711"/>
      <c r="R171" s="143"/>
      <c r="S171" s="712"/>
      <c r="T171" s="143"/>
      <c r="U171" s="712"/>
      <c r="V171" s="709"/>
      <c r="W171" s="713"/>
    </row>
    <row r="172" spans="1:41" ht="14">
      <c r="A172" s="717" t="s">
        <v>166</v>
      </c>
      <c r="B172" s="327"/>
      <c r="C172" s="327"/>
      <c r="D172" s="327"/>
      <c r="E172" s="718"/>
      <c r="F172" s="327"/>
      <c r="G172" s="327"/>
      <c r="H172" s="327"/>
      <c r="I172" s="327"/>
      <c r="J172" s="719">
        <f>SUM(J167:J170)</f>
        <v>0.16738584312957805</v>
      </c>
      <c r="K172" s="720">
        <f>SUM(K167:K170)</f>
        <v>3.6111205800764628E-3</v>
      </c>
      <c r="L172" s="117"/>
      <c r="M172" s="717" t="s">
        <v>166</v>
      </c>
      <c r="N172" s="327"/>
      <c r="O172" s="327"/>
      <c r="P172" s="327"/>
      <c r="Q172" s="718"/>
      <c r="R172" s="327"/>
      <c r="S172" s="327"/>
      <c r="T172" s="327"/>
      <c r="U172" s="327"/>
      <c r="V172" s="719">
        <f>SUM(V167:V170)</f>
        <v>0.99958930428398007</v>
      </c>
      <c r="W172" s="720">
        <f>SUM(W167:W170)</f>
        <v>0.30294351974737516</v>
      </c>
    </row>
    <row r="173" spans="1:41" ht="17">
      <c r="A173" s="721" t="s">
        <v>168</v>
      </c>
      <c r="B173" s="722"/>
      <c r="C173" s="722"/>
      <c r="D173" s="722"/>
      <c r="E173" s="723"/>
      <c r="F173" s="722"/>
      <c r="G173" s="724" t="s">
        <v>420</v>
      </c>
      <c r="H173" s="722"/>
      <c r="I173" s="722"/>
      <c r="J173" s="725">
        <f>SQRT(J172)</f>
        <v>0.40912815000874486</v>
      </c>
      <c r="K173" s="726"/>
      <c r="L173" s="117"/>
      <c r="M173" s="721" t="s">
        <v>168</v>
      </c>
      <c r="N173" s="722"/>
      <c r="O173" s="722"/>
      <c r="P173" s="722"/>
      <c r="Q173" s="723"/>
      <c r="R173" s="722"/>
      <c r="S173" s="724" t="s">
        <v>420</v>
      </c>
      <c r="T173" s="722"/>
      <c r="U173" s="722"/>
      <c r="V173" s="725">
        <f>SQRT(V172)</f>
        <v>0.99979463105378796</v>
      </c>
      <c r="W173" s="726"/>
    </row>
    <row r="174" spans="1:41" ht="17.5">
      <c r="A174" s="717" t="s">
        <v>169</v>
      </c>
      <c r="B174" s="727"/>
      <c r="C174" s="727"/>
      <c r="D174" s="727"/>
      <c r="E174" s="728"/>
      <c r="F174" s="727"/>
      <c r="G174" s="729" t="s">
        <v>421</v>
      </c>
      <c r="H174" s="727"/>
      <c r="I174" s="727"/>
      <c r="J174" s="730">
        <f>J173^4/(K172)</f>
        <v>7.7588160956969343</v>
      </c>
      <c r="K174" s="731"/>
      <c r="L174" s="117"/>
      <c r="M174" s="717" t="s">
        <v>169</v>
      </c>
      <c r="N174" s="727"/>
      <c r="O174" s="727"/>
      <c r="P174" s="727"/>
      <c r="Q174" s="728"/>
      <c r="R174" s="727"/>
      <c r="S174" s="729" t="s">
        <v>421</v>
      </c>
      <c r="T174" s="727"/>
      <c r="U174" s="727"/>
      <c r="V174" s="730">
        <f>V173^4/(W172)</f>
        <v>3.298234529235506</v>
      </c>
      <c r="W174" s="731"/>
    </row>
    <row r="175" spans="1:41" ht="15.5">
      <c r="A175" s="721" t="s">
        <v>170</v>
      </c>
      <c r="B175" s="722"/>
      <c r="C175" s="722"/>
      <c r="D175" s="722"/>
      <c r="E175" s="723"/>
      <c r="F175" s="722"/>
      <c r="G175" s="732" t="s">
        <v>422</v>
      </c>
      <c r="H175" s="722"/>
      <c r="I175" s="722"/>
      <c r="J175" s="733">
        <f>1.95996+(2.37356/J174)+(2.818745/J174^2)+(2.546662/J174^3)+(1.761829/J174^4)+(0.245458/J174^5)+(1.000764/J174^6)</f>
        <v>2.3186532592991851</v>
      </c>
      <c r="K175" s="726"/>
      <c r="L175" s="117"/>
      <c r="M175" s="721" t="s">
        <v>170</v>
      </c>
      <c r="N175" s="722"/>
      <c r="O175" s="722"/>
      <c r="P175" s="722"/>
      <c r="Q175" s="723"/>
      <c r="R175" s="722"/>
      <c r="S175" s="732" t="s">
        <v>422</v>
      </c>
      <c r="T175" s="722"/>
      <c r="U175" s="722"/>
      <c r="V175" s="733">
        <f>1.95996+(2.37356/V174)+(2.818745/V174^2)+(2.546662/V174^3)+(1.761829/V174^4)+(0.245458/V174^5)+(1.000764/V174^6)</f>
        <v>3.0259935129842552</v>
      </c>
      <c r="W175" s="732"/>
      <c r="X175" s="2015"/>
      <c r="Y175" s="2016"/>
      <c r="Z175" s="2016"/>
      <c r="AA175" s="2016"/>
      <c r="AD175" s="2016"/>
      <c r="AE175" s="2016"/>
      <c r="AF175" s="2016"/>
      <c r="AG175" s="2016"/>
      <c r="AH175" s="2016"/>
      <c r="AI175" s="2016"/>
      <c r="AJ175" s="2016"/>
      <c r="AK175" s="2016"/>
      <c r="AL175" s="2016"/>
      <c r="AM175" s="2016"/>
      <c r="AN175" s="2016"/>
      <c r="AO175" s="2016"/>
    </row>
    <row r="176" spans="1:41" ht="14">
      <c r="A176" s="734" t="s">
        <v>171</v>
      </c>
      <c r="B176" s="735"/>
      <c r="C176" s="735"/>
      <c r="D176" s="735"/>
      <c r="E176" s="736"/>
      <c r="F176" s="735"/>
      <c r="G176" s="737" t="s">
        <v>423</v>
      </c>
      <c r="H176" s="735"/>
      <c r="I176" s="735"/>
      <c r="J176" s="738">
        <f>J173*J175</f>
        <v>0.94862631848882217</v>
      </c>
      <c r="K176" s="739" t="s">
        <v>428</v>
      </c>
      <c r="L176" s="117"/>
      <c r="M176" s="734" t="s">
        <v>171</v>
      </c>
      <c r="N176" s="735"/>
      <c r="O176" s="735"/>
      <c r="P176" s="735"/>
      <c r="Q176" s="736"/>
      <c r="R176" s="735"/>
      <c r="S176" s="737" t="s">
        <v>423</v>
      </c>
      <c r="T176" s="735"/>
      <c r="U176" s="735"/>
      <c r="V176" s="738">
        <f>V173*V175</f>
        <v>3.0253720678852494</v>
      </c>
      <c r="W176" s="754" t="s">
        <v>428</v>
      </c>
      <c r="X176" s="758"/>
      <c r="Y176" s="469"/>
      <c r="Z176" s="469"/>
      <c r="AA176" s="469"/>
      <c r="AD176" s="469"/>
      <c r="AE176" s="469"/>
      <c r="AF176" s="469"/>
      <c r="AG176" s="469"/>
      <c r="AH176" s="469"/>
      <c r="AI176" s="469"/>
      <c r="AJ176" s="469"/>
      <c r="AK176" s="469"/>
      <c r="AL176" s="469"/>
      <c r="AM176" s="469"/>
      <c r="AN176" s="469"/>
      <c r="AO176" s="469"/>
    </row>
    <row r="177" spans="1:41" ht="13">
      <c r="A177" s="144" t="s">
        <v>427</v>
      </c>
      <c r="B177" s="145"/>
      <c r="C177" s="162">
        <f>[3]Input!D38</f>
        <v>20</v>
      </c>
      <c r="D177" s="147" t="s">
        <v>428</v>
      </c>
      <c r="E177" s="117"/>
      <c r="F177" s="117"/>
      <c r="G177" s="117"/>
      <c r="H177" s="117"/>
      <c r="I177" s="117"/>
      <c r="J177" s="750">
        <f>(J176/C165)*100</f>
        <v>9.4862631848882213</v>
      </c>
      <c r="K177" s="751" t="s">
        <v>424</v>
      </c>
      <c r="L177" s="117"/>
      <c r="M177" s="144" t="s">
        <v>427</v>
      </c>
      <c r="N177" s="145"/>
      <c r="O177" s="162">
        <f>[3]Input!D43</f>
        <v>200</v>
      </c>
      <c r="P177" s="147" t="s">
        <v>428</v>
      </c>
      <c r="Q177" s="117"/>
      <c r="R177" s="117"/>
      <c r="S177" s="117"/>
      <c r="T177" s="117"/>
      <c r="U177" s="117"/>
      <c r="V177" s="750">
        <f>(V176/O165)*100</f>
        <v>2.0169147119234996</v>
      </c>
      <c r="W177" s="751" t="s">
        <v>424</v>
      </c>
      <c r="X177" s="759"/>
      <c r="Y177" s="469"/>
      <c r="Z177" s="470"/>
      <c r="AA177" s="470"/>
      <c r="AD177" s="470"/>
      <c r="AE177" s="469"/>
      <c r="AF177" s="470"/>
      <c r="AG177" s="470"/>
      <c r="AH177" s="470"/>
      <c r="AI177" s="469"/>
      <c r="AJ177" s="470"/>
      <c r="AK177" s="470"/>
      <c r="AL177" s="470"/>
      <c r="AM177" s="469"/>
      <c r="AN177" s="470"/>
      <c r="AO177" s="470"/>
    </row>
    <row r="178" spans="1:41" ht="14">
      <c r="A178" s="692" t="s">
        <v>409</v>
      </c>
      <c r="B178" s="693" t="s">
        <v>410</v>
      </c>
      <c r="C178" s="694" t="s">
        <v>411</v>
      </c>
      <c r="D178" s="693" t="s">
        <v>412</v>
      </c>
      <c r="E178" s="695" t="s">
        <v>413</v>
      </c>
      <c r="F178" s="693" t="s">
        <v>156</v>
      </c>
      <c r="G178" s="694" t="s">
        <v>157</v>
      </c>
      <c r="H178" s="693" t="s">
        <v>158</v>
      </c>
      <c r="I178" s="694" t="s">
        <v>159</v>
      </c>
      <c r="J178" s="693" t="s">
        <v>160</v>
      </c>
      <c r="K178" s="696" t="s">
        <v>161</v>
      </c>
      <c r="L178" s="117"/>
      <c r="M178" s="692" t="s">
        <v>409</v>
      </c>
      <c r="N178" s="693" t="s">
        <v>410</v>
      </c>
      <c r="O178" s="694" t="s">
        <v>411</v>
      </c>
      <c r="P178" s="693" t="s">
        <v>412</v>
      </c>
      <c r="Q178" s="695" t="s">
        <v>413</v>
      </c>
      <c r="R178" s="693" t="s">
        <v>156</v>
      </c>
      <c r="S178" s="694" t="s">
        <v>157</v>
      </c>
      <c r="T178" s="693" t="s">
        <v>158</v>
      </c>
      <c r="U178" s="694" t="s">
        <v>159</v>
      </c>
      <c r="V178" s="693" t="s">
        <v>160</v>
      </c>
      <c r="W178" s="694" t="s">
        <v>161</v>
      </c>
      <c r="X178" s="758"/>
      <c r="Y178" s="469"/>
      <c r="Z178" s="469"/>
      <c r="AA178" s="469"/>
      <c r="AD178" s="469"/>
      <c r="AE178" s="469"/>
      <c r="AF178" s="469"/>
      <c r="AG178" s="469"/>
      <c r="AH178" s="469"/>
      <c r="AI178" s="469"/>
      <c r="AJ178" s="469"/>
      <c r="AK178" s="469"/>
      <c r="AL178" s="469"/>
      <c r="AM178" s="469"/>
      <c r="AN178" s="469"/>
      <c r="AO178" s="469"/>
    </row>
    <row r="179" spans="1:41" ht="15">
      <c r="A179" s="697" t="s">
        <v>429</v>
      </c>
      <c r="B179" s="143" t="s">
        <v>428</v>
      </c>
      <c r="C179" s="698" t="s">
        <v>415</v>
      </c>
      <c r="D179" s="761">
        <f>'Input Data Sertifikat Defib'!F105</f>
        <v>1.0000000000000001E-5</v>
      </c>
      <c r="E179" s="700">
        <f>SQRT(3)</f>
        <v>1.7320508075688772</v>
      </c>
      <c r="F179" s="143">
        <v>2</v>
      </c>
      <c r="G179" s="701">
        <f>D179/E179</f>
        <v>5.7735026918962587E-6</v>
      </c>
      <c r="H179" s="702">
        <v>1</v>
      </c>
      <c r="I179" s="701">
        <f>G179*H179</f>
        <v>5.7735026918962587E-6</v>
      </c>
      <c r="J179" s="703">
        <f>I179^2</f>
        <v>3.3333333333333347E-11</v>
      </c>
      <c r="K179" s="704">
        <f>I179^4/F179</f>
        <v>5.5555555555555605E-22</v>
      </c>
      <c r="L179" s="117"/>
      <c r="M179" s="697" t="s">
        <v>429</v>
      </c>
      <c r="N179" s="143" t="s">
        <v>428</v>
      </c>
      <c r="O179" s="698" t="s">
        <v>415</v>
      </c>
      <c r="P179" s="761">
        <f>'Input Data Sertifikat Defib'!F110</f>
        <v>3.4641016151377544</v>
      </c>
      <c r="Q179" s="700">
        <f>SQRT(3)</f>
        <v>1.7320508075688772</v>
      </c>
      <c r="R179" s="143">
        <v>2</v>
      </c>
      <c r="S179" s="701">
        <f>P179/Q179</f>
        <v>2</v>
      </c>
      <c r="T179" s="702">
        <v>1</v>
      </c>
      <c r="U179" s="701">
        <f>S179*T179</f>
        <v>2</v>
      </c>
      <c r="V179" s="703">
        <f>U179^2</f>
        <v>4</v>
      </c>
      <c r="W179" s="755">
        <f>U179^4/R179</f>
        <v>8</v>
      </c>
      <c r="X179" s="2015"/>
      <c r="Y179" s="2016"/>
      <c r="Z179" s="2016"/>
      <c r="AA179" s="2016"/>
      <c r="AD179" s="2016"/>
      <c r="AE179" s="2016"/>
      <c r="AF179" s="2016"/>
      <c r="AG179" s="2016"/>
      <c r="AH179" s="2016"/>
      <c r="AI179" s="2016"/>
      <c r="AJ179" s="2016"/>
      <c r="AK179" s="2016"/>
      <c r="AL179" s="2016"/>
      <c r="AM179" s="2016"/>
      <c r="AN179" s="2016"/>
      <c r="AO179" s="2016"/>
    </row>
    <row r="180" spans="1:41" ht="13">
      <c r="A180" s="705" t="s">
        <v>430</v>
      </c>
      <c r="B180" s="143" t="s">
        <v>428</v>
      </c>
      <c r="C180" s="706" t="s">
        <v>417</v>
      </c>
      <c r="D180" s="762">
        <f>'Input Data Sertifikat Defib'!L105</f>
        <v>0.5</v>
      </c>
      <c r="E180" s="707">
        <f>SQRT(3)</f>
        <v>1.7320508075688772</v>
      </c>
      <c r="F180" s="143">
        <f>0.5*((100/10)^2)</f>
        <v>50</v>
      </c>
      <c r="G180" s="708">
        <f>D180/E180</f>
        <v>0.28867513459481292</v>
      </c>
      <c r="H180" s="143">
        <v>1</v>
      </c>
      <c r="I180" s="708">
        <f>G180*H180</f>
        <v>0.28867513459481292</v>
      </c>
      <c r="J180" s="709">
        <f>I180^2</f>
        <v>8.3333333333333356E-2</v>
      </c>
      <c r="K180" s="710">
        <f>I180^4/F180</f>
        <v>1.3888888888888897E-4</v>
      </c>
      <c r="L180" s="117"/>
      <c r="M180" s="705" t="s">
        <v>430</v>
      </c>
      <c r="N180" s="143" t="s">
        <v>428</v>
      </c>
      <c r="O180" s="706" t="s">
        <v>417</v>
      </c>
      <c r="P180" s="762">
        <f>'Input Data Sertifikat Defib'!L110</f>
        <v>0.5</v>
      </c>
      <c r="Q180" s="707">
        <f>SQRT(3)</f>
        <v>1.7320508075688772</v>
      </c>
      <c r="R180" s="143">
        <f>0.5*((100/10)^2)</f>
        <v>50</v>
      </c>
      <c r="S180" s="708">
        <f>P180/Q180</f>
        <v>0.28867513459481292</v>
      </c>
      <c r="T180" s="143">
        <v>1</v>
      </c>
      <c r="U180" s="708">
        <f>S180*T180</f>
        <v>0.28867513459481292</v>
      </c>
      <c r="V180" s="709">
        <f>U180^2</f>
        <v>8.3333333333333356E-2</v>
      </c>
      <c r="W180" s="756">
        <f>U180^4/R180</f>
        <v>1.3888888888888897E-4</v>
      </c>
      <c r="X180" s="758"/>
      <c r="Y180" s="469"/>
      <c r="Z180" s="469"/>
      <c r="AA180" s="469"/>
      <c r="AD180" s="469"/>
      <c r="AE180" s="469"/>
      <c r="AF180" s="469"/>
      <c r="AG180" s="469"/>
      <c r="AH180" s="469"/>
      <c r="AI180" s="469"/>
      <c r="AJ180" s="469"/>
      <c r="AK180" s="469"/>
      <c r="AL180" s="469"/>
      <c r="AM180" s="469"/>
      <c r="AN180" s="469"/>
      <c r="AO180" s="469"/>
    </row>
    <row r="181" spans="1:41" ht="13">
      <c r="A181" s="697" t="s">
        <v>418</v>
      </c>
      <c r="B181" s="143" t="s">
        <v>428</v>
      </c>
      <c r="C181" s="143" t="s">
        <v>417</v>
      </c>
      <c r="D181" s="763">
        <f>'Input Data Sertifikat Defib'!M82</f>
        <v>2.0504963300162819E-2</v>
      </c>
      <c r="E181" s="711">
        <f>SQRT(3)</f>
        <v>1.7320508075688772</v>
      </c>
      <c r="F181" s="143">
        <f>0.5*((100/10)^2)</f>
        <v>50</v>
      </c>
      <c r="G181" s="712">
        <f>D181/E181</f>
        <v>1.1838546081072401E-2</v>
      </c>
      <c r="H181" s="143">
        <v>1</v>
      </c>
      <c r="I181" s="712">
        <f>G181*H181</f>
        <v>1.1838546081072401E-2</v>
      </c>
      <c r="J181" s="709">
        <f>I181^2</f>
        <v>1.401511733136747E-4</v>
      </c>
      <c r="K181" s="713">
        <f>I181^4/F181</f>
        <v>3.9284702762399369E-10</v>
      </c>
      <c r="L181" s="117"/>
      <c r="M181" s="697" t="s">
        <v>418</v>
      </c>
      <c r="N181" s="143" t="s">
        <v>428</v>
      </c>
      <c r="O181" s="143" t="s">
        <v>417</v>
      </c>
      <c r="P181" s="763">
        <f>'Input Data Sertifikat Defib'!M87</f>
        <v>0.22610536634415992</v>
      </c>
      <c r="Q181" s="711">
        <f>SQRT(3)</f>
        <v>1.7320508075688772</v>
      </c>
      <c r="R181" s="143">
        <f>0.5*((100/10)^2)</f>
        <v>50</v>
      </c>
      <c r="S181" s="712">
        <f>P181/Q181</f>
        <v>0.13054199412401968</v>
      </c>
      <c r="T181" s="143">
        <v>1</v>
      </c>
      <c r="U181" s="712">
        <f>S181*T181</f>
        <v>0.13054199412401968</v>
      </c>
      <c r="V181" s="709">
        <f>U181^2</f>
        <v>1.7041212229875587E-2</v>
      </c>
      <c r="W181" s="757">
        <f>U181^4/R181</f>
        <v>5.8080582852732263E-6</v>
      </c>
      <c r="X181" s="759"/>
      <c r="Y181" s="469"/>
      <c r="Z181" s="470"/>
      <c r="AA181" s="470"/>
      <c r="AD181" s="470"/>
      <c r="AE181" s="469"/>
      <c r="AF181" s="470"/>
      <c r="AG181" s="470"/>
      <c r="AH181" s="470"/>
      <c r="AI181" s="469"/>
      <c r="AJ181" s="470"/>
      <c r="AK181" s="470"/>
      <c r="AL181" s="470"/>
      <c r="AM181" s="469"/>
      <c r="AN181" s="470"/>
      <c r="AO181" s="470"/>
    </row>
    <row r="182" spans="1:41" ht="13">
      <c r="A182" s="714" t="s">
        <v>419</v>
      </c>
      <c r="B182" s="143" t="s">
        <v>428</v>
      </c>
      <c r="C182" s="706" t="s">
        <v>415</v>
      </c>
      <c r="D182" s="764">
        <f>'Input Data Sertifikat Defib'!N82</f>
        <v>9.7925595189113063E-2</v>
      </c>
      <c r="E182" s="716">
        <v>2</v>
      </c>
      <c r="F182" s="143">
        <f>0.5*((100/10)^2)</f>
        <v>50</v>
      </c>
      <c r="G182" s="708">
        <f>D182/E182</f>
        <v>4.8962797594556531E-2</v>
      </c>
      <c r="H182" s="143">
        <v>1</v>
      </c>
      <c r="I182" s="708">
        <f>G182*H182</f>
        <v>4.8962797594556531E-2</v>
      </c>
      <c r="J182" s="709">
        <f>I182^2</f>
        <v>2.3973555482855111E-3</v>
      </c>
      <c r="K182" s="713">
        <f>I182^4/F182</f>
        <v>1.1494627249790646E-7</v>
      </c>
      <c r="L182" s="117"/>
      <c r="M182" s="714" t="s">
        <v>419</v>
      </c>
      <c r="N182" s="143" t="s">
        <v>428</v>
      </c>
      <c r="O182" s="706" t="s">
        <v>415</v>
      </c>
      <c r="P182" s="764">
        <f>'Input Data Sertifikat Defib'!N87</f>
        <v>0.96944314986278668</v>
      </c>
      <c r="Q182" s="716">
        <v>2</v>
      </c>
      <c r="R182" s="143">
        <f>0.5*((100/10)^2)</f>
        <v>50</v>
      </c>
      <c r="S182" s="708">
        <f>P182/Q182</f>
        <v>0.48472157493139334</v>
      </c>
      <c r="T182" s="143">
        <v>1</v>
      </c>
      <c r="U182" s="708">
        <f>S182*T182</f>
        <v>0.48472157493139334</v>
      </c>
      <c r="V182" s="709">
        <f>U182^2</f>
        <v>0.23495500520397036</v>
      </c>
      <c r="W182" s="757">
        <f>U182^4/R182</f>
        <v>1.1040770894079547E-3</v>
      </c>
      <c r="X182" s="758"/>
      <c r="Y182" s="469"/>
      <c r="Z182" s="469"/>
      <c r="AA182" s="469"/>
      <c r="AD182" s="469"/>
      <c r="AE182" s="469"/>
      <c r="AF182" s="469"/>
      <c r="AG182" s="469"/>
      <c r="AH182" s="469"/>
      <c r="AI182" s="469"/>
      <c r="AJ182" s="469"/>
      <c r="AK182" s="469"/>
      <c r="AL182" s="469"/>
      <c r="AM182" s="469"/>
      <c r="AN182" s="469"/>
      <c r="AO182" s="469"/>
    </row>
    <row r="183" spans="1:41" ht="15">
      <c r="A183" s="714"/>
      <c r="B183" s="143"/>
      <c r="C183" s="143"/>
      <c r="D183" s="143"/>
      <c r="E183" s="711"/>
      <c r="F183" s="143"/>
      <c r="G183" s="712"/>
      <c r="H183" s="143"/>
      <c r="I183" s="712"/>
      <c r="J183" s="709"/>
      <c r="K183" s="713"/>
      <c r="L183" s="117"/>
      <c r="M183" s="714"/>
      <c r="N183" s="143"/>
      <c r="O183" s="143"/>
      <c r="P183" s="143"/>
      <c r="Q183" s="711"/>
      <c r="R183" s="143"/>
      <c r="S183" s="712"/>
      <c r="T183" s="143"/>
      <c r="U183" s="712"/>
      <c r="V183" s="709"/>
      <c r="W183" s="757"/>
      <c r="X183" s="2015"/>
      <c r="Y183" s="2016"/>
      <c r="Z183" s="2016"/>
      <c r="AA183" s="2016"/>
      <c r="AD183" s="2016"/>
      <c r="AE183" s="2016"/>
      <c r="AF183" s="2016"/>
      <c r="AG183" s="2016"/>
      <c r="AH183" s="2016"/>
      <c r="AI183" s="2016"/>
      <c r="AJ183" s="2016"/>
      <c r="AK183" s="2016"/>
      <c r="AL183" s="2016"/>
      <c r="AM183" s="2016"/>
      <c r="AN183" s="2016"/>
      <c r="AO183" s="2016"/>
    </row>
    <row r="184" spans="1:41" ht="14">
      <c r="A184" s="717" t="s">
        <v>166</v>
      </c>
      <c r="B184" s="327"/>
      <c r="C184" s="327"/>
      <c r="D184" s="327"/>
      <c r="E184" s="718"/>
      <c r="F184" s="327"/>
      <c r="G184" s="327"/>
      <c r="H184" s="327"/>
      <c r="I184" s="327"/>
      <c r="J184" s="719">
        <f>SUM(J179:J182)</f>
        <v>8.5870840088265871E-2</v>
      </c>
      <c r="K184" s="720">
        <f>SUM(K179:K182)</f>
        <v>1.390042280084145E-4</v>
      </c>
      <c r="L184" s="117"/>
      <c r="M184" s="717" t="s">
        <v>166</v>
      </c>
      <c r="N184" s="327"/>
      <c r="O184" s="327"/>
      <c r="P184" s="327"/>
      <c r="Q184" s="718"/>
      <c r="R184" s="327"/>
      <c r="S184" s="327"/>
      <c r="T184" s="327"/>
      <c r="U184" s="327"/>
      <c r="V184" s="719">
        <f>SUM(V179:V182)</f>
        <v>4.3353295507671783</v>
      </c>
      <c r="W184" s="719">
        <f>SUM(W179:W182)</f>
        <v>8.0012487740365827</v>
      </c>
      <c r="X184" s="758"/>
      <c r="Y184" s="469"/>
      <c r="Z184" s="469"/>
      <c r="AA184" s="469"/>
      <c r="AD184" s="469"/>
      <c r="AE184" s="469"/>
      <c r="AF184" s="469"/>
      <c r="AG184" s="469"/>
      <c r="AH184" s="469"/>
      <c r="AI184" s="469"/>
      <c r="AJ184" s="469"/>
      <c r="AK184" s="469"/>
      <c r="AL184" s="469"/>
      <c r="AM184" s="469"/>
      <c r="AN184" s="469"/>
      <c r="AO184" s="469"/>
    </row>
    <row r="185" spans="1:41" ht="17">
      <c r="A185" s="721" t="s">
        <v>168</v>
      </c>
      <c r="B185" s="722"/>
      <c r="C185" s="722"/>
      <c r="D185" s="722"/>
      <c r="E185" s="723"/>
      <c r="F185" s="722"/>
      <c r="G185" s="724" t="s">
        <v>420</v>
      </c>
      <c r="H185" s="722"/>
      <c r="I185" s="722"/>
      <c r="J185" s="725">
        <f>SQRT(J184)</f>
        <v>0.29303726740513036</v>
      </c>
      <c r="K185" s="726"/>
      <c r="L185" s="117"/>
      <c r="M185" s="721" t="s">
        <v>168</v>
      </c>
      <c r="N185" s="722"/>
      <c r="O185" s="722"/>
      <c r="P185" s="722"/>
      <c r="Q185" s="723"/>
      <c r="R185" s="722"/>
      <c r="S185" s="724" t="s">
        <v>420</v>
      </c>
      <c r="T185" s="722"/>
      <c r="U185" s="722"/>
      <c r="V185" s="725">
        <f>SQRT(V184)</f>
        <v>2.0821454201777496</v>
      </c>
      <c r="W185" s="732"/>
      <c r="X185" s="759"/>
      <c r="Y185" s="469"/>
      <c r="Z185" s="470"/>
      <c r="AA185" s="470"/>
      <c r="AD185" s="470"/>
      <c r="AE185" s="469"/>
      <c r="AF185" s="470"/>
      <c r="AG185" s="470"/>
      <c r="AH185" s="470"/>
      <c r="AI185" s="469"/>
      <c r="AJ185" s="470"/>
      <c r="AK185" s="470"/>
      <c r="AL185" s="470"/>
      <c r="AM185" s="469"/>
      <c r="AN185" s="470"/>
      <c r="AO185" s="470"/>
    </row>
    <row r="186" spans="1:41" ht="17.5">
      <c r="A186" s="717" t="s">
        <v>169</v>
      </c>
      <c r="B186" s="727"/>
      <c r="C186" s="727"/>
      <c r="D186" s="727"/>
      <c r="E186" s="728"/>
      <c r="F186" s="727"/>
      <c r="G186" s="729" t="s">
        <v>421</v>
      </c>
      <c r="H186" s="727"/>
      <c r="I186" s="727"/>
      <c r="J186" s="730">
        <f>J185^4/(K184)</f>
        <v>53.047315776741442</v>
      </c>
      <c r="K186" s="731"/>
      <c r="L186" s="117"/>
      <c r="M186" s="717" t="s">
        <v>169</v>
      </c>
      <c r="N186" s="727"/>
      <c r="O186" s="727"/>
      <c r="P186" s="727"/>
      <c r="Q186" s="728"/>
      <c r="R186" s="727"/>
      <c r="S186" s="729" t="s">
        <v>421</v>
      </c>
      <c r="T186" s="727"/>
      <c r="U186" s="727"/>
      <c r="V186" s="730">
        <f>V185^4/(W184)</f>
        <v>2.3490186150371533</v>
      </c>
      <c r="W186" s="747"/>
      <c r="X186" s="758"/>
      <c r="Y186" s="469"/>
      <c r="Z186" s="469"/>
      <c r="AA186" s="469"/>
      <c r="AD186" s="469"/>
      <c r="AE186" s="469"/>
      <c r="AF186" s="469"/>
      <c r="AG186" s="469"/>
      <c r="AH186" s="469"/>
      <c r="AI186" s="469"/>
      <c r="AJ186" s="469"/>
      <c r="AK186" s="469"/>
      <c r="AL186" s="469"/>
      <c r="AM186" s="469"/>
      <c r="AN186" s="469"/>
      <c r="AO186" s="469"/>
    </row>
    <row r="187" spans="1:41" ht="15.5">
      <c r="A187" s="721" t="s">
        <v>170</v>
      </c>
      <c r="B187" s="722"/>
      <c r="C187" s="722"/>
      <c r="D187" s="722"/>
      <c r="E187" s="723"/>
      <c r="F187" s="722"/>
      <c r="G187" s="732" t="s">
        <v>422</v>
      </c>
      <c r="H187" s="722"/>
      <c r="I187" s="722"/>
      <c r="J187" s="733">
        <f>1.95996+(2.37356/J186)+(2.818745/J186^2)+(2.546662/J186^3)+(1.761829/J186^4)+(0.245458/J186^5)+(1.000764/J186^6)</f>
        <v>2.0057231686378607</v>
      </c>
      <c r="K187" s="726"/>
      <c r="L187" s="117"/>
      <c r="M187" s="721" t="s">
        <v>170</v>
      </c>
      <c r="N187" s="722"/>
      <c r="O187" s="722"/>
      <c r="P187" s="722"/>
      <c r="Q187" s="723"/>
      <c r="R187" s="722"/>
      <c r="S187" s="732" t="s">
        <v>422</v>
      </c>
      <c r="T187" s="722"/>
      <c r="U187" s="722"/>
      <c r="V187" s="733">
        <f>1.95996+(2.37356/V186)+(2.818745/V186^2)+(2.546662/V186^3)+(1.761829/V186^4)+(0.245458/V186^5)+(1.000764/V186^6)</f>
        <v>3.7449762631143213</v>
      </c>
      <c r="W187" s="732"/>
      <c r="X187" s="2015"/>
      <c r="Y187" s="2016"/>
      <c r="Z187" s="2016"/>
      <c r="AA187" s="2016"/>
      <c r="AD187" s="2016"/>
      <c r="AE187" s="2016"/>
      <c r="AF187" s="2016"/>
      <c r="AG187" s="2016"/>
      <c r="AH187" s="2016"/>
      <c r="AI187" s="2016"/>
      <c r="AJ187" s="2016"/>
      <c r="AK187" s="2016"/>
      <c r="AL187" s="2016"/>
      <c r="AM187" s="2016"/>
      <c r="AN187" s="2016"/>
      <c r="AO187" s="2016"/>
    </row>
    <row r="188" spans="1:41" ht="14">
      <c r="A188" s="734" t="s">
        <v>171</v>
      </c>
      <c r="B188" s="735"/>
      <c r="C188" s="735"/>
      <c r="D188" s="735"/>
      <c r="E188" s="736"/>
      <c r="F188" s="735"/>
      <c r="G188" s="737" t="s">
        <v>423</v>
      </c>
      <c r="H188" s="735"/>
      <c r="I188" s="735"/>
      <c r="J188" s="738">
        <f>J185*J187</f>
        <v>0.58775163650879814</v>
      </c>
      <c r="K188" s="739" t="s">
        <v>428</v>
      </c>
      <c r="L188" s="117"/>
      <c r="M188" s="734" t="s">
        <v>171</v>
      </c>
      <c r="N188" s="735"/>
      <c r="O188" s="735"/>
      <c r="P188" s="735"/>
      <c r="Q188" s="736"/>
      <c r="R188" s="735"/>
      <c r="S188" s="737" t="s">
        <v>423</v>
      </c>
      <c r="T188" s="735"/>
      <c r="U188" s="735"/>
      <c r="V188" s="738">
        <f>V185*V187</f>
        <v>7.7975851749178675</v>
      </c>
      <c r="W188" s="754" t="s">
        <v>428</v>
      </c>
      <c r="X188" s="758"/>
      <c r="Y188" s="469"/>
      <c r="Z188" s="469"/>
      <c r="AA188" s="469"/>
      <c r="AD188" s="469"/>
      <c r="AE188" s="469"/>
      <c r="AF188" s="469"/>
      <c r="AG188" s="469"/>
      <c r="AH188" s="469"/>
      <c r="AI188" s="469"/>
      <c r="AJ188" s="469"/>
      <c r="AK188" s="469"/>
      <c r="AL188" s="469"/>
      <c r="AM188" s="469"/>
      <c r="AN188" s="469"/>
      <c r="AO188" s="469"/>
    </row>
    <row r="189" spans="1:41" ht="13">
      <c r="A189" s="144" t="s">
        <v>427</v>
      </c>
      <c r="B189" s="145"/>
      <c r="C189" s="162">
        <f>[3]Input!D39</f>
        <v>30</v>
      </c>
      <c r="D189" s="147" t="s">
        <v>428</v>
      </c>
      <c r="E189" s="117"/>
      <c r="F189" s="117"/>
      <c r="G189" s="117"/>
      <c r="H189" s="117"/>
      <c r="I189" s="117"/>
      <c r="J189" s="750">
        <f>(J188/C177)*100</f>
        <v>2.9387581825439906</v>
      </c>
      <c r="K189" s="751" t="s">
        <v>424</v>
      </c>
      <c r="L189" s="117"/>
      <c r="M189" s="144" t="s">
        <v>427</v>
      </c>
      <c r="N189" s="145"/>
      <c r="O189" s="162">
        <f>[3]Input!D44</f>
        <v>300</v>
      </c>
      <c r="P189" s="147" t="s">
        <v>428</v>
      </c>
      <c r="Q189" s="117"/>
      <c r="R189" s="117"/>
      <c r="S189" s="117"/>
      <c r="T189" s="117"/>
      <c r="U189" s="117"/>
      <c r="V189" s="750">
        <f>(V188/O177)*100</f>
        <v>3.8987925874589338</v>
      </c>
      <c r="W189" s="750" t="s">
        <v>424</v>
      </c>
      <c r="X189" s="759"/>
      <c r="Y189" s="469"/>
      <c r="Z189" s="470"/>
      <c r="AA189" s="470"/>
      <c r="AD189" s="470"/>
      <c r="AE189" s="469"/>
      <c r="AF189" s="470"/>
      <c r="AG189" s="470"/>
      <c r="AH189" s="470"/>
      <c r="AI189" s="469"/>
      <c r="AJ189" s="470"/>
      <c r="AK189" s="470"/>
      <c r="AL189" s="470"/>
      <c r="AM189" s="469"/>
      <c r="AN189" s="470"/>
      <c r="AO189" s="470"/>
    </row>
    <row r="190" spans="1:41" ht="14">
      <c r="A190" s="692" t="s">
        <v>409</v>
      </c>
      <c r="B190" s="693" t="s">
        <v>410</v>
      </c>
      <c r="C190" s="694" t="s">
        <v>411</v>
      </c>
      <c r="D190" s="693" t="s">
        <v>412</v>
      </c>
      <c r="E190" s="695" t="s">
        <v>413</v>
      </c>
      <c r="F190" s="693" t="s">
        <v>156</v>
      </c>
      <c r="G190" s="694" t="s">
        <v>157</v>
      </c>
      <c r="H190" s="693" t="s">
        <v>158</v>
      </c>
      <c r="I190" s="694" t="s">
        <v>159</v>
      </c>
      <c r="J190" s="693" t="s">
        <v>160</v>
      </c>
      <c r="K190" s="696" t="s">
        <v>161</v>
      </c>
      <c r="L190" s="117"/>
      <c r="M190" s="692" t="s">
        <v>409</v>
      </c>
      <c r="N190" s="693" t="s">
        <v>410</v>
      </c>
      <c r="O190" s="694" t="s">
        <v>411</v>
      </c>
      <c r="P190" s="693" t="s">
        <v>412</v>
      </c>
      <c r="Q190" s="695" t="s">
        <v>413</v>
      </c>
      <c r="R190" s="693" t="s">
        <v>156</v>
      </c>
      <c r="S190" s="694" t="s">
        <v>157</v>
      </c>
      <c r="T190" s="693" t="s">
        <v>158</v>
      </c>
      <c r="U190" s="694" t="s">
        <v>159</v>
      </c>
      <c r="V190" s="693" t="s">
        <v>160</v>
      </c>
      <c r="W190" s="694" t="s">
        <v>161</v>
      </c>
      <c r="X190" s="758"/>
      <c r="Y190" s="469"/>
      <c r="Z190" s="469"/>
      <c r="AA190" s="469"/>
      <c r="AD190" s="469"/>
      <c r="AE190" s="469"/>
      <c r="AF190" s="469"/>
      <c r="AG190" s="469"/>
      <c r="AH190" s="469"/>
      <c r="AI190" s="469"/>
      <c r="AJ190" s="469"/>
      <c r="AK190" s="469"/>
      <c r="AL190" s="469"/>
      <c r="AM190" s="469"/>
      <c r="AN190" s="469"/>
      <c r="AO190" s="469"/>
    </row>
    <row r="191" spans="1:41" ht="15">
      <c r="A191" s="697" t="s">
        <v>429</v>
      </c>
      <c r="B191" s="143" t="s">
        <v>428</v>
      </c>
      <c r="C191" s="698" t="s">
        <v>415</v>
      </c>
      <c r="D191" s="761">
        <f>'Input Data Sertifikat Defib'!F106</f>
        <v>1.0000000000000001E-5</v>
      </c>
      <c r="E191" s="700">
        <f>SQRT(3)</f>
        <v>1.7320508075688772</v>
      </c>
      <c r="F191" s="143">
        <v>2</v>
      </c>
      <c r="G191" s="701">
        <f>D191/E191</f>
        <v>5.7735026918962587E-6</v>
      </c>
      <c r="H191" s="702">
        <v>1</v>
      </c>
      <c r="I191" s="701">
        <f>G191*H191</f>
        <v>5.7735026918962587E-6</v>
      </c>
      <c r="J191" s="703">
        <f>I191^2</f>
        <v>3.3333333333333347E-11</v>
      </c>
      <c r="K191" s="704">
        <f>I191^4/F191</f>
        <v>5.5555555555555605E-22</v>
      </c>
      <c r="L191" s="117"/>
      <c r="M191" s="697" t="s">
        <v>429</v>
      </c>
      <c r="N191" s="143" t="s">
        <v>428</v>
      </c>
      <c r="O191" s="698" t="s">
        <v>415</v>
      </c>
      <c r="P191" s="761">
        <f>'Input Data Sertifikat Defib'!F111</f>
        <v>7.2111025509279782</v>
      </c>
      <c r="Q191" s="700">
        <f>SQRT(3)</f>
        <v>1.7320508075688772</v>
      </c>
      <c r="R191" s="143">
        <v>2</v>
      </c>
      <c r="S191" s="701">
        <f>P191/Q191</f>
        <v>4.1633319989322652</v>
      </c>
      <c r="T191" s="702">
        <v>1</v>
      </c>
      <c r="U191" s="701">
        <f>S191*T191</f>
        <v>4.1633319989322652</v>
      </c>
      <c r="V191" s="703">
        <f>U191^2</f>
        <v>17.333333333333332</v>
      </c>
      <c r="W191" s="755">
        <f>U191^4/R191</f>
        <v>150.2222222222222</v>
      </c>
      <c r="X191" s="2015"/>
      <c r="Y191" s="2016"/>
      <c r="Z191" s="2016"/>
      <c r="AA191" s="2016"/>
      <c r="AD191" s="2016"/>
      <c r="AE191" s="2016"/>
      <c r="AF191" s="2016"/>
      <c r="AG191" s="2016"/>
      <c r="AH191" s="2016"/>
      <c r="AI191" s="2016"/>
      <c r="AJ191" s="2016"/>
      <c r="AK191" s="2016"/>
      <c r="AL191" s="2016"/>
      <c r="AM191" s="2016"/>
      <c r="AN191" s="2016"/>
      <c r="AO191" s="2016"/>
    </row>
    <row r="192" spans="1:41" ht="13">
      <c r="A192" s="705" t="s">
        <v>430</v>
      </c>
      <c r="B192" s="143" t="s">
        <v>428</v>
      </c>
      <c r="C192" s="706" t="s">
        <v>417</v>
      </c>
      <c r="D192" s="762">
        <f>'Input Data Sertifikat Defib'!L106</f>
        <v>0.5</v>
      </c>
      <c r="E192" s="707">
        <f>SQRT(3)</f>
        <v>1.7320508075688772</v>
      </c>
      <c r="F192" s="143">
        <f>0.5*((100/10)^2)</f>
        <v>50</v>
      </c>
      <c r="G192" s="708">
        <f>D192/E192</f>
        <v>0.28867513459481292</v>
      </c>
      <c r="H192" s="143">
        <v>1</v>
      </c>
      <c r="I192" s="708">
        <f>G192*H192</f>
        <v>0.28867513459481292</v>
      </c>
      <c r="J192" s="709">
        <f>I192^2</f>
        <v>8.3333333333333356E-2</v>
      </c>
      <c r="K192" s="710">
        <f>I192^4/F192</f>
        <v>1.3888888888888897E-4</v>
      </c>
      <c r="L192" s="117"/>
      <c r="M192" s="705" t="s">
        <v>430</v>
      </c>
      <c r="N192" s="143" t="s">
        <v>428</v>
      </c>
      <c r="O192" s="706" t="s">
        <v>417</v>
      </c>
      <c r="P192" s="762">
        <f>'Input Data Sertifikat Defib'!L111</f>
        <v>0.5</v>
      </c>
      <c r="Q192" s="707">
        <f>SQRT(3)</f>
        <v>1.7320508075688772</v>
      </c>
      <c r="R192" s="143">
        <f>0.5*((100/10)^2)</f>
        <v>50</v>
      </c>
      <c r="S192" s="708">
        <f>P192/Q192</f>
        <v>0.28867513459481292</v>
      </c>
      <c r="T192" s="143">
        <v>1</v>
      </c>
      <c r="U192" s="708">
        <f>S192*T192</f>
        <v>0.28867513459481292</v>
      </c>
      <c r="V192" s="709">
        <f>U192^2</f>
        <v>8.3333333333333356E-2</v>
      </c>
      <c r="W192" s="756">
        <f>U192^4/R192</f>
        <v>1.3888888888888897E-4</v>
      </c>
      <c r="X192" s="758"/>
      <c r="Y192" s="469"/>
      <c r="Z192" s="469"/>
      <c r="AA192" s="469"/>
      <c r="AD192" s="469"/>
      <c r="AE192" s="469"/>
      <c r="AF192" s="469"/>
      <c r="AG192" s="469"/>
      <c r="AH192" s="469"/>
      <c r="AI192" s="469"/>
      <c r="AJ192" s="469"/>
      <c r="AK192" s="469"/>
      <c r="AL192" s="469"/>
      <c r="AM192" s="469"/>
      <c r="AN192" s="469"/>
      <c r="AO192" s="469"/>
    </row>
    <row r="193" spans="1:41" ht="13">
      <c r="A193" s="697" t="s">
        <v>418</v>
      </c>
      <c r="B193" s="143" t="s">
        <v>428</v>
      </c>
      <c r="C193" s="143" t="s">
        <v>417</v>
      </c>
      <c r="D193" s="763">
        <f>'Input Data Sertifikat Defib'!M83</f>
        <v>3.1801688742140684E-2</v>
      </c>
      <c r="E193" s="711">
        <f>SQRT(3)</f>
        <v>1.7320508075688772</v>
      </c>
      <c r="F193" s="143">
        <f>0.5*((100/10)^2)</f>
        <v>50</v>
      </c>
      <c r="G193" s="712">
        <f>D193/E193</f>
        <v>1.8360713555959616E-2</v>
      </c>
      <c r="H193" s="143">
        <v>1</v>
      </c>
      <c r="I193" s="712">
        <f>G193*H193</f>
        <v>1.8360713555959616E-2</v>
      </c>
      <c r="J193" s="709">
        <f>I193^2</f>
        <v>3.3711580228399919E-4</v>
      </c>
      <c r="K193" s="713">
        <f>I193^4/F193</f>
        <v>2.2729412829916887E-9</v>
      </c>
      <c r="L193" s="117"/>
      <c r="M193" s="697" t="s">
        <v>418</v>
      </c>
      <c r="N193" s="143" t="s">
        <v>428</v>
      </c>
      <c r="O193" s="143" t="s">
        <v>417</v>
      </c>
      <c r="P193" s="763">
        <f>'Input Data Sertifikat Defib'!M88</f>
        <v>0.32777589532196072</v>
      </c>
      <c r="Q193" s="711">
        <f>SQRT(3)</f>
        <v>1.7320508075688772</v>
      </c>
      <c r="R193" s="143">
        <f>0.5*((100/10)^2)</f>
        <v>50</v>
      </c>
      <c r="S193" s="712">
        <f>P193/Q193</f>
        <v>0.18924150139800464</v>
      </c>
      <c r="T193" s="143">
        <v>1</v>
      </c>
      <c r="U193" s="712">
        <f>S193*T193</f>
        <v>0.18924150139800464</v>
      </c>
      <c r="V193" s="709">
        <f>U193^2</f>
        <v>3.581234585137099E-2</v>
      </c>
      <c r="W193" s="757">
        <f>U193^4/R193</f>
        <v>2.5650482307564177E-5</v>
      </c>
      <c r="X193" s="759"/>
      <c r="Y193" s="469"/>
      <c r="Z193" s="470"/>
      <c r="AA193" s="470"/>
      <c r="AD193" s="470"/>
      <c r="AE193" s="469"/>
      <c r="AF193" s="470"/>
      <c r="AG193" s="470"/>
      <c r="AH193" s="470"/>
      <c r="AI193" s="469"/>
      <c r="AJ193" s="470"/>
      <c r="AK193" s="470"/>
      <c r="AL193" s="470"/>
      <c r="AM193" s="469"/>
      <c r="AN193" s="470"/>
      <c r="AO193" s="470"/>
    </row>
    <row r="194" spans="1:41" ht="13">
      <c r="A194" s="714" t="s">
        <v>419</v>
      </c>
      <c r="B194" s="143" t="s">
        <v>428</v>
      </c>
      <c r="C194" s="706" t="s">
        <v>415</v>
      </c>
      <c r="D194" s="764">
        <f>'Input Data Sertifikat Defib'!N83</f>
        <v>0.14581117511623798</v>
      </c>
      <c r="E194" s="716">
        <v>2</v>
      </c>
      <c r="F194" s="143">
        <f>0.5*((100/10)^2)</f>
        <v>50</v>
      </c>
      <c r="G194" s="708">
        <f>D194/E194</f>
        <v>7.2905587558118989E-2</v>
      </c>
      <c r="H194" s="143">
        <v>1</v>
      </c>
      <c r="I194" s="708">
        <f>G194*H194</f>
        <v>7.2905587558118989E-2</v>
      </c>
      <c r="J194" s="709">
        <f>I194^2</f>
        <v>5.3152246971945542E-3</v>
      </c>
      <c r="K194" s="713">
        <f>I194^4/F194</f>
        <v>5.6503227163333877E-7</v>
      </c>
      <c r="L194" s="117"/>
      <c r="M194" s="714" t="s">
        <v>419</v>
      </c>
      <c r="N194" s="143" t="s">
        <v>428</v>
      </c>
      <c r="O194" s="706" t="s">
        <v>415</v>
      </c>
      <c r="P194" s="764">
        <f>'Input Data Sertifikat Defib'!N88</f>
        <v>1.4004133692069112</v>
      </c>
      <c r="Q194" s="716">
        <v>2</v>
      </c>
      <c r="R194" s="143">
        <f>0.5*((100/10)^2)</f>
        <v>50</v>
      </c>
      <c r="S194" s="708">
        <f>P194/Q194</f>
        <v>0.70020668460345559</v>
      </c>
      <c r="T194" s="143">
        <v>1</v>
      </c>
      <c r="U194" s="708">
        <f>S194*T194</f>
        <v>0.70020668460345559</v>
      </c>
      <c r="V194" s="709">
        <f>U194^2</f>
        <v>0.49028940116336311</v>
      </c>
      <c r="W194" s="757">
        <f>U194^4/R194</f>
        <v>4.8076739378625846E-3</v>
      </c>
      <c r="X194" s="758"/>
      <c r="Y194" s="469"/>
      <c r="Z194" s="469"/>
      <c r="AA194" s="469"/>
      <c r="AD194" s="469"/>
      <c r="AE194" s="469"/>
      <c r="AF194" s="469"/>
      <c r="AG194" s="469"/>
      <c r="AH194" s="469"/>
      <c r="AI194" s="469"/>
      <c r="AJ194" s="469"/>
      <c r="AK194" s="469"/>
      <c r="AL194" s="469"/>
      <c r="AM194" s="469"/>
      <c r="AN194" s="469"/>
      <c r="AO194" s="469"/>
    </row>
    <row r="195" spans="1:41" ht="15">
      <c r="A195" s="714"/>
      <c r="B195" s="143"/>
      <c r="C195" s="143"/>
      <c r="D195" s="143"/>
      <c r="E195" s="711"/>
      <c r="F195" s="143"/>
      <c r="G195" s="712"/>
      <c r="H195" s="143"/>
      <c r="I195" s="712"/>
      <c r="J195" s="709"/>
      <c r="K195" s="713"/>
      <c r="L195" s="117"/>
      <c r="M195" s="714"/>
      <c r="N195" s="143"/>
      <c r="O195" s="143"/>
      <c r="P195" s="143"/>
      <c r="Q195" s="711"/>
      <c r="R195" s="143"/>
      <c r="S195" s="712"/>
      <c r="T195" s="143"/>
      <c r="U195" s="712"/>
      <c r="V195" s="709"/>
      <c r="W195" s="757"/>
      <c r="X195" s="2015"/>
      <c r="Y195" s="2016"/>
      <c r="Z195" s="2016"/>
      <c r="AA195" s="2016"/>
      <c r="AD195" s="2016"/>
      <c r="AE195" s="2016"/>
      <c r="AF195" s="2016"/>
      <c r="AG195" s="2016"/>
      <c r="AH195" s="2016"/>
      <c r="AI195" s="2016"/>
      <c r="AJ195" s="2016"/>
      <c r="AK195" s="2016"/>
      <c r="AL195" s="2016"/>
      <c r="AM195" s="2016"/>
      <c r="AN195" s="2016"/>
      <c r="AO195" s="2016"/>
    </row>
    <row r="196" spans="1:41" ht="14">
      <c r="A196" s="717" t="s">
        <v>166</v>
      </c>
      <c r="B196" s="327"/>
      <c r="C196" s="327"/>
      <c r="D196" s="327"/>
      <c r="E196" s="718"/>
      <c r="F196" s="327"/>
      <c r="G196" s="327"/>
      <c r="H196" s="327"/>
      <c r="I196" s="327"/>
      <c r="J196" s="719">
        <f>SUM(J191:J194)</f>
        <v>8.8985673866145254E-2</v>
      </c>
      <c r="K196" s="720">
        <f>SUM(K191:K194)</f>
        <v>1.3945619410180531E-4</v>
      </c>
      <c r="L196" s="117"/>
      <c r="M196" s="717" t="s">
        <v>166</v>
      </c>
      <c r="N196" s="327"/>
      <c r="O196" s="327"/>
      <c r="P196" s="327"/>
      <c r="Q196" s="718"/>
      <c r="R196" s="327"/>
      <c r="S196" s="327"/>
      <c r="T196" s="327"/>
      <c r="U196" s="327"/>
      <c r="V196" s="719">
        <f>SUM(V191:V194)</f>
        <v>17.942768413681399</v>
      </c>
      <c r="W196" s="719">
        <f>SUM(W191:W194)</f>
        <v>150.22719443553129</v>
      </c>
      <c r="X196" s="758"/>
      <c r="Y196" s="469"/>
      <c r="Z196" s="469"/>
      <c r="AA196" s="469"/>
      <c r="AD196" s="469"/>
      <c r="AE196" s="469"/>
      <c r="AF196" s="469"/>
      <c r="AG196" s="469"/>
      <c r="AH196" s="469"/>
      <c r="AI196" s="469"/>
      <c r="AJ196" s="469"/>
      <c r="AK196" s="469"/>
      <c r="AL196" s="469"/>
      <c r="AM196" s="469"/>
      <c r="AN196" s="469"/>
      <c r="AO196" s="469"/>
    </row>
    <row r="197" spans="1:41" ht="17">
      <c r="A197" s="721" t="s">
        <v>168</v>
      </c>
      <c r="B197" s="722"/>
      <c r="C197" s="722"/>
      <c r="D197" s="722"/>
      <c r="E197" s="723"/>
      <c r="F197" s="722"/>
      <c r="G197" s="724" t="s">
        <v>420</v>
      </c>
      <c r="H197" s="722"/>
      <c r="I197" s="722"/>
      <c r="J197" s="725">
        <f>SQRT(J196)</f>
        <v>0.29830466618231982</v>
      </c>
      <c r="K197" s="726"/>
      <c r="L197" s="117"/>
      <c r="M197" s="721" t="s">
        <v>168</v>
      </c>
      <c r="N197" s="722"/>
      <c r="O197" s="722"/>
      <c r="P197" s="722"/>
      <c r="Q197" s="723"/>
      <c r="R197" s="722"/>
      <c r="S197" s="724" t="s">
        <v>420</v>
      </c>
      <c r="T197" s="722"/>
      <c r="U197" s="722"/>
      <c r="V197" s="725">
        <f>SQRT(V196)</f>
        <v>4.235890510114892</v>
      </c>
      <c r="W197" s="732"/>
      <c r="X197" s="759"/>
      <c r="Y197" s="469"/>
      <c r="Z197" s="470"/>
      <c r="AA197" s="470"/>
      <c r="AD197" s="470"/>
      <c r="AE197" s="469"/>
      <c r="AF197" s="470"/>
      <c r="AG197" s="470"/>
      <c r="AH197" s="470"/>
      <c r="AI197" s="469"/>
      <c r="AJ197" s="470"/>
      <c r="AK197" s="470"/>
      <c r="AL197" s="470"/>
      <c r="AM197" s="469"/>
      <c r="AN197" s="470"/>
      <c r="AO197" s="470"/>
    </row>
    <row r="198" spans="1:41" ht="17.5">
      <c r="A198" s="717" t="s">
        <v>169</v>
      </c>
      <c r="B198" s="727"/>
      <c r="C198" s="727"/>
      <c r="D198" s="727"/>
      <c r="E198" s="728"/>
      <c r="F198" s="727"/>
      <c r="G198" s="729" t="s">
        <v>421</v>
      </c>
      <c r="H198" s="727"/>
      <c r="I198" s="727"/>
      <c r="J198" s="730">
        <f>J197^4/(K196)</f>
        <v>56.780913923632326</v>
      </c>
      <c r="K198" s="731"/>
      <c r="L198" s="117"/>
      <c r="M198" s="717" t="s">
        <v>169</v>
      </c>
      <c r="N198" s="727"/>
      <c r="O198" s="727"/>
      <c r="P198" s="727"/>
      <c r="Q198" s="728"/>
      <c r="R198" s="727"/>
      <c r="S198" s="729" t="s">
        <v>421</v>
      </c>
      <c r="T198" s="727"/>
      <c r="U198" s="727"/>
      <c r="V198" s="730">
        <f>V197^4/(W196)</f>
        <v>2.1430403433724639</v>
      </c>
      <c r="W198" s="747"/>
      <c r="X198" s="758"/>
      <c r="Y198" s="469"/>
      <c r="Z198" s="469"/>
      <c r="AA198" s="469"/>
      <c r="AD198" s="469"/>
      <c r="AE198" s="469"/>
      <c r="AF198" s="469"/>
      <c r="AG198" s="469"/>
      <c r="AH198" s="469"/>
      <c r="AI198" s="469"/>
      <c r="AJ198" s="469"/>
      <c r="AK198" s="469"/>
      <c r="AL198" s="469"/>
      <c r="AM198" s="469"/>
      <c r="AN198" s="469"/>
      <c r="AO198" s="469"/>
    </row>
    <row r="199" spans="1:41" ht="15.5">
      <c r="A199" s="721" t="s">
        <v>170</v>
      </c>
      <c r="B199" s="722"/>
      <c r="C199" s="722"/>
      <c r="D199" s="722"/>
      <c r="E199" s="723"/>
      <c r="F199" s="722"/>
      <c r="G199" s="732" t="s">
        <v>422</v>
      </c>
      <c r="H199" s="722"/>
      <c r="I199" s="722"/>
      <c r="J199" s="733">
        <f>1.95996+(2.37356/J198)+(2.818745/J198^2)+(2.546662/J198^3)+(1.761829/J198^4)+(0.245458/J198^5)+(1.000764/J198^6)</f>
        <v>2.0026504367146054</v>
      </c>
      <c r="K199" s="726"/>
      <c r="L199" s="117"/>
      <c r="M199" s="721" t="s">
        <v>170</v>
      </c>
      <c r="N199" s="722"/>
      <c r="O199" s="722"/>
      <c r="P199" s="722"/>
      <c r="Q199" s="723"/>
      <c r="R199" s="722"/>
      <c r="S199" s="732" t="s">
        <v>422</v>
      </c>
      <c r="T199" s="722"/>
      <c r="U199" s="722"/>
      <c r="V199" s="733">
        <f>1.95996+(2.37356/V198)+(2.818745/V198^2)+(2.546662/V198^3)+(1.761829/V198^4)+(0.245458/V198^5)+(1.000764/V198^6)</f>
        <v>4.0393231332514166</v>
      </c>
      <c r="W199" s="732"/>
      <c r="X199" s="2015"/>
      <c r="Y199" s="2016"/>
      <c r="Z199" s="2016"/>
      <c r="AA199" s="2016"/>
      <c r="AD199" s="2016"/>
      <c r="AE199" s="2016"/>
      <c r="AF199" s="2016"/>
      <c r="AG199" s="2016"/>
      <c r="AH199" s="2016"/>
      <c r="AI199" s="2016"/>
      <c r="AJ199" s="2016"/>
      <c r="AK199" s="2016"/>
      <c r="AL199" s="2016"/>
      <c r="AM199" s="2016"/>
      <c r="AN199" s="2016"/>
      <c r="AO199" s="2016"/>
    </row>
    <row r="200" spans="1:41" ht="14">
      <c r="A200" s="734" t="s">
        <v>171</v>
      </c>
      <c r="B200" s="735"/>
      <c r="C200" s="735"/>
      <c r="D200" s="735"/>
      <c r="E200" s="736"/>
      <c r="F200" s="735"/>
      <c r="G200" s="737" t="s">
        <v>423</v>
      </c>
      <c r="H200" s="735"/>
      <c r="I200" s="735"/>
      <c r="J200" s="738">
        <f>J197*J199</f>
        <v>0.59739997000402734</v>
      </c>
      <c r="K200" s="739" t="s">
        <v>428</v>
      </c>
      <c r="L200" s="117"/>
      <c r="M200" s="734" t="s">
        <v>171</v>
      </c>
      <c r="N200" s="735"/>
      <c r="O200" s="735"/>
      <c r="P200" s="735"/>
      <c r="Q200" s="736"/>
      <c r="R200" s="735"/>
      <c r="S200" s="737" t="s">
        <v>423</v>
      </c>
      <c r="T200" s="735"/>
      <c r="U200" s="735"/>
      <c r="V200" s="738">
        <f>V197*V199</f>
        <v>17.110130527427227</v>
      </c>
      <c r="W200" s="754" t="s">
        <v>428</v>
      </c>
      <c r="X200" s="758"/>
      <c r="Y200" s="469"/>
      <c r="Z200" s="469"/>
      <c r="AA200" s="469"/>
      <c r="AD200" s="469"/>
      <c r="AE200" s="469"/>
      <c r="AF200" s="469"/>
      <c r="AG200" s="469"/>
      <c r="AH200" s="469"/>
      <c r="AI200" s="469"/>
      <c r="AJ200" s="469"/>
      <c r="AK200" s="469"/>
      <c r="AL200" s="469"/>
      <c r="AM200" s="469"/>
      <c r="AN200" s="469"/>
      <c r="AO200" s="469"/>
    </row>
    <row r="201" spans="1:41" ht="13">
      <c r="A201" s="144" t="s">
        <v>427</v>
      </c>
      <c r="B201" s="145"/>
      <c r="C201" s="162">
        <f>[3]Input!D40</f>
        <v>50</v>
      </c>
      <c r="D201" s="147" t="s">
        <v>428</v>
      </c>
      <c r="E201" s="117"/>
      <c r="F201" s="117"/>
      <c r="G201" s="117"/>
      <c r="H201" s="117"/>
      <c r="I201" s="117"/>
      <c r="J201" s="750">
        <f>(J200/C189)*100</f>
        <v>1.9913332333467579</v>
      </c>
      <c r="K201" s="751" t="s">
        <v>424</v>
      </c>
      <c r="L201" s="117"/>
      <c r="M201" s="740" t="s">
        <v>431</v>
      </c>
      <c r="N201" s="145"/>
      <c r="O201" s="162">
        <v>200</v>
      </c>
      <c r="P201" s="147" t="s">
        <v>428</v>
      </c>
      <c r="Q201" s="117"/>
      <c r="R201" s="117"/>
      <c r="S201" s="117"/>
      <c r="T201" s="117"/>
      <c r="U201" s="117"/>
      <c r="V201" s="750">
        <f>(V200/O189)*100</f>
        <v>5.7033768424757421</v>
      </c>
      <c r="W201" s="751" t="s">
        <v>424</v>
      </c>
      <c r="X201" s="759"/>
      <c r="Y201" s="469"/>
      <c r="Z201" s="470"/>
      <c r="AA201" s="470"/>
      <c r="AD201" s="470"/>
      <c r="AE201" s="469"/>
      <c r="AF201" s="470"/>
      <c r="AG201" s="470"/>
      <c r="AH201" s="470"/>
      <c r="AI201" s="469"/>
      <c r="AJ201" s="470"/>
      <c r="AK201" s="470"/>
      <c r="AL201" s="470"/>
      <c r="AM201" s="469"/>
      <c r="AN201" s="470"/>
      <c r="AO201" s="470"/>
    </row>
    <row r="202" spans="1:41" ht="14">
      <c r="A202" s="692" t="s">
        <v>409</v>
      </c>
      <c r="B202" s="693" t="s">
        <v>410</v>
      </c>
      <c r="C202" s="694" t="s">
        <v>411</v>
      </c>
      <c r="D202" s="693" t="s">
        <v>412</v>
      </c>
      <c r="E202" s="695" t="s">
        <v>413</v>
      </c>
      <c r="F202" s="693" t="s">
        <v>156</v>
      </c>
      <c r="G202" s="694" t="s">
        <v>157</v>
      </c>
      <c r="H202" s="693" t="s">
        <v>158</v>
      </c>
      <c r="I202" s="694" t="s">
        <v>159</v>
      </c>
      <c r="J202" s="693" t="s">
        <v>160</v>
      </c>
      <c r="K202" s="696" t="s">
        <v>161</v>
      </c>
      <c r="L202" s="117"/>
      <c r="M202" s="692" t="s">
        <v>409</v>
      </c>
      <c r="N202" s="693" t="s">
        <v>410</v>
      </c>
      <c r="O202" s="694" t="s">
        <v>411</v>
      </c>
      <c r="P202" s="693" t="s">
        <v>412</v>
      </c>
      <c r="Q202" s="695" t="s">
        <v>413</v>
      </c>
      <c r="R202" s="693" t="s">
        <v>156</v>
      </c>
      <c r="S202" s="694" t="s">
        <v>157</v>
      </c>
      <c r="T202" s="693" t="s">
        <v>158</v>
      </c>
      <c r="U202" s="694" t="s">
        <v>159</v>
      </c>
      <c r="V202" s="693" t="s">
        <v>160</v>
      </c>
      <c r="W202" s="694" t="s">
        <v>161</v>
      </c>
      <c r="X202" s="758"/>
      <c r="Y202" s="469"/>
      <c r="Z202" s="469"/>
      <c r="AA202" s="469"/>
      <c r="AD202" s="469"/>
      <c r="AE202" s="469"/>
      <c r="AF202" s="469"/>
      <c r="AG202" s="469"/>
      <c r="AH202" s="469"/>
      <c r="AI202" s="469"/>
      <c r="AJ202" s="469"/>
      <c r="AK202" s="469"/>
      <c r="AL202" s="469"/>
      <c r="AM202" s="469"/>
      <c r="AN202" s="469"/>
      <c r="AO202" s="469"/>
    </row>
    <row r="203" spans="1:41" ht="15">
      <c r="A203" s="697" t="s">
        <v>429</v>
      </c>
      <c r="B203" s="143" t="s">
        <v>428</v>
      </c>
      <c r="C203" s="698" t="s">
        <v>415</v>
      </c>
      <c r="D203" s="761">
        <f>'Input Data Sertifikat Defib'!F107</f>
        <v>2.3094010767585029</v>
      </c>
      <c r="E203" s="700">
        <f>SQRT(3)</f>
        <v>1.7320508075688772</v>
      </c>
      <c r="F203" s="143">
        <v>2</v>
      </c>
      <c r="G203" s="701">
        <f>D203/E203</f>
        <v>1.3333333333333333</v>
      </c>
      <c r="H203" s="702">
        <v>1</v>
      </c>
      <c r="I203" s="701">
        <f>G203*H203</f>
        <v>1.3333333333333333</v>
      </c>
      <c r="J203" s="703">
        <f>I203^2</f>
        <v>1.7777777777777777</v>
      </c>
      <c r="K203" s="704">
        <f>I203^4/F203</f>
        <v>1.5802469135802468</v>
      </c>
      <c r="L203" s="117"/>
      <c r="M203" s="697" t="s">
        <v>429</v>
      </c>
      <c r="N203" s="143" t="s">
        <v>428</v>
      </c>
      <c r="O203" s="698" t="s">
        <v>415</v>
      </c>
      <c r="P203" s="761">
        <f>'Input Data Sertifikat Defib'!F114</f>
        <v>1.0000000000000001E-5</v>
      </c>
      <c r="Q203" s="700">
        <f>SQRT(3)</f>
        <v>1.7320508075688772</v>
      </c>
      <c r="R203" s="143">
        <v>2</v>
      </c>
      <c r="S203" s="701">
        <f>P203/Q203</f>
        <v>5.7735026918962587E-6</v>
      </c>
      <c r="T203" s="702">
        <v>1</v>
      </c>
      <c r="U203" s="701">
        <f>S203*T203</f>
        <v>5.7735026918962587E-6</v>
      </c>
      <c r="V203" s="703">
        <f>U203^2</f>
        <v>3.3333333333333347E-11</v>
      </c>
      <c r="W203" s="755">
        <f>U203^4/R203</f>
        <v>5.5555555555555605E-22</v>
      </c>
      <c r="X203" s="760"/>
      <c r="AD203" s="2016"/>
      <c r="AE203" s="2016"/>
      <c r="AF203" s="2016"/>
      <c r="AG203" s="2016"/>
      <c r="AH203" s="2016"/>
      <c r="AI203" s="2016"/>
      <c r="AJ203" s="2016"/>
      <c r="AK203" s="2016"/>
      <c r="AL203" s="2016"/>
      <c r="AM203" s="2016"/>
      <c r="AN203" s="2016"/>
      <c r="AO203" s="2016"/>
    </row>
    <row r="204" spans="1:41" ht="13">
      <c r="A204" s="705" t="s">
        <v>430</v>
      </c>
      <c r="B204" s="143" t="s">
        <v>428</v>
      </c>
      <c r="C204" s="706" t="s">
        <v>417</v>
      </c>
      <c r="D204" s="762">
        <f>'Input Data Sertifikat Defib'!L107</f>
        <v>0.5</v>
      </c>
      <c r="E204" s="707">
        <f>SQRT(3)</f>
        <v>1.7320508075688772</v>
      </c>
      <c r="F204" s="143">
        <f>0.5*((100/10)^2)</f>
        <v>50</v>
      </c>
      <c r="G204" s="708">
        <f>D204/E204</f>
        <v>0.28867513459481292</v>
      </c>
      <c r="H204" s="143">
        <v>1</v>
      </c>
      <c r="I204" s="708">
        <f>G204*H204</f>
        <v>0.28867513459481292</v>
      </c>
      <c r="J204" s="709">
        <f>I204^2</f>
        <v>8.3333333333333356E-2</v>
      </c>
      <c r="K204" s="710">
        <f>I204^4/F204</f>
        <v>1.3888888888888897E-4</v>
      </c>
      <c r="L204" s="117"/>
      <c r="M204" s="705" t="s">
        <v>430</v>
      </c>
      <c r="N204" s="143" t="s">
        <v>428</v>
      </c>
      <c r="O204" s="706" t="s">
        <v>417</v>
      </c>
      <c r="P204" s="762">
        <f>'Input Data Sertifikat Defib'!L114</f>
        <v>0.5</v>
      </c>
      <c r="Q204" s="707">
        <f>SQRT(3)</f>
        <v>1.7320508075688772</v>
      </c>
      <c r="R204" s="143">
        <f>0.5*((100/10)^2)</f>
        <v>50</v>
      </c>
      <c r="S204" s="708">
        <f>P204/Q204</f>
        <v>0.28867513459481292</v>
      </c>
      <c r="T204" s="143">
        <v>1</v>
      </c>
      <c r="U204" s="708">
        <f>S204*T204</f>
        <v>0.28867513459481292</v>
      </c>
      <c r="V204" s="709">
        <f>U204^2</f>
        <v>8.3333333333333356E-2</v>
      </c>
      <c r="W204" s="756">
        <f>U204^4/R204</f>
        <v>1.3888888888888897E-4</v>
      </c>
      <c r="X204" s="760"/>
      <c r="AD204" s="469"/>
      <c r="AE204" s="469"/>
      <c r="AF204" s="469"/>
      <c r="AG204" s="469"/>
      <c r="AH204" s="469"/>
      <c r="AI204" s="469"/>
      <c r="AJ204" s="469"/>
      <c r="AK204" s="469"/>
      <c r="AL204" s="469"/>
      <c r="AM204" s="469"/>
      <c r="AN204" s="469"/>
      <c r="AO204" s="469"/>
    </row>
    <row r="205" spans="1:41" ht="13">
      <c r="A205" s="697" t="s">
        <v>418</v>
      </c>
      <c r="B205" s="143" t="s">
        <v>428</v>
      </c>
      <c r="C205" s="143" t="s">
        <v>417</v>
      </c>
      <c r="D205" s="763">
        <f>'Input Data Sertifikat Defib'!M84</f>
        <v>5.5901369685026792E-2</v>
      </c>
      <c r="E205" s="711">
        <f>SQRT(3)</f>
        <v>1.7320508075688772</v>
      </c>
      <c r="F205" s="143">
        <f>0.5*((100/10)^2)</f>
        <v>50</v>
      </c>
      <c r="G205" s="712">
        <f>D205/E205</f>
        <v>3.2274670835719006E-2</v>
      </c>
      <c r="H205" s="143">
        <v>1</v>
      </c>
      <c r="I205" s="712">
        <f>G205*H205</f>
        <v>3.2274670835719006E-2</v>
      </c>
      <c r="J205" s="709">
        <f>I205^2</f>
        <v>1.041654377554011E-3</v>
      </c>
      <c r="K205" s="713">
        <f>I205^4/F205</f>
        <v>2.1700876845548681E-8</v>
      </c>
      <c r="L205" s="117"/>
      <c r="M205" s="697" t="s">
        <v>418</v>
      </c>
      <c r="N205" s="143" t="s">
        <v>428</v>
      </c>
      <c r="O205" s="143" t="s">
        <v>417</v>
      </c>
      <c r="P205" s="763">
        <f>'Input Data Sertifikat Defib'!M91</f>
        <v>0.22384602125576436</v>
      </c>
      <c r="Q205" s="711">
        <f>SQRT(3)</f>
        <v>1.7320508075688772</v>
      </c>
      <c r="R205" s="143">
        <f>0.5*((100/10)^2)</f>
        <v>50</v>
      </c>
      <c r="S205" s="712">
        <f>P205/Q205</f>
        <v>0.12923756062904226</v>
      </c>
      <c r="T205" s="143">
        <v>1</v>
      </c>
      <c r="U205" s="712">
        <f>S205*T205</f>
        <v>0.12923756062904226</v>
      </c>
      <c r="V205" s="709">
        <f>U205^2</f>
        <v>1.6702347077345376E-2</v>
      </c>
      <c r="W205" s="757">
        <f>U205^4/R205</f>
        <v>5.5793679578421524E-6</v>
      </c>
      <c r="X205" s="760"/>
      <c r="AD205" s="470"/>
      <c r="AE205" s="469"/>
      <c r="AF205" s="470"/>
      <c r="AG205" s="470"/>
      <c r="AH205" s="470"/>
      <c r="AI205" s="469"/>
      <c r="AJ205" s="470"/>
      <c r="AK205" s="470"/>
      <c r="AL205" s="470"/>
      <c r="AM205" s="469"/>
      <c r="AN205" s="470"/>
      <c r="AO205" s="470"/>
    </row>
    <row r="206" spans="1:41" ht="13">
      <c r="A206" s="714" t="s">
        <v>419</v>
      </c>
      <c r="B206" s="143" t="s">
        <v>428</v>
      </c>
      <c r="C206" s="706" t="s">
        <v>415</v>
      </c>
      <c r="D206" s="764">
        <f>'Input Data Sertifikat Defib'!N84</f>
        <v>0.24796707896077116</v>
      </c>
      <c r="E206" s="716">
        <v>2</v>
      </c>
      <c r="F206" s="143">
        <f>0.5*((100/10)^2)</f>
        <v>50</v>
      </c>
      <c r="G206" s="708">
        <f>D206/E206</f>
        <v>0.12398353948038558</v>
      </c>
      <c r="H206" s="143">
        <v>1</v>
      </c>
      <c r="I206" s="708">
        <f>G206*H206</f>
        <v>0.12398353948038558</v>
      </c>
      <c r="J206" s="709">
        <f>I206^2</f>
        <v>1.5371918062084331E-2</v>
      </c>
      <c r="K206" s="713">
        <f>I206^4/F206</f>
        <v>4.7259172981486896E-6</v>
      </c>
      <c r="L206" s="117"/>
      <c r="M206" s="714" t="s">
        <v>419</v>
      </c>
      <c r="N206" s="143" t="s">
        <v>428</v>
      </c>
      <c r="O206" s="706" t="s">
        <v>415</v>
      </c>
      <c r="P206" s="764">
        <f>'Input Data Sertifikat Defib'!N91</f>
        <v>0.95986603387736169</v>
      </c>
      <c r="Q206" s="716">
        <v>2</v>
      </c>
      <c r="R206" s="143">
        <f>0.5*((100/10)^2)</f>
        <v>50</v>
      </c>
      <c r="S206" s="708">
        <f>P206/Q206</f>
        <v>0.47993301693868085</v>
      </c>
      <c r="T206" s="143">
        <v>1</v>
      </c>
      <c r="U206" s="708">
        <f>S206*T206</f>
        <v>0.47993301693868085</v>
      </c>
      <c r="V206" s="709">
        <f>U206^2</f>
        <v>0.23033570074786411</v>
      </c>
      <c r="W206" s="757">
        <f>U206^4/R206</f>
        <v>1.0610907007801921E-3</v>
      </c>
      <c r="X206" s="760"/>
      <c r="AD206" s="469"/>
      <c r="AE206" s="469"/>
      <c r="AF206" s="469"/>
      <c r="AG206" s="469"/>
      <c r="AH206" s="469"/>
      <c r="AI206" s="469"/>
      <c r="AJ206" s="469"/>
      <c r="AK206" s="469"/>
      <c r="AL206" s="469"/>
      <c r="AM206" s="469"/>
      <c r="AN206" s="469"/>
      <c r="AO206" s="469"/>
    </row>
    <row r="207" spans="1:41" ht="15">
      <c r="A207" s="714"/>
      <c r="B207" s="143"/>
      <c r="C207" s="143"/>
      <c r="D207" s="143"/>
      <c r="E207" s="711"/>
      <c r="F207" s="143"/>
      <c r="G207" s="712"/>
      <c r="H207" s="143"/>
      <c r="I207" s="712"/>
      <c r="J207" s="709"/>
      <c r="K207" s="713"/>
      <c r="L207" s="117"/>
      <c r="M207" s="714"/>
      <c r="N207" s="143"/>
      <c r="O207" s="143"/>
      <c r="P207" s="143"/>
      <c r="Q207" s="711"/>
      <c r="R207" s="143"/>
      <c r="S207" s="712"/>
      <c r="T207" s="143"/>
      <c r="U207" s="712"/>
      <c r="V207" s="709"/>
      <c r="W207" s="757"/>
      <c r="X207" s="760"/>
      <c r="AD207" s="2016"/>
      <c r="AE207" s="2016"/>
      <c r="AF207" s="2016"/>
      <c r="AG207" s="2016"/>
      <c r="AH207" s="2016"/>
      <c r="AI207" s="2016"/>
      <c r="AJ207" s="2016"/>
      <c r="AK207" s="2016"/>
      <c r="AL207" s="2016"/>
      <c r="AM207" s="2016"/>
      <c r="AN207" s="2016"/>
      <c r="AO207" s="2016"/>
    </row>
    <row r="208" spans="1:41" ht="14">
      <c r="A208" s="717" t="s">
        <v>166</v>
      </c>
      <c r="B208" s="327"/>
      <c r="C208" s="327"/>
      <c r="D208" s="327"/>
      <c r="E208" s="718"/>
      <c r="F208" s="327"/>
      <c r="G208" s="327"/>
      <c r="H208" s="327"/>
      <c r="I208" s="327"/>
      <c r="J208" s="719">
        <f>SUM(J203:J206)</f>
        <v>1.8775246835507493</v>
      </c>
      <c r="K208" s="720">
        <f>SUM(K203:K206)</f>
        <v>1.5803905500873108</v>
      </c>
      <c r="L208" s="117"/>
      <c r="M208" s="717" t="s">
        <v>166</v>
      </c>
      <c r="N208" s="327"/>
      <c r="O208" s="327"/>
      <c r="P208" s="327"/>
      <c r="Q208" s="718"/>
      <c r="R208" s="327"/>
      <c r="S208" s="327"/>
      <c r="T208" s="327"/>
      <c r="U208" s="327"/>
      <c r="V208" s="719">
        <f>SUM(V203:V206)</f>
        <v>0.33037138119187615</v>
      </c>
      <c r="W208" s="719">
        <f>SUM(W203:W206)</f>
        <v>1.2055589576269233E-3</v>
      </c>
      <c r="X208" s="760"/>
      <c r="AD208" s="469"/>
      <c r="AE208" s="469"/>
      <c r="AF208" s="469"/>
      <c r="AG208" s="469"/>
      <c r="AH208" s="469"/>
      <c r="AI208" s="469"/>
      <c r="AJ208" s="469"/>
      <c r="AK208" s="469"/>
      <c r="AL208" s="469"/>
      <c r="AM208" s="469"/>
      <c r="AN208" s="469"/>
      <c r="AO208" s="469"/>
    </row>
    <row r="209" spans="1:41" ht="17">
      <c r="A209" s="721" t="s">
        <v>168</v>
      </c>
      <c r="B209" s="722"/>
      <c r="C209" s="722"/>
      <c r="D209" s="722"/>
      <c r="E209" s="723"/>
      <c r="F209" s="722"/>
      <c r="G209" s="724" t="s">
        <v>420</v>
      </c>
      <c r="H209" s="722"/>
      <c r="I209" s="722"/>
      <c r="J209" s="725">
        <f>SQRT(J208)</f>
        <v>1.370227967730461</v>
      </c>
      <c r="K209" s="726"/>
      <c r="L209" s="117"/>
      <c r="M209" s="721" t="s">
        <v>168</v>
      </c>
      <c r="N209" s="722"/>
      <c r="O209" s="722"/>
      <c r="P209" s="722"/>
      <c r="Q209" s="723"/>
      <c r="R209" s="722"/>
      <c r="S209" s="724" t="s">
        <v>420</v>
      </c>
      <c r="T209" s="722"/>
      <c r="U209" s="722"/>
      <c r="V209" s="725">
        <f>SQRT(V208)</f>
        <v>0.57477941959666246</v>
      </c>
      <c r="W209" s="732"/>
      <c r="X209" s="760"/>
      <c r="AD209" s="470"/>
      <c r="AE209" s="469"/>
      <c r="AF209" s="470"/>
      <c r="AG209" s="470"/>
      <c r="AH209" s="470"/>
      <c r="AI209" s="469"/>
      <c r="AJ209" s="470"/>
      <c r="AK209" s="470"/>
      <c r="AL209" s="470"/>
      <c r="AM209" s="469"/>
      <c r="AN209" s="470"/>
      <c r="AO209" s="470"/>
    </row>
    <row r="210" spans="1:41" ht="17.5">
      <c r="A210" s="717" t="s">
        <v>169</v>
      </c>
      <c r="B210" s="727"/>
      <c r="C210" s="727"/>
      <c r="D210" s="727"/>
      <c r="E210" s="728"/>
      <c r="F210" s="727"/>
      <c r="G210" s="729" t="s">
        <v>421</v>
      </c>
      <c r="H210" s="727"/>
      <c r="I210" s="727"/>
      <c r="J210" s="730">
        <f>J209^4/(K208)</f>
        <v>2.2305239278655469</v>
      </c>
      <c r="K210" s="731"/>
      <c r="L210" s="117"/>
      <c r="M210" s="717" t="s">
        <v>169</v>
      </c>
      <c r="N210" s="727"/>
      <c r="O210" s="727"/>
      <c r="P210" s="727"/>
      <c r="Q210" s="728"/>
      <c r="R210" s="727"/>
      <c r="S210" s="729" t="s">
        <v>421</v>
      </c>
      <c r="T210" s="727"/>
      <c r="U210" s="727"/>
      <c r="V210" s="730">
        <f>V209^4/(W208)</f>
        <v>90.534974519599075</v>
      </c>
      <c r="W210" s="747"/>
      <c r="X210" s="760"/>
      <c r="AD210" s="469"/>
      <c r="AE210" s="469"/>
      <c r="AF210" s="469"/>
      <c r="AG210" s="469"/>
      <c r="AH210" s="469"/>
      <c r="AI210" s="469"/>
      <c r="AJ210" s="469"/>
      <c r="AK210" s="469"/>
      <c r="AL210" s="469"/>
      <c r="AM210" s="469"/>
      <c r="AN210" s="469"/>
      <c r="AO210" s="469"/>
    </row>
    <row r="211" spans="1:41" ht="15.5">
      <c r="A211" s="721" t="s">
        <v>170</v>
      </c>
      <c r="B211" s="722"/>
      <c r="C211" s="722"/>
      <c r="D211" s="722"/>
      <c r="E211" s="723"/>
      <c r="F211" s="722"/>
      <c r="G211" s="732" t="s">
        <v>422</v>
      </c>
      <c r="H211" s="722"/>
      <c r="I211" s="722"/>
      <c r="J211" s="733">
        <f>1.95996+(2.37356/J210)+(2.818745/J210^2)+(2.546662/J210^3)+(1.761829/J210^4)+(0.245458/J210^5)+(1.000764/J210^6)</f>
        <v>3.9038730706020108</v>
      </c>
      <c r="K211" s="726"/>
      <c r="L211" s="117"/>
      <c r="M211" s="721" t="s">
        <v>170</v>
      </c>
      <c r="N211" s="722"/>
      <c r="O211" s="722"/>
      <c r="P211" s="722"/>
      <c r="Q211" s="723"/>
      <c r="R211" s="722"/>
      <c r="S211" s="732" t="s">
        <v>422</v>
      </c>
      <c r="T211" s="722"/>
      <c r="U211" s="722"/>
      <c r="V211" s="733">
        <f>1.95996+(2.37356/V210)+(2.818745/V210^2)+(2.546662/V210^3)+(1.761829/V210^4)+(0.245458/V210^5)+(1.000764/V210^6)</f>
        <v>1.9865244013298011</v>
      </c>
      <c r="W211" s="732"/>
      <c r="X211" s="760"/>
      <c r="AD211" s="2016"/>
      <c r="AE211" s="2016"/>
      <c r="AF211" s="2016"/>
      <c r="AG211" s="2016"/>
      <c r="AH211" s="2016"/>
      <c r="AI211" s="2016"/>
      <c r="AJ211" s="2016"/>
      <c r="AK211" s="2016"/>
      <c r="AL211" s="2016"/>
      <c r="AM211" s="2016"/>
      <c r="AN211" s="2016"/>
      <c r="AO211" s="2016"/>
    </row>
    <row r="212" spans="1:41" ht="14">
      <c r="A212" s="734" t="s">
        <v>171</v>
      </c>
      <c r="B212" s="735"/>
      <c r="C212" s="735"/>
      <c r="D212" s="735"/>
      <c r="E212" s="736"/>
      <c r="F212" s="735"/>
      <c r="G212" s="737" t="s">
        <v>423</v>
      </c>
      <c r="H212" s="735"/>
      <c r="I212" s="735"/>
      <c r="J212" s="738">
        <f>J209*J211</f>
        <v>5.3491960638086677</v>
      </c>
      <c r="K212" s="739" t="s">
        <v>428</v>
      </c>
      <c r="L212" s="117"/>
      <c r="M212" s="734" t="s">
        <v>171</v>
      </c>
      <c r="N212" s="735"/>
      <c r="O212" s="735"/>
      <c r="P212" s="735"/>
      <c r="Q212" s="736"/>
      <c r="R212" s="735"/>
      <c r="S212" s="737" t="s">
        <v>423</v>
      </c>
      <c r="T212" s="735"/>
      <c r="U212" s="735"/>
      <c r="V212" s="738">
        <f>V209*V211</f>
        <v>1.1418133424109504</v>
      </c>
      <c r="W212" s="754" t="s">
        <v>428</v>
      </c>
      <c r="X212" s="760"/>
      <c r="AD212" s="469"/>
      <c r="AE212" s="469"/>
      <c r="AF212" s="469"/>
      <c r="AG212" s="469"/>
      <c r="AH212" s="469"/>
      <c r="AI212" s="469"/>
      <c r="AJ212" s="469"/>
      <c r="AK212" s="469"/>
      <c r="AL212" s="469"/>
      <c r="AM212" s="469"/>
      <c r="AN212" s="469"/>
      <c r="AO212" s="469"/>
    </row>
    <row r="213" spans="1:41" ht="14.5" thickBot="1">
      <c r="A213" s="741"/>
      <c r="B213" s="742"/>
      <c r="C213" s="742"/>
      <c r="D213" s="742"/>
      <c r="E213" s="743"/>
      <c r="F213" s="742"/>
      <c r="G213" s="744"/>
      <c r="H213" s="742"/>
      <c r="I213" s="742"/>
      <c r="J213" s="745">
        <f>(J212/C201)*100</f>
        <v>10.698392127617335</v>
      </c>
      <c r="K213" s="753" t="s">
        <v>424</v>
      </c>
      <c r="L213" s="746"/>
      <c r="M213" s="746"/>
      <c r="N213" s="746"/>
      <c r="O213" s="746"/>
      <c r="P213" s="746"/>
      <c r="Q213" s="746"/>
      <c r="R213" s="746"/>
      <c r="S213" s="746"/>
      <c r="T213" s="746"/>
      <c r="U213" s="746"/>
      <c r="V213" s="745">
        <f>(V212/O201)*100</f>
        <v>0.57090667120547522</v>
      </c>
      <c r="W213" s="745" t="s">
        <v>424</v>
      </c>
      <c r="X213" s="760"/>
      <c r="AD213" s="470"/>
      <c r="AE213" s="469"/>
      <c r="AF213" s="470"/>
      <c r="AG213" s="470"/>
      <c r="AH213" s="470"/>
      <c r="AI213" s="469"/>
      <c r="AJ213" s="470"/>
      <c r="AK213" s="470"/>
      <c r="AL213" s="470"/>
      <c r="AM213" s="469"/>
      <c r="AN213" s="470"/>
      <c r="AO213" s="470"/>
    </row>
    <row r="214" spans="1:41" ht="14">
      <c r="A214" s="717"/>
      <c r="B214" s="727"/>
      <c r="C214" s="727"/>
      <c r="D214" s="727"/>
      <c r="E214" s="728"/>
      <c r="F214" s="727"/>
      <c r="G214" s="747"/>
      <c r="H214" s="727"/>
      <c r="I214" s="727"/>
      <c r="J214" s="748"/>
      <c r="K214" s="749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AD214" s="469"/>
      <c r="AE214" s="469"/>
      <c r="AF214" s="469"/>
      <c r="AG214" s="469"/>
      <c r="AH214" s="469"/>
      <c r="AI214" s="469"/>
      <c r="AJ214" s="469"/>
      <c r="AK214" s="469"/>
      <c r="AL214" s="469"/>
      <c r="AM214" s="469"/>
      <c r="AN214" s="469"/>
      <c r="AO214" s="469"/>
    </row>
    <row r="215" spans="1:41" ht="15">
      <c r="A215" s="144" t="s">
        <v>432</v>
      </c>
      <c r="B215" s="145"/>
      <c r="C215" s="162">
        <f>[3]Input!H55</f>
        <v>14.002333333333333</v>
      </c>
      <c r="D215" s="147" t="s">
        <v>8</v>
      </c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AD215" s="2016"/>
      <c r="AE215" s="2016"/>
      <c r="AF215" s="2016"/>
      <c r="AG215" s="2016"/>
      <c r="AH215" s="2016"/>
      <c r="AI215" s="2016"/>
      <c r="AJ215" s="2016"/>
      <c r="AK215" s="2016"/>
      <c r="AL215" s="2016"/>
      <c r="AM215" s="2016"/>
      <c r="AN215" s="2016"/>
      <c r="AO215" s="2016"/>
    </row>
    <row r="216" spans="1:41" ht="14">
      <c r="A216" s="692" t="s">
        <v>409</v>
      </c>
      <c r="B216" s="693" t="s">
        <v>410</v>
      </c>
      <c r="C216" s="694" t="s">
        <v>411</v>
      </c>
      <c r="D216" s="693" t="s">
        <v>412</v>
      </c>
      <c r="E216" s="695" t="s">
        <v>413</v>
      </c>
      <c r="F216" s="693" t="s">
        <v>156</v>
      </c>
      <c r="G216" s="694" t="s">
        <v>157</v>
      </c>
      <c r="H216" s="693" t="s">
        <v>158</v>
      </c>
      <c r="I216" s="694" t="s">
        <v>159</v>
      </c>
      <c r="J216" s="693" t="s">
        <v>160</v>
      </c>
      <c r="K216" s="696" t="s">
        <v>161</v>
      </c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AD216" s="469"/>
      <c r="AE216" s="469"/>
      <c r="AF216" s="469"/>
      <c r="AG216" s="469"/>
      <c r="AH216" s="469"/>
      <c r="AI216" s="469"/>
      <c r="AJ216" s="469"/>
      <c r="AK216" s="469"/>
      <c r="AL216" s="469"/>
      <c r="AM216" s="469"/>
      <c r="AN216" s="469"/>
      <c r="AO216" s="469"/>
    </row>
    <row r="217" spans="1:41" ht="13">
      <c r="A217" s="697" t="s">
        <v>162</v>
      </c>
      <c r="B217" s="143" t="s">
        <v>8</v>
      </c>
      <c r="C217" s="698" t="s">
        <v>415</v>
      </c>
      <c r="D217" s="699">
        <f>[3]Input!H55</f>
        <v>14.002333333333333</v>
      </c>
      <c r="E217" s="700">
        <f>SQRT(3)</f>
        <v>1.7320508075688772</v>
      </c>
      <c r="F217" s="143">
        <v>2</v>
      </c>
      <c r="G217" s="701">
        <f>D217/E217</f>
        <v>8.0842509192828693</v>
      </c>
      <c r="H217" s="702">
        <v>1</v>
      </c>
      <c r="I217" s="701">
        <f>G217*H217</f>
        <v>8.0842509192828693</v>
      </c>
      <c r="J217" s="703">
        <f>I217^2</f>
        <v>65.355112925925923</v>
      </c>
      <c r="K217" s="704">
        <f>I217^4/F217</f>
        <v>2135.645392780265</v>
      </c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AD217" s="470"/>
      <c r="AE217" s="469"/>
      <c r="AF217" s="470"/>
      <c r="AG217" s="470"/>
      <c r="AH217" s="470"/>
      <c r="AI217" s="469"/>
      <c r="AJ217" s="470"/>
      <c r="AK217" s="470"/>
      <c r="AL217" s="470"/>
      <c r="AM217" s="469"/>
      <c r="AN217" s="470"/>
      <c r="AO217" s="470"/>
    </row>
    <row r="218" spans="1:41" ht="13">
      <c r="A218" s="697" t="s">
        <v>433</v>
      </c>
      <c r="B218" s="143" t="s">
        <v>8</v>
      </c>
      <c r="C218" s="143" t="s">
        <v>417</v>
      </c>
      <c r="D218" s="711">
        <f>'[3]DB Stopwatch'!L177</f>
        <v>0</v>
      </c>
      <c r="E218" s="711">
        <f>SQRT(3)</f>
        <v>1.7320508075688772</v>
      </c>
      <c r="F218" s="143">
        <v>50</v>
      </c>
      <c r="G218" s="712">
        <f>D218/E218</f>
        <v>0</v>
      </c>
      <c r="H218" s="143">
        <v>1</v>
      </c>
      <c r="I218" s="712">
        <f>G218*H218</f>
        <v>0</v>
      </c>
      <c r="J218" s="709">
        <f>I218^2</f>
        <v>0</v>
      </c>
      <c r="K218" s="713">
        <f>I218^4/F218</f>
        <v>0</v>
      </c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AD218" s="469"/>
      <c r="AE218" s="469"/>
      <c r="AF218" s="469"/>
      <c r="AG218" s="469"/>
      <c r="AH218" s="469"/>
      <c r="AI218" s="469"/>
      <c r="AJ218" s="469"/>
      <c r="AK218" s="469"/>
      <c r="AL218" s="469"/>
      <c r="AM218" s="469"/>
      <c r="AN218" s="469"/>
      <c r="AO218" s="469"/>
    </row>
    <row r="219" spans="1:41" ht="15">
      <c r="A219" s="714" t="s">
        <v>434</v>
      </c>
      <c r="B219" s="143" t="s">
        <v>8</v>
      </c>
      <c r="C219" s="706" t="s">
        <v>415</v>
      </c>
      <c r="D219" s="715">
        <f>'[3]DB Stopwatch'!M177</f>
        <v>2.8004666666666667E-2</v>
      </c>
      <c r="E219" s="716">
        <v>2</v>
      </c>
      <c r="F219" s="143">
        <v>50</v>
      </c>
      <c r="G219" s="708">
        <f>D219/E219</f>
        <v>1.4002333333333334E-2</v>
      </c>
      <c r="H219" s="143">
        <v>1</v>
      </c>
      <c r="I219" s="708">
        <f>G219*H219</f>
        <v>1.4002333333333334E-2</v>
      </c>
      <c r="J219" s="709">
        <f>I219^2</f>
        <v>1.9606533877777779E-4</v>
      </c>
      <c r="K219" s="713">
        <f>I219^4/F219</f>
        <v>7.6883234140089551E-10</v>
      </c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AD219" s="2016"/>
      <c r="AE219" s="2016"/>
      <c r="AF219" s="2016"/>
      <c r="AG219" s="2016"/>
      <c r="AH219" s="2016"/>
      <c r="AI219" s="2016"/>
      <c r="AJ219" s="2016"/>
      <c r="AK219" s="2016"/>
      <c r="AL219" s="2016"/>
      <c r="AM219" s="2016"/>
      <c r="AN219" s="2016"/>
      <c r="AO219" s="2016"/>
    </row>
    <row r="220" spans="1:41" ht="13">
      <c r="A220" s="714"/>
      <c r="B220" s="143"/>
      <c r="C220" s="143"/>
      <c r="D220" s="143"/>
      <c r="E220" s="711"/>
      <c r="F220" s="143"/>
      <c r="G220" s="712"/>
      <c r="H220" s="143"/>
      <c r="I220" s="712"/>
      <c r="J220" s="709"/>
      <c r="K220" s="713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AD220" s="469"/>
      <c r="AE220" s="469"/>
      <c r="AF220" s="469"/>
      <c r="AG220" s="469"/>
      <c r="AH220" s="469"/>
      <c r="AI220" s="469"/>
      <c r="AJ220" s="469"/>
      <c r="AK220" s="469"/>
      <c r="AL220" s="469"/>
      <c r="AM220" s="469"/>
      <c r="AN220" s="469"/>
      <c r="AO220" s="469"/>
    </row>
    <row r="221" spans="1:41" ht="14">
      <c r="A221" s="717" t="s">
        <v>166</v>
      </c>
      <c r="B221" s="327"/>
      <c r="C221" s="327"/>
      <c r="D221" s="327"/>
      <c r="E221" s="718"/>
      <c r="F221" s="327"/>
      <c r="G221" s="327"/>
      <c r="H221" s="327"/>
      <c r="I221" s="327"/>
      <c r="J221" s="719">
        <f>SUM(J217:J219)</f>
        <v>65.355308991264707</v>
      </c>
      <c r="K221" s="720">
        <f>SUM(K217:K219)</f>
        <v>2135.6453927810339</v>
      </c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AD221" s="470"/>
      <c r="AE221" s="469"/>
      <c r="AF221" s="470"/>
      <c r="AG221" s="470"/>
      <c r="AH221" s="470"/>
      <c r="AI221" s="469"/>
      <c r="AJ221" s="470"/>
      <c r="AK221" s="470"/>
      <c r="AL221" s="470"/>
      <c r="AM221" s="469"/>
      <c r="AN221" s="470"/>
      <c r="AO221" s="470"/>
    </row>
    <row r="222" spans="1:41" ht="17">
      <c r="A222" s="721" t="s">
        <v>168</v>
      </c>
      <c r="B222" s="722"/>
      <c r="C222" s="722"/>
      <c r="D222" s="722"/>
      <c r="E222" s="723"/>
      <c r="F222" s="722"/>
      <c r="G222" s="724" t="s">
        <v>420</v>
      </c>
      <c r="H222" s="722"/>
      <c r="I222" s="722"/>
      <c r="J222" s="725">
        <f>SQRT(J221)</f>
        <v>8.0842630456501539</v>
      </c>
      <c r="K222" s="726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AD222" s="469"/>
      <c r="AE222" s="469"/>
      <c r="AF222" s="469"/>
      <c r="AG222" s="469"/>
      <c r="AH222" s="469"/>
      <c r="AI222" s="469"/>
      <c r="AJ222" s="469"/>
      <c r="AK222" s="469"/>
      <c r="AL222" s="469"/>
      <c r="AM222" s="469"/>
      <c r="AN222" s="469"/>
      <c r="AO222" s="469"/>
    </row>
    <row r="223" spans="1:41" ht="17.5">
      <c r="A223" s="717" t="s">
        <v>169</v>
      </c>
      <c r="B223" s="727"/>
      <c r="C223" s="727"/>
      <c r="D223" s="727"/>
      <c r="E223" s="728"/>
      <c r="F223" s="727"/>
      <c r="G223" s="729" t="s">
        <v>421</v>
      </c>
      <c r="H223" s="727"/>
      <c r="I223" s="727"/>
      <c r="J223" s="730">
        <f>J222^4/(K221)</f>
        <v>2.0000120000172803</v>
      </c>
      <c r="K223" s="731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AD223" s="2016"/>
      <c r="AE223" s="2016"/>
      <c r="AF223" s="2016"/>
      <c r="AG223" s="2016"/>
      <c r="AH223" s="2016"/>
      <c r="AI223" s="2016"/>
      <c r="AJ223" s="2016"/>
      <c r="AK223" s="2016"/>
      <c r="AL223" s="2016"/>
      <c r="AM223" s="2016"/>
      <c r="AN223" s="2016"/>
      <c r="AO223" s="2016"/>
    </row>
    <row r="224" spans="1:41" ht="15.5">
      <c r="A224" s="721" t="s">
        <v>170</v>
      </c>
      <c r="B224" s="722"/>
      <c r="C224" s="722"/>
      <c r="D224" s="722"/>
      <c r="E224" s="723"/>
      <c r="F224" s="722"/>
      <c r="G224" s="732" t="s">
        <v>422</v>
      </c>
      <c r="H224" s="722"/>
      <c r="I224" s="722"/>
      <c r="J224" s="733">
        <f>1.95996+(2.37356/J223)+(2.818745/J223^2)+(2.546662/J223^3)+(1.761829/J223^4)+(0.245458/J223^5)+(1.000764/J223^6)</f>
        <v>4.303156070012939</v>
      </c>
      <c r="K224" s="726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AD224" s="457"/>
      <c r="AE224" s="457"/>
      <c r="AF224" s="457"/>
      <c r="AG224" s="457"/>
      <c r="AH224" s="457"/>
      <c r="AI224" s="457"/>
      <c r="AJ224" s="457"/>
      <c r="AK224" s="457"/>
      <c r="AL224" s="457"/>
      <c r="AM224" s="457"/>
      <c r="AN224" s="457"/>
      <c r="AO224" s="457"/>
    </row>
    <row r="225" spans="1:41" ht="15">
      <c r="A225" s="734" t="s">
        <v>171</v>
      </c>
      <c r="B225" s="735"/>
      <c r="C225" s="735"/>
      <c r="D225" s="735"/>
      <c r="E225" s="736"/>
      <c r="F225" s="735"/>
      <c r="G225" s="737" t="s">
        <v>423</v>
      </c>
      <c r="H225" s="735"/>
      <c r="I225" s="735"/>
      <c r="J225" s="738">
        <f>J222*J224</f>
        <v>34.787845596470746</v>
      </c>
      <c r="K225" s="739" t="s">
        <v>8</v>
      </c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AD225" s="2016"/>
      <c r="AE225" s="2016"/>
      <c r="AF225" s="2016"/>
      <c r="AG225" s="2016"/>
      <c r="AH225" s="2016"/>
      <c r="AI225" s="2016"/>
      <c r="AJ225" s="2016"/>
      <c r="AK225" s="2016"/>
      <c r="AL225" s="2016"/>
      <c r="AM225" s="2016"/>
      <c r="AN225" s="2016"/>
      <c r="AO225" s="2016"/>
    </row>
    <row r="226" spans="1:41">
      <c r="AD226" s="457"/>
      <c r="AE226" s="457"/>
      <c r="AF226" s="457"/>
      <c r="AG226" s="457"/>
      <c r="AH226" s="457"/>
      <c r="AI226" s="457"/>
      <c r="AJ226" s="457"/>
      <c r="AK226" s="457"/>
      <c r="AL226" s="457"/>
      <c r="AM226" s="457"/>
      <c r="AN226" s="457"/>
      <c r="AO226" s="457"/>
    </row>
  </sheetData>
  <mergeCells count="64">
    <mergeCell ref="AL207:AO207"/>
    <mergeCell ref="AL211:AO211"/>
    <mergeCell ref="AH187:AK187"/>
    <mergeCell ref="AH191:AK191"/>
    <mergeCell ref="AD211:AG211"/>
    <mergeCell ref="AL187:AO187"/>
    <mergeCell ref="AL191:AO191"/>
    <mergeCell ref="AL195:AO195"/>
    <mergeCell ref="AL199:AO199"/>
    <mergeCell ref="AL203:AO203"/>
    <mergeCell ref="AH195:AK195"/>
    <mergeCell ref="AH199:AK199"/>
    <mergeCell ref="AH203:AK203"/>
    <mergeCell ref="AD203:AG203"/>
    <mergeCell ref="AD207:AG207"/>
    <mergeCell ref="AH207:AK207"/>
    <mergeCell ref="AD225:AG225"/>
    <mergeCell ref="AH225:AK225"/>
    <mergeCell ref="AL225:AO225"/>
    <mergeCell ref="AH215:AK215"/>
    <mergeCell ref="AH219:AK219"/>
    <mergeCell ref="AL215:AO215"/>
    <mergeCell ref="AL219:AO219"/>
    <mergeCell ref="AD215:AG215"/>
    <mergeCell ref="AD219:AG219"/>
    <mergeCell ref="AD223:AG223"/>
    <mergeCell ref="AH223:AK223"/>
    <mergeCell ref="AL223:AO223"/>
    <mergeCell ref="AL175:AO175"/>
    <mergeCell ref="AD179:AG179"/>
    <mergeCell ref="AH179:AK179"/>
    <mergeCell ref="AL179:AO179"/>
    <mergeCell ref="AD183:AG183"/>
    <mergeCell ref="AH183:AK183"/>
    <mergeCell ref="AL183:AO183"/>
    <mergeCell ref="AH211:AK211"/>
    <mergeCell ref="X199:AA199"/>
    <mergeCell ref="AD153:AF153"/>
    <mergeCell ref="AG153:AG155"/>
    <mergeCell ref="AH153:AH155"/>
    <mergeCell ref="AE154:AF154"/>
    <mergeCell ref="AD175:AG175"/>
    <mergeCell ref="AH175:AK175"/>
    <mergeCell ref="AD187:AG187"/>
    <mergeCell ref="AD191:AG191"/>
    <mergeCell ref="AD195:AG195"/>
    <mergeCell ref="AD199:AG199"/>
    <mergeCell ref="AB153:AB155"/>
    <mergeCell ref="Y154:Z154"/>
    <mergeCell ref="X153:Z153"/>
    <mergeCell ref="X175:AA175"/>
    <mergeCell ref="X179:AA179"/>
    <mergeCell ref="X183:AA183"/>
    <mergeCell ref="X187:AA187"/>
    <mergeCell ref="X191:AA191"/>
    <mergeCell ref="X195:AA195"/>
    <mergeCell ref="A2:W2"/>
    <mergeCell ref="A3:K3"/>
    <mergeCell ref="M3:W3"/>
    <mergeCell ref="AA153:AA155"/>
    <mergeCell ref="A75:W75"/>
    <mergeCell ref="A151:W151"/>
    <mergeCell ref="A152:K152"/>
    <mergeCell ref="M152:W152"/>
  </mergeCells>
  <printOptions horizontalCentered="1" verticalCentered="1"/>
  <pageMargins left="0.25" right="0.19" top="0.19" bottom="0.27" header="0.15" footer="0.2"/>
  <pageSetup paperSize="9" scale="50" orientation="landscape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P54"/>
  <sheetViews>
    <sheetView zoomScale="87" zoomScaleNormal="87" workbookViewId="0">
      <selection activeCell="J19" sqref="J19"/>
    </sheetView>
  </sheetViews>
  <sheetFormatPr defaultColWidth="9.1796875" defaultRowHeight="10"/>
  <cols>
    <col min="1" max="1" width="9.1796875" style="471"/>
    <col min="2" max="2" width="9.26953125" style="471" bestFit="1" customWidth="1"/>
    <col min="3" max="4" width="9.1796875" style="471"/>
    <col min="5" max="6" width="9.26953125" style="471" bestFit="1" customWidth="1"/>
    <col min="7" max="8" width="9.1796875" style="471"/>
    <col min="9" max="9" width="9.26953125" style="471" bestFit="1" customWidth="1"/>
    <col min="10" max="10" width="11" style="471" bestFit="1" customWidth="1"/>
    <col min="11" max="16384" width="9.1796875" style="471"/>
  </cols>
  <sheetData>
    <row r="3" spans="2:30" ht="10.5">
      <c r="B3" s="472" t="s">
        <v>565</v>
      </c>
      <c r="C3" s="473" t="s">
        <v>435</v>
      </c>
    </row>
    <row r="4" spans="2:30" ht="10.5">
      <c r="B4" s="474" t="s">
        <v>566</v>
      </c>
      <c r="C4" s="475" t="s">
        <v>436</v>
      </c>
    </row>
    <row r="7" spans="2:30" ht="10.5">
      <c r="B7" s="476"/>
      <c r="C7" s="476"/>
      <c r="D7" s="476"/>
      <c r="E7" s="476"/>
    </row>
    <row r="8" spans="2:30" ht="10.5">
      <c r="B8" s="476"/>
      <c r="C8" s="476">
        <f>IF(ID!L26=C9,0.2,0.3)</f>
        <v>0.3</v>
      </c>
      <c r="D8" s="476"/>
      <c r="E8" s="476"/>
    </row>
    <row r="9" spans="2:30" ht="10.5">
      <c r="B9" s="476">
        <f>IF(ID!L26=C9,0.2,0.3)</f>
        <v>0.3</v>
      </c>
      <c r="C9" s="477" t="s">
        <v>220</v>
      </c>
      <c r="D9" s="478" t="s">
        <v>437</v>
      </c>
      <c r="E9" s="476"/>
      <c r="K9" s="479" t="s">
        <v>295</v>
      </c>
    </row>
    <row r="10" spans="2:30" ht="10.5">
      <c r="B10" s="476"/>
      <c r="C10" s="477" t="s">
        <v>222</v>
      </c>
      <c r="D10" s="478" t="s">
        <v>438</v>
      </c>
      <c r="E10" s="476"/>
      <c r="K10" s="476" t="s">
        <v>439</v>
      </c>
    </row>
    <row r="11" spans="2:30" ht="10.5">
      <c r="B11" s="480">
        <f>IF(ID!L27=C11,500,100)</f>
        <v>500</v>
      </c>
      <c r="C11" s="477" t="s">
        <v>225</v>
      </c>
      <c r="D11" s="478" t="s">
        <v>440</v>
      </c>
      <c r="E11" s="476"/>
    </row>
    <row r="12" spans="2:30" ht="10.5">
      <c r="B12" s="476"/>
      <c r="C12" s="477" t="s">
        <v>227</v>
      </c>
      <c r="D12" s="478" t="s">
        <v>441</v>
      </c>
      <c r="E12" s="476"/>
    </row>
    <row r="13" spans="2:30" ht="10.5">
      <c r="B13" s="476"/>
      <c r="C13" s="476"/>
      <c r="D13" s="476"/>
      <c r="E13" s="476"/>
    </row>
    <row r="15" spans="2:30" ht="10.5">
      <c r="B15" s="481" t="s">
        <v>256</v>
      </c>
      <c r="C15" s="482" t="s">
        <v>257</v>
      </c>
      <c r="D15" s="481" t="s">
        <v>258</v>
      </c>
      <c r="F15" s="476" t="s">
        <v>256</v>
      </c>
      <c r="G15" s="2022" t="s">
        <v>257</v>
      </c>
      <c r="H15" s="2020" t="s">
        <v>258</v>
      </c>
      <c r="I15" s="481" t="s">
        <v>256</v>
      </c>
      <c r="J15" s="476" t="s">
        <v>250</v>
      </c>
      <c r="S15" s="524" t="s">
        <v>33</v>
      </c>
      <c r="T15" s="524" t="s">
        <v>35</v>
      </c>
      <c r="U15" s="525" t="s">
        <v>37</v>
      </c>
      <c r="V15" s="2024"/>
      <c r="W15" s="527"/>
      <c r="X15" s="528"/>
      <c r="Y15" s="526"/>
      <c r="Z15" s="526"/>
      <c r="AA15" s="526"/>
      <c r="AB15" s="529"/>
      <c r="AC15" s="529"/>
      <c r="AD15" s="530"/>
    </row>
    <row r="16" spans="2:30" ht="10.5">
      <c r="B16" s="483" t="e">
        <f>LK!#REF!</f>
        <v>#REF!</v>
      </c>
      <c r="C16" s="484">
        <v>80</v>
      </c>
      <c r="D16" s="485">
        <v>35</v>
      </c>
      <c r="F16" s="476" t="s">
        <v>257</v>
      </c>
      <c r="G16" s="2023"/>
      <c r="H16" s="2021"/>
      <c r="I16" s="483">
        <v>120</v>
      </c>
      <c r="J16" s="476" t="s">
        <v>442</v>
      </c>
      <c r="S16" s="524"/>
      <c r="T16" s="524"/>
      <c r="U16" s="525"/>
      <c r="V16" s="2025"/>
      <c r="W16" s="527"/>
      <c r="X16" s="528"/>
      <c r="Y16" s="526"/>
      <c r="Z16" s="526"/>
      <c r="AA16" s="526"/>
      <c r="AB16" s="529"/>
      <c r="AC16" s="529"/>
      <c r="AD16" s="530"/>
    </row>
    <row r="17" spans="1:41" ht="10.5">
      <c r="B17" s="483" t="e">
        <f>LK!#REF!</f>
        <v>#REF!</v>
      </c>
      <c r="C17" s="484">
        <v>50</v>
      </c>
      <c r="D17" s="485">
        <v>15</v>
      </c>
      <c r="F17" s="476" t="s">
        <v>258</v>
      </c>
      <c r="G17" s="488">
        <v>80</v>
      </c>
      <c r="H17" s="489">
        <v>35</v>
      </c>
      <c r="I17" s="483">
        <v>80</v>
      </c>
      <c r="J17" s="476" t="s">
        <v>443</v>
      </c>
      <c r="S17" s="526">
        <v>118</v>
      </c>
      <c r="T17" s="526">
        <v>121</v>
      </c>
      <c r="U17" s="526">
        <v>120</v>
      </c>
      <c r="V17" s="2024"/>
      <c r="W17" s="527"/>
      <c r="X17" s="528"/>
      <c r="Y17" s="526"/>
      <c r="Z17" s="526"/>
      <c r="AA17" s="526"/>
      <c r="AB17" s="529"/>
      <c r="AC17" s="529"/>
      <c r="AD17" s="530"/>
    </row>
    <row r="18" spans="1:41" ht="10.5">
      <c r="B18" s="483" t="e">
        <f>LK!#REF!</f>
        <v>#REF!</v>
      </c>
      <c r="C18" s="484">
        <v>100</v>
      </c>
      <c r="D18" s="485">
        <v>60</v>
      </c>
      <c r="G18" s="488">
        <v>50</v>
      </c>
      <c r="H18" s="489">
        <v>15</v>
      </c>
      <c r="I18" s="483">
        <v>150</v>
      </c>
      <c r="J18" s="476" t="s">
        <v>444</v>
      </c>
      <c r="S18" s="526">
        <v>78</v>
      </c>
      <c r="T18" s="526">
        <v>80</v>
      </c>
      <c r="U18" s="526">
        <v>80</v>
      </c>
      <c r="V18" s="2025"/>
      <c r="W18" s="527"/>
      <c r="X18" s="528"/>
      <c r="Y18" s="526"/>
      <c r="Z18" s="526"/>
      <c r="AA18" s="526"/>
      <c r="AB18" s="529"/>
      <c r="AC18" s="529"/>
      <c r="AD18" s="530"/>
    </row>
    <row r="19" spans="1:41" ht="10.5">
      <c r="B19" s="483" t="e">
        <f>LK!#REF!</f>
        <v>#REF!</v>
      </c>
      <c r="C19" s="484">
        <v>65</v>
      </c>
      <c r="D19" s="485">
        <v>30</v>
      </c>
      <c r="G19" s="488">
        <v>100</v>
      </c>
      <c r="H19" s="489">
        <v>60</v>
      </c>
      <c r="I19" s="483">
        <v>100</v>
      </c>
      <c r="J19" s="476" t="s">
        <v>445</v>
      </c>
      <c r="S19" s="526">
        <v>152</v>
      </c>
      <c r="T19" s="526">
        <v>150</v>
      </c>
      <c r="U19" s="526">
        <v>150</v>
      </c>
      <c r="V19" s="2024"/>
      <c r="W19" s="527"/>
      <c r="X19" s="528"/>
      <c r="Y19" s="526"/>
      <c r="Z19" s="526"/>
      <c r="AA19" s="526"/>
      <c r="AB19" s="529"/>
      <c r="AC19" s="529"/>
      <c r="AD19" s="530"/>
    </row>
    <row r="20" spans="1:41" ht="10.5">
      <c r="B20" s="483" t="e">
        <f>LK!#REF!</f>
        <v>#REF!</v>
      </c>
      <c r="C20" s="484">
        <v>120</v>
      </c>
      <c r="D20" s="485">
        <v>80</v>
      </c>
      <c r="G20" s="488">
        <v>65</v>
      </c>
      <c r="H20" s="489">
        <v>30</v>
      </c>
      <c r="I20" s="483">
        <v>200</v>
      </c>
      <c r="J20" s="476" t="s">
        <v>307</v>
      </c>
      <c r="S20" s="526">
        <v>103</v>
      </c>
      <c r="T20" s="526">
        <v>101</v>
      </c>
      <c r="U20" s="526">
        <v>100</v>
      </c>
      <c r="V20" s="2025"/>
      <c r="W20" s="527"/>
      <c r="X20" s="531"/>
      <c r="Y20" s="526"/>
      <c r="Z20" s="526"/>
      <c r="AA20" s="526"/>
      <c r="AB20" s="529"/>
      <c r="AC20" s="529"/>
      <c r="AD20" s="530"/>
    </row>
    <row r="21" spans="1:41" ht="10.5">
      <c r="B21" s="483" t="e">
        <f>LK!#REF!</f>
        <v>#REF!</v>
      </c>
      <c r="C21" s="484">
        <v>80</v>
      </c>
      <c r="D21" s="485">
        <v>50</v>
      </c>
      <c r="G21" s="488">
        <v>120</v>
      </c>
      <c r="H21" s="489">
        <v>80</v>
      </c>
      <c r="I21" s="483">
        <v>150</v>
      </c>
      <c r="J21" s="486" t="s">
        <v>446</v>
      </c>
      <c r="S21" s="526">
        <v>197</v>
      </c>
      <c r="T21" s="526">
        <v>200</v>
      </c>
      <c r="U21" s="526">
        <v>200</v>
      </c>
    </row>
    <row r="22" spans="1:41" ht="10.5">
      <c r="B22" s="483" t="e">
        <f>LK!#REF!</f>
        <v>#REF!</v>
      </c>
      <c r="C22" s="484">
        <v>150</v>
      </c>
      <c r="D22" s="485">
        <v>100</v>
      </c>
      <c r="G22" s="488">
        <v>80</v>
      </c>
      <c r="H22" s="489">
        <v>50</v>
      </c>
      <c r="I22" s="483">
        <v>60</v>
      </c>
      <c r="J22" s="486" t="s">
        <v>447</v>
      </c>
      <c r="S22" s="526">
        <v>149</v>
      </c>
      <c r="T22" s="526">
        <v>152</v>
      </c>
      <c r="U22" s="526">
        <v>153</v>
      </c>
    </row>
    <row r="23" spans="1:41" ht="10.5">
      <c r="B23" s="483" t="e">
        <f>LK!#REF!</f>
        <v>#REF!</v>
      </c>
      <c r="C23" s="484">
        <v>100</v>
      </c>
      <c r="D23" s="485">
        <v>70</v>
      </c>
      <c r="G23" s="488">
        <v>150</v>
      </c>
      <c r="H23" s="489">
        <v>100</v>
      </c>
      <c r="I23" s="483">
        <v>30</v>
      </c>
      <c r="S23" s="526">
        <v>60</v>
      </c>
      <c r="T23" s="526">
        <v>60</v>
      </c>
      <c r="U23" s="526">
        <v>60</v>
      </c>
    </row>
    <row r="24" spans="1:41" ht="10.5">
      <c r="B24" s="483" t="s">
        <v>10</v>
      </c>
      <c r="C24" s="485" t="s">
        <v>10</v>
      </c>
      <c r="D24" s="487" t="s">
        <v>10</v>
      </c>
      <c r="G24" s="488">
        <v>100</v>
      </c>
      <c r="H24" s="489">
        <v>70</v>
      </c>
      <c r="I24" s="483">
        <v>80</v>
      </c>
      <c r="S24" s="526">
        <v>28</v>
      </c>
      <c r="T24" s="526">
        <v>30</v>
      </c>
      <c r="U24" s="526">
        <v>30</v>
      </c>
    </row>
    <row r="25" spans="1:41" ht="13">
      <c r="B25" s="483" t="s">
        <v>10</v>
      </c>
      <c r="C25" s="485" t="s">
        <v>10</v>
      </c>
      <c r="D25" s="487" t="s">
        <v>10</v>
      </c>
      <c r="I25" s="483">
        <v>50</v>
      </c>
      <c r="J25" s="532" t="s">
        <v>182</v>
      </c>
      <c r="S25" s="526">
        <v>79</v>
      </c>
      <c r="T25" s="526">
        <v>80</v>
      </c>
      <c r="U25" s="526">
        <v>80</v>
      </c>
    </row>
    <row r="26" spans="1:41" ht="13">
      <c r="B26" s="483"/>
      <c r="C26" s="485" t="s">
        <v>10</v>
      </c>
      <c r="D26" s="487" t="s">
        <v>10</v>
      </c>
      <c r="I26" s="483">
        <v>100</v>
      </c>
      <c r="J26" s="533" t="s">
        <v>184</v>
      </c>
      <c r="S26" s="526">
        <v>53</v>
      </c>
      <c r="T26" s="526">
        <v>50</v>
      </c>
      <c r="U26" s="526">
        <v>50</v>
      </c>
    </row>
    <row r="27" spans="1:41" ht="13">
      <c r="B27" s="483"/>
      <c r="C27" s="485" t="s">
        <v>10</v>
      </c>
      <c r="D27" s="487" t="s">
        <v>10</v>
      </c>
      <c r="I27" s="483">
        <v>65</v>
      </c>
      <c r="J27" s="534" t="str">
        <f>""</f>
        <v/>
      </c>
      <c r="S27" s="526">
        <v>106</v>
      </c>
      <c r="T27" s="526">
        <v>100</v>
      </c>
      <c r="U27" s="526">
        <v>100</v>
      </c>
      <c r="W27" s="555"/>
      <c r="X27" s="2026"/>
      <c r="Y27" s="556"/>
      <c r="Z27" s="557"/>
      <c r="AA27" s="557"/>
      <c r="AB27" s="557"/>
      <c r="AC27" s="557"/>
      <c r="AD27" s="557"/>
      <c r="AE27" s="557"/>
      <c r="AF27" s="558"/>
      <c r="AG27" s="559"/>
      <c r="AH27" s="560"/>
    </row>
    <row r="28" spans="1:41" ht="11.5">
      <c r="B28" s="483"/>
      <c r="C28" s="487" t="s">
        <v>10</v>
      </c>
      <c r="D28" s="487" t="s">
        <v>10</v>
      </c>
      <c r="I28" s="483">
        <v>255</v>
      </c>
      <c r="S28" s="526">
        <v>66</v>
      </c>
      <c r="T28" s="526">
        <v>65</v>
      </c>
      <c r="U28" s="526">
        <v>65</v>
      </c>
      <c r="W28" s="561"/>
      <c r="X28" s="2027"/>
      <c r="Y28" s="556"/>
      <c r="Z28" s="557"/>
      <c r="AA28" s="557"/>
      <c r="AB28" s="557"/>
      <c r="AC28" s="557"/>
      <c r="AD28" s="557"/>
      <c r="AE28" s="557"/>
      <c r="AF28" s="558"/>
      <c r="AG28" s="559"/>
      <c r="AH28" s="560"/>
    </row>
    <row r="29" spans="1:41" ht="10.5">
      <c r="B29" s="483"/>
      <c r="C29" s="487" t="s">
        <v>10</v>
      </c>
      <c r="D29" s="487" t="s">
        <v>10</v>
      </c>
      <c r="I29" s="483">
        <v>195</v>
      </c>
      <c r="S29" s="526">
        <v>255</v>
      </c>
      <c r="T29" s="526">
        <v>255</v>
      </c>
      <c r="U29" s="526">
        <v>255</v>
      </c>
    </row>
    <row r="30" spans="1:41" ht="10.5">
      <c r="S30" s="526">
        <v>191</v>
      </c>
      <c r="T30" s="526">
        <v>197</v>
      </c>
      <c r="U30" s="526">
        <v>195</v>
      </c>
      <c r="W30" s="562"/>
      <c r="X30" s="563"/>
      <c r="Y30" s="536"/>
      <c r="Z30" s="537"/>
      <c r="AA30" s="564"/>
      <c r="AB30" s="565"/>
      <c r="AC30" s="539"/>
      <c r="AD30" s="540"/>
      <c r="AE30" s="541"/>
      <c r="AF30" s="549"/>
      <c r="AG30" s="2028"/>
      <c r="AH30" s="2028"/>
      <c r="AI30" s="566"/>
    </row>
    <row r="31" spans="1:41" s="476" customFormat="1" ht="14.25" customHeight="1">
      <c r="A31" s="2029" t="s">
        <v>448</v>
      </c>
      <c r="B31" s="2019"/>
      <c r="C31" s="535"/>
      <c r="D31" s="536"/>
      <c r="E31" s="537"/>
      <c r="F31" s="468"/>
      <c r="G31" s="538"/>
      <c r="H31" s="539"/>
      <c r="I31" s="540"/>
      <c r="J31" s="541"/>
      <c r="K31" s="542"/>
      <c r="L31" s="2018"/>
      <c r="M31" s="2018"/>
      <c r="N31" s="543"/>
      <c r="Q31" s="544"/>
      <c r="R31" s="545"/>
      <c r="S31" s="546"/>
      <c r="T31" s="544"/>
      <c r="W31" s="567"/>
      <c r="X31" s="568"/>
      <c r="Y31" s="536"/>
      <c r="Z31" s="537"/>
      <c r="AA31" s="564"/>
      <c r="AB31" s="565"/>
      <c r="AC31" s="539"/>
      <c r="AD31" s="540"/>
      <c r="AE31" s="541"/>
      <c r="AF31" s="541"/>
      <c r="AG31" s="2028"/>
      <c r="AH31" s="2028"/>
      <c r="AI31" s="569"/>
      <c r="AL31" s="547"/>
      <c r="AM31" s="548"/>
      <c r="AN31" s="548"/>
      <c r="AO31" s="547"/>
    </row>
    <row r="32" spans="1:41" s="476" customFormat="1" ht="14.25" customHeight="1">
      <c r="A32" s="2029"/>
      <c r="B32" s="2019"/>
      <c r="C32" s="535"/>
      <c r="D32" s="536"/>
      <c r="E32" s="537"/>
      <c r="F32" s="468"/>
      <c r="G32" s="538"/>
      <c r="H32" s="539"/>
      <c r="I32" s="540"/>
      <c r="J32" s="541"/>
      <c r="K32" s="542"/>
      <c r="L32" s="2018"/>
      <c r="M32" s="2018"/>
      <c r="N32" s="543"/>
      <c r="Q32" s="544"/>
      <c r="R32" s="545"/>
      <c r="S32" s="546"/>
      <c r="T32" s="544"/>
      <c r="AL32" s="547"/>
      <c r="AM32" s="548"/>
      <c r="AN32" s="548"/>
      <c r="AO32" s="547"/>
    </row>
    <row r="33" spans="1:42" s="476" customFormat="1" ht="14.25" customHeight="1">
      <c r="A33" s="2029"/>
      <c r="B33" s="2019"/>
      <c r="C33" s="535"/>
      <c r="D33" s="536"/>
      <c r="E33" s="537"/>
      <c r="F33" s="468"/>
      <c r="G33" s="538"/>
      <c r="H33" s="539"/>
      <c r="I33" s="540"/>
      <c r="J33" s="541"/>
      <c r="K33" s="549"/>
      <c r="L33" s="2018"/>
      <c r="M33" s="2018"/>
      <c r="Q33" s="544"/>
      <c r="R33" s="545"/>
      <c r="S33" s="546"/>
      <c r="T33" s="544"/>
      <c r="AI33" s="550"/>
      <c r="AO33" s="548"/>
      <c r="AP33" s="548"/>
    </row>
    <row r="34" spans="1:42" s="476" customFormat="1" ht="14.25" customHeight="1">
      <c r="A34" s="2029"/>
      <c r="B34" s="2019"/>
      <c r="C34" s="535"/>
      <c r="D34" s="536"/>
      <c r="E34" s="537"/>
      <c r="F34" s="468"/>
      <c r="G34" s="551"/>
      <c r="H34" s="539"/>
      <c r="I34" s="540"/>
      <c r="J34" s="541"/>
      <c r="K34" s="549"/>
      <c r="L34" s="2018"/>
      <c r="M34" s="2018"/>
      <c r="Q34" s="544"/>
      <c r="R34" s="545"/>
      <c r="S34" s="546"/>
      <c r="T34" s="544"/>
      <c r="AG34" s="549"/>
      <c r="AI34" s="543"/>
      <c r="AL34" s="552"/>
      <c r="AM34" s="553"/>
      <c r="AP34" s="548"/>
    </row>
    <row r="35" spans="1:42" ht="10.5">
      <c r="B35" s="2019"/>
      <c r="C35" s="535"/>
      <c r="D35" s="536"/>
      <c r="E35" s="537"/>
      <c r="F35" s="468"/>
      <c r="G35" s="538"/>
      <c r="H35" s="539"/>
      <c r="I35" s="540"/>
      <c r="J35" s="541"/>
      <c r="K35" s="542"/>
      <c r="L35" s="2018"/>
      <c r="M35" s="2018"/>
    </row>
    <row r="36" spans="1:42" ht="10.5">
      <c r="B36" s="2019"/>
      <c r="C36" s="535"/>
      <c r="D36" s="536"/>
      <c r="E36" s="537"/>
      <c r="F36" s="468"/>
      <c r="G36" s="551"/>
      <c r="H36" s="539"/>
      <c r="I36" s="540"/>
      <c r="J36" s="541"/>
      <c r="K36" s="542"/>
      <c r="L36" s="2018"/>
      <c r="M36" s="2018"/>
    </row>
    <row r="37" spans="1:42">
      <c r="B37" s="471" t="s">
        <v>449</v>
      </c>
    </row>
    <row r="38" spans="1:42">
      <c r="B38" s="471" t="s">
        <v>450</v>
      </c>
    </row>
    <row r="39" spans="1:42">
      <c r="B39" s="471" t="s">
        <v>451</v>
      </c>
    </row>
    <row r="40" spans="1:42">
      <c r="B40" s="471" t="s">
        <v>452</v>
      </c>
    </row>
    <row r="41" spans="1:42">
      <c r="B41" s="471" t="s">
        <v>453</v>
      </c>
    </row>
    <row r="42" spans="1:42">
      <c r="B42" s="471" t="s">
        <v>454</v>
      </c>
    </row>
    <row r="43" spans="1:42">
      <c r="B43" s="471" t="s">
        <v>455</v>
      </c>
    </row>
    <row r="44" spans="1:42">
      <c r="B44" s="471" t="s">
        <v>456</v>
      </c>
    </row>
    <row r="45" spans="1:42" ht="10.5">
      <c r="B45" s="471" t="s">
        <v>457</v>
      </c>
      <c r="H45" s="1621">
        <v>0.2</v>
      </c>
      <c r="I45" s="1622" t="s">
        <v>437</v>
      </c>
      <c r="J45" s="1621"/>
      <c r="K45" s="1621"/>
    </row>
    <row r="46" spans="1:42" ht="10.5">
      <c r="B46" s="471" t="s">
        <v>458</v>
      </c>
      <c r="H46" s="1621">
        <v>0.3</v>
      </c>
      <c r="I46" s="1622" t="s">
        <v>438</v>
      </c>
      <c r="J46" s="1621"/>
      <c r="K46" s="1621"/>
    </row>
    <row r="47" spans="1:42" ht="10.5">
      <c r="B47" s="471" t="s">
        <v>322</v>
      </c>
      <c r="H47" s="1621">
        <v>500</v>
      </c>
      <c r="I47" s="1622" t="s">
        <v>440</v>
      </c>
      <c r="J47" s="1621"/>
      <c r="K47" s="1621"/>
    </row>
    <row r="48" spans="1:42" ht="10.5">
      <c r="B48" s="471" t="s">
        <v>459</v>
      </c>
      <c r="H48" s="1621">
        <v>100</v>
      </c>
      <c r="I48" s="1622" t="s">
        <v>441</v>
      </c>
      <c r="J48" s="1621"/>
      <c r="K48" s="1621"/>
    </row>
    <row r="49" spans="2:11">
      <c r="B49" s="471" t="s">
        <v>460</v>
      </c>
      <c r="H49" s="1621"/>
      <c r="I49" s="1621" t="s">
        <v>555</v>
      </c>
      <c r="J49" s="1621">
        <f>IF(ID!C26=I45,H45,H46)</f>
        <v>0.3</v>
      </c>
      <c r="K49" s="1621">
        <f>IF(ID!C27=I47,H47,H48)</f>
        <v>500</v>
      </c>
    </row>
    <row r="50" spans="2:11">
      <c r="B50" s="471" t="s">
        <v>461</v>
      </c>
    </row>
    <row r="51" spans="2:11">
      <c r="B51" s="471" t="s">
        <v>462</v>
      </c>
    </row>
    <row r="52" spans="2:11">
      <c r="B52" s="471" t="s">
        <v>463</v>
      </c>
    </row>
    <row r="53" spans="2:11">
      <c r="B53" s="471" t="s">
        <v>464</v>
      </c>
    </row>
    <row r="54" spans="2:11">
      <c r="B54" s="471" t="s">
        <v>465</v>
      </c>
    </row>
  </sheetData>
  <mergeCells count="18">
    <mergeCell ref="AG30:AH30"/>
    <mergeCell ref="AG31:AH31"/>
    <mergeCell ref="A31:A34"/>
    <mergeCell ref="B33:B34"/>
    <mergeCell ref="L31:M31"/>
    <mergeCell ref="L32:M32"/>
    <mergeCell ref="L33:M33"/>
    <mergeCell ref="L34:M34"/>
    <mergeCell ref="V17:V18"/>
    <mergeCell ref="V19:V20"/>
    <mergeCell ref="B31:B32"/>
    <mergeCell ref="V15:V16"/>
    <mergeCell ref="X27:X28"/>
    <mergeCell ref="L36:M36"/>
    <mergeCell ref="L35:M35"/>
    <mergeCell ref="B35:B36"/>
    <mergeCell ref="H15:H16"/>
    <mergeCell ref="G15:G16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00B0F0"/>
  </sheetPr>
  <dimension ref="A1:P261"/>
  <sheetViews>
    <sheetView view="pageBreakPreview" topLeftCell="A244" zoomScaleNormal="100" zoomScaleSheetLayoutView="100" workbookViewId="0">
      <selection activeCell="A257" sqref="A257"/>
    </sheetView>
  </sheetViews>
  <sheetFormatPr defaultColWidth="9" defaultRowHeight="12.5"/>
  <cols>
    <col min="1" max="16384" width="9" style="168"/>
  </cols>
  <sheetData>
    <row r="1" spans="1:16" ht="18" thickBot="1">
      <c r="A1" s="2099" t="s">
        <v>72</v>
      </c>
      <c r="B1" s="2100"/>
      <c r="C1" s="2100"/>
      <c r="D1" s="2100"/>
      <c r="E1" s="2100"/>
      <c r="F1" s="2100"/>
      <c r="G1" s="2101"/>
      <c r="H1" s="2100"/>
      <c r="I1" s="2100"/>
      <c r="J1" s="2100"/>
      <c r="K1" s="2100"/>
      <c r="L1" s="2100"/>
      <c r="M1" s="2101"/>
      <c r="N1" s="2100"/>
      <c r="O1" s="2102"/>
      <c r="P1" s="241"/>
    </row>
    <row r="2" spans="1:16" ht="13">
      <c r="A2" s="2093">
        <v>1</v>
      </c>
      <c r="B2" s="2096" t="s">
        <v>73</v>
      </c>
      <c r="C2" s="2096"/>
      <c r="D2" s="2096"/>
      <c r="E2" s="2096"/>
      <c r="F2" s="2096"/>
      <c r="G2" s="297"/>
      <c r="H2" s="2096" t="str">
        <f>B2</f>
        <v>KOREKSI KIMO THERMOHYGROMETER 15062873</v>
      </c>
      <c r="I2" s="2096"/>
      <c r="J2" s="2096"/>
      <c r="K2" s="2096"/>
      <c r="L2" s="2096"/>
      <c r="M2" s="297"/>
      <c r="N2" s="2097" t="s">
        <v>81</v>
      </c>
      <c r="O2" s="2097"/>
      <c r="P2" s="241"/>
    </row>
    <row r="3" spans="1:16" ht="13">
      <c r="A3" s="2094"/>
      <c r="B3" s="2098" t="s">
        <v>74</v>
      </c>
      <c r="C3" s="2098"/>
      <c r="D3" s="2098" t="s">
        <v>7</v>
      </c>
      <c r="E3" s="2098"/>
      <c r="F3" s="2098" t="s">
        <v>2</v>
      </c>
      <c r="G3" s="169"/>
      <c r="H3" s="2098" t="s">
        <v>75</v>
      </c>
      <c r="I3" s="2098"/>
      <c r="J3" s="2098" t="s">
        <v>7</v>
      </c>
      <c r="K3" s="2098"/>
      <c r="L3" s="2098" t="s">
        <v>2</v>
      </c>
      <c r="M3" s="169"/>
      <c r="N3" s="317" t="s">
        <v>74</v>
      </c>
      <c r="O3" s="320">
        <v>0.5</v>
      </c>
      <c r="P3" s="241"/>
    </row>
    <row r="4" spans="1:16" ht="14.5">
      <c r="A4" s="2094"/>
      <c r="B4" s="2091" t="s">
        <v>77</v>
      </c>
      <c r="C4" s="2091"/>
      <c r="D4" s="319">
        <v>2017</v>
      </c>
      <c r="E4" s="319">
        <v>2015</v>
      </c>
      <c r="F4" s="2098"/>
      <c r="G4" s="169"/>
      <c r="H4" s="2092" t="s">
        <v>78</v>
      </c>
      <c r="I4" s="2091"/>
      <c r="J4" s="318">
        <f>D4</f>
        <v>2017</v>
      </c>
      <c r="K4" s="318">
        <f>E4</f>
        <v>2015</v>
      </c>
      <c r="L4" s="2098"/>
      <c r="M4" s="169"/>
      <c r="N4" s="317" t="s">
        <v>78</v>
      </c>
      <c r="O4" s="320">
        <v>3.3</v>
      </c>
      <c r="P4" s="241"/>
    </row>
    <row r="5" spans="1:16" ht="13">
      <c r="A5" s="2094"/>
      <c r="B5" s="315"/>
      <c r="C5" s="284">
        <v>15</v>
      </c>
      <c r="D5" s="284">
        <v>0.3</v>
      </c>
      <c r="E5" s="284">
        <v>0</v>
      </c>
      <c r="F5" s="313">
        <f t="shared" ref="F5:F11" si="0">0.5*(MAX(D5:E5)-MIN(D5:E5))</f>
        <v>0.15</v>
      </c>
      <c r="G5" s="169"/>
      <c r="H5" s="315"/>
      <c r="I5" s="284">
        <v>35</v>
      </c>
      <c r="J5" s="284">
        <v>-9.4</v>
      </c>
      <c r="K5" s="284">
        <v>0</v>
      </c>
      <c r="L5" s="313">
        <f t="shared" ref="L5:L11" si="1">0.5*(MAX(J5:K5)-MIN(J5:K5))</f>
        <v>4.7</v>
      </c>
      <c r="M5" s="169"/>
      <c r="N5" s="169"/>
      <c r="O5" s="277"/>
      <c r="P5" s="241"/>
    </row>
    <row r="6" spans="1:16" ht="13">
      <c r="A6" s="2094"/>
      <c r="B6" s="315"/>
      <c r="C6" s="284">
        <v>20</v>
      </c>
      <c r="D6" s="284">
        <v>0.2</v>
      </c>
      <c r="E6" s="284">
        <v>0</v>
      </c>
      <c r="F6" s="313">
        <f t="shared" si="0"/>
        <v>0.1</v>
      </c>
      <c r="G6" s="169"/>
      <c r="H6" s="315"/>
      <c r="I6" s="284">
        <v>40</v>
      </c>
      <c r="J6" s="284">
        <v>-8.6</v>
      </c>
      <c r="K6" s="284">
        <v>0</v>
      </c>
      <c r="L6" s="313">
        <f t="shared" si="1"/>
        <v>4.3</v>
      </c>
      <c r="M6" s="169"/>
      <c r="N6" s="169"/>
      <c r="O6" s="277"/>
      <c r="P6" s="241"/>
    </row>
    <row r="7" spans="1:16" ht="13">
      <c r="A7" s="2094"/>
      <c r="B7" s="315"/>
      <c r="C7" s="284">
        <v>25</v>
      </c>
      <c r="D7" s="284">
        <v>0.1</v>
      </c>
      <c r="E7" s="284">
        <v>0</v>
      </c>
      <c r="F7" s="313">
        <f t="shared" si="0"/>
        <v>0.05</v>
      </c>
      <c r="G7" s="169"/>
      <c r="H7" s="315"/>
      <c r="I7" s="284">
        <v>50</v>
      </c>
      <c r="J7" s="284">
        <v>-7.2</v>
      </c>
      <c r="K7" s="284">
        <v>0</v>
      </c>
      <c r="L7" s="313">
        <f t="shared" si="1"/>
        <v>3.6</v>
      </c>
      <c r="M7" s="169"/>
      <c r="N7" s="169"/>
      <c r="O7" s="277"/>
      <c r="P7" s="241"/>
    </row>
    <row r="8" spans="1:16" ht="13">
      <c r="A8" s="2094"/>
      <c r="B8" s="315"/>
      <c r="C8" s="280">
        <v>30</v>
      </c>
      <c r="D8" s="279">
        <v>-0.2</v>
      </c>
      <c r="E8" s="314">
        <v>0</v>
      </c>
      <c r="F8" s="313">
        <f t="shared" si="0"/>
        <v>0.1</v>
      </c>
      <c r="G8" s="169"/>
      <c r="H8" s="315"/>
      <c r="I8" s="280">
        <v>60</v>
      </c>
      <c r="J8" s="279">
        <v>-5.2</v>
      </c>
      <c r="K8" s="314">
        <v>0</v>
      </c>
      <c r="L8" s="313">
        <f t="shared" si="1"/>
        <v>2.6</v>
      </c>
      <c r="M8" s="169"/>
      <c r="N8" s="169"/>
      <c r="O8" s="277"/>
      <c r="P8" s="241"/>
    </row>
    <row r="9" spans="1:16" ht="13">
      <c r="A9" s="2094"/>
      <c r="B9" s="315"/>
      <c r="C9" s="280">
        <v>35</v>
      </c>
      <c r="D9" s="279">
        <v>-0.5</v>
      </c>
      <c r="E9" s="314">
        <v>0</v>
      </c>
      <c r="F9" s="313">
        <f t="shared" si="0"/>
        <v>0.25</v>
      </c>
      <c r="G9" s="169"/>
      <c r="H9" s="315"/>
      <c r="I9" s="280">
        <v>70</v>
      </c>
      <c r="J9" s="279">
        <v>-2.6</v>
      </c>
      <c r="K9" s="314">
        <v>0</v>
      </c>
      <c r="L9" s="313">
        <f t="shared" si="1"/>
        <v>1.3</v>
      </c>
      <c r="M9" s="169"/>
      <c r="N9" s="169"/>
      <c r="O9" s="277"/>
      <c r="P9" s="241"/>
    </row>
    <row r="10" spans="1:16" ht="13">
      <c r="A10" s="2094"/>
      <c r="B10" s="315"/>
      <c r="C10" s="280">
        <v>37</v>
      </c>
      <c r="D10" s="279">
        <v>-0.6</v>
      </c>
      <c r="E10" s="314">
        <v>0</v>
      </c>
      <c r="F10" s="313">
        <f t="shared" si="0"/>
        <v>0.3</v>
      </c>
      <c r="G10" s="169"/>
      <c r="H10" s="315"/>
      <c r="I10" s="280">
        <v>80</v>
      </c>
      <c r="J10" s="279">
        <v>0.7</v>
      </c>
      <c r="K10" s="314">
        <v>0</v>
      </c>
      <c r="L10" s="313">
        <f t="shared" si="1"/>
        <v>0.35</v>
      </c>
      <c r="M10" s="169"/>
      <c r="N10" s="169"/>
      <c r="O10" s="277"/>
      <c r="P10" s="241"/>
    </row>
    <row r="11" spans="1:16" ht="13.5" thickBot="1">
      <c r="A11" s="2095"/>
      <c r="B11" s="315"/>
      <c r="C11" s="280">
        <v>40</v>
      </c>
      <c r="D11" s="279">
        <v>-0.8</v>
      </c>
      <c r="E11" s="314">
        <v>0</v>
      </c>
      <c r="F11" s="313">
        <f t="shared" si="0"/>
        <v>0.4</v>
      </c>
      <c r="G11" s="271"/>
      <c r="H11" s="315"/>
      <c r="I11" s="280">
        <v>90</v>
      </c>
      <c r="J11" s="279">
        <v>4.5</v>
      </c>
      <c r="K11" s="314">
        <v>0</v>
      </c>
      <c r="L11" s="313">
        <f t="shared" si="1"/>
        <v>2.25</v>
      </c>
      <c r="M11" s="271"/>
      <c r="N11" s="271"/>
      <c r="O11" s="270"/>
      <c r="P11" s="241"/>
    </row>
    <row r="12" spans="1:16" ht="13.5" thickBot="1">
      <c r="A12" s="282"/>
      <c r="B12" s="282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277"/>
      <c r="P12" s="241"/>
    </row>
    <row r="13" spans="1:16" ht="13">
      <c r="A13" s="2093">
        <v>2</v>
      </c>
      <c r="B13" s="2096" t="s">
        <v>80</v>
      </c>
      <c r="C13" s="2096"/>
      <c r="D13" s="2096"/>
      <c r="E13" s="2096"/>
      <c r="F13" s="2096"/>
      <c r="G13" s="297"/>
      <c r="H13" s="2096" t="str">
        <f>B13</f>
        <v>KOREKSI KIMO THERMOHYGROMETER 15062874</v>
      </c>
      <c r="I13" s="2096"/>
      <c r="J13" s="2096"/>
      <c r="K13" s="2096"/>
      <c r="L13" s="2096"/>
      <c r="M13" s="297"/>
      <c r="N13" s="2097" t="s">
        <v>81</v>
      </c>
      <c r="O13" s="2097"/>
      <c r="P13" s="241"/>
    </row>
    <row r="14" spans="1:16" ht="13">
      <c r="A14" s="2094"/>
      <c r="B14" s="2098" t="s">
        <v>74</v>
      </c>
      <c r="C14" s="2098"/>
      <c r="D14" s="2098" t="s">
        <v>7</v>
      </c>
      <c r="E14" s="2098"/>
      <c r="F14" s="2098" t="s">
        <v>2</v>
      </c>
      <c r="G14" s="169"/>
      <c r="H14" s="2098" t="s">
        <v>75</v>
      </c>
      <c r="I14" s="2098"/>
      <c r="J14" s="2098" t="s">
        <v>7</v>
      </c>
      <c r="K14" s="2098"/>
      <c r="L14" s="2098" t="s">
        <v>2</v>
      </c>
      <c r="M14" s="169"/>
      <c r="N14" s="317" t="s">
        <v>74</v>
      </c>
      <c r="O14" s="316">
        <v>0.3</v>
      </c>
      <c r="P14" s="241"/>
    </row>
    <row r="15" spans="1:16" ht="14.5">
      <c r="A15" s="2094"/>
      <c r="B15" s="2091" t="s">
        <v>77</v>
      </c>
      <c r="C15" s="2091"/>
      <c r="D15" s="319">
        <v>2018</v>
      </c>
      <c r="E15" s="319">
        <v>2017</v>
      </c>
      <c r="F15" s="2098"/>
      <c r="G15" s="169"/>
      <c r="H15" s="2092" t="s">
        <v>78</v>
      </c>
      <c r="I15" s="2091"/>
      <c r="J15" s="318">
        <f>D15</f>
        <v>2018</v>
      </c>
      <c r="K15" s="318">
        <f>E15</f>
        <v>2017</v>
      </c>
      <c r="L15" s="2098"/>
      <c r="M15" s="169"/>
      <c r="N15" s="317" t="s">
        <v>78</v>
      </c>
      <c r="O15" s="316">
        <v>3.3</v>
      </c>
      <c r="P15" s="241"/>
    </row>
    <row r="16" spans="1:16" ht="13">
      <c r="A16" s="2094"/>
      <c r="B16" s="315"/>
      <c r="C16" s="284">
        <v>15</v>
      </c>
      <c r="D16" s="284">
        <v>0</v>
      </c>
      <c r="E16" s="284">
        <v>0.5</v>
      </c>
      <c r="F16" s="313">
        <f t="shared" ref="F16:F22" si="2">0.5*(MAX(D16:E16)-MIN(D16:E16))</f>
        <v>0.25</v>
      </c>
      <c r="G16" s="169"/>
      <c r="H16" s="315"/>
      <c r="I16" s="284">
        <v>35</v>
      </c>
      <c r="J16" s="284">
        <v>-1.6</v>
      </c>
      <c r="K16" s="284">
        <v>-0.9</v>
      </c>
      <c r="L16" s="313">
        <f t="shared" ref="L16:L22" si="3">0.5*(MAX(J16:K16)-MIN(J16:K16))</f>
        <v>0.35000000000000003</v>
      </c>
      <c r="M16" s="169"/>
      <c r="N16" s="169"/>
      <c r="O16" s="277"/>
      <c r="P16" s="241"/>
    </row>
    <row r="17" spans="1:16" ht="13">
      <c r="A17" s="2094"/>
      <c r="B17" s="315"/>
      <c r="C17" s="284">
        <v>20</v>
      </c>
      <c r="D17" s="284">
        <v>-0.1</v>
      </c>
      <c r="E17" s="284">
        <v>0</v>
      </c>
      <c r="F17" s="313">
        <f t="shared" si="2"/>
        <v>0.05</v>
      </c>
      <c r="G17" s="169"/>
      <c r="H17" s="315"/>
      <c r="I17" s="284">
        <v>40</v>
      </c>
      <c r="J17" s="284">
        <v>-1.6</v>
      </c>
      <c r="K17" s="284">
        <v>-1.1000000000000001</v>
      </c>
      <c r="L17" s="313">
        <f t="shared" si="3"/>
        <v>0.25</v>
      </c>
      <c r="M17" s="169"/>
      <c r="N17" s="169"/>
      <c r="O17" s="277"/>
      <c r="P17" s="241"/>
    </row>
    <row r="18" spans="1:16" ht="13">
      <c r="A18" s="2094"/>
      <c r="B18" s="315"/>
      <c r="C18" s="284">
        <v>25</v>
      </c>
      <c r="D18" s="284">
        <v>-0.2</v>
      </c>
      <c r="E18" s="284">
        <v>-0.5</v>
      </c>
      <c r="F18" s="313">
        <f t="shared" si="2"/>
        <v>0.15</v>
      </c>
      <c r="G18" s="169"/>
      <c r="H18" s="315"/>
      <c r="I18" s="284">
        <v>50</v>
      </c>
      <c r="J18" s="284">
        <v>-1.5</v>
      </c>
      <c r="K18" s="284">
        <v>-1.4</v>
      </c>
      <c r="L18" s="313">
        <f t="shared" si="3"/>
        <v>5.0000000000000044E-2</v>
      </c>
      <c r="M18" s="169"/>
      <c r="N18" s="169"/>
      <c r="O18" s="277"/>
      <c r="P18" s="241"/>
    </row>
    <row r="19" spans="1:16" ht="13">
      <c r="A19" s="2094"/>
      <c r="B19" s="315"/>
      <c r="C19" s="280">
        <v>30</v>
      </c>
      <c r="D19" s="314">
        <v>-0.3</v>
      </c>
      <c r="E19" s="280">
        <v>-1</v>
      </c>
      <c r="F19" s="313">
        <f t="shared" si="2"/>
        <v>0.35</v>
      </c>
      <c r="G19" s="169"/>
      <c r="H19" s="315"/>
      <c r="I19" s="280">
        <v>60</v>
      </c>
      <c r="J19" s="314">
        <v>-1.3</v>
      </c>
      <c r="K19" s="280">
        <v>-1.3</v>
      </c>
      <c r="L19" s="313">
        <f t="shared" si="3"/>
        <v>0</v>
      </c>
      <c r="M19" s="169"/>
      <c r="N19" s="169"/>
      <c r="O19" s="277"/>
      <c r="P19" s="241"/>
    </row>
    <row r="20" spans="1:16" ht="13">
      <c r="A20" s="2094"/>
      <c r="B20" s="315"/>
      <c r="C20" s="280">
        <v>35</v>
      </c>
      <c r="D20" s="314">
        <v>-0.3</v>
      </c>
      <c r="E20" s="280">
        <v>-1.6</v>
      </c>
      <c r="F20" s="313">
        <f t="shared" si="2"/>
        <v>0.65</v>
      </c>
      <c r="G20" s="169"/>
      <c r="H20" s="315"/>
      <c r="I20" s="280">
        <v>70</v>
      </c>
      <c r="J20" s="314">
        <v>-1.1000000000000001</v>
      </c>
      <c r="K20" s="280">
        <v>-1</v>
      </c>
      <c r="L20" s="313">
        <f t="shared" si="3"/>
        <v>5.0000000000000044E-2</v>
      </c>
      <c r="M20" s="169"/>
      <c r="N20" s="169"/>
      <c r="O20" s="277"/>
      <c r="P20" s="241"/>
    </row>
    <row r="21" spans="1:16" ht="13">
      <c r="A21" s="2094"/>
      <c r="B21" s="315"/>
      <c r="C21" s="280">
        <v>37</v>
      </c>
      <c r="D21" s="314">
        <v>-0.3</v>
      </c>
      <c r="E21" s="280">
        <v>-1.8</v>
      </c>
      <c r="F21" s="313">
        <f t="shared" si="2"/>
        <v>0.75</v>
      </c>
      <c r="G21" s="169"/>
      <c r="H21" s="315"/>
      <c r="I21" s="280">
        <v>80</v>
      </c>
      <c r="J21" s="314">
        <v>-0.7</v>
      </c>
      <c r="K21" s="280">
        <v>-0.4</v>
      </c>
      <c r="L21" s="313">
        <f t="shared" si="3"/>
        <v>0.14999999999999997</v>
      </c>
      <c r="M21" s="169"/>
      <c r="N21" s="169"/>
      <c r="O21" s="277"/>
      <c r="P21" s="241"/>
    </row>
    <row r="22" spans="1:16" ht="13.5" thickBot="1">
      <c r="A22" s="2095"/>
      <c r="B22" s="315"/>
      <c r="C22" s="280">
        <v>40</v>
      </c>
      <c r="D22" s="314">
        <v>-0.3</v>
      </c>
      <c r="E22" s="280">
        <v>-2.1</v>
      </c>
      <c r="F22" s="313">
        <f t="shared" si="2"/>
        <v>0.9</v>
      </c>
      <c r="G22" s="271"/>
      <c r="H22" s="315"/>
      <c r="I22" s="280">
        <v>90</v>
      </c>
      <c r="J22" s="314">
        <v>-0.3</v>
      </c>
      <c r="K22" s="280">
        <v>0.6</v>
      </c>
      <c r="L22" s="313">
        <f t="shared" si="3"/>
        <v>0.44999999999999996</v>
      </c>
      <c r="M22" s="271"/>
      <c r="N22" s="271"/>
      <c r="O22" s="270"/>
      <c r="P22" s="241"/>
    </row>
    <row r="23" spans="1:16" ht="13.5" thickBot="1">
      <c r="A23" s="282"/>
      <c r="B23" s="282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277"/>
      <c r="P23" s="241"/>
    </row>
    <row r="24" spans="1:16" ht="13">
      <c r="A24" s="2093">
        <v>3</v>
      </c>
      <c r="B24" s="2096" t="s">
        <v>82</v>
      </c>
      <c r="C24" s="2096"/>
      <c r="D24" s="2096"/>
      <c r="E24" s="2096"/>
      <c r="F24" s="2096"/>
      <c r="G24" s="297"/>
      <c r="H24" s="2096" t="str">
        <f>B24</f>
        <v>KOREKSI KIMO THERMOHYGROMETER 14082463</v>
      </c>
      <c r="I24" s="2096"/>
      <c r="J24" s="2096"/>
      <c r="K24" s="2096"/>
      <c r="L24" s="2096"/>
      <c r="M24" s="297"/>
      <c r="N24" s="2097" t="s">
        <v>81</v>
      </c>
      <c r="O24" s="2097"/>
      <c r="P24" s="241"/>
    </row>
    <row r="25" spans="1:16" ht="13">
      <c r="A25" s="2094"/>
      <c r="B25" s="2098" t="s">
        <v>74</v>
      </c>
      <c r="C25" s="2098"/>
      <c r="D25" s="2098" t="s">
        <v>7</v>
      </c>
      <c r="E25" s="2098"/>
      <c r="F25" s="2098" t="s">
        <v>2</v>
      </c>
      <c r="G25" s="169"/>
      <c r="H25" s="2098" t="s">
        <v>75</v>
      </c>
      <c r="I25" s="2098"/>
      <c r="J25" s="2098" t="s">
        <v>7</v>
      </c>
      <c r="K25" s="2098"/>
      <c r="L25" s="2098" t="s">
        <v>2</v>
      </c>
      <c r="M25" s="169"/>
      <c r="N25" s="317" t="s">
        <v>74</v>
      </c>
      <c r="O25" s="316">
        <v>0.3</v>
      </c>
      <c r="P25" s="241"/>
    </row>
    <row r="26" spans="1:16" ht="14.5">
      <c r="A26" s="2094"/>
      <c r="B26" s="2091" t="s">
        <v>77</v>
      </c>
      <c r="C26" s="2091"/>
      <c r="D26" s="319">
        <v>2018</v>
      </c>
      <c r="E26" s="319">
        <v>2017</v>
      </c>
      <c r="F26" s="2098"/>
      <c r="G26" s="169"/>
      <c r="H26" s="2092" t="s">
        <v>78</v>
      </c>
      <c r="I26" s="2091"/>
      <c r="J26" s="318">
        <f>D26</f>
        <v>2018</v>
      </c>
      <c r="K26" s="318">
        <f>E26</f>
        <v>2017</v>
      </c>
      <c r="L26" s="2098"/>
      <c r="M26" s="169"/>
      <c r="N26" s="317" t="s">
        <v>78</v>
      </c>
      <c r="O26" s="316">
        <v>3.1</v>
      </c>
      <c r="P26" s="241"/>
    </row>
    <row r="27" spans="1:16" ht="13">
      <c r="A27" s="2094"/>
      <c r="B27" s="315"/>
      <c r="C27" s="284">
        <v>15</v>
      </c>
      <c r="D27" s="284">
        <v>0</v>
      </c>
      <c r="E27" s="284">
        <v>0.2</v>
      </c>
      <c r="F27" s="313">
        <f t="shared" ref="F27:F33" si="4">0.5*(MAX(D27:E27)-MIN(D27:E27))</f>
        <v>0.1</v>
      </c>
      <c r="G27" s="169"/>
      <c r="H27" s="315"/>
      <c r="I27" s="284">
        <v>30</v>
      </c>
      <c r="J27" s="284">
        <v>-5.7</v>
      </c>
      <c r="K27" s="284">
        <v>-1.1000000000000001</v>
      </c>
      <c r="L27" s="313">
        <f t="shared" ref="L27:L33" si="5">0.5*(MAX(J27:K27)-MIN(J27:K27))</f>
        <v>2.2999999999999998</v>
      </c>
      <c r="M27" s="169"/>
      <c r="N27" s="169"/>
      <c r="O27" s="277"/>
      <c r="P27" s="241"/>
    </row>
    <row r="28" spans="1:16" ht="13">
      <c r="A28" s="2094"/>
      <c r="B28" s="315"/>
      <c r="C28" s="284">
        <v>20</v>
      </c>
      <c r="D28" s="284">
        <v>0</v>
      </c>
      <c r="E28" s="284">
        <v>0</v>
      </c>
      <c r="F28" s="313">
        <f t="shared" si="4"/>
        <v>0</v>
      </c>
      <c r="G28" s="169"/>
      <c r="H28" s="315"/>
      <c r="I28" s="284">
        <v>40</v>
      </c>
      <c r="J28" s="284">
        <v>-5.3</v>
      </c>
      <c r="K28" s="284">
        <v>-1.9</v>
      </c>
      <c r="L28" s="313">
        <f t="shared" si="5"/>
        <v>1.7</v>
      </c>
      <c r="M28" s="169"/>
      <c r="N28" s="169"/>
      <c r="O28" s="277"/>
      <c r="P28" s="241"/>
    </row>
    <row r="29" spans="1:16" ht="13">
      <c r="A29" s="2094"/>
      <c r="B29" s="315"/>
      <c r="C29" s="284">
        <v>25</v>
      </c>
      <c r="D29" s="284">
        <v>-0.1</v>
      </c>
      <c r="E29" s="284">
        <v>-0.2</v>
      </c>
      <c r="F29" s="313">
        <f t="shared" si="4"/>
        <v>0.05</v>
      </c>
      <c r="G29" s="169"/>
      <c r="H29" s="315"/>
      <c r="I29" s="284">
        <v>50</v>
      </c>
      <c r="J29" s="284">
        <v>-4.9000000000000004</v>
      </c>
      <c r="K29" s="284">
        <v>-2.2999999999999998</v>
      </c>
      <c r="L29" s="313">
        <f t="shared" si="5"/>
        <v>1.3000000000000003</v>
      </c>
      <c r="M29" s="169"/>
      <c r="N29" s="169"/>
      <c r="O29" s="277"/>
      <c r="P29" s="241"/>
    </row>
    <row r="30" spans="1:16" ht="13">
      <c r="A30" s="2094"/>
      <c r="B30" s="315"/>
      <c r="C30" s="280">
        <v>30</v>
      </c>
      <c r="D30" s="314">
        <v>-0.3</v>
      </c>
      <c r="E30" s="280">
        <v>-0.3</v>
      </c>
      <c r="F30" s="313">
        <f t="shared" si="4"/>
        <v>0</v>
      </c>
      <c r="G30" s="169"/>
      <c r="H30" s="315"/>
      <c r="I30" s="280">
        <v>60</v>
      </c>
      <c r="J30" s="314">
        <v>-4.3</v>
      </c>
      <c r="K30" s="280">
        <v>-2.2000000000000002</v>
      </c>
      <c r="L30" s="313">
        <f t="shared" si="5"/>
        <v>1.0499999999999998</v>
      </c>
      <c r="M30" s="169"/>
      <c r="N30" s="169"/>
      <c r="O30" s="277"/>
      <c r="P30" s="241"/>
    </row>
    <row r="31" spans="1:16" ht="13">
      <c r="A31" s="2094"/>
      <c r="B31" s="315"/>
      <c r="C31" s="280">
        <v>35</v>
      </c>
      <c r="D31" s="314">
        <v>-0.5</v>
      </c>
      <c r="E31" s="280">
        <v>-0.4</v>
      </c>
      <c r="F31" s="313">
        <f t="shared" si="4"/>
        <v>4.9999999999999989E-2</v>
      </c>
      <c r="G31" s="169"/>
      <c r="H31" s="315"/>
      <c r="I31" s="280">
        <v>70</v>
      </c>
      <c r="J31" s="314">
        <v>-3.6</v>
      </c>
      <c r="K31" s="280">
        <v>-1.6</v>
      </c>
      <c r="L31" s="313">
        <f t="shared" si="5"/>
        <v>1</v>
      </c>
      <c r="M31" s="169"/>
      <c r="N31" s="169"/>
      <c r="O31" s="277"/>
      <c r="P31" s="241"/>
    </row>
    <row r="32" spans="1:16" ht="13">
      <c r="A32" s="2094"/>
      <c r="B32" s="315"/>
      <c r="C32" s="280">
        <v>37</v>
      </c>
      <c r="D32" s="314">
        <v>-0.6</v>
      </c>
      <c r="E32" s="280">
        <v>-0.5</v>
      </c>
      <c r="F32" s="313">
        <f t="shared" si="4"/>
        <v>4.9999999999999989E-2</v>
      </c>
      <c r="G32" s="169"/>
      <c r="H32" s="315"/>
      <c r="I32" s="280">
        <v>80</v>
      </c>
      <c r="J32" s="314">
        <v>-2.9</v>
      </c>
      <c r="K32" s="280">
        <v>-0.6</v>
      </c>
      <c r="L32" s="313">
        <f t="shared" si="5"/>
        <v>1.1499999999999999</v>
      </c>
      <c r="M32" s="169"/>
      <c r="N32" s="169"/>
      <c r="O32" s="277"/>
      <c r="P32" s="241"/>
    </row>
    <row r="33" spans="1:16" ht="13.5" thickBot="1">
      <c r="A33" s="2095"/>
      <c r="B33" s="315"/>
      <c r="C33" s="280">
        <v>40</v>
      </c>
      <c r="D33" s="314">
        <v>-0.7</v>
      </c>
      <c r="E33" s="280">
        <v>-0.5</v>
      </c>
      <c r="F33" s="313">
        <f t="shared" si="4"/>
        <v>9.9999999999999978E-2</v>
      </c>
      <c r="G33" s="271"/>
      <c r="H33" s="315"/>
      <c r="I33" s="280">
        <v>90</v>
      </c>
      <c r="J33" s="314">
        <v>-2</v>
      </c>
      <c r="K33" s="280">
        <v>0.9</v>
      </c>
      <c r="L33" s="313">
        <f t="shared" si="5"/>
        <v>1.45</v>
      </c>
      <c r="M33" s="271"/>
      <c r="N33" s="271"/>
      <c r="O33" s="270"/>
      <c r="P33" s="241"/>
    </row>
    <row r="34" spans="1:16" ht="13.5" thickBot="1">
      <c r="A34" s="282"/>
      <c r="B34" s="282"/>
      <c r="C34" s="169"/>
      <c r="D34" s="169"/>
      <c r="E34" s="169"/>
      <c r="F34" s="169"/>
      <c r="G34" s="169"/>
      <c r="H34" s="312"/>
      <c r="I34" s="169"/>
      <c r="J34" s="169"/>
      <c r="K34" s="169"/>
      <c r="L34" s="169"/>
      <c r="M34" s="169"/>
      <c r="N34" s="169"/>
      <c r="O34" s="277"/>
      <c r="P34" s="241"/>
    </row>
    <row r="35" spans="1:16" ht="13.5" thickBot="1">
      <c r="A35" s="2076">
        <v>4</v>
      </c>
      <c r="B35" s="2079" t="s">
        <v>83</v>
      </c>
      <c r="C35" s="2080"/>
      <c r="D35" s="2080"/>
      <c r="E35" s="2080"/>
      <c r="F35" s="2081"/>
      <c r="G35" s="297"/>
      <c r="H35" s="2079" t="str">
        <f>B35</f>
        <v>KOREKSI KIMO THERMOHYGROMETER 15062872</v>
      </c>
      <c r="I35" s="2080"/>
      <c r="J35" s="2080"/>
      <c r="K35" s="2080"/>
      <c r="L35" s="2081"/>
      <c r="M35" s="297"/>
      <c r="N35" s="2086" t="s">
        <v>81</v>
      </c>
      <c r="O35" s="2087"/>
      <c r="P35" s="241"/>
    </row>
    <row r="36" spans="1:16" ht="13.5" thickBot="1">
      <c r="A36" s="2077"/>
      <c r="B36" s="2082" t="s">
        <v>74</v>
      </c>
      <c r="C36" s="2083"/>
      <c r="D36" s="2084" t="s">
        <v>7</v>
      </c>
      <c r="E36" s="2085"/>
      <c r="F36" s="2063" t="s">
        <v>2</v>
      </c>
      <c r="G36" s="169"/>
      <c r="H36" s="2082" t="s">
        <v>75</v>
      </c>
      <c r="I36" s="2083"/>
      <c r="J36" s="2084" t="s">
        <v>7</v>
      </c>
      <c r="K36" s="2085"/>
      <c r="L36" s="2063" t="s">
        <v>2</v>
      </c>
      <c r="M36" s="169"/>
      <c r="N36" s="296" t="s">
        <v>74</v>
      </c>
      <c r="O36" s="311">
        <v>0.6</v>
      </c>
      <c r="P36" s="241"/>
    </row>
    <row r="37" spans="1:16" ht="15" thickBot="1">
      <c r="A37" s="2077"/>
      <c r="B37" s="2065" t="s">
        <v>77</v>
      </c>
      <c r="C37" s="2066"/>
      <c r="D37" s="294">
        <v>2017</v>
      </c>
      <c r="E37" s="294">
        <v>2015</v>
      </c>
      <c r="F37" s="2064"/>
      <c r="G37" s="169"/>
      <c r="H37" s="2067" t="s">
        <v>78</v>
      </c>
      <c r="I37" s="2068"/>
      <c r="J37" s="292">
        <f>D37</f>
        <v>2017</v>
      </c>
      <c r="K37" s="292">
        <f>E37</f>
        <v>2015</v>
      </c>
      <c r="L37" s="2064"/>
      <c r="M37" s="169"/>
      <c r="N37" s="291" t="s">
        <v>78</v>
      </c>
      <c r="O37" s="310">
        <v>2.6</v>
      </c>
      <c r="P37" s="241"/>
    </row>
    <row r="38" spans="1:16" ht="13">
      <c r="A38" s="2077"/>
      <c r="B38" s="169"/>
      <c r="C38" s="289">
        <v>15</v>
      </c>
      <c r="D38" s="288">
        <v>-0.1</v>
      </c>
      <c r="E38" s="288">
        <v>0.4</v>
      </c>
      <c r="F38" s="286">
        <f t="shared" ref="F38:F44" si="6">0.5*(MAX(D38:E38)-MIN(D38:E38))</f>
        <v>0.25</v>
      </c>
      <c r="G38" s="169"/>
      <c r="H38" s="282"/>
      <c r="I38" s="289">
        <v>35</v>
      </c>
      <c r="J38" s="288">
        <v>-1.7</v>
      </c>
      <c r="K38" s="288">
        <v>-0.8</v>
      </c>
      <c r="L38" s="286">
        <f t="shared" ref="L38:L44" si="7">0.5*(MAX(J38:K38)-MIN(J38:K38))</f>
        <v>0.44999999999999996</v>
      </c>
      <c r="M38" s="169"/>
      <c r="N38" s="169"/>
      <c r="O38" s="277"/>
      <c r="P38" s="241"/>
    </row>
    <row r="39" spans="1:16" ht="13">
      <c r="A39" s="2077"/>
      <c r="B39" s="169"/>
      <c r="C39" s="285">
        <v>20</v>
      </c>
      <c r="D39" s="284">
        <v>-0.3</v>
      </c>
      <c r="E39" s="284">
        <v>0</v>
      </c>
      <c r="F39" s="278">
        <f t="shared" si="6"/>
        <v>0.15</v>
      </c>
      <c r="G39" s="169"/>
      <c r="H39" s="282"/>
      <c r="I39" s="285">
        <v>40</v>
      </c>
      <c r="J39" s="284">
        <v>-1.5</v>
      </c>
      <c r="K39" s="284">
        <v>-0.9</v>
      </c>
      <c r="L39" s="278">
        <f t="shared" si="7"/>
        <v>0.3</v>
      </c>
      <c r="M39" s="169"/>
      <c r="N39" s="169"/>
      <c r="O39" s="277"/>
      <c r="P39" s="241"/>
    </row>
    <row r="40" spans="1:16" ht="13">
      <c r="A40" s="2077"/>
      <c r="B40" s="169"/>
      <c r="C40" s="285">
        <v>25</v>
      </c>
      <c r="D40" s="284">
        <v>-0.5</v>
      </c>
      <c r="E40" s="284">
        <v>-0.5</v>
      </c>
      <c r="F40" s="278">
        <f t="shared" si="6"/>
        <v>0</v>
      </c>
      <c r="G40" s="169"/>
      <c r="H40" s="282"/>
      <c r="I40" s="285">
        <v>50</v>
      </c>
      <c r="J40" s="284">
        <v>-1</v>
      </c>
      <c r="K40" s="284">
        <v>-1</v>
      </c>
      <c r="L40" s="278">
        <f t="shared" si="7"/>
        <v>0</v>
      </c>
      <c r="M40" s="169"/>
      <c r="N40" s="169"/>
      <c r="O40" s="277"/>
      <c r="P40" s="241"/>
    </row>
    <row r="41" spans="1:16" ht="13">
      <c r="A41" s="2077"/>
      <c r="B41" s="169"/>
      <c r="C41" s="281">
        <v>30</v>
      </c>
      <c r="D41" s="279">
        <v>-0.6</v>
      </c>
      <c r="E41" s="280">
        <v>-1</v>
      </c>
      <c r="F41" s="278">
        <f t="shared" si="6"/>
        <v>0.2</v>
      </c>
      <c r="G41" s="169"/>
      <c r="H41" s="282"/>
      <c r="I41" s="281">
        <v>60</v>
      </c>
      <c r="J41" s="279">
        <v>-0.3</v>
      </c>
      <c r="K41" s="280">
        <v>-0.9</v>
      </c>
      <c r="L41" s="278">
        <f t="shared" si="7"/>
        <v>0.30000000000000004</v>
      </c>
      <c r="M41" s="169"/>
      <c r="N41" s="169"/>
      <c r="O41" s="277"/>
      <c r="P41" s="241"/>
    </row>
    <row r="42" spans="1:16" ht="13">
      <c r="A42" s="2077"/>
      <c r="B42" s="169"/>
      <c r="C42" s="281">
        <v>35</v>
      </c>
      <c r="D42" s="279">
        <v>-0.6</v>
      </c>
      <c r="E42" s="280">
        <v>-1.5</v>
      </c>
      <c r="F42" s="278">
        <f t="shared" si="6"/>
        <v>0.45</v>
      </c>
      <c r="G42" s="169"/>
      <c r="H42" s="282"/>
      <c r="I42" s="281">
        <v>70</v>
      </c>
      <c r="J42" s="279">
        <v>0.7</v>
      </c>
      <c r="K42" s="280">
        <v>-0.7</v>
      </c>
      <c r="L42" s="278">
        <f t="shared" si="7"/>
        <v>0.7</v>
      </c>
      <c r="M42" s="169"/>
      <c r="N42" s="169"/>
      <c r="O42" s="277"/>
      <c r="P42" s="241"/>
    </row>
    <row r="43" spans="1:16" ht="13">
      <c r="A43" s="2077"/>
      <c r="B43" s="169"/>
      <c r="C43" s="281">
        <v>37</v>
      </c>
      <c r="D43" s="279">
        <v>-0.6</v>
      </c>
      <c r="E43" s="280">
        <v>-1.8</v>
      </c>
      <c r="F43" s="278">
        <f t="shared" si="6"/>
        <v>0.60000000000000009</v>
      </c>
      <c r="G43" s="169"/>
      <c r="H43" s="282"/>
      <c r="I43" s="281">
        <v>80</v>
      </c>
      <c r="J43" s="279">
        <v>1.9</v>
      </c>
      <c r="K43" s="280">
        <v>-0.4</v>
      </c>
      <c r="L43" s="278">
        <f t="shared" si="7"/>
        <v>1.1499999999999999</v>
      </c>
      <c r="M43" s="169"/>
      <c r="N43" s="169"/>
      <c r="O43" s="277"/>
      <c r="P43" s="241"/>
    </row>
    <row r="44" spans="1:16" ht="13.5" thickBot="1">
      <c r="A44" s="2078"/>
      <c r="B44" s="271"/>
      <c r="C44" s="275">
        <v>40</v>
      </c>
      <c r="D44" s="279">
        <v>-0.6</v>
      </c>
      <c r="E44" s="274">
        <v>-2.1</v>
      </c>
      <c r="F44" s="272">
        <f t="shared" si="6"/>
        <v>0.75</v>
      </c>
      <c r="G44" s="271"/>
      <c r="H44" s="276"/>
      <c r="I44" s="275">
        <v>90</v>
      </c>
      <c r="J44" s="273">
        <v>3.3</v>
      </c>
      <c r="K44" s="274">
        <v>0.2</v>
      </c>
      <c r="L44" s="272">
        <f t="shared" si="7"/>
        <v>1.5499999999999998</v>
      </c>
      <c r="M44" s="271"/>
      <c r="N44" s="271"/>
      <c r="O44" s="270"/>
      <c r="P44" s="241"/>
    </row>
    <row r="45" spans="1:16" ht="13.5" thickBot="1">
      <c r="A45" s="282"/>
      <c r="B45" s="282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277"/>
      <c r="P45" s="241"/>
    </row>
    <row r="46" spans="1:16" ht="13.5" thickBot="1">
      <c r="A46" s="2076">
        <v>5</v>
      </c>
      <c r="B46" s="2079" t="s">
        <v>84</v>
      </c>
      <c r="C46" s="2080"/>
      <c r="D46" s="2080"/>
      <c r="E46" s="2080"/>
      <c r="F46" s="2081"/>
      <c r="G46" s="297"/>
      <c r="H46" s="2079" t="str">
        <f>B46</f>
        <v>KOREKSI KIMO THERMOHYGROMETER 15062875</v>
      </c>
      <c r="I46" s="2080"/>
      <c r="J46" s="2080"/>
      <c r="K46" s="2080"/>
      <c r="L46" s="2081"/>
      <c r="M46" s="297"/>
      <c r="N46" s="2086" t="s">
        <v>81</v>
      </c>
      <c r="O46" s="2087"/>
      <c r="P46" s="241"/>
    </row>
    <row r="47" spans="1:16" ht="13.5" thickBot="1">
      <c r="A47" s="2077"/>
      <c r="B47" s="2082" t="s">
        <v>74</v>
      </c>
      <c r="C47" s="2083"/>
      <c r="D47" s="2084" t="s">
        <v>7</v>
      </c>
      <c r="E47" s="2085"/>
      <c r="F47" s="2063" t="s">
        <v>2</v>
      </c>
      <c r="G47" s="169"/>
      <c r="H47" s="2082" t="s">
        <v>75</v>
      </c>
      <c r="I47" s="2083"/>
      <c r="J47" s="2084" t="s">
        <v>7</v>
      </c>
      <c r="K47" s="2085"/>
      <c r="L47" s="2063" t="s">
        <v>2</v>
      </c>
      <c r="M47" s="169"/>
      <c r="N47" s="296" t="s">
        <v>74</v>
      </c>
      <c r="O47" s="311">
        <v>0.3</v>
      </c>
      <c r="P47" s="241"/>
    </row>
    <row r="48" spans="1:16" ht="15" thickBot="1">
      <c r="A48" s="2077"/>
      <c r="B48" s="2065" t="s">
        <v>77</v>
      </c>
      <c r="C48" s="2066"/>
      <c r="D48" s="294">
        <v>2017</v>
      </c>
      <c r="E48" s="294">
        <v>2015</v>
      </c>
      <c r="F48" s="2064"/>
      <c r="G48" s="169"/>
      <c r="H48" s="2067" t="s">
        <v>78</v>
      </c>
      <c r="I48" s="2068"/>
      <c r="J48" s="292">
        <f>D48</f>
        <v>2017</v>
      </c>
      <c r="K48" s="292">
        <f>E48</f>
        <v>2015</v>
      </c>
      <c r="L48" s="2064"/>
      <c r="M48" s="169"/>
      <c r="N48" s="291" t="s">
        <v>78</v>
      </c>
      <c r="O48" s="310">
        <v>3.2</v>
      </c>
      <c r="P48" s="241"/>
    </row>
    <row r="49" spans="1:16" ht="13">
      <c r="A49" s="2077"/>
      <c r="B49" s="169"/>
      <c r="C49" s="289">
        <v>15</v>
      </c>
      <c r="D49" s="288">
        <v>0.3</v>
      </c>
      <c r="E49" s="288">
        <v>0.4</v>
      </c>
      <c r="F49" s="286">
        <f t="shared" ref="F49:F55" si="8">0.5*(MAX(D49:E49)-MIN(D49:E49))</f>
        <v>5.0000000000000017E-2</v>
      </c>
      <c r="G49" s="169"/>
      <c r="H49" s="282"/>
      <c r="I49" s="289">
        <v>35</v>
      </c>
      <c r="J49" s="288">
        <v>-9.6</v>
      </c>
      <c r="K49" s="288">
        <v>-1.6</v>
      </c>
      <c r="L49" s="286">
        <f t="shared" ref="L49:L55" si="9">0.5*(MAX(J49:K49)-MIN(J49:K49))</f>
        <v>4</v>
      </c>
      <c r="M49" s="169"/>
      <c r="N49" s="169"/>
      <c r="O49" s="277"/>
      <c r="P49" s="241"/>
    </row>
    <row r="50" spans="1:16" ht="13">
      <c r="A50" s="2077"/>
      <c r="B50" s="169"/>
      <c r="C50" s="285">
        <v>20</v>
      </c>
      <c r="D50" s="284">
        <v>0.3</v>
      </c>
      <c r="E50" s="284">
        <v>0</v>
      </c>
      <c r="F50" s="278">
        <f t="shared" si="8"/>
        <v>0.15</v>
      </c>
      <c r="G50" s="169"/>
      <c r="H50" s="282"/>
      <c r="I50" s="285">
        <v>40</v>
      </c>
      <c r="J50" s="284">
        <v>-8</v>
      </c>
      <c r="K50" s="284">
        <v>-1.8</v>
      </c>
      <c r="L50" s="278">
        <f t="shared" si="9"/>
        <v>3.1</v>
      </c>
      <c r="M50" s="169"/>
      <c r="N50" s="169"/>
      <c r="O50" s="277"/>
      <c r="P50" s="241"/>
    </row>
    <row r="51" spans="1:16" ht="13">
      <c r="A51" s="2077"/>
      <c r="B51" s="169"/>
      <c r="C51" s="285">
        <v>25</v>
      </c>
      <c r="D51" s="284">
        <v>0.2</v>
      </c>
      <c r="E51" s="284">
        <v>-0.3</v>
      </c>
      <c r="F51" s="278">
        <f t="shared" si="8"/>
        <v>0.25</v>
      </c>
      <c r="G51" s="169"/>
      <c r="H51" s="282"/>
      <c r="I51" s="285">
        <v>50</v>
      </c>
      <c r="J51" s="284">
        <v>-6.2</v>
      </c>
      <c r="K51" s="284">
        <v>-2.1</v>
      </c>
      <c r="L51" s="278">
        <f t="shared" si="9"/>
        <v>2.0499999999999998</v>
      </c>
      <c r="M51" s="169"/>
      <c r="N51" s="169"/>
      <c r="O51" s="277"/>
      <c r="P51" s="241"/>
    </row>
    <row r="52" spans="1:16" ht="13">
      <c r="A52" s="2077"/>
      <c r="B52" s="169"/>
      <c r="C52" s="281">
        <v>30</v>
      </c>
      <c r="D52" s="279">
        <v>0.1</v>
      </c>
      <c r="E52" s="280">
        <v>-0.7</v>
      </c>
      <c r="F52" s="278">
        <f t="shared" si="8"/>
        <v>0.39999999999999997</v>
      </c>
      <c r="G52" s="169"/>
      <c r="H52" s="282"/>
      <c r="I52" s="281">
        <v>60</v>
      </c>
      <c r="J52" s="279">
        <v>-4.2</v>
      </c>
      <c r="K52" s="280">
        <v>-2</v>
      </c>
      <c r="L52" s="278">
        <f t="shared" si="9"/>
        <v>1.1000000000000001</v>
      </c>
      <c r="M52" s="169"/>
      <c r="N52" s="169"/>
      <c r="O52" s="277"/>
      <c r="P52" s="241"/>
    </row>
    <row r="53" spans="1:16" ht="13">
      <c r="A53" s="2077"/>
      <c r="B53" s="169"/>
      <c r="C53" s="281">
        <v>35</v>
      </c>
      <c r="D53" s="279">
        <v>0</v>
      </c>
      <c r="E53" s="280">
        <v>-1.1000000000000001</v>
      </c>
      <c r="F53" s="278">
        <f t="shared" si="8"/>
        <v>0.55000000000000004</v>
      </c>
      <c r="G53" s="169"/>
      <c r="H53" s="282"/>
      <c r="I53" s="281">
        <v>70</v>
      </c>
      <c r="J53" s="279">
        <v>-2.1</v>
      </c>
      <c r="K53" s="280">
        <v>-1.6</v>
      </c>
      <c r="L53" s="278">
        <f t="shared" si="9"/>
        <v>0.25</v>
      </c>
      <c r="M53" s="169"/>
      <c r="N53" s="169"/>
      <c r="O53" s="277"/>
      <c r="P53" s="241"/>
    </row>
    <row r="54" spans="1:16" ht="13">
      <c r="A54" s="2077"/>
      <c r="B54" s="169"/>
      <c r="C54" s="281">
        <v>37</v>
      </c>
      <c r="D54" s="279">
        <v>0</v>
      </c>
      <c r="E54" s="280">
        <v>-1.2</v>
      </c>
      <c r="F54" s="278">
        <f t="shared" si="8"/>
        <v>0.6</v>
      </c>
      <c r="G54" s="169"/>
      <c r="H54" s="282"/>
      <c r="I54" s="281">
        <v>80</v>
      </c>
      <c r="J54" s="279">
        <v>0.2</v>
      </c>
      <c r="K54" s="280">
        <v>-0.9</v>
      </c>
      <c r="L54" s="278">
        <f t="shared" si="9"/>
        <v>0.55000000000000004</v>
      </c>
      <c r="M54" s="169"/>
      <c r="N54" s="169"/>
      <c r="O54" s="277"/>
      <c r="P54" s="241"/>
    </row>
    <row r="55" spans="1:16" ht="13.5" thickBot="1">
      <c r="A55" s="2078"/>
      <c r="B55" s="271"/>
      <c r="C55" s="275">
        <v>40</v>
      </c>
      <c r="D55" s="273">
        <v>-0.1</v>
      </c>
      <c r="E55" s="274">
        <v>-1.5</v>
      </c>
      <c r="F55" s="272">
        <f t="shared" si="8"/>
        <v>0.7</v>
      </c>
      <c r="G55" s="271"/>
      <c r="H55" s="276"/>
      <c r="I55" s="275">
        <v>90</v>
      </c>
      <c r="J55" s="273">
        <v>2.7</v>
      </c>
      <c r="K55" s="274">
        <v>0.2</v>
      </c>
      <c r="L55" s="272">
        <f t="shared" si="9"/>
        <v>1.25</v>
      </c>
      <c r="M55" s="271"/>
      <c r="N55" s="271"/>
      <c r="O55" s="270"/>
      <c r="P55" s="241"/>
    </row>
    <row r="56" spans="1:16" ht="13.5" thickBot="1">
      <c r="A56" s="302"/>
      <c r="B56" s="300"/>
      <c r="C56" s="300"/>
      <c r="D56" s="300"/>
      <c r="E56" s="299"/>
      <c r="F56" s="309"/>
      <c r="G56" s="301"/>
      <c r="H56" s="300"/>
      <c r="I56" s="300"/>
      <c r="J56" s="300"/>
      <c r="K56" s="299"/>
      <c r="L56" s="309"/>
      <c r="M56" s="169"/>
      <c r="N56" s="169"/>
      <c r="O56" s="277"/>
      <c r="P56" s="241"/>
    </row>
    <row r="57" spans="1:16" ht="13.5" thickBot="1">
      <c r="A57" s="2076">
        <v>6</v>
      </c>
      <c r="B57" s="2079" t="s">
        <v>85</v>
      </c>
      <c r="C57" s="2080"/>
      <c r="D57" s="2080"/>
      <c r="E57" s="2080"/>
      <c r="F57" s="2081"/>
      <c r="G57" s="297"/>
      <c r="H57" s="2079" t="str">
        <f>B57</f>
        <v>KOREKSI GREISINGER 34903046</v>
      </c>
      <c r="I57" s="2080"/>
      <c r="J57" s="2080"/>
      <c r="K57" s="2080"/>
      <c r="L57" s="2081"/>
      <c r="M57" s="297"/>
      <c r="N57" s="2086" t="s">
        <v>81</v>
      </c>
      <c r="O57" s="2087"/>
      <c r="P57" s="241"/>
    </row>
    <row r="58" spans="1:16" ht="13.5" thickBot="1">
      <c r="A58" s="2077"/>
      <c r="B58" s="2082" t="s">
        <v>74</v>
      </c>
      <c r="C58" s="2083"/>
      <c r="D58" s="2084" t="s">
        <v>7</v>
      </c>
      <c r="E58" s="2085"/>
      <c r="F58" s="2063" t="s">
        <v>2</v>
      </c>
      <c r="G58" s="169"/>
      <c r="H58" s="2082" t="s">
        <v>75</v>
      </c>
      <c r="I58" s="2083"/>
      <c r="J58" s="2084" t="s">
        <v>7</v>
      </c>
      <c r="K58" s="2085"/>
      <c r="L58" s="2063" t="s">
        <v>2</v>
      </c>
      <c r="M58" s="169"/>
      <c r="N58" s="296" t="s">
        <v>74</v>
      </c>
      <c r="O58" s="311">
        <v>0.5</v>
      </c>
      <c r="P58" s="241"/>
    </row>
    <row r="59" spans="1:16" ht="15" thickBot="1">
      <c r="A59" s="2077"/>
      <c r="B59" s="2065" t="s">
        <v>77</v>
      </c>
      <c r="C59" s="2066"/>
      <c r="D59" s="294">
        <v>2018</v>
      </c>
      <c r="E59" s="294">
        <v>2017</v>
      </c>
      <c r="F59" s="2064"/>
      <c r="G59" s="169"/>
      <c r="H59" s="2067" t="s">
        <v>78</v>
      </c>
      <c r="I59" s="2068"/>
      <c r="J59" s="292">
        <f>D59</f>
        <v>2018</v>
      </c>
      <c r="K59" s="292">
        <f>E59</f>
        <v>2017</v>
      </c>
      <c r="L59" s="2064"/>
      <c r="M59" s="169"/>
      <c r="N59" s="291" t="s">
        <v>78</v>
      </c>
      <c r="O59" s="290">
        <v>2</v>
      </c>
      <c r="P59" s="241"/>
    </row>
    <row r="60" spans="1:16" ht="13">
      <c r="A60" s="2077"/>
      <c r="B60" s="169"/>
      <c r="C60" s="289">
        <v>15</v>
      </c>
      <c r="D60" s="288">
        <v>0.4</v>
      </c>
      <c r="E60" s="288">
        <v>-0.2</v>
      </c>
      <c r="F60" s="286">
        <f t="shared" ref="F60:F66" si="10">0.5*(MAX(D60:E60)-MIN(D60:E60))</f>
        <v>0.30000000000000004</v>
      </c>
      <c r="G60" s="169"/>
      <c r="H60" s="282"/>
      <c r="I60" s="289">
        <v>30</v>
      </c>
      <c r="J60" s="288">
        <v>1.7</v>
      </c>
      <c r="K60" s="288">
        <v>-4.9000000000000004</v>
      </c>
      <c r="L60" s="286">
        <f t="shared" ref="L60:L66" si="11">0.5*(MAX(J60:K60)-MIN(J60:K60))</f>
        <v>3.3000000000000003</v>
      </c>
      <c r="M60" s="169"/>
      <c r="N60" s="169"/>
      <c r="O60" s="277"/>
      <c r="P60" s="241"/>
    </row>
    <row r="61" spans="1:16" ht="13">
      <c r="A61" s="2077"/>
      <c r="B61" s="169"/>
      <c r="C61" s="285">
        <v>20</v>
      </c>
      <c r="D61" s="284">
        <v>0.2</v>
      </c>
      <c r="E61" s="284">
        <v>0</v>
      </c>
      <c r="F61" s="278">
        <f t="shared" si="10"/>
        <v>0.1</v>
      </c>
      <c r="G61" s="169"/>
      <c r="H61" s="282"/>
      <c r="I61" s="285">
        <v>40</v>
      </c>
      <c r="J61" s="284">
        <v>1.5</v>
      </c>
      <c r="K61" s="284">
        <v>-3.4</v>
      </c>
      <c r="L61" s="278">
        <f t="shared" si="11"/>
        <v>2.4500000000000002</v>
      </c>
      <c r="M61" s="169"/>
      <c r="N61" s="169"/>
      <c r="O61" s="277"/>
      <c r="P61" s="241"/>
    </row>
    <row r="62" spans="1:16" ht="13">
      <c r="A62" s="2077"/>
      <c r="B62" s="169"/>
      <c r="C62" s="285">
        <v>25</v>
      </c>
      <c r="D62" s="284">
        <v>-0.1</v>
      </c>
      <c r="E62" s="284">
        <v>0.1</v>
      </c>
      <c r="F62" s="278">
        <f t="shared" si="10"/>
        <v>0.1</v>
      </c>
      <c r="G62" s="169"/>
      <c r="H62" s="282"/>
      <c r="I62" s="285">
        <v>50</v>
      </c>
      <c r="J62" s="284">
        <v>1.2</v>
      </c>
      <c r="K62" s="284">
        <v>-2.5</v>
      </c>
      <c r="L62" s="278">
        <f t="shared" si="11"/>
        <v>1.85</v>
      </c>
      <c r="M62" s="169"/>
      <c r="N62" s="169"/>
      <c r="O62" s="277"/>
      <c r="P62" s="241"/>
    </row>
    <row r="63" spans="1:16" ht="13">
      <c r="A63" s="2077"/>
      <c r="B63" s="169"/>
      <c r="C63" s="281">
        <v>30</v>
      </c>
      <c r="D63" s="280">
        <v>-0.5</v>
      </c>
      <c r="E63" s="280">
        <v>0.13</v>
      </c>
      <c r="F63" s="278">
        <f t="shared" si="10"/>
        <v>0.315</v>
      </c>
      <c r="G63" s="169"/>
      <c r="H63" s="282"/>
      <c r="I63" s="281">
        <v>60</v>
      </c>
      <c r="J63" s="280">
        <v>1.1000000000000001</v>
      </c>
      <c r="K63" s="280">
        <v>-2</v>
      </c>
      <c r="L63" s="278">
        <f t="shared" si="11"/>
        <v>1.55</v>
      </c>
      <c r="M63" s="169"/>
      <c r="N63" s="169"/>
      <c r="O63" s="277"/>
      <c r="P63" s="241"/>
    </row>
    <row r="64" spans="1:16" ht="13">
      <c r="A64" s="2077"/>
      <c r="B64" s="169"/>
      <c r="C64" s="281">
        <v>35</v>
      </c>
      <c r="D64" s="280">
        <v>-0.9</v>
      </c>
      <c r="E64" s="280">
        <v>0.1</v>
      </c>
      <c r="F64" s="278">
        <f t="shared" si="10"/>
        <v>0.5</v>
      </c>
      <c r="G64" s="169"/>
      <c r="H64" s="282"/>
      <c r="I64" s="281">
        <v>70</v>
      </c>
      <c r="J64" s="280">
        <v>0.9</v>
      </c>
      <c r="K64" s="280">
        <v>-2.1</v>
      </c>
      <c r="L64" s="278">
        <f t="shared" si="11"/>
        <v>1.5</v>
      </c>
      <c r="M64" s="169"/>
      <c r="N64" s="169"/>
      <c r="O64" s="277"/>
      <c r="P64" s="241"/>
    </row>
    <row r="65" spans="1:16" ht="13">
      <c r="A65" s="2077"/>
      <c r="B65" s="169"/>
      <c r="C65" s="281">
        <v>37</v>
      </c>
      <c r="D65" s="280">
        <v>-1.1000000000000001</v>
      </c>
      <c r="E65" s="280">
        <v>0</v>
      </c>
      <c r="F65" s="278">
        <f t="shared" si="10"/>
        <v>0.55000000000000004</v>
      </c>
      <c r="G65" s="169"/>
      <c r="H65" s="282"/>
      <c r="I65" s="281">
        <v>80</v>
      </c>
      <c r="J65" s="280">
        <v>0.8</v>
      </c>
      <c r="K65" s="280">
        <v>-2.6</v>
      </c>
      <c r="L65" s="278">
        <f t="shared" si="11"/>
        <v>1.7000000000000002</v>
      </c>
      <c r="M65" s="169"/>
      <c r="N65" s="169"/>
      <c r="O65" s="277"/>
      <c r="P65" s="241"/>
    </row>
    <row r="66" spans="1:16" ht="13.5" thickBot="1">
      <c r="A66" s="2078"/>
      <c r="B66" s="271"/>
      <c r="C66" s="275">
        <v>40</v>
      </c>
      <c r="D66" s="274">
        <v>-1.4</v>
      </c>
      <c r="E66" s="274">
        <v>-0.1</v>
      </c>
      <c r="F66" s="272">
        <f t="shared" si="10"/>
        <v>0.64999999999999991</v>
      </c>
      <c r="G66" s="271"/>
      <c r="H66" s="276"/>
      <c r="I66" s="275">
        <v>90</v>
      </c>
      <c r="J66" s="274">
        <v>0.7</v>
      </c>
      <c r="K66" s="274">
        <v>-2.6</v>
      </c>
      <c r="L66" s="272">
        <f t="shared" si="11"/>
        <v>1.65</v>
      </c>
      <c r="M66" s="271"/>
      <c r="N66" s="271"/>
      <c r="O66" s="270"/>
      <c r="P66" s="241"/>
    </row>
    <row r="67" spans="1:16" ht="13.5" thickBot="1">
      <c r="A67" s="302"/>
      <c r="B67" s="300"/>
      <c r="C67" s="300"/>
      <c r="D67" s="300"/>
      <c r="E67" s="299"/>
      <c r="F67" s="309"/>
      <c r="G67" s="301"/>
      <c r="H67" s="300"/>
      <c r="I67" s="300"/>
      <c r="J67" s="300"/>
      <c r="K67" s="299"/>
      <c r="L67" s="309"/>
      <c r="M67" s="169"/>
      <c r="N67" s="169"/>
      <c r="O67" s="277"/>
      <c r="P67" s="241"/>
    </row>
    <row r="68" spans="1:16" ht="13.5" thickBot="1">
      <c r="A68" s="2076">
        <v>7</v>
      </c>
      <c r="B68" s="2079" t="s">
        <v>86</v>
      </c>
      <c r="C68" s="2080"/>
      <c r="D68" s="2080"/>
      <c r="E68" s="2080"/>
      <c r="F68" s="2081"/>
      <c r="G68" s="297"/>
      <c r="H68" s="2079" t="str">
        <f>B68</f>
        <v>KOREKSI GREISINGER 34903053</v>
      </c>
      <c r="I68" s="2080"/>
      <c r="J68" s="2080"/>
      <c r="K68" s="2080"/>
      <c r="L68" s="2081"/>
      <c r="M68" s="297"/>
      <c r="N68" s="2086" t="s">
        <v>81</v>
      </c>
      <c r="O68" s="2087"/>
      <c r="P68" s="241"/>
    </row>
    <row r="69" spans="1:16" ht="13.5" thickBot="1">
      <c r="A69" s="2077"/>
      <c r="B69" s="2082" t="s">
        <v>74</v>
      </c>
      <c r="C69" s="2083"/>
      <c r="D69" s="2084" t="s">
        <v>7</v>
      </c>
      <c r="E69" s="2085"/>
      <c r="F69" s="2063" t="s">
        <v>2</v>
      </c>
      <c r="G69" s="169"/>
      <c r="H69" s="2082" t="s">
        <v>75</v>
      </c>
      <c r="I69" s="2083"/>
      <c r="J69" s="2084" t="s">
        <v>7</v>
      </c>
      <c r="K69" s="2085"/>
      <c r="L69" s="2063" t="s">
        <v>2</v>
      </c>
      <c r="M69" s="169"/>
      <c r="N69" s="296" t="s">
        <v>74</v>
      </c>
      <c r="O69" s="311">
        <v>0.3</v>
      </c>
      <c r="P69" s="241"/>
    </row>
    <row r="70" spans="1:16" ht="15" thickBot="1">
      <c r="A70" s="2077"/>
      <c r="B70" s="2065" t="s">
        <v>77</v>
      </c>
      <c r="C70" s="2066"/>
      <c r="D70" s="294">
        <v>2018</v>
      </c>
      <c r="E70" s="294">
        <v>2017</v>
      </c>
      <c r="F70" s="2064"/>
      <c r="G70" s="169"/>
      <c r="H70" s="2067" t="s">
        <v>78</v>
      </c>
      <c r="I70" s="2068"/>
      <c r="J70" s="292">
        <f>D70</f>
        <v>2018</v>
      </c>
      <c r="K70" s="292">
        <f>E70</f>
        <v>2017</v>
      </c>
      <c r="L70" s="2064"/>
      <c r="M70" s="169"/>
      <c r="N70" s="291" t="s">
        <v>78</v>
      </c>
      <c r="O70" s="310">
        <v>2.2999999999999998</v>
      </c>
      <c r="P70" s="241"/>
    </row>
    <row r="71" spans="1:16" ht="13">
      <c r="A71" s="2077"/>
      <c r="B71" s="169"/>
      <c r="C71" s="289">
        <v>15</v>
      </c>
      <c r="D71" s="288">
        <v>0.3</v>
      </c>
      <c r="E71" s="288">
        <v>0.2</v>
      </c>
      <c r="F71" s="286">
        <f t="shared" ref="F71:F77" si="12">0.5*(MAX(D71:E71)-MIN(D71:E71))</f>
        <v>4.9999999999999989E-2</v>
      </c>
      <c r="G71" s="169"/>
      <c r="H71" s="282"/>
      <c r="I71" s="289">
        <v>30</v>
      </c>
      <c r="J71" s="288">
        <v>1.8</v>
      </c>
      <c r="K71" s="288">
        <v>-0.1</v>
      </c>
      <c r="L71" s="286">
        <f t="shared" ref="L71:L77" si="13">0.5*(MAX(J71:K71)-MIN(J71:K71))</f>
        <v>0.95000000000000007</v>
      </c>
      <c r="M71" s="169"/>
      <c r="N71" s="169"/>
      <c r="O71" s="277"/>
      <c r="P71" s="241"/>
    </row>
    <row r="72" spans="1:16" ht="13">
      <c r="A72" s="2077"/>
      <c r="B72" s="169"/>
      <c r="C72" s="285">
        <v>20</v>
      </c>
      <c r="D72" s="284">
        <v>0.1</v>
      </c>
      <c r="E72" s="284">
        <v>0.1</v>
      </c>
      <c r="F72" s="278">
        <f t="shared" si="12"/>
        <v>0</v>
      </c>
      <c r="G72" s="169"/>
      <c r="H72" s="282"/>
      <c r="I72" s="285">
        <v>40</v>
      </c>
      <c r="J72" s="284">
        <v>1.2</v>
      </c>
      <c r="K72" s="284">
        <v>0</v>
      </c>
      <c r="L72" s="278">
        <f t="shared" si="13"/>
        <v>0.6</v>
      </c>
      <c r="M72" s="169"/>
      <c r="N72" s="169"/>
      <c r="O72" s="277"/>
      <c r="P72" s="241"/>
    </row>
    <row r="73" spans="1:16" ht="13">
      <c r="A73" s="2077"/>
      <c r="B73" s="169"/>
      <c r="C73" s="285">
        <v>25</v>
      </c>
      <c r="D73" s="284">
        <v>-0.2</v>
      </c>
      <c r="E73" s="284">
        <v>0</v>
      </c>
      <c r="F73" s="278">
        <f t="shared" si="12"/>
        <v>0.1</v>
      </c>
      <c r="G73" s="169"/>
      <c r="H73" s="282"/>
      <c r="I73" s="285">
        <v>50</v>
      </c>
      <c r="J73" s="284">
        <v>0.8</v>
      </c>
      <c r="K73" s="284">
        <v>0.6</v>
      </c>
      <c r="L73" s="278">
        <f t="shared" si="13"/>
        <v>0.10000000000000003</v>
      </c>
      <c r="M73" s="169"/>
      <c r="N73" s="169"/>
      <c r="O73" s="277"/>
      <c r="P73" s="241"/>
    </row>
    <row r="74" spans="1:16" ht="13">
      <c r="A74" s="2077"/>
      <c r="B74" s="169"/>
      <c r="C74" s="281">
        <v>30</v>
      </c>
      <c r="D74" s="280">
        <v>-0.6</v>
      </c>
      <c r="E74" s="280">
        <v>-0.1</v>
      </c>
      <c r="F74" s="278">
        <f t="shared" si="12"/>
        <v>0.25</v>
      </c>
      <c r="G74" s="169"/>
      <c r="H74" s="282"/>
      <c r="I74" s="281">
        <v>60</v>
      </c>
      <c r="J74" s="280">
        <v>0.7</v>
      </c>
      <c r="K74" s="280">
        <v>1.5</v>
      </c>
      <c r="L74" s="278">
        <f t="shared" si="13"/>
        <v>0.4</v>
      </c>
      <c r="M74" s="169"/>
      <c r="N74" s="169"/>
      <c r="O74" s="277"/>
      <c r="P74" s="241"/>
    </row>
    <row r="75" spans="1:16" ht="13">
      <c r="A75" s="2077"/>
      <c r="B75" s="169"/>
      <c r="C75" s="281">
        <v>35</v>
      </c>
      <c r="D75" s="280">
        <v>-1.1000000000000001</v>
      </c>
      <c r="E75" s="280">
        <v>-0.1</v>
      </c>
      <c r="F75" s="278">
        <f t="shared" si="12"/>
        <v>0.5</v>
      </c>
      <c r="G75" s="169"/>
      <c r="H75" s="282"/>
      <c r="I75" s="281">
        <v>70</v>
      </c>
      <c r="J75" s="280">
        <v>0.9</v>
      </c>
      <c r="K75" s="280">
        <v>2.8</v>
      </c>
      <c r="L75" s="278">
        <f t="shared" si="13"/>
        <v>0.95</v>
      </c>
      <c r="M75" s="169"/>
      <c r="N75" s="169"/>
      <c r="O75" s="277"/>
      <c r="P75" s="241"/>
    </row>
    <row r="76" spans="1:16" ht="13">
      <c r="A76" s="2077"/>
      <c r="B76" s="169"/>
      <c r="C76" s="281">
        <v>37</v>
      </c>
      <c r="D76" s="280">
        <v>-1.4</v>
      </c>
      <c r="E76" s="280">
        <v>-0.1</v>
      </c>
      <c r="F76" s="278">
        <f t="shared" si="12"/>
        <v>0.64999999999999991</v>
      </c>
      <c r="G76" s="169"/>
      <c r="H76" s="282"/>
      <c r="I76" s="281">
        <v>80</v>
      </c>
      <c r="J76" s="280">
        <v>1.2</v>
      </c>
      <c r="K76" s="280">
        <v>4.4000000000000004</v>
      </c>
      <c r="L76" s="278">
        <f t="shared" si="13"/>
        <v>1.6</v>
      </c>
      <c r="M76" s="169"/>
      <c r="N76" s="169"/>
      <c r="O76" s="277"/>
      <c r="P76" s="241"/>
    </row>
    <row r="77" spans="1:16" ht="13.5" thickBot="1">
      <c r="A77" s="2078"/>
      <c r="B77" s="271"/>
      <c r="C77" s="275">
        <v>40</v>
      </c>
      <c r="D77" s="274">
        <v>-1.7</v>
      </c>
      <c r="E77" s="274">
        <v>-0.1</v>
      </c>
      <c r="F77" s="272">
        <f t="shared" si="12"/>
        <v>0.79999999999999993</v>
      </c>
      <c r="G77" s="271"/>
      <c r="H77" s="276"/>
      <c r="I77" s="275">
        <v>90</v>
      </c>
      <c r="J77" s="274">
        <v>1.8</v>
      </c>
      <c r="K77" s="274">
        <v>4.4000000000000004</v>
      </c>
      <c r="L77" s="272">
        <f t="shared" si="13"/>
        <v>1.3000000000000003</v>
      </c>
      <c r="M77" s="271"/>
      <c r="N77" s="271"/>
      <c r="O77" s="270"/>
      <c r="P77" s="241"/>
    </row>
    <row r="78" spans="1:16" ht="13.5" thickBot="1">
      <c r="A78" s="302"/>
      <c r="B78" s="300"/>
      <c r="C78" s="300"/>
      <c r="D78" s="300"/>
      <c r="E78" s="299"/>
      <c r="F78" s="309"/>
      <c r="G78" s="301"/>
      <c r="H78" s="300"/>
      <c r="I78" s="300"/>
      <c r="J78" s="300"/>
      <c r="K78" s="299"/>
      <c r="L78" s="309"/>
      <c r="M78" s="169"/>
      <c r="N78" s="169"/>
      <c r="O78" s="277"/>
      <c r="P78" s="241"/>
    </row>
    <row r="79" spans="1:16" ht="13.5" thickBot="1">
      <c r="A79" s="2076">
        <v>8</v>
      </c>
      <c r="B79" s="2079" t="s">
        <v>87</v>
      </c>
      <c r="C79" s="2080"/>
      <c r="D79" s="2080"/>
      <c r="E79" s="2080"/>
      <c r="F79" s="2081"/>
      <c r="G79" s="297"/>
      <c r="H79" s="2079" t="str">
        <f>B79</f>
        <v>KOREKSI GREISINGER 34903051</v>
      </c>
      <c r="I79" s="2080"/>
      <c r="J79" s="2080"/>
      <c r="K79" s="2080"/>
      <c r="L79" s="2081"/>
      <c r="M79" s="297"/>
      <c r="N79" s="2086" t="s">
        <v>81</v>
      </c>
      <c r="O79" s="2087"/>
      <c r="P79" s="241"/>
    </row>
    <row r="80" spans="1:16" ht="13.5" thickBot="1">
      <c r="A80" s="2077"/>
      <c r="B80" s="2082" t="s">
        <v>74</v>
      </c>
      <c r="C80" s="2083"/>
      <c r="D80" s="2084" t="s">
        <v>7</v>
      </c>
      <c r="E80" s="2085"/>
      <c r="F80" s="2063" t="s">
        <v>2</v>
      </c>
      <c r="G80" s="169"/>
      <c r="H80" s="2082" t="s">
        <v>75</v>
      </c>
      <c r="I80" s="2083"/>
      <c r="J80" s="2084" t="s">
        <v>7</v>
      </c>
      <c r="K80" s="2085"/>
      <c r="L80" s="2063" t="s">
        <v>2</v>
      </c>
      <c r="M80" s="169"/>
      <c r="N80" s="296" t="s">
        <v>74</v>
      </c>
      <c r="O80" s="295">
        <v>0.3</v>
      </c>
      <c r="P80" s="241"/>
    </row>
    <row r="81" spans="1:16" ht="15" thickBot="1">
      <c r="A81" s="2077"/>
      <c r="B81" s="2065" t="s">
        <v>77</v>
      </c>
      <c r="C81" s="2066"/>
      <c r="D81" s="294">
        <v>2019</v>
      </c>
      <c r="E81" s="294">
        <v>2017</v>
      </c>
      <c r="F81" s="2064"/>
      <c r="G81" s="169"/>
      <c r="H81" s="2067" t="s">
        <v>78</v>
      </c>
      <c r="I81" s="2068"/>
      <c r="J81" s="292">
        <f>D81</f>
        <v>2019</v>
      </c>
      <c r="K81" s="292">
        <f>E81</f>
        <v>2017</v>
      </c>
      <c r="L81" s="2064"/>
      <c r="M81" s="169"/>
      <c r="N81" s="291" t="s">
        <v>78</v>
      </c>
      <c r="O81" s="290">
        <v>2.6</v>
      </c>
      <c r="P81" s="241"/>
    </row>
    <row r="82" spans="1:16" ht="13">
      <c r="A82" s="2077"/>
      <c r="B82" s="169"/>
      <c r="C82" s="307">
        <v>15</v>
      </c>
      <c r="D82" s="288">
        <v>0</v>
      </c>
      <c r="E82" s="288">
        <v>-0.2</v>
      </c>
      <c r="F82" s="286">
        <f t="shared" ref="F82:F88" si="14">0.5*(MAX(D82:E82)-MIN(D82:E82))</f>
        <v>0.1</v>
      </c>
      <c r="G82" s="169"/>
      <c r="H82" s="282"/>
      <c r="I82" s="307">
        <v>30</v>
      </c>
      <c r="J82" s="288">
        <v>-1.4</v>
      </c>
      <c r="K82" s="288">
        <v>1</v>
      </c>
      <c r="L82" s="286">
        <f t="shared" ref="L82:L88" si="15">0.5*(MAX(J82:K82)-MIN(J82:K82))</f>
        <v>1.2</v>
      </c>
      <c r="M82" s="169"/>
      <c r="N82" s="169"/>
      <c r="O82" s="277"/>
      <c r="P82" s="241"/>
    </row>
    <row r="83" spans="1:16" ht="13">
      <c r="A83" s="2077"/>
      <c r="B83" s="169"/>
      <c r="C83" s="306">
        <v>20</v>
      </c>
      <c r="D83" s="288">
        <v>-0.2</v>
      </c>
      <c r="E83" s="288">
        <v>-0.2</v>
      </c>
      <c r="F83" s="278">
        <f t="shared" si="14"/>
        <v>0</v>
      </c>
      <c r="G83" s="169"/>
      <c r="H83" s="282"/>
      <c r="I83" s="306">
        <v>40</v>
      </c>
      <c r="J83" s="284">
        <v>-1.2</v>
      </c>
      <c r="K83" s="284">
        <v>1.1000000000000001</v>
      </c>
      <c r="L83" s="278">
        <f t="shared" si="15"/>
        <v>1.1499999999999999</v>
      </c>
      <c r="M83" s="169"/>
      <c r="N83" s="169"/>
      <c r="O83" s="277"/>
      <c r="P83" s="241"/>
    </row>
    <row r="84" spans="1:16" ht="13">
      <c r="A84" s="2077"/>
      <c r="B84" s="169"/>
      <c r="C84" s="306">
        <v>25</v>
      </c>
      <c r="D84" s="288">
        <v>-0.4</v>
      </c>
      <c r="E84" s="288">
        <v>-0.2</v>
      </c>
      <c r="F84" s="278">
        <f t="shared" si="14"/>
        <v>0.1</v>
      </c>
      <c r="G84" s="169"/>
      <c r="H84" s="282"/>
      <c r="I84" s="306">
        <v>50</v>
      </c>
      <c r="J84" s="284">
        <v>-1.2</v>
      </c>
      <c r="K84" s="284">
        <v>1.3</v>
      </c>
      <c r="L84" s="278">
        <f t="shared" si="15"/>
        <v>1.25</v>
      </c>
      <c r="M84" s="169"/>
      <c r="N84" s="169"/>
      <c r="O84" s="277"/>
      <c r="P84" s="241"/>
    </row>
    <row r="85" spans="1:16" ht="13">
      <c r="A85" s="2077"/>
      <c r="B85" s="169"/>
      <c r="C85" s="305">
        <v>30</v>
      </c>
      <c r="D85" s="288">
        <v>-0.4</v>
      </c>
      <c r="E85" s="288">
        <v>-0.2</v>
      </c>
      <c r="F85" s="278">
        <f t="shared" si="14"/>
        <v>0.1</v>
      </c>
      <c r="G85" s="169"/>
      <c r="H85" s="282"/>
      <c r="I85" s="305">
        <v>60</v>
      </c>
      <c r="J85" s="280">
        <v>-1.1000000000000001</v>
      </c>
      <c r="K85" s="280">
        <v>1.7</v>
      </c>
      <c r="L85" s="278">
        <f t="shared" si="15"/>
        <v>1.4</v>
      </c>
      <c r="M85" s="169"/>
      <c r="N85" s="169"/>
      <c r="O85" s="277"/>
      <c r="P85" s="241"/>
    </row>
    <row r="86" spans="1:16" ht="13">
      <c r="A86" s="2077"/>
      <c r="B86" s="169"/>
      <c r="C86" s="305">
        <v>35</v>
      </c>
      <c r="D86" s="280">
        <v>-0.5</v>
      </c>
      <c r="E86" s="280">
        <v>-0.3</v>
      </c>
      <c r="F86" s="278">
        <f t="shared" si="14"/>
        <v>0.1</v>
      </c>
      <c r="G86" s="169"/>
      <c r="H86" s="282"/>
      <c r="I86" s="305">
        <v>70</v>
      </c>
      <c r="J86" s="280">
        <v>-1.2</v>
      </c>
      <c r="K86" s="280">
        <v>2.1</v>
      </c>
      <c r="L86" s="278">
        <f t="shared" si="15"/>
        <v>1.65</v>
      </c>
      <c r="M86" s="169"/>
      <c r="N86" s="169"/>
      <c r="O86" s="277"/>
      <c r="P86" s="241"/>
    </row>
    <row r="87" spans="1:16" ht="13">
      <c r="A87" s="2077"/>
      <c r="B87" s="169"/>
      <c r="C87" s="305">
        <v>37</v>
      </c>
      <c r="D87" s="280">
        <v>-0.5</v>
      </c>
      <c r="E87" s="280">
        <v>-0.3</v>
      </c>
      <c r="F87" s="278">
        <f t="shared" si="14"/>
        <v>0.1</v>
      </c>
      <c r="G87" s="169"/>
      <c r="H87" s="282"/>
      <c r="I87" s="305">
        <v>80</v>
      </c>
      <c r="J87" s="280">
        <v>-1.2</v>
      </c>
      <c r="K87" s="280">
        <v>2.6</v>
      </c>
      <c r="L87" s="278">
        <f t="shared" si="15"/>
        <v>1.9</v>
      </c>
      <c r="M87" s="169"/>
      <c r="N87" s="169"/>
      <c r="O87" s="277"/>
      <c r="P87" s="241"/>
    </row>
    <row r="88" spans="1:16" ht="13.5" thickBot="1">
      <c r="A88" s="2078"/>
      <c r="B88" s="271"/>
      <c r="C88" s="303">
        <v>40</v>
      </c>
      <c r="D88" s="274">
        <v>-0.4</v>
      </c>
      <c r="E88" s="274">
        <v>-0.4</v>
      </c>
      <c r="F88" s="272">
        <f t="shared" si="14"/>
        <v>0</v>
      </c>
      <c r="G88" s="271"/>
      <c r="H88" s="276"/>
      <c r="I88" s="303">
        <v>90</v>
      </c>
      <c r="J88" s="274">
        <v>-1.3</v>
      </c>
      <c r="K88" s="274">
        <v>2.6</v>
      </c>
      <c r="L88" s="272">
        <f t="shared" si="15"/>
        <v>1.9500000000000002</v>
      </c>
      <c r="M88" s="271"/>
      <c r="N88" s="271"/>
      <c r="O88" s="270"/>
      <c r="P88" s="241"/>
    </row>
    <row r="89" spans="1:16" ht="13.5" thickBot="1">
      <c r="A89" s="302"/>
      <c r="B89" s="300"/>
      <c r="C89" s="300"/>
      <c r="D89" s="300"/>
      <c r="E89" s="299"/>
      <c r="F89" s="298"/>
      <c r="G89" s="301"/>
      <c r="H89" s="300"/>
      <c r="I89" s="300"/>
      <c r="J89" s="300"/>
      <c r="K89" s="299"/>
      <c r="L89" s="298"/>
      <c r="M89" s="169"/>
      <c r="N89" s="169"/>
      <c r="O89" s="277"/>
      <c r="P89" s="241"/>
    </row>
    <row r="90" spans="1:16" ht="13.5" thickBot="1">
      <c r="A90" s="2076">
        <v>9</v>
      </c>
      <c r="B90" s="2079" t="s">
        <v>88</v>
      </c>
      <c r="C90" s="2080"/>
      <c r="D90" s="2080"/>
      <c r="E90" s="2080"/>
      <c r="F90" s="2081"/>
      <c r="G90" s="297"/>
      <c r="H90" s="2079" t="str">
        <f>B90</f>
        <v>KOREKSI GREISINGER 34904091</v>
      </c>
      <c r="I90" s="2080"/>
      <c r="J90" s="2080"/>
      <c r="K90" s="2080"/>
      <c r="L90" s="2081"/>
      <c r="M90" s="297"/>
      <c r="N90" s="2086" t="s">
        <v>81</v>
      </c>
      <c r="O90" s="2087"/>
      <c r="P90" s="241"/>
    </row>
    <row r="91" spans="1:16" ht="13.5" thickBot="1">
      <c r="A91" s="2077"/>
      <c r="B91" s="2082" t="s">
        <v>74</v>
      </c>
      <c r="C91" s="2083"/>
      <c r="D91" s="2084" t="s">
        <v>7</v>
      </c>
      <c r="E91" s="2085"/>
      <c r="F91" s="2063" t="s">
        <v>2</v>
      </c>
      <c r="G91" s="169"/>
      <c r="H91" s="2082" t="s">
        <v>75</v>
      </c>
      <c r="I91" s="2083"/>
      <c r="J91" s="2084" t="s">
        <v>7</v>
      </c>
      <c r="K91" s="2085"/>
      <c r="L91" s="2063" t="s">
        <v>2</v>
      </c>
      <c r="M91" s="169"/>
      <c r="N91" s="296" t="s">
        <v>74</v>
      </c>
      <c r="O91" s="295">
        <v>0.3</v>
      </c>
      <c r="P91" s="241"/>
    </row>
    <row r="92" spans="1:16" ht="15" thickBot="1">
      <c r="A92" s="2077"/>
      <c r="B92" s="2065" t="s">
        <v>77</v>
      </c>
      <c r="C92" s="2066"/>
      <c r="D92" s="294">
        <v>2019</v>
      </c>
      <c r="E92" s="293" t="s">
        <v>10</v>
      </c>
      <c r="F92" s="2064"/>
      <c r="G92" s="169"/>
      <c r="H92" s="2067" t="s">
        <v>78</v>
      </c>
      <c r="I92" s="2068"/>
      <c r="J92" s="292">
        <f>D92</f>
        <v>2019</v>
      </c>
      <c r="K92" s="292" t="str">
        <f>E92</f>
        <v>-</v>
      </c>
      <c r="L92" s="2064"/>
      <c r="M92" s="169"/>
      <c r="N92" s="291" t="s">
        <v>78</v>
      </c>
      <c r="O92" s="290">
        <v>2.4</v>
      </c>
      <c r="P92" s="241"/>
    </row>
    <row r="93" spans="1:16" ht="13">
      <c r="A93" s="2077"/>
      <c r="B93" s="282"/>
      <c r="C93" s="307">
        <v>15</v>
      </c>
      <c r="D93" s="288">
        <v>0</v>
      </c>
      <c r="E93" s="287" t="s">
        <v>10</v>
      </c>
      <c r="F93" s="286">
        <f t="shared" ref="F93:F99" si="16">0.5*(MAX(D93:E93)-MIN(D93:E93))</f>
        <v>0</v>
      </c>
      <c r="G93" s="169"/>
      <c r="H93" s="282"/>
      <c r="I93" s="307">
        <v>30</v>
      </c>
      <c r="J93" s="288">
        <v>-1.2</v>
      </c>
      <c r="K93" s="287" t="s">
        <v>10</v>
      </c>
      <c r="L93" s="286">
        <f t="shared" ref="L93:L99" si="17">0.5*(MAX(J93:K93)-MIN(J93:K93))</f>
        <v>0</v>
      </c>
      <c r="M93" s="169"/>
      <c r="N93" s="169"/>
      <c r="O93" s="277"/>
      <c r="P93" s="241"/>
    </row>
    <row r="94" spans="1:16" ht="13">
      <c r="A94" s="2077"/>
      <c r="B94" s="282"/>
      <c r="C94" s="306">
        <v>20</v>
      </c>
      <c r="D94" s="288">
        <v>-0.2</v>
      </c>
      <c r="E94" s="283" t="s">
        <v>10</v>
      </c>
      <c r="F94" s="278">
        <f t="shared" si="16"/>
        <v>0</v>
      </c>
      <c r="G94" s="169"/>
      <c r="H94" s="282"/>
      <c r="I94" s="306">
        <v>40</v>
      </c>
      <c r="J94" s="288">
        <v>-1</v>
      </c>
      <c r="K94" s="283" t="s">
        <v>10</v>
      </c>
      <c r="L94" s="278">
        <f t="shared" si="17"/>
        <v>0</v>
      </c>
      <c r="M94" s="169"/>
      <c r="N94" s="169"/>
      <c r="O94" s="277"/>
      <c r="P94" s="241"/>
    </row>
    <row r="95" spans="1:16" ht="13">
      <c r="A95" s="2077"/>
      <c r="B95" s="282"/>
      <c r="C95" s="306">
        <v>25</v>
      </c>
      <c r="D95" s="288">
        <v>-0.4</v>
      </c>
      <c r="E95" s="283" t="s">
        <v>10</v>
      </c>
      <c r="F95" s="278">
        <f t="shared" si="16"/>
        <v>0</v>
      </c>
      <c r="G95" s="169"/>
      <c r="H95" s="282"/>
      <c r="I95" s="306">
        <v>50</v>
      </c>
      <c r="J95" s="288">
        <v>-0.9</v>
      </c>
      <c r="K95" s="283" t="s">
        <v>10</v>
      </c>
      <c r="L95" s="278">
        <f t="shared" si="17"/>
        <v>0</v>
      </c>
      <c r="M95" s="169"/>
      <c r="N95" s="169"/>
      <c r="O95" s="277"/>
      <c r="P95" s="241"/>
    </row>
    <row r="96" spans="1:16" ht="13">
      <c r="A96" s="2077"/>
      <c r="B96" s="282"/>
      <c r="C96" s="305">
        <v>30</v>
      </c>
      <c r="D96" s="288">
        <v>-0.5</v>
      </c>
      <c r="E96" s="279" t="s">
        <v>10</v>
      </c>
      <c r="F96" s="278">
        <f t="shared" si="16"/>
        <v>0</v>
      </c>
      <c r="G96" s="169"/>
      <c r="H96" s="282"/>
      <c r="I96" s="305">
        <v>60</v>
      </c>
      <c r="J96" s="288">
        <v>-0.8</v>
      </c>
      <c r="K96" s="279" t="s">
        <v>10</v>
      </c>
      <c r="L96" s="278">
        <f t="shared" si="17"/>
        <v>0</v>
      </c>
      <c r="M96" s="169"/>
      <c r="N96" s="169"/>
      <c r="O96" s="277"/>
      <c r="P96" s="241"/>
    </row>
    <row r="97" spans="1:16" ht="13">
      <c r="A97" s="2077"/>
      <c r="B97" s="282"/>
      <c r="C97" s="305">
        <v>35</v>
      </c>
      <c r="D97" s="288">
        <v>-0.5</v>
      </c>
      <c r="E97" s="279" t="s">
        <v>10</v>
      </c>
      <c r="F97" s="278">
        <f t="shared" si="16"/>
        <v>0</v>
      </c>
      <c r="G97" s="169"/>
      <c r="H97" s="282"/>
      <c r="I97" s="305">
        <v>70</v>
      </c>
      <c r="J97" s="288">
        <v>-0.6</v>
      </c>
      <c r="K97" s="279" t="s">
        <v>10</v>
      </c>
      <c r="L97" s="278">
        <f t="shared" si="17"/>
        <v>0</v>
      </c>
      <c r="M97" s="169"/>
      <c r="N97" s="169"/>
      <c r="O97" s="277"/>
      <c r="P97" s="241"/>
    </row>
    <row r="98" spans="1:16" ht="13">
      <c r="A98" s="2077"/>
      <c r="B98" s="282"/>
      <c r="C98" s="305">
        <v>37</v>
      </c>
      <c r="D98" s="288">
        <v>-0.5</v>
      </c>
      <c r="E98" s="279" t="s">
        <v>10</v>
      </c>
      <c r="F98" s="278">
        <f t="shared" si="16"/>
        <v>0</v>
      </c>
      <c r="G98" s="169"/>
      <c r="H98" s="282"/>
      <c r="I98" s="305">
        <v>80</v>
      </c>
      <c r="J98" s="288">
        <v>-0.5</v>
      </c>
      <c r="K98" s="279" t="s">
        <v>10</v>
      </c>
      <c r="L98" s="278">
        <f t="shared" si="17"/>
        <v>0</v>
      </c>
      <c r="M98" s="169"/>
      <c r="N98" s="169"/>
      <c r="O98" s="277"/>
      <c r="P98" s="241"/>
    </row>
    <row r="99" spans="1:16" ht="13.5" thickBot="1">
      <c r="A99" s="2078"/>
      <c r="B99" s="276"/>
      <c r="C99" s="303">
        <v>40</v>
      </c>
      <c r="D99" s="308">
        <v>-0.4</v>
      </c>
      <c r="E99" s="273" t="s">
        <v>10</v>
      </c>
      <c r="F99" s="272">
        <f t="shared" si="16"/>
        <v>0</v>
      </c>
      <c r="G99" s="271"/>
      <c r="H99" s="276"/>
      <c r="I99" s="303">
        <v>90</v>
      </c>
      <c r="J99" s="308">
        <v>-0.2</v>
      </c>
      <c r="K99" s="273" t="s">
        <v>10</v>
      </c>
      <c r="L99" s="272">
        <f t="shared" si="17"/>
        <v>0</v>
      </c>
      <c r="M99" s="271"/>
      <c r="N99" s="271"/>
      <c r="O99" s="270"/>
      <c r="P99" s="241"/>
    </row>
    <row r="100" spans="1:16" ht="13.5" thickBot="1">
      <c r="A100" s="302"/>
      <c r="B100" s="300"/>
      <c r="C100" s="300"/>
      <c r="D100" s="300"/>
      <c r="E100" s="299"/>
      <c r="F100" s="298"/>
      <c r="G100" s="301"/>
      <c r="H100" s="300"/>
      <c r="I100" s="300"/>
      <c r="J100" s="300"/>
      <c r="K100" s="299"/>
      <c r="L100" s="298"/>
      <c r="M100" s="301"/>
      <c r="N100" s="169"/>
      <c r="O100" s="277"/>
      <c r="P100" s="241"/>
    </row>
    <row r="101" spans="1:16" ht="13.5" thickBot="1">
      <c r="A101" s="2076">
        <v>10</v>
      </c>
      <c r="B101" s="2079" t="s">
        <v>89</v>
      </c>
      <c r="C101" s="2080"/>
      <c r="D101" s="2080"/>
      <c r="E101" s="2080"/>
      <c r="F101" s="2081"/>
      <c r="G101" s="297"/>
      <c r="H101" s="2088" t="str">
        <f>B101</f>
        <v>KOREKSI Sekonic HE-21.000669</v>
      </c>
      <c r="I101" s="2089"/>
      <c r="J101" s="2089"/>
      <c r="K101" s="2089"/>
      <c r="L101" s="2090"/>
      <c r="M101" s="297"/>
      <c r="N101" s="2086" t="s">
        <v>81</v>
      </c>
      <c r="O101" s="2087"/>
      <c r="P101" s="241"/>
    </row>
    <row r="102" spans="1:16" ht="13.5" thickBot="1">
      <c r="A102" s="2077"/>
      <c r="B102" s="2082" t="s">
        <v>74</v>
      </c>
      <c r="C102" s="2083"/>
      <c r="D102" s="2084" t="s">
        <v>7</v>
      </c>
      <c r="E102" s="2085"/>
      <c r="F102" s="2063" t="s">
        <v>2</v>
      </c>
      <c r="G102" s="169"/>
      <c r="H102" s="2082" t="s">
        <v>75</v>
      </c>
      <c r="I102" s="2083"/>
      <c r="J102" s="2084" t="s">
        <v>7</v>
      </c>
      <c r="K102" s="2085"/>
      <c r="L102" s="2063" t="s">
        <v>2</v>
      </c>
      <c r="M102" s="169"/>
      <c r="N102" s="296" t="s">
        <v>74</v>
      </c>
      <c r="O102" s="295">
        <v>0.3</v>
      </c>
      <c r="P102" s="241"/>
    </row>
    <row r="103" spans="1:16" ht="15" thickBot="1">
      <c r="A103" s="2077"/>
      <c r="B103" s="2065" t="s">
        <v>77</v>
      </c>
      <c r="C103" s="2066"/>
      <c r="D103" s="294">
        <v>2019</v>
      </c>
      <c r="E103" s="294">
        <v>2016</v>
      </c>
      <c r="F103" s="2064"/>
      <c r="G103" s="169"/>
      <c r="H103" s="2067" t="s">
        <v>78</v>
      </c>
      <c r="I103" s="2068"/>
      <c r="J103" s="292">
        <f>D103</f>
        <v>2019</v>
      </c>
      <c r="K103" s="292">
        <f>E103</f>
        <v>2016</v>
      </c>
      <c r="L103" s="2064"/>
      <c r="M103" s="169"/>
      <c r="N103" s="291" t="s">
        <v>78</v>
      </c>
      <c r="O103" s="290">
        <v>1.5</v>
      </c>
      <c r="P103" s="241"/>
    </row>
    <row r="104" spans="1:16" ht="13">
      <c r="A104" s="2077"/>
      <c r="B104" s="169"/>
      <c r="C104" s="307">
        <v>15</v>
      </c>
      <c r="D104" s="288">
        <v>0.2</v>
      </c>
      <c r="E104" s="288">
        <v>0.2</v>
      </c>
      <c r="F104" s="286">
        <f t="shared" ref="F104:F110" si="18">0.5*(MAX(D104:E104)-MIN(D104:E104))</f>
        <v>0</v>
      </c>
      <c r="G104" s="169"/>
      <c r="H104" s="282"/>
      <c r="I104" s="307">
        <v>30</v>
      </c>
      <c r="J104" s="288">
        <v>-2.9</v>
      </c>
      <c r="K104" s="288">
        <v>-5.8</v>
      </c>
      <c r="L104" s="286">
        <f t="shared" ref="L104:L110" si="19">0.5*(MAX(J104:K104)-MIN(J104:K104))</f>
        <v>1.45</v>
      </c>
      <c r="M104" s="169"/>
      <c r="N104" s="169"/>
      <c r="O104" s="277"/>
      <c r="P104" s="241"/>
    </row>
    <row r="105" spans="1:16" ht="13">
      <c r="A105" s="2077"/>
      <c r="B105" s="169"/>
      <c r="C105" s="306">
        <v>20</v>
      </c>
      <c r="D105" s="284">
        <v>0.2</v>
      </c>
      <c r="E105" s="284">
        <v>-0.7</v>
      </c>
      <c r="F105" s="278">
        <f t="shared" si="18"/>
        <v>0.44999999999999996</v>
      </c>
      <c r="G105" s="169"/>
      <c r="H105" s="282"/>
      <c r="I105" s="306">
        <v>40</v>
      </c>
      <c r="J105" s="284">
        <v>-3.3</v>
      </c>
      <c r="K105" s="284">
        <v>-6.4</v>
      </c>
      <c r="L105" s="278">
        <f t="shared" si="19"/>
        <v>1.5500000000000003</v>
      </c>
      <c r="M105" s="169"/>
      <c r="N105" s="169"/>
      <c r="O105" s="277"/>
      <c r="P105" s="241"/>
    </row>
    <row r="106" spans="1:16" ht="13">
      <c r="A106" s="2077"/>
      <c r="B106" s="169"/>
      <c r="C106" s="306">
        <v>25</v>
      </c>
      <c r="D106" s="284">
        <v>0.1</v>
      </c>
      <c r="E106" s="284">
        <v>-0.5</v>
      </c>
      <c r="F106" s="278">
        <f t="shared" si="18"/>
        <v>0.3</v>
      </c>
      <c r="G106" s="169"/>
      <c r="H106" s="282"/>
      <c r="I106" s="306">
        <v>50</v>
      </c>
      <c r="J106" s="284">
        <v>-3.1</v>
      </c>
      <c r="K106" s="284">
        <v>-6.1</v>
      </c>
      <c r="L106" s="278">
        <f t="shared" si="19"/>
        <v>1.4999999999999998</v>
      </c>
      <c r="M106" s="169"/>
      <c r="N106" s="169"/>
      <c r="O106" s="277"/>
      <c r="P106" s="241"/>
    </row>
    <row r="107" spans="1:16" ht="13">
      <c r="A107" s="2077"/>
      <c r="B107" s="169"/>
      <c r="C107" s="305">
        <v>30</v>
      </c>
      <c r="D107" s="280">
        <v>0.1</v>
      </c>
      <c r="E107" s="280">
        <v>0.2</v>
      </c>
      <c r="F107" s="278">
        <f t="shared" si="18"/>
        <v>0.05</v>
      </c>
      <c r="G107" s="169"/>
      <c r="H107" s="282"/>
      <c r="I107" s="305">
        <v>60</v>
      </c>
      <c r="J107" s="280">
        <v>-2.1</v>
      </c>
      <c r="K107" s="280">
        <v>-5.6</v>
      </c>
      <c r="L107" s="278">
        <f t="shared" si="19"/>
        <v>1.7499999999999998</v>
      </c>
      <c r="M107" s="169"/>
      <c r="N107" s="169"/>
      <c r="O107" s="277"/>
      <c r="P107" s="241"/>
    </row>
    <row r="108" spans="1:16" ht="13">
      <c r="A108" s="2077"/>
      <c r="B108" s="169"/>
      <c r="C108" s="305">
        <v>35</v>
      </c>
      <c r="D108" s="280">
        <v>0.2</v>
      </c>
      <c r="E108" s="280">
        <v>0.8</v>
      </c>
      <c r="F108" s="278">
        <f t="shared" si="18"/>
        <v>0.30000000000000004</v>
      </c>
      <c r="G108" s="169"/>
      <c r="H108" s="282"/>
      <c r="I108" s="305">
        <v>70</v>
      </c>
      <c r="J108" s="280">
        <v>-0.3</v>
      </c>
      <c r="K108" s="280">
        <v>-5.0999999999999996</v>
      </c>
      <c r="L108" s="278">
        <f t="shared" si="19"/>
        <v>2.4</v>
      </c>
      <c r="M108" s="169"/>
      <c r="N108" s="169"/>
      <c r="O108" s="277"/>
      <c r="P108" s="241"/>
    </row>
    <row r="109" spans="1:16" ht="13">
      <c r="A109" s="2077"/>
      <c r="B109" s="169"/>
      <c r="C109" s="305">
        <v>37</v>
      </c>
      <c r="D109" s="280">
        <v>0.2</v>
      </c>
      <c r="E109" s="280">
        <v>0.4</v>
      </c>
      <c r="F109" s="278">
        <f t="shared" si="18"/>
        <v>0.1</v>
      </c>
      <c r="G109" s="169"/>
      <c r="H109" s="282"/>
      <c r="I109" s="305">
        <v>80</v>
      </c>
      <c r="J109" s="280">
        <v>2.2000000000000002</v>
      </c>
      <c r="K109" s="280">
        <v>-4.7</v>
      </c>
      <c r="L109" s="278">
        <f t="shared" si="19"/>
        <v>3.45</v>
      </c>
      <c r="M109" s="169"/>
      <c r="N109" s="169"/>
      <c r="O109" s="277"/>
      <c r="P109" s="241"/>
    </row>
    <row r="110" spans="1:16" ht="13.5" thickBot="1">
      <c r="A110" s="2078"/>
      <c r="B110" s="271"/>
      <c r="C110" s="303">
        <v>40</v>
      </c>
      <c r="D110" s="304">
        <v>0.2</v>
      </c>
      <c r="E110" s="304">
        <v>0</v>
      </c>
      <c r="F110" s="272">
        <f t="shared" si="18"/>
        <v>0.1</v>
      </c>
      <c r="G110" s="271"/>
      <c r="H110" s="276"/>
      <c r="I110" s="303">
        <v>90</v>
      </c>
      <c r="J110" s="275">
        <v>5.4</v>
      </c>
      <c r="K110" s="275">
        <v>0</v>
      </c>
      <c r="L110" s="272">
        <f t="shared" si="19"/>
        <v>2.7</v>
      </c>
      <c r="M110" s="271"/>
      <c r="N110" s="271"/>
      <c r="O110" s="270"/>
      <c r="P110" s="241"/>
    </row>
    <row r="111" spans="1:16" ht="13.5" thickBot="1">
      <c r="A111" s="302"/>
      <c r="B111" s="300"/>
      <c r="C111" s="300"/>
      <c r="D111" s="300"/>
      <c r="E111" s="299"/>
      <c r="F111" s="298"/>
      <c r="G111" s="301"/>
      <c r="H111" s="300"/>
      <c r="I111" s="300"/>
      <c r="J111" s="300"/>
      <c r="K111" s="299"/>
      <c r="L111" s="298"/>
      <c r="M111" s="301"/>
      <c r="N111" s="169"/>
      <c r="O111" s="277"/>
      <c r="P111" s="241"/>
    </row>
    <row r="112" spans="1:16" ht="13.5" thickBot="1">
      <c r="A112" s="2076">
        <v>11</v>
      </c>
      <c r="B112" s="2079" t="s">
        <v>90</v>
      </c>
      <c r="C112" s="2080"/>
      <c r="D112" s="2080"/>
      <c r="E112" s="2080"/>
      <c r="F112" s="2081"/>
      <c r="G112" s="297"/>
      <c r="H112" s="2088" t="str">
        <f>B112</f>
        <v>KOREKSI Sekonic HE-21.000670</v>
      </c>
      <c r="I112" s="2089"/>
      <c r="J112" s="2089"/>
      <c r="K112" s="2089"/>
      <c r="L112" s="2090"/>
      <c r="M112" s="297"/>
      <c r="N112" s="2086" t="s">
        <v>81</v>
      </c>
      <c r="O112" s="2087"/>
      <c r="P112" s="241"/>
    </row>
    <row r="113" spans="1:16" ht="13.5" thickBot="1">
      <c r="A113" s="2077"/>
      <c r="B113" s="2082" t="s">
        <v>74</v>
      </c>
      <c r="C113" s="2083"/>
      <c r="D113" s="2084" t="s">
        <v>7</v>
      </c>
      <c r="E113" s="2085"/>
      <c r="F113" s="2063" t="s">
        <v>2</v>
      </c>
      <c r="G113" s="169"/>
      <c r="H113" s="2082" t="s">
        <v>75</v>
      </c>
      <c r="I113" s="2083"/>
      <c r="J113" s="2084" t="s">
        <v>7</v>
      </c>
      <c r="K113" s="2085"/>
      <c r="L113" s="2063" t="s">
        <v>2</v>
      </c>
      <c r="M113" s="169"/>
      <c r="N113" s="296" t="s">
        <v>74</v>
      </c>
      <c r="O113" s="295">
        <v>0.3</v>
      </c>
      <c r="P113" s="241"/>
    </row>
    <row r="114" spans="1:16" ht="15" thickBot="1">
      <c r="A114" s="2077"/>
      <c r="B114" s="2065" t="s">
        <v>77</v>
      </c>
      <c r="C114" s="2066"/>
      <c r="D114" s="294">
        <v>2016</v>
      </c>
      <c r="E114" s="293" t="s">
        <v>10</v>
      </c>
      <c r="F114" s="2064"/>
      <c r="G114" s="169"/>
      <c r="H114" s="2067" t="s">
        <v>78</v>
      </c>
      <c r="I114" s="2068"/>
      <c r="J114" s="292">
        <f>D114</f>
        <v>2016</v>
      </c>
      <c r="K114" s="292" t="str">
        <f>E114</f>
        <v>-</v>
      </c>
      <c r="L114" s="2064"/>
      <c r="M114" s="169"/>
      <c r="N114" s="291" t="s">
        <v>78</v>
      </c>
      <c r="O114" s="290">
        <v>2.5</v>
      </c>
      <c r="P114" s="241"/>
    </row>
    <row r="115" spans="1:16" ht="13">
      <c r="A115" s="2077"/>
      <c r="B115" s="169"/>
      <c r="C115" s="289">
        <v>14.8</v>
      </c>
      <c r="D115" s="288">
        <v>0.3</v>
      </c>
      <c r="E115" s="287" t="s">
        <v>10</v>
      </c>
      <c r="F115" s="286">
        <f t="shared" ref="F115:F121" si="20">0.5*(MAX(D115:E115)-MIN(D115:E115))</f>
        <v>0</v>
      </c>
      <c r="G115" s="169"/>
      <c r="H115" s="282"/>
      <c r="I115" s="289">
        <v>45.7</v>
      </c>
      <c r="J115" s="288">
        <v>-6.4</v>
      </c>
      <c r="K115" s="287" t="s">
        <v>10</v>
      </c>
      <c r="L115" s="286">
        <f t="shared" ref="L115:L121" si="21">0.5*(MAX(J115:K115)-MIN(J115:K115))</f>
        <v>0</v>
      </c>
      <c r="M115" s="169"/>
      <c r="N115" s="169"/>
      <c r="O115" s="277"/>
      <c r="P115" s="241"/>
    </row>
    <row r="116" spans="1:16" ht="13">
      <c r="A116" s="2077"/>
      <c r="B116" s="169"/>
      <c r="C116" s="285">
        <v>19.7</v>
      </c>
      <c r="D116" s="284">
        <v>0.5</v>
      </c>
      <c r="E116" s="283" t="s">
        <v>10</v>
      </c>
      <c r="F116" s="278">
        <f t="shared" si="20"/>
        <v>0</v>
      </c>
      <c r="G116" s="169"/>
      <c r="H116" s="282"/>
      <c r="I116" s="285">
        <v>54.3</v>
      </c>
      <c r="J116" s="284">
        <v>-5.9</v>
      </c>
      <c r="K116" s="283" t="s">
        <v>10</v>
      </c>
      <c r="L116" s="278">
        <f t="shared" si="21"/>
        <v>0</v>
      </c>
      <c r="M116" s="169"/>
      <c r="N116" s="169"/>
      <c r="O116" s="277"/>
      <c r="P116" s="241"/>
    </row>
    <row r="117" spans="1:16" ht="13">
      <c r="A117" s="2077"/>
      <c r="B117" s="169"/>
      <c r="C117" s="285">
        <v>24.6</v>
      </c>
      <c r="D117" s="284">
        <v>0.5</v>
      </c>
      <c r="E117" s="283" t="s">
        <v>10</v>
      </c>
      <c r="F117" s="278">
        <f t="shared" si="20"/>
        <v>0</v>
      </c>
      <c r="G117" s="169"/>
      <c r="H117" s="282"/>
      <c r="I117" s="285">
        <v>62.5</v>
      </c>
      <c r="J117" s="284">
        <v>-5.6</v>
      </c>
      <c r="K117" s="283" t="s">
        <v>10</v>
      </c>
      <c r="L117" s="278">
        <f t="shared" si="21"/>
        <v>0</v>
      </c>
      <c r="M117" s="169"/>
      <c r="N117" s="169"/>
      <c r="O117" s="277"/>
      <c r="P117" s="241"/>
    </row>
    <row r="118" spans="1:16" ht="13">
      <c r="A118" s="2077"/>
      <c r="B118" s="169"/>
      <c r="C118" s="281">
        <v>29.5</v>
      </c>
      <c r="D118" s="280">
        <v>0.4</v>
      </c>
      <c r="E118" s="279" t="s">
        <v>10</v>
      </c>
      <c r="F118" s="278">
        <f t="shared" si="20"/>
        <v>0</v>
      </c>
      <c r="G118" s="169"/>
      <c r="H118" s="282"/>
      <c r="I118" s="281">
        <v>71.5</v>
      </c>
      <c r="J118" s="280">
        <v>-4.5</v>
      </c>
      <c r="K118" s="279" t="s">
        <v>10</v>
      </c>
      <c r="L118" s="278">
        <f t="shared" si="21"/>
        <v>0</v>
      </c>
      <c r="M118" s="169"/>
      <c r="N118" s="169"/>
      <c r="O118" s="277"/>
      <c r="P118" s="241"/>
    </row>
    <row r="119" spans="1:16" ht="13">
      <c r="A119" s="2077"/>
      <c r="B119" s="169"/>
      <c r="C119" s="281">
        <v>34.5</v>
      </c>
      <c r="D119" s="280">
        <v>0.4</v>
      </c>
      <c r="E119" s="279" t="s">
        <v>10</v>
      </c>
      <c r="F119" s="278">
        <f t="shared" si="20"/>
        <v>0</v>
      </c>
      <c r="G119" s="169"/>
      <c r="H119" s="282"/>
      <c r="I119" s="281">
        <v>80.8</v>
      </c>
      <c r="J119" s="280">
        <v>-1.7</v>
      </c>
      <c r="K119" s="279" t="s">
        <v>10</v>
      </c>
      <c r="L119" s="278">
        <f t="shared" si="21"/>
        <v>0</v>
      </c>
      <c r="M119" s="169"/>
      <c r="N119" s="169"/>
      <c r="O119" s="277"/>
      <c r="P119" s="241"/>
    </row>
    <row r="120" spans="1:16" ht="13">
      <c r="A120" s="2077"/>
      <c r="B120" s="169"/>
      <c r="C120" s="281">
        <v>39.5</v>
      </c>
      <c r="D120" s="280">
        <v>0.5</v>
      </c>
      <c r="E120" s="279" t="s">
        <v>10</v>
      </c>
      <c r="F120" s="278">
        <f t="shared" si="20"/>
        <v>0</v>
      </c>
      <c r="G120" s="169"/>
      <c r="H120" s="282"/>
      <c r="I120" s="281">
        <v>88.7</v>
      </c>
      <c r="J120" s="280">
        <v>2.6</v>
      </c>
      <c r="K120" s="279" t="s">
        <v>10</v>
      </c>
      <c r="L120" s="278">
        <f t="shared" si="21"/>
        <v>0</v>
      </c>
      <c r="M120" s="169"/>
      <c r="N120" s="169"/>
      <c r="O120" s="277"/>
      <c r="P120" s="241"/>
    </row>
    <row r="121" spans="1:16" ht="13.5" thickBot="1">
      <c r="A121" s="2078"/>
      <c r="B121" s="271"/>
      <c r="C121" s="275">
        <v>40</v>
      </c>
      <c r="D121" s="274">
        <v>0</v>
      </c>
      <c r="E121" s="273" t="s">
        <v>10</v>
      </c>
      <c r="F121" s="272">
        <f t="shared" si="20"/>
        <v>0</v>
      </c>
      <c r="G121" s="271"/>
      <c r="H121" s="276"/>
      <c r="I121" s="275">
        <v>90</v>
      </c>
      <c r="J121" s="274">
        <v>0</v>
      </c>
      <c r="K121" s="273" t="s">
        <v>10</v>
      </c>
      <c r="L121" s="272">
        <f t="shared" si="21"/>
        <v>0</v>
      </c>
      <c r="M121" s="271"/>
      <c r="N121" s="271"/>
      <c r="O121" s="270"/>
      <c r="P121" s="241"/>
    </row>
    <row r="122" spans="1:16" ht="13.5" thickBot="1">
      <c r="A122" s="302"/>
      <c r="B122" s="300"/>
      <c r="C122" s="300"/>
      <c r="D122" s="300"/>
      <c r="E122" s="299"/>
      <c r="F122" s="298"/>
      <c r="G122" s="301"/>
      <c r="H122" s="300"/>
      <c r="I122" s="300"/>
      <c r="J122" s="300"/>
      <c r="K122" s="299"/>
      <c r="L122" s="298"/>
      <c r="M122" s="169"/>
      <c r="N122" s="169"/>
      <c r="O122" s="277"/>
      <c r="P122" s="241"/>
    </row>
    <row r="123" spans="1:16" ht="13.5" thickBot="1">
      <c r="A123" s="2076">
        <v>12</v>
      </c>
      <c r="B123" s="2079">
        <v>12</v>
      </c>
      <c r="C123" s="2080"/>
      <c r="D123" s="2080"/>
      <c r="E123" s="2080"/>
      <c r="F123" s="2081"/>
      <c r="G123" s="297"/>
      <c r="H123" s="2079">
        <f>B123</f>
        <v>12</v>
      </c>
      <c r="I123" s="2080"/>
      <c r="J123" s="2080"/>
      <c r="K123" s="2080"/>
      <c r="L123" s="2081"/>
      <c r="M123" s="297"/>
      <c r="N123" s="2086" t="s">
        <v>81</v>
      </c>
      <c r="O123" s="2087"/>
      <c r="P123" s="241"/>
    </row>
    <row r="124" spans="1:16" ht="13.5" thickBot="1">
      <c r="A124" s="2077"/>
      <c r="B124" s="2082" t="s">
        <v>74</v>
      </c>
      <c r="C124" s="2083"/>
      <c r="D124" s="2084" t="s">
        <v>7</v>
      </c>
      <c r="E124" s="2085"/>
      <c r="F124" s="2063" t="s">
        <v>2</v>
      </c>
      <c r="G124" s="169"/>
      <c r="H124" s="2082" t="s">
        <v>75</v>
      </c>
      <c r="I124" s="2083"/>
      <c r="J124" s="2084" t="s">
        <v>7</v>
      </c>
      <c r="K124" s="2085"/>
      <c r="L124" s="2063" t="s">
        <v>2</v>
      </c>
      <c r="M124" s="169"/>
      <c r="N124" s="296" t="s">
        <v>74</v>
      </c>
      <c r="O124" s="295">
        <v>0</v>
      </c>
      <c r="P124" s="241"/>
    </row>
    <row r="125" spans="1:16" ht="15" thickBot="1">
      <c r="A125" s="2077"/>
      <c r="B125" s="2065" t="s">
        <v>77</v>
      </c>
      <c r="C125" s="2066"/>
      <c r="D125" s="294">
        <v>2017</v>
      </c>
      <c r="E125" s="293" t="s">
        <v>10</v>
      </c>
      <c r="F125" s="2064"/>
      <c r="G125" s="169"/>
      <c r="H125" s="2067" t="s">
        <v>78</v>
      </c>
      <c r="I125" s="2068"/>
      <c r="J125" s="292">
        <f>D125</f>
        <v>2017</v>
      </c>
      <c r="K125" s="292" t="str">
        <f>E125</f>
        <v>-</v>
      </c>
      <c r="L125" s="2064"/>
      <c r="M125" s="169"/>
      <c r="N125" s="291" t="s">
        <v>78</v>
      </c>
      <c r="O125" s="290">
        <v>0</v>
      </c>
      <c r="P125" s="241"/>
    </row>
    <row r="126" spans="1:16" ht="13">
      <c r="A126" s="2077"/>
      <c r="B126" s="169"/>
      <c r="C126" s="289">
        <v>14.8</v>
      </c>
      <c r="D126" s="288">
        <v>0</v>
      </c>
      <c r="E126" s="287" t="s">
        <v>10</v>
      </c>
      <c r="F126" s="286">
        <f t="shared" ref="F126:F132" si="22">0.5*(MAX(D126:E126)-MIN(D126:E126))</f>
        <v>0</v>
      </c>
      <c r="G126" s="169"/>
      <c r="H126" s="282"/>
      <c r="I126" s="289">
        <v>45.7</v>
      </c>
      <c r="J126" s="288">
        <v>0</v>
      </c>
      <c r="K126" s="287" t="s">
        <v>10</v>
      </c>
      <c r="L126" s="286">
        <f t="shared" ref="L126:L132" si="23">0.5*(MAX(J126:K126)-MIN(J126:K126))</f>
        <v>0</v>
      </c>
      <c r="M126" s="169"/>
      <c r="N126" s="169"/>
      <c r="O126" s="277"/>
      <c r="P126" s="241"/>
    </row>
    <row r="127" spans="1:16" ht="13">
      <c r="A127" s="2077"/>
      <c r="B127" s="169"/>
      <c r="C127" s="285">
        <v>19.7</v>
      </c>
      <c r="D127" s="284">
        <v>0</v>
      </c>
      <c r="E127" s="283" t="s">
        <v>10</v>
      </c>
      <c r="F127" s="278">
        <f t="shared" si="22"/>
        <v>0</v>
      </c>
      <c r="G127" s="169"/>
      <c r="H127" s="282"/>
      <c r="I127" s="285">
        <v>54.3</v>
      </c>
      <c r="J127" s="284">
        <v>0</v>
      </c>
      <c r="K127" s="283" t="s">
        <v>10</v>
      </c>
      <c r="L127" s="278">
        <f t="shared" si="23"/>
        <v>0</v>
      </c>
      <c r="M127" s="169"/>
      <c r="N127" s="169"/>
      <c r="O127" s="277"/>
      <c r="P127" s="241"/>
    </row>
    <row r="128" spans="1:16" ht="13">
      <c r="A128" s="2077"/>
      <c r="B128" s="169"/>
      <c r="C128" s="285">
        <v>24.6</v>
      </c>
      <c r="D128" s="284">
        <v>0</v>
      </c>
      <c r="E128" s="283" t="s">
        <v>10</v>
      </c>
      <c r="F128" s="278">
        <f t="shared" si="22"/>
        <v>0</v>
      </c>
      <c r="G128" s="169"/>
      <c r="H128" s="282"/>
      <c r="I128" s="285">
        <v>62.5</v>
      </c>
      <c r="J128" s="284">
        <v>0</v>
      </c>
      <c r="K128" s="283" t="s">
        <v>10</v>
      </c>
      <c r="L128" s="278">
        <f t="shared" si="23"/>
        <v>0</v>
      </c>
      <c r="M128" s="169"/>
      <c r="N128" s="169"/>
      <c r="O128" s="277"/>
      <c r="P128" s="241"/>
    </row>
    <row r="129" spans="1:16" ht="13">
      <c r="A129" s="2077"/>
      <c r="B129" s="169"/>
      <c r="C129" s="281">
        <v>29.5</v>
      </c>
      <c r="D129" s="280">
        <v>0</v>
      </c>
      <c r="E129" s="279" t="s">
        <v>10</v>
      </c>
      <c r="F129" s="278">
        <f t="shared" si="22"/>
        <v>0</v>
      </c>
      <c r="G129" s="169"/>
      <c r="H129" s="282"/>
      <c r="I129" s="281">
        <v>71.5</v>
      </c>
      <c r="J129" s="280">
        <v>0</v>
      </c>
      <c r="K129" s="279" t="s">
        <v>10</v>
      </c>
      <c r="L129" s="278">
        <f t="shared" si="23"/>
        <v>0</v>
      </c>
      <c r="M129" s="169"/>
      <c r="N129" s="169"/>
      <c r="O129" s="277"/>
      <c r="P129" s="241"/>
    </row>
    <row r="130" spans="1:16" ht="13">
      <c r="A130" s="2077"/>
      <c r="B130" s="169"/>
      <c r="C130" s="281">
        <v>34.5</v>
      </c>
      <c r="D130" s="280">
        <v>0</v>
      </c>
      <c r="E130" s="279" t="s">
        <v>10</v>
      </c>
      <c r="F130" s="278">
        <f t="shared" si="22"/>
        <v>0</v>
      </c>
      <c r="G130" s="169"/>
      <c r="H130" s="282"/>
      <c r="I130" s="281">
        <v>80.8</v>
      </c>
      <c r="J130" s="280">
        <v>0</v>
      </c>
      <c r="K130" s="279" t="s">
        <v>10</v>
      </c>
      <c r="L130" s="278">
        <f t="shared" si="23"/>
        <v>0</v>
      </c>
      <c r="M130" s="169"/>
      <c r="N130" s="169"/>
      <c r="O130" s="277"/>
      <c r="P130" s="241"/>
    </row>
    <row r="131" spans="1:16" ht="13">
      <c r="A131" s="2077"/>
      <c r="B131" s="169"/>
      <c r="C131" s="281">
        <v>39.5</v>
      </c>
      <c r="D131" s="280">
        <v>0</v>
      </c>
      <c r="E131" s="279" t="s">
        <v>10</v>
      </c>
      <c r="F131" s="278">
        <f t="shared" si="22"/>
        <v>0</v>
      </c>
      <c r="G131" s="169"/>
      <c r="H131" s="282"/>
      <c r="I131" s="281">
        <v>88.7</v>
      </c>
      <c r="J131" s="280">
        <v>0</v>
      </c>
      <c r="K131" s="279" t="s">
        <v>10</v>
      </c>
      <c r="L131" s="278">
        <f t="shared" si="23"/>
        <v>0</v>
      </c>
      <c r="M131" s="169"/>
      <c r="N131" s="169"/>
      <c r="O131" s="277"/>
      <c r="P131" s="241"/>
    </row>
    <row r="132" spans="1:16" ht="13.5" thickBot="1">
      <c r="A132" s="2078"/>
      <c r="B132" s="271"/>
      <c r="C132" s="275">
        <v>40</v>
      </c>
      <c r="D132" s="274">
        <v>0</v>
      </c>
      <c r="E132" s="273" t="s">
        <v>10</v>
      </c>
      <c r="F132" s="272">
        <f t="shared" si="22"/>
        <v>0</v>
      </c>
      <c r="G132" s="271"/>
      <c r="H132" s="276"/>
      <c r="I132" s="275">
        <v>90</v>
      </c>
      <c r="J132" s="274">
        <v>0</v>
      </c>
      <c r="K132" s="273" t="s">
        <v>10</v>
      </c>
      <c r="L132" s="272">
        <f t="shared" si="23"/>
        <v>0</v>
      </c>
      <c r="M132" s="271"/>
      <c r="N132" s="271"/>
      <c r="O132" s="270"/>
      <c r="P132" s="241"/>
    </row>
    <row r="133" spans="1:16" ht="13.5" thickBot="1">
      <c r="A133" s="269"/>
      <c r="B133" s="268"/>
      <c r="C133" s="268"/>
      <c r="D133" s="268"/>
      <c r="E133" s="268"/>
      <c r="F133" s="268"/>
      <c r="G133" s="268"/>
      <c r="H133" s="268"/>
      <c r="I133" s="268"/>
      <c r="J133" s="268"/>
      <c r="K133" s="268"/>
      <c r="L133" s="268"/>
      <c r="M133" s="268"/>
      <c r="N133" s="268"/>
      <c r="O133" s="267"/>
      <c r="P133" s="241"/>
    </row>
    <row r="134" spans="1:16" ht="13.5" thickBot="1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</row>
    <row r="135" spans="1:16">
      <c r="A135" s="2037" t="s">
        <v>99</v>
      </c>
      <c r="B135" s="2039" t="s">
        <v>100</v>
      </c>
      <c r="C135" s="2041" t="s">
        <v>101</v>
      </c>
      <c r="D135" s="2041"/>
      <c r="E135" s="2041"/>
      <c r="F135" s="2041"/>
      <c r="G135" s="266"/>
      <c r="H135" s="2042" t="s">
        <v>99</v>
      </c>
      <c r="I135" s="2039" t="s">
        <v>100</v>
      </c>
      <c r="J135" s="2041" t="s">
        <v>101</v>
      </c>
      <c r="K135" s="2041"/>
      <c r="L135" s="2041"/>
      <c r="M135" s="2041"/>
      <c r="N135" s="265"/>
      <c r="O135" s="2073" t="s">
        <v>81</v>
      </c>
      <c r="P135" s="2074"/>
    </row>
    <row r="136" spans="1:16" ht="13.5">
      <c r="A136" s="2038"/>
      <c r="B136" s="2040"/>
      <c r="C136" s="263" t="s">
        <v>74</v>
      </c>
      <c r="D136" s="2075" t="s">
        <v>7</v>
      </c>
      <c r="E136" s="2075"/>
      <c r="F136" s="2075" t="s">
        <v>2</v>
      </c>
      <c r="G136" s="241"/>
      <c r="H136" s="2043"/>
      <c r="I136" s="2040"/>
      <c r="J136" s="263" t="s">
        <v>75</v>
      </c>
      <c r="K136" s="2075" t="s">
        <v>7</v>
      </c>
      <c r="L136" s="2075"/>
      <c r="M136" s="2075" t="s">
        <v>2</v>
      </c>
      <c r="N136" s="241"/>
      <c r="O136" s="2071" t="s">
        <v>74</v>
      </c>
      <c r="P136" s="2072"/>
    </row>
    <row r="137" spans="1:16" ht="14">
      <c r="A137" s="2038"/>
      <c r="B137" s="2040"/>
      <c r="C137" s="264" t="s">
        <v>102</v>
      </c>
      <c r="D137" s="263"/>
      <c r="E137" s="263"/>
      <c r="F137" s="2075"/>
      <c r="G137" s="241"/>
      <c r="H137" s="2043"/>
      <c r="I137" s="2040"/>
      <c r="J137" s="264" t="s">
        <v>78</v>
      </c>
      <c r="K137" s="263"/>
      <c r="L137" s="263"/>
      <c r="M137" s="2075"/>
      <c r="N137" s="241"/>
      <c r="O137" s="253">
        <v>1</v>
      </c>
      <c r="P137" s="254">
        <f>O3</f>
        <v>0.5</v>
      </c>
    </row>
    <row r="138" spans="1:16" ht="13">
      <c r="A138" s="2053" t="s">
        <v>466</v>
      </c>
      <c r="B138" s="244">
        <v>1</v>
      </c>
      <c r="C138" s="243">
        <f>C5</f>
        <v>15</v>
      </c>
      <c r="D138" s="243">
        <f>D5</f>
        <v>0.3</v>
      </c>
      <c r="E138" s="243">
        <f>E5</f>
        <v>0</v>
      </c>
      <c r="F138" s="243">
        <f>F5</f>
        <v>0.15</v>
      </c>
      <c r="G138" s="241"/>
      <c r="H138" s="2054" t="s">
        <v>466</v>
      </c>
      <c r="I138" s="244">
        <v>1</v>
      </c>
      <c r="J138" s="243">
        <f>I5</f>
        <v>35</v>
      </c>
      <c r="K138" s="243">
        <f>J5</f>
        <v>-9.4</v>
      </c>
      <c r="L138" s="243">
        <f>K5</f>
        <v>0</v>
      </c>
      <c r="M138" s="243">
        <f>L5</f>
        <v>4.7</v>
      </c>
      <c r="N138" s="241"/>
      <c r="O138" s="256">
        <v>2</v>
      </c>
      <c r="P138" s="257">
        <f>O14</f>
        <v>0.3</v>
      </c>
    </row>
    <row r="139" spans="1:16" ht="13">
      <c r="A139" s="2053"/>
      <c r="B139" s="244">
        <v>2</v>
      </c>
      <c r="C139" s="243">
        <f>C16</f>
        <v>15</v>
      </c>
      <c r="D139" s="243">
        <f>D16</f>
        <v>0</v>
      </c>
      <c r="E139" s="243">
        <f>E16</f>
        <v>0.5</v>
      </c>
      <c r="F139" s="243">
        <f>F16</f>
        <v>0.25</v>
      </c>
      <c r="G139" s="241"/>
      <c r="H139" s="2054"/>
      <c r="I139" s="244">
        <v>2</v>
      </c>
      <c r="J139" s="243">
        <f>I16</f>
        <v>35</v>
      </c>
      <c r="K139" s="243">
        <f>J16</f>
        <v>-1.6</v>
      </c>
      <c r="L139" s="243">
        <f>K16</f>
        <v>-0.9</v>
      </c>
      <c r="M139" s="243">
        <f>L16</f>
        <v>0.35000000000000003</v>
      </c>
      <c r="N139" s="241"/>
      <c r="O139" s="256">
        <v>3</v>
      </c>
      <c r="P139" s="255">
        <f>O25</f>
        <v>0.3</v>
      </c>
    </row>
    <row r="140" spans="1:16" ht="13">
      <c r="A140" s="2053"/>
      <c r="B140" s="244">
        <v>3</v>
      </c>
      <c r="C140" s="243">
        <f>C27</f>
        <v>15</v>
      </c>
      <c r="D140" s="243">
        <f>D27</f>
        <v>0</v>
      </c>
      <c r="E140" s="243">
        <f>E27</f>
        <v>0.2</v>
      </c>
      <c r="F140" s="243">
        <f>F27</f>
        <v>0.1</v>
      </c>
      <c r="G140" s="241"/>
      <c r="H140" s="2054"/>
      <c r="I140" s="244">
        <v>3</v>
      </c>
      <c r="J140" s="243">
        <f>I27</f>
        <v>30</v>
      </c>
      <c r="K140" s="243">
        <f>J27</f>
        <v>-5.7</v>
      </c>
      <c r="L140" s="243">
        <f>K27</f>
        <v>-1.1000000000000001</v>
      </c>
      <c r="M140" s="243">
        <f>L27</f>
        <v>2.2999999999999998</v>
      </c>
      <c r="N140" s="241"/>
      <c r="O140" s="256">
        <v>4</v>
      </c>
      <c r="P140" s="255">
        <f>O36</f>
        <v>0.6</v>
      </c>
    </row>
    <row r="141" spans="1:16" ht="13">
      <c r="A141" s="2053"/>
      <c r="B141" s="244">
        <v>4</v>
      </c>
      <c r="C141" s="258">
        <f>C38</f>
        <v>15</v>
      </c>
      <c r="D141" s="258">
        <f>D38</f>
        <v>-0.1</v>
      </c>
      <c r="E141" s="258">
        <f>E38</f>
        <v>0.4</v>
      </c>
      <c r="F141" s="258">
        <f>F38</f>
        <v>0.25</v>
      </c>
      <c r="G141" s="241"/>
      <c r="H141" s="2054"/>
      <c r="I141" s="244">
        <v>4</v>
      </c>
      <c r="J141" s="258">
        <f>I38</f>
        <v>35</v>
      </c>
      <c r="K141" s="258">
        <f>J38</f>
        <v>-1.7</v>
      </c>
      <c r="L141" s="258">
        <f>K38</f>
        <v>-0.8</v>
      </c>
      <c r="M141" s="258">
        <f>L38</f>
        <v>0.44999999999999996</v>
      </c>
      <c r="N141" s="241"/>
      <c r="O141" s="256">
        <v>5</v>
      </c>
      <c r="P141" s="255">
        <f>O47</f>
        <v>0.3</v>
      </c>
    </row>
    <row r="142" spans="1:16" ht="13">
      <c r="A142" s="2053"/>
      <c r="B142" s="244">
        <v>5</v>
      </c>
      <c r="C142" s="258">
        <f>C49</f>
        <v>15</v>
      </c>
      <c r="D142" s="258">
        <f>D49</f>
        <v>0.3</v>
      </c>
      <c r="E142" s="258">
        <f>E49</f>
        <v>0.4</v>
      </c>
      <c r="F142" s="258">
        <f>F49</f>
        <v>5.0000000000000017E-2</v>
      </c>
      <c r="G142" s="241"/>
      <c r="H142" s="2054"/>
      <c r="I142" s="244">
        <v>5</v>
      </c>
      <c r="J142" s="258">
        <f>I49</f>
        <v>35</v>
      </c>
      <c r="K142" s="258">
        <f>J49</f>
        <v>-9.6</v>
      </c>
      <c r="L142" s="258">
        <f>K49</f>
        <v>-1.6</v>
      </c>
      <c r="M142" s="258">
        <f>L49</f>
        <v>4</v>
      </c>
      <c r="N142" s="241"/>
      <c r="O142" s="253">
        <v>6</v>
      </c>
      <c r="P142" s="254">
        <f>O58</f>
        <v>0.5</v>
      </c>
    </row>
    <row r="143" spans="1:16" ht="13">
      <c r="A143" s="2053"/>
      <c r="B143" s="244">
        <v>6</v>
      </c>
      <c r="C143" s="258">
        <f>C60</f>
        <v>15</v>
      </c>
      <c r="D143" s="258">
        <f>D60</f>
        <v>0.4</v>
      </c>
      <c r="E143" s="258">
        <f>E60</f>
        <v>-0.2</v>
      </c>
      <c r="F143" s="258">
        <f>F60</f>
        <v>0.30000000000000004</v>
      </c>
      <c r="G143" s="241"/>
      <c r="H143" s="2054"/>
      <c r="I143" s="244">
        <v>6</v>
      </c>
      <c r="J143" s="258">
        <f>I60</f>
        <v>30</v>
      </c>
      <c r="K143" s="258">
        <f>J60</f>
        <v>1.7</v>
      </c>
      <c r="L143" s="258">
        <f>K60</f>
        <v>-4.9000000000000004</v>
      </c>
      <c r="M143" s="258">
        <f>L60</f>
        <v>3.3000000000000003</v>
      </c>
      <c r="N143" s="241"/>
      <c r="O143" s="253">
        <v>7</v>
      </c>
      <c r="P143" s="254">
        <f>O69</f>
        <v>0.3</v>
      </c>
    </row>
    <row r="144" spans="1:16" ht="13">
      <c r="A144" s="2053"/>
      <c r="B144" s="244">
        <v>7</v>
      </c>
      <c r="C144" s="258">
        <f>C71</f>
        <v>15</v>
      </c>
      <c r="D144" s="258">
        <f>D71</f>
        <v>0.3</v>
      </c>
      <c r="E144" s="258">
        <f>E71</f>
        <v>0.2</v>
      </c>
      <c r="F144" s="258">
        <f>F71</f>
        <v>4.9999999999999989E-2</v>
      </c>
      <c r="G144" s="241"/>
      <c r="H144" s="2054"/>
      <c r="I144" s="244">
        <v>7</v>
      </c>
      <c r="J144" s="258">
        <f>I71</f>
        <v>30</v>
      </c>
      <c r="K144" s="258">
        <f>J71</f>
        <v>1.8</v>
      </c>
      <c r="L144" s="258">
        <f>K71</f>
        <v>-0.1</v>
      </c>
      <c r="M144" s="258">
        <f>L71</f>
        <v>0.95000000000000007</v>
      </c>
      <c r="N144" s="241"/>
      <c r="O144" s="253">
        <v>8</v>
      </c>
      <c r="P144" s="254">
        <f>O80</f>
        <v>0.3</v>
      </c>
    </row>
    <row r="145" spans="1:16" ht="13">
      <c r="A145" s="2053"/>
      <c r="B145" s="244">
        <v>8</v>
      </c>
      <c r="C145" s="258">
        <f>C82</f>
        <v>15</v>
      </c>
      <c r="D145" s="258">
        <f>D82</f>
        <v>0</v>
      </c>
      <c r="E145" s="258">
        <f>E82</f>
        <v>-0.2</v>
      </c>
      <c r="F145" s="258">
        <f>F82</f>
        <v>0.1</v>
      </c>
      <c r="G145" s="241"/>
      <c r="H145" s="2054"/>
      <c r="I145" s="244">
        <v>8</v>
      </c>
      <c r="J145" s="258">
        <f>I82</f>
        <v>30</v>
      </c>
      <c r="K145" s="258">
        <f>J82</f>
        <v>-1.4</v>
      </c>
      <c r="L145" s="258">
        <f>K82</f>
        <v>1</v>
      </c>
      <c r="M145" s="258">
        <f>L82</f>
        <v>1.2</v>
      </c>
      <c r="N145" s="241"/>
      <c r="O145" s="253">
        <v>9</v>
      </c>
      <c r="P145" s="254">
        <f>O91</f>
        <v>0.3</v>
      </c>
    </row>
    <row r="146" spans="1:16" ht="13">
      <c r="A146" s="2053"/>
      <c r="B146" s="244">
        <v>9</v>
      </c>
      <c r="C146" s="258">
        <f>C93</f>
        <v>15</v>
      </c>
      <c r="D146" s="258">
        <f>D93</f>
        <v>0</v>
      </c>
      <c r="E146" s="258" t="str">
        <f>E93</f>
        <v>-</v>
      </c>
      <c r="F146" s="258">
        <f>F93</f>
        <v>0</v>
      </c>
      <c r="G146" s="241"/>
      <c r="H146" s="2054"/>
      <c r="I146" s="244">
        <v>9</v>
      </c>
      <c r="J146" s="258">
        <f>I93</f>
        <v>30</v>
      </c>
      <c r="K146" s="258">
        <f>J93</f>
        <v>-1.2</v>
      </c>
      <c r="L146" s="258" t="str">
        <f>K93</f>
        <v>-</v>
      </c>
      <c r="M146" s="258">
        <f>L93</f>
        <v>0</v>
      </c>
      <c r="N146" s="241"/>
      <c r="O146" s="253">
        <v>10</v>
      </c>
      <c r="P146" s="254">
        <f>O102</f>
        <v>0.3</v>
      </c>
    </row>
    <row r="147" spans="1:16" ht="13">
      <c r="A147" s="2053"/>
      <c r="B147" s="244">
        <v>10</v>
      </c>
      <c r="C147" s="258">
        <f>C104</f>
        <v>15</v>
      </c>
      <c r="D147" s="258">
        <f>D104</f>
        <v>0.2</v>
      </c>
      <c r="E147" s="258">
        <f>E104</f>
        <v>0.2</v>
      </c>
      <c r="F147" s="258">
        <f>F104</f>
        <v>0</v>
      </c>
      <c r="G147" s="241"/>
      <c r="H147" s="2054"/>
      <c r="I147" s="244">
        <v>10</v>
      </c>
      <c r="J147" s="258">
        <f>I104</f>
        <v>30</v>
      </c>
      <c r="K147" s="258">
        <f>J104</f>
        <v>-2.9</v>
      </c>
      <c r="L147" s="258">
        <f>K104</f>
        <v>-5.8</v>
      </c>
      <c r="M147" s="258">
        <f>L104</f>
        <v>1.45</v>
      </c>
      <c r="N147" s="241"/>
      <c r="O147" s="253">
        <v>11</v>
      </c>
      <c r="P147" s="254">
        <f>O113</f>
        <v>0.3</v>
      </c>
    </row>
    <row r="148" spans="1:16" ht="13">
      <c r="A148" s="2053"/>
      <c r="B148" s="244">
        <v>11</v>
      </c>
      <c r="C148" s="258">
        <f>C115</f>
        <v>14.8</v>
      </c>
      <c r="D148" s="258">
        <f>D115</f>
        <v>0.3</v>
      </c>
      <c r="E148" s="258" t="str">
        <f>E115</f>
        <v>-</v>
      </c>
      <c r="F148" s="258">
        <f>F115</f>
        <v>0</v>
      </c>
      <c r="G148" s="241"/>
      <c r="H148" s="2054"/>
      <c r="I148" s="244">
        <v>11</v>
      </c>
      <c r="J148" s="258">
        <f>I115</f>
        <v>45.7</v>
      </c>
      <c r="K148" s="258">
        <f>J115</f>
        <v>-6.4</v>
      </c>
      <c r="L148" s="258" t="str">
        <f>K115</f>
        <v>-</v>
      </c>
      <c r="M148" s="258">
        <f>L115</f>
        <v>0</v>
      </c>
      <c r="N148" s="241"/>
      <c r="O148" s="253">
        <v>12</v>
      </c>
      <c r="P148" s="254">
        <f>O124</f>
        <v>0</v>
      </c>
    </row>
    <row r="149" spans="1:16" ht="13">
      <c r="A149" s="2053"/>
      <c r="B149" s="244">
        <v>12</v>
      </c>
      <c r="C149" s="258">
        <f>C126</f>
        <v>14.8</v>
      </c>
      <c r="D149" s="258">
        <f>D126</f>
        <v>0</v>
      </c>
      <c r="E149" s="258" t="str">
        <f>E126</f>
        <v>-</v>
      </c>
      <c r="F149" s="258">
        <f>F126</f>
        <v>0</v>
      </c>
      <c r="G149" s="241"/>
      <c r="H149" s="2054"/>
      <c r="I149" s="244">
        <v>12</v>
      </c>
      <c r="J149" s="258">
        <f>I126</f>
        <v>45.7</v>
      </c>
      <c r="K149" s="258">
        <f>J126</f>
        <v>0</v>
      </c>
      <c r="L149" s="258" t="str">
        <f>K126</f>
        <v>-</v>
      </c>
      <c r="M149" s="258">
        <f>L126</f>
        <v>0</v>
      </c>
      <c r="N149" s="241"/>
      <c r="O149" s="241"/>
      <c r="P149" s="232"/>
    </row>
    <row r="150" spans="1:16" ht="13">
      <c r="A150" s="249"/>
      <c r="B150" s="247"/>
      <c r="C150" s="262"/>
      <c r="D150" s="262"/>
      <c r="E150" s="262"/>
      <c r="F150" s="261"/>
      <c r="G150" s="193"/>
      <c r="H150" s="260"/>
      <c r="I150" s="260"/>
      <c r="J150" s="259"/>
      <c r="K150" s="259"/>
      <c r="L150" s="259"/>
      <c r="M150" s="259"/>
      <c r="N150" s="193"/>
      <c r="O150" s="193"/>
      <c r="P150" s="192"/>
    </row>
    <row r="151" spans="1:16" ht="13">
      <c r="A151" s="2053" t="s">
        <v>467</v>
      </c>
      <c r="B151" s="244">
        <v>1</v>
      </c>
      <c r="C151" s="258">
        <f>C6</f>
        <v>20</v>
      </c>
      <c r="D151" s="258">
        <f>D6</f>
        <v>0.2</v>
      </c>
      <c r="E151" s="258">
        <f>E6</f>
        <v>0</v>
      </c>
      <c r="F151" s="258">
        <f>F6</f>
        <v>0.1</v>
      </c>
      <c r="G151" s="241"/>
      <c r="H151" s="2054" t="s">
        <v>467</v>
      </c>
      <c r="I151" s="244">
        <v>1</v>
      </c>
      <c r="J151" s="258">
        <f>I6</f>
        <v>40</v>
      </c>
      <c r="K151" s="258">
        <f>J50</f>
        <v>-8</v>
      </c>
      <c r="L151" s="258">
        <f>K50</f>
        <v>-1.8</v>
      </c>
      <c r="M151" s="258">
        <f>L50</f>
        <v>3.1</v>
      </c>
      <c r="N151" s="241"/>
      <c r="O151" s="2069" t="s">
        <v>81</v>
      </c>
      <c r="P151" s="2070"/>
    </row>
    <row r="152" spans="1:16" ht="13">
      <c r="A152" s="2053"/>
      <c r="B152" s="244">
        <v>2</v>
      </c>
      <c r="C152" s="258">
        <f>C17</f>
        <v>20</v>
      </c>
      <c r="D152" s="258">
        <f>D17</f>
        <v>-0.1</v>
      </c>
      <c r="E152" s="258">
        <f>E17</f>
        <v>0</v>
      </c>
      <c r="F152" s="258">
        <f>F17</f>
        <v>0.05</v>
      </c>
      <c r="G152" s="241"/>
      <c r="H152" s="2054"/>
      <c r="I152" s="244">
        <v>2</v>
      </c>
      <c r="J152" s="258">
        <f>I17</f>
        <v>40</v>
      </c>
      <c r="K152" s="258">
        <f>J17</f>
        <v>-1.6</v>
      </c>
      <c r="L152" s="258">
        <f>K17</f>
        <v>-1.1000000000000001</v>
      </c>
      <c r="M152" s="258">
        <f>L17</f>
        <v>0.25</v>
      </c>
      <c r="N152" s="241"/>
      <c r="O152" s="2071" t="s">
        <v>75</v>
      </c>
      <c r="P152" s="2072"/>
    </row>
    <row r="153" spans="1:16" ht="13">
      <c r="A153" s="2053"/>
      <c r="B153" s="244">
        <v>3</v>
      </c>
      <c r="C153" s="243">
        <f>C28</f>
        <v>20</v>
      </c>
      <c r="D153" s="243">
        <f>D28</f>
        <v>0</v>
      </c>
      <c r="E153" s="243">
        <f>E28</f>
        <v>0</v>
      </c>
      <c r="F153" s="243">
        <f>F28</f>
        <v>0</v>
      </c>
      <c r="G153" s="241"/>
      <c r="H153" s="2054"/>
      <c r="I153" s="244">
        <v>3</v>
      </c>
      <c r="J153" s="243">
        <f>I28</f>
        <v>40</v>
      </c>
      <c r="K153" s="243">
        <f>J28</f>
        <v>-5.3</v>
      </c>
      <c r="L153" s="243">
        <f>K28</f>
        <v>-1.9</v>
      </c>
      <c r="M153" s="243">
        <f>L28</f>
        <v>1.7</v>
      </c>
      <c r="N153" s="241"/>
      <c r="O153" s="253">
        <v>1</v>
      </c>
      <c r="P153" s="254">
        <f>O4</f>
        <v>3.3</v>
      </c>
    </row>
    <row r="154" spans="1:16" ht="13">
      <c r="A154" s="2053"/>
      <c r="B154" s="244">
        <v>4</v>
      </c>
      <c r="C154" s="243">
        <f>C39</f>
        <v>20</v>
      </c>
      <c r="D154" s="243">
        <f>D39</f>
        <v>-0.3</v>
      </c>
      <c r="E154" s="243">
        <f>E39</f>
        <v>0</v>
      </c>
      <c r="F154" s="243">
        <f>F39</f>
        <v>0.15</v>
      </c>
      <c r="G154" s="241"/>
      <c r="H154" s="2054"/>
      <c r="I154" s="244">
        <v>4</v>
      </c>
      <c r="J154" s="243">
        <f>I39</f>
        <v>40</v>
      </c>
      <c r="K154" s="243">
        <f>J39</f>
        <v>-1.5</v>
      </c>
      <c r="L154" s="243">
        <f>K39</f>
        <v>-0.9</v>
      </c>
      <c r="M154" s="243">
        <f>L39</f>
        <v>0.3</v>
      </c>
      <c r="N154" s="241"/>
      <c r="O154" s="256">
        <v>2</v>
      </c>
      <c r="P154" s="257">
        <f>O15</f>
        <v>3.3</v>
      </c>
    </row>
    <row r="155" spans="1:16" ht="13">
      <c r="A155" s="2053"/>
      <c r="B155" s="244">
        <v>5</v>
      </c>
      <c r="C155" s="243">
        <f>C50</f>
        <v>20</v>
      </c>
      <c r="D155" s="243">
        <f>D50</f>
        <v>0.3</v>
      </c>
      <c r="E155" s="243">
        <f>E50</f>
        <v>0</v>
      </c>
      <c r="F155" s="243">
        <f>F50</f>
        <v>0.15</v>
      </c>
      <c r="G155" s="241"/>
      <c r="H155" s="2054"/>
      <c r="I155" s="244">
        <v>5</v>
      </c>
      <c r="J155" s="243">
        <f>I50</f>
        <v>40</v>
      </c>
      <c r="K155" s="243">
        <f>J50</f>
        <v>-8</v>
      </c>
      <c r="L155" s="243">
        <f>K50</f>
        <v>-1.8</v>
      </c>
      <c r="M155" s="243">
        <f>L50</f>
        <v>3.1</v>
      </c>
      <c r="N155" s="241"/>
      <c r="O155" s="256">
        <v>3</v>
      </c>
      <c r="P155" s="255">
        <f>O26</f>
        <v>3.1</v>
      </c>
    </row>
    <row r="156" spans="1:16" ht="13">
      <c r="A156" s="2053"/>
      <c r="B156" s="244">
        <v>6</v>
      </c>
      <c r="C156" s="243">
        <f>C61</f>
        <v>20</v>
      </c>
      <c r="D156" s="243">
        <f>D61</f>
        <v>0.2</v>
      </c>
      <c r="E156" s="243">
        <f>E61</f>
        <v>0</v>
      </c>
      <c r="F156" s="243">
        <f>F61</f>
        <v>0.1</v>
      </c>
      <c r="G156" s="241"/>
      <c r="H156" s="2054"/>
      <c r="I156" s="244">
        <v>6</v>
      </c>
      <c r="J156" s="243">
        <f>I61</f>
        <v>40</v>
      </c>
      <c r="K156" s="243">
        <f>J61</f>
        <v>1.5</v>
      </c>
      <c r="L156" s="243">
        <f>K61</f>
        <v>-3.4</v>
      </c>
      <c r="M156" s="243">
        <f>L61</f>
        <v>2.4500000000000002</v>
      </c>
      <c r="N156" s="241"/>
      <c r="O156" s="256">
        <v>4</v>
      </c>
      <c r="P156" s="255">
        <f>O37</f>
        <v>2.6</v>
      </c>
    </row>
    <row r="157" spans="1:16" ht="13">
      <c r="A157" s="2053"/>
      <c r="B157" s="244">
        <v>7</v>
      </c>
      <c r="C157" s="243">
        <f>C72</f>
        <v>20</v>
      </c>
      <c r="D157" s="243">
        <f>D72</f>
        <v>0.1</v>
      </c>
      <c r="E157" s="243">
        <f>E72</f>
        <v>0.1</v>
      </c>
      <c r="F157" s="243">
        <f>F72</f>
        <v>0</v>
      </c>
      <c r="G157" s="241"/>
      <c r="H157" s="2054"/>
      <c r="I157" s="244">
        <v>7</v>
      </c>
      <c r="J157" s="243">
        <f>I72</f>
        <v>40</v>
      </c>
      <c r="K157" s="243">
        <f>J72</f>
        <v>1.2</v>
      </c>
      <c r="L157" s="243">
        <f>K72</f>
        <v>0</v>
      </c>
      <c r="M157" s="243">
        <f>L72</f>
        <v>0.6</v>
      </c>
      <c r="N157" s="241"/>
      <c r="O157" s="256">
        <v>5</v>
      </c>
      <c r="P157" s="255">
        <f>O48</f>
        <v>3.2</v>
      </c>
    </row>
    <row r="158" spans="1:16" ht="13">
      <c r="A158" s="2053"/>
      <c r="B158" s="244">
        <v>8</v>
      </c>
      <c r="C158" s="243">
        <f>C83</f>
        <v>20</v>
      </c>
      <c r="D158" s="243">
        <f>D83</f>
        <v>-0.2</v>
      </c>
      <c r="E158" s="243">
        <f>E83</f>
        <v>-0.2</v>
      </c>
      <c r="F158" s="243">
        <f>F83</f>
        <v>0</v>
      </c>
      <c r="G158" s="241"/>
      <c r="H158" s="2054"/>
      <c r="I158" s="244">
        <v>8</v>
      </c>
      <c r="J158" s="243">
        <f>I83</f>
        <v>40</v>
      </c>
      <c r="K158" s="243">
        <f>J83</f>
        <v>-1.2</v>
      </c>
      <c r="L158" s="243">
        <f>K83</f>
        <v>1.1000000000000001</v>
      </c>
      <c r="M158" s="243">
        <f>L83</f>
        <v>1.1499999999999999</v>
      </c>
      <c r="N158" s="241"/>
      <c r="O158" s="253">
        <v>6</v>
      </c>
      <c r="P158" s="254">
        <f>O59</f>
        <v>2</v>
      </c>
    </row>
    <row r="159" spans="1:16" ht="13">
      <c r="A159" s="2053"/>
      <c r="B159" s="244">
        <v>9</v>
      </c>
      <c r="C159" s="243">
        <f>C94</f>
        <v>20</v>
      </c>
      <c r="D159" s="243">
        <f>D94</f>
        <v>-0.2</v>
      </c>
      <c r="E159" s="243" t="str">
        <f>E94</f>
        <v>-</v>
      </c>
      <c r="F159" s="243">
        <f>F94</f>
        <v>0</v>
      </c>
      <c r="G159" s="241"/>
      <c r="H159" s="2054"/>
      <c r="I159" s="244">
        <v>9</v>
      </c>
      <c r="J159" s="243">
        <f>I94</f>
        <v>40</v>
      </c>
      <c r="K159" s="243">
        <f>J94</f>
        <v>-1</v>
      </c>
      <c r="L159" s="243" t="str">
        <f>K94</f>
        <v>-</v>
      </c>
      <c r="M159" s="243">
        <f>L94</f>
        <v>0</v>
      </c>
      <c r="N159" s="241"/>
      <c r="O159" s="253">
        <v>7</v>
      </c>
      <c r="P159" s="254">
        <f>O70</f>
        <v>2.2999999999999998</v>
      </c>
    </row>
    <row r="160" spans="1:16" ht="13">
      <c r="A160" s="2053"/>
      <c r="B160" s="244">
        <v>10</v>
      </c>
      <c r="C160" s="243">
        <f>C105</f>
        <v>20</v>
      </c>
      <c r="D160" s="243">
        <f>D105</f>
        <v>0.2</v>
      </c>
      <c r="E160" s="243">
        <f>E105</f>
        <v>-0.7</v>
      </c>
      <c r="F160" s="243">
        <f>F105</f>
        <v>0.44999999999999996</v>
      </c>
      <c r="G160" s="241"/>
      <c r="H160" s="2054"/>
      <c r="I160" s="244">
        <v>10</v>
      </c>
      <c r="J160" s="243">
        <f>I105</f>
        <v>40</v>
      </c>
      <c r="K160" s="243">
        <f>J105</f>
        <v>-3.3</v>
      </c>
      <c r="L160" s="243">
        <f>K105</f>
        <v>-6.4</v>
      </c>
      <c r="M160" s="243">
        <f>L105</f>
        <v>1.5500000000000003</v>
      </c>
      <c r="N160" s="241"/>
      <c r="O160" s="253">
        <v>8</v>
      </c>
      <c r="P160" s="254">
        <f>O81</f>
        <v>2.6</v>
      </c>
    </row>
    <row r="161" spans="1:16" ht="13">
      <c r="A161" s="2053"/>
      <c r="B161" s="244">
        <v>11</v>
      </c>
      <c r="C161" s="243">
        <f>C116</f>
        <v>19.7</v>
      </c>
      <c r="D161" s="243">
        <f>D116</f>
        <v>0.5</v>
      </c>
      <c r="E161" s="243" t="str">
        <f>E116</f>
        <v>-</v>
      </c>
      <c r="F161" s="243">
        <f>F116</f>
        <v>0</v>
      </c>
      <c r="G161" s="241"/>
      <c r="H161" s="2054"/>
      <c r="I161" s="244">
        <v>11</v>
      </c>
      <c r="J161" s="243">
        <f>I116</f>
        <v>54.3</v>
      </c>
      <c r="K161" s="243">
        <f>J116</f>
        <v>-5.9</v>
      </c>
      <c r="L161" s="243" t="str">
        <f>K116</f>
        <v>-</v>
      </c>
      <c r="M161" s="243">
        <f>L116</f>
        <v>0</v>
      </c>
      <c r="N161" s="241"/>
      <c r="O161" s="253">
        <v>9</v>
      </c>
      <c r="P161" s="254">
        <f>O92</f>
        <v>2.4</v>
      </c>
    </row>
    <row r="162" spans="1:16" ht="13">
      <c r="A162" s="2053"/>
      <c r="B162" s="244">
        <v>12</v>
      </c>
      <c r="C162" s="243">
        <f>C127</f>
        <v>19.7</v>
      </c>
      <c r="D162" s="243">
        <f>D127</f>
        <v>0</v>
      </c>
      <c r="E162" s="243" t="str">
        <f>E127</f>
        <v>-</v>
      </c>
      <c r="F162" s="243">
        <f>F127</f>
        <v>0</v>
      </c>
      <c r="G162" s="241"/>
      <c r="H162" s="2054"/>
      <c r="I162" s="244">
        <v>12</v>
      </c>
      <c r="J162" s="243">
        <f>I127</f>
        <v>54.3</v>
      </c>
      <c r="K162" s="243">
        <f>J127</f>
        <v>0</v>
      </c>
      <c r="L162" s="243" t="str">
        <f>K127</f>
        <v>-</v>
      </c>
      <c r="M162" s="243">
        <f>L127</f>
        <v>0</v>
      </c>
      <c r="N162" s="241"/>
      <c r="O162" s="253">
        <v>10</v>
      </c>
      <c r="P162" s="254">
        <f>O103</f>
        <v>1.5</v>
      </c>
    </row>
    <row r="163" spans="1:16" ht="13">
      <c r="A163" s="249"/>
      <c r="B163" s="247"/>
      <c r="C163" s="246"/>
      <c r="D163" s="246"/>
      <c r="E163" s="246"/>
      <c r="F163" s="245"/>
      <c r="G163" s="193"/>
      <c r="H163" s="249"/>
      <c r="I163" s="247"/>
      <c r="J163" s="246"/>
      <c r="K163" s="246"/>
      <c r="L163" s="246"/>
      <c r="M163" s="245"/>
      <c r="N163" s="241"/>
      <c r="O163" s="253">
        <v>11</v>
      </c>
      <c r="P163" s="254">
        <f>O114</f>
        <v>2.5</v>
      </c>
    </row>
    <row r="164" spans="1:16" ht="13">
      <c r="A164" s="2053" t="s">
        <v>468</v>
      </c>
      <c r="B164" s="244">
        <v>1</v>
      </c>
      <c r="C164" s="243">
        <f>C7</f>
        <v>25</v>
      </c>
      <c r="D164" s="243">
        <f>D7</f>
        <v>0.1</v>
      </c>
      <c r="E164" s="243">
        <f>E7</f>
        <v>0</v>
      </c>
      <c r="F164" s="243">
        <f>F7</f>
        <v>0.05</v>
      </c>
      <c r="G164" s="241"/>
      <c r="H164" s="2054" t="s">
        <v>468</v>
      </c>
      <c r="I164" s="244">
        <v>1</v>
      </c>
      <c r="J164" s="243">
        <f>I7</f>
        <v>50</v>
      </c>
      <c r="K164" s="243">
        <f>J7</f>
        <v>-7.2</v>
      </c>
      <c r="L164" s="243">
        <f>K7</f>
        <v>0</v>
      </c>
      <c r="M164" s="243">
        <f>L7</f>
        <v>3.6</v>
      </c>
      <c r="N164" s="241"/>
      <c r="O164" s="253">
        <v>12</v>
      </c>
      <c r="P164" s="252">
        <f>O125</f>
        <v>0</v>
      </c>
    </row>
    <row r="165" spans="1:16" ht="13">
      <c r="A165" s="2053"/>
      <c r="B165" s="244">
        <v>2</v>
      </c>
      <c r="C165" s="243">
        <f>C18</f>
        <v>25</v>
      </c>
      <c r="D165" s="243">
        <f>D18</f>
        <v>-0.2</v>
      </c>
      <c r="E165" s="243">
        <f>E18</f>
        <v>-0.5</v>
      </c>
      <c r="F165" s="243">
        <f>F18</f>
        <v>0.15</v>
      </c>
      <c r="G165" s="241"/>
      <c r="H165" s="2054"/>
      <c r="I165" s="244">
        <v>2</v>
      </c>
      <c r="J165" s="243">
        <f>I18</f>
        <v>50</v>
      </c>
      <c r="K165" s="243">
        <f>J18</f>
        <v>-1.5</v>
      </c>
      <c r="L165" s="243">
        <f>K18</f>
        <v>-1.4</v>
      </c>
      <c r="M165" s="243">
        <f>L18</f>
        <v>5.0000000000000044E-2</v>
      </c>
      <c r="N165" s="241"/>
      <c r="P165" s="251"/>
    </row>
    <row r="166" spans="1:16" ht="13">
      <c r="A166" s="2053"/>
      <c r="B166" s="244">
        <v>3</v>
      </c>
      <c r="C166" s="243">
        <f>C29</f>
        <v>25</v>
      </c>
      <c r="D166" s="243">
        <f>D29</f>
        <v>-0.1</v>
      </c>
      <c r="E166" s="243">
        <f>E29</f>
        <v>-0.2</v>
      </c>
      <c r="F166" s="243">
        <f>F29</f>
        <v>0.05</v>
      </c>
      <c r="G166" s="241"/>
      <c r="H166" s="2054"/>
      <c r="I166" s="244">
        <v>3</v>
      </c>
      <c r="J166" s="243">
        <f>I29</f>
        <v>50</v>
      </c>
      <c r="K166" s="243">
        <f>J29</f>
        <v>-4.9000000000000004</v>
      </c>
      <c r="L166" s="243">
        <f>K29</f>
        <v>-2.2999999999999998</v>
      </c>
      <c r="M166" s="243">
        <f>L29</f>
        <v>1.3000000000000003</v>
      </c>
      <c r="N166" s="241"/>
      <c r="O166" s="241"/>
      <c r="P166" s="232"/>
    </row>
    <row r="167" spans="1:16" ht="13">
      <c r="A167" s="2053"/>
      <c r="B167" s="244">
        <v>4</v>
      </c>
      <c r="C167" s="243">
        <f>C40</f>
        <v>25</v>
      </c>
      <c r="D167" s="243">
        <f>D40</f>
        <v>-0.5</v>
      </c>
      <c r="E167" s="243">
        <f>E40</f>
        <v>-0.5</v>
      </c>
      <c r="F167" s="243">
        <f>F40</f>
        <v>0</v>
      </c>
      <c r="G167" s="241"/>
      <c r="H167" s="2054"/>
      <c r="I167" s="244">
        <v>4</v>
      </c>
      <c r="J167" s="243">
        <f>I40</f>
        <v>50</v>
      </c>
      <c r="K167" s="243">
        <f>J40</f>
        <v>-1</v>
      </c>
      <c r="L167" s="243">
        <f>K40</f>
        <v>-1</v>
      </c>
      <c r="M167" s="243">
        <f>L40</f>
        <v>0</v>
      </c>
      <c r="N167" s="241"/>
      <c r="O167" s="241"/>
      <c r="P167" s="232"/>
    </row>
    <row r="168" spans="1:16" ht="13">
      <c r="A168" s="2053"/>
      <c r="B168" s="244">
        <v>5</v>
      </c>
      <c r="C168" s="243">
        <f>C51</f>
        <v>25</v>
      </c>
      <c r="D168" s="243">
        <f>D51</f>
        <v>0.2</v>
      </c>
      <c r="E168" s="243">
        <f>E51</f>
        <v>-0.3</v>
      </c>
      <c r="F168" s="243">
        <f>F51</f>
        <v>0.25</v>
      </c>
      <c r="G168" s="241"/>
      <c r="H168" s="2054"/>
      <c r="I168" s="244">
        <v>5</v>
      </c>
      <c r="J168" s="243">
        <f>I51</f>
        <v>50</v>
      </c>
      <c r="K168" s="243">
        <f>J51</f>
        <v>-6.2</v>
      </c>
      <c r="L168" s="243">
        <f>K51</f>
        <v>-2.1</v>
      </c>
      <c r="M168" s="243">
        <f>L51</f>
        <v>2.0499999999999998</v>
      </c>
      <c r="N168" s="241"/>
      <c r="O168" s="241"/>
      <c r="P168" s="232"/>
    </row>
    <row r="169" spans="1:16" ht="13">
      <c r="A169" s="2053"/>
      <c r="B169" s="244">
        <v>6</v>
      </c>
      <c r="C169" s="243">
        <f>C62</f>
        <v>25</v>
      </c>
      <c r="D169" s="243">
        <f>D62</f>
        <v>-0.1</v>
      </c>
      <c r="E169" s="243">
        <f>E62</f>
        <v>0.1</v>
      </c>
      <c r="F169" s="243">
        <f>F62</f>
        <v>0.1</v>
      </c>
      <c r="G169" s="241"/>
      <c r="H169" s="2054"/>
      <c r="I169" s="244">
        <v>6</v>
      </c>
      <c r="J169" s="243">
        <f>I62</f>
        <v>50</v>
      </c>
      <c r="K169" s="243">
        <f>J62</f>
        <v>1.2</v>
      </c>
      <c r="L169" s="243">
        <f>K62</f>
        <v>-2.5</v>
      </c>
      <c r="M169" s="243">
        <f>L62</f>
        <v>1.85</v>
      </c>
      <c r="N169" s="241"/>
      <c r="O169" s="241"/>
      <c r="P169" s="232"/>
    </row>
    <row r="170" spans="1:16" ht="13">
      <c r="A170" s="2053"/>
      <c r="B170" s="244">
        <v>7</v>
      </c>
      <c r="C170" s="243">
        <f>C73</f>
        <v>25</v>
      </c>
      <c r="D170" s="243">
        <f>D73</f>
        <v>-0.2</v>
      </c>
      <c r="E170" s="243">
        <f>E73</f>
        <v>0</v>
      </c>
      <c r="F170" s="243">
        <f>F73</f>
        <v>0.1</v>
      </c>
      <c r="G170" s="241"/>
      <c r="H170" s="2054"/>
      <c r="I170" s="244">
        <v>7</v>
      </c>
      <c r="J170" s="243">
        <f>I73</f>
        <v>50</v>
      </c>
      <c r="K170" s="243">
        <f>J73</f>
        <v>0.8</v>
      </c>
      <c r="L170" s="243">
        <f>K73</f>
        <v>0.6</v>
      </c>
      <c r="M170" s="243">
        <f>L73</f>
        <v>0.10000000000000003</v>
      </c>
      <c r="N170" s="241"/>
      <c r="O170" s="241"/>
      <c r="P170" s="232"/>
    </row>
    <row r="171" spans="1:16" ht="13">
      <c r="A171" s="2053"/>
      <c r="B171" s="244">
        <v>8</v>
      </c>
      <c r="C171" s="243">
        <f>C84</f>
        <v>25</v>
      </c>
      <c r="D171" s="243">
        <f>D84</f>
        <v>-0.4</v>
      </c>
      <c r="E171" s="243">
        <f>E84</f>
        <v>-0.2</v>
      </c>
      <c r="F171" s="243">
        <f>F84</f>
        <v>0.1</v>
      </c>
      <c r="G171" s="241"/>
      <c r="H171" s="2054"/>
      <c r="I171" s="244">
        <v>8</v>
      </c>
      <c r="J171" s="243">
        <f>I84</f>
        <v>50</v>
      </c>
      <c r="K171" s="243">
        <f>J84</f>
        <v>-1.2</v>
      </c>
      <c r="L171" s="243">
        <f>K84</f>
        <v>1.3</v>
      </c>
      <c r="M171" s="243">
        <f>L84</f>
        <v>1.25</v>
      </c>
      <c r="N171" s="241"/>
      <c r="O171" s="241"/>
      <c r="P171" s="232"/>
    </row>
    <row r="172" spans="1:16" ht="13">
      <c r="A172" s="2053"/>
      <c r="B172" s="244">
        <v>9</v>
      </c>
      <c r="C172" s="243">
        <f>C95</f>
        <v>25</v>
      </c>
      <c r="D172" s="243">
        <f>D95</f>
        <v>-0.4</v>
      </c>
      <c r="E172" s="243" t="str">
        <f>E95</f>
        <v>-</v>
      </c>
      <c r="F172" s="243">
        <f>F95</f>
        <v>0</v>
      </c>
      <c r="G172" s="241"/>
      <c r="H172" s="2054"/>
      <c r="I172" s="244">
        <v>9</v>
      </c>
      <c r="J172" s="243">
        <f>I95</f>
        <v>50</v>
      </c>
      <c r="K172" s="243">
        <f>J95</f>
        <v>-0.9</v>
      </c>
      <c r="L172" s="243" t="str">
        <f>K95</f>
        <v>-</v>
      </c>
      <c r="M172" s="243">
        <f>L95</f>
        <v>0</v>
      </c>
      <c r="N172" s="241"/>
      <c r="O172" s="241"/>
      <c r="P172" s="232"/>
    </row>
    <row r="173" spans="1:16" ht="13">
      <c r="A173" s="2053"/>
      <c r="B173" s="244">
        <v>10</v>
      </c>
      <c r="C173" s="243">
        <f>C106</f>
        <v>25</v>
      </c>
      <c r="D173" s="243">
        <f>D106</f>
        <v>0.1</v>
      </c>
      <c r="E173" s="243">
        <f>E106</f>
        <v>-0.5</v>
      </c>
      <c r="F173" s="243">
        <f>F106</f>
        <v>0.3</v>
      </c>
      <c r="G173" s="241"/>
      <c r="H173" s="2054"/>
      <c r="I173" s="244">
        <v>10</v>
      </c>
      <c r="J173" s="243">
        <f>I106</f>
        <v>50</v>
      </c>
      <c r="K173" s="243">
        <f>J106</f>
        <v>-3.1</v>
      </c>
      <c r="L173" s="243">
        <f>K106</f>
        <v>-6.1</v>
      </c>
      <c r="M173" s="243">
        <f>L106</f>
        <v>1.4999999999999998</v>
      </c>
      <c r="N173" s="241"/>
      <c r="O173" s="241"/>
      <c r="P173" s="232"/>
    </row>
    <row r="174" spans="1:16" ht="13">
      <c r="A174" s="2053"/>
      <c r="B174" s="244">
        <v>11</v>
      </c>
      <c r="C174" s="243">
        <f>C117</f>
        <v>24.6</v>
      </c>
      <c r="D174" s="243">
        <f>D117</f>
        <v>0.5</v>
      </c>
      <c r="E174" s="243" t="str">
        <f>E117</f>
        <v>-</v>
      </c>
      <c r="F174" s="243">
        <f>F117</f>
        <v>0</v>
      </c>
      <c r="G174" s="241"/>
      <c r="H174" s="2054"/>
      <c r="I174" s="244">
        <v>11</v>
      </c>
      <c r="J174" s="243">
        <f>I117</f>
        <v>62.5</v>
      </c>
      <c r="K174" s="243">
        <f>J117</f>
        <v>-5.6</v>
      </c>
      <c r="L174" s="243" t="str">
        <f>K117</f>
        <v>-</v>
      </c>
      <c r="M174" s="243">
        <f>L117</f>
        <v>0</v>
      </c>
      <c r="N174" s="241"/>
      <c r="O174" s="241"/>
      <c r="P174" s="232"/>
    </row>
    <row r="175" spans="1:16" ht="13">
      <c r="A175" s="2053"/>
      <c r="B175" s="244">
        <v>12</v>
      </c>
      <c r="C175" s="243">
        <f>C128</f>
        <v>24.6</v>
      </c>
      <c r="D175" s="243">
        <f>D128</f>
        <v>0</v>
      </c>
      <c r="E175" s="243" t="str">
        <f>E128</f>
        <v>-</v>
      </c>
      <c r="F175" s="243">
        <f>F128</f>
        <v>0</v>
      </c>
      <c r="G175" s="241"/>
      <c r="H175" s="2054"/>
      <c r="I175" s="244">
        <v>12</v>
      </c>
      <c r="J175" s="243">
        <f>I128</f>
        <v>62.5</v>
      </c>
      <c r="K175" s="243">
        <f>J128</f>
        <v>0</v>
      </c>
      <c r="L175" s="243" t="str">
        <f>K128</f>
        <v>-</v>
      </c>
      <c r="M175" s="243">
        <f>L128</f>
        <v>0</v>
      </c>
      <c r="N175" s="241"/>
      <c r="O175" s="241"/>
      <c r="P175" s="232"/>
    </row>
    <row r="176" spans="1:16" ht="13">
      <c r="A176" s="249"/>
      <c r="B176" s="247"/>
      <c r="C176" s="246"/>
      <c r="D176" s="246"/>
      <c r="E176" s="246"/>
      <c r="F176" s="245"/>
      <c r="G176" s="193"/>
      <c r="H176" s="249"/>
      <c r="I176" s="250"/>
      <c r="J176" s="246"/>
      <c r="K176" s="246"/>
      <c r="L176" s="246"/>
      <c r="M176" s="245"/>
      <c r="N176" s="241"/>
      <c r="O176" s="241"/>
      <c r="P176" s="232"/>
    </row>
    <row r="177" spans="1:16" ht="13">
      <c r="A177" s="2053" t="s">
        <v>469</v>
      </c>
      <c r="B177" s="244">
        <v>1</v>
      </c>
      <c r="C177" s="243">
        <f>C8</f>
        <v>30</v>
      </c>
      <c r="D177" s="243">
        <f>D8</f>
        <v>-0.2</v>
      </c>
      <c r="E177" s="243">
        <f>E8</f>
        <v>0</v>
      </c>
      <c r="F177" s="243">
        <f>F8</f>
        <v>0.1</v>
      </c>
      <c r="G177" s="241"/>
      <c r="H177" s="2054" t="s">
        <v>469</v>
      </c>
      <c r="I177" s="244">
        <v>1</v>
      </c>
      <c r="J177" s="243">
        <f>I8</f>
        <v>60</v>
      </c>
      <c r="K177" s="243">
        <f>J8</f>
        <v>-5.2</v>
      </c>
      <c r="L177" s="243">
        <f>K8</f>
        <v>0</v>
      </c>
      <c r="M177" s="243">
        <f>L8</f>
        <v>2.6</v>
      </c>
      <c r="N177" s="241"/>
      <c r="O177" s="241"/>
      <c r="P177" s="232"/>
    </row>
    <row r="178" spans="1:16" ht="13">
      <c r="A178" s="2053"/>
      <c r="B178" s="244">
        <v>2</v>
      </c>
      <c r="C178" s="243">
        <f>C19</f>
        <v>30</v>
      </c>
      <c r="D178" s="243">
        <f>D19</f>
        <v>-0.3</v>
      </c>
      <c r="E178" s="243">
        <f>E19</f>
        <v>-1</v>
      </c>
      <c r="F178" s="243">
        <f>F19</f>
        <v>0.35</v>
      </c>
      <c r="G178" s="241"/>
      <c r="H178" s="2054"/>
      <c r="I178" s="244">
        <v>2</v>
      </c>
      <c r="J178" s="243">
        <f>I19</f>
        <v>60</v>
      </c>
      <c r="K178" s="243">
        <f>J19</f>
        <v>-1.3</v>
      </c>
      <c r="L178" s="243">
        <f>K19</f>
        <v>-1.3</v>
      </c>
      <c r="M178" s="243">
        <f>L19</f>
        <v>0</v>
      </c>
      <c r="N178" s="241"/>
      <c r="O178" s="241"/>
      <c r="P178" s="232"/>
    </row>
    <row r="179" spans="1:16" ht="13">
      <c r="A179" s="2053"/>
      <c r="B179" s="244">
        <v>3</v>
      </c>
      <c r="C179" s="243">
        <f>C30</f>
        <v>30</v>
      </c>
      <c r="D179" s="243">
        <f>D30</f>
        <v>-0.3</v>
      </c>
      <c r="E179" s="243">
        <f>E30</f>
        <v>-0.3</v>
      </c>
      <c r="F179" s="243">
        <f>F30</f>
        <v>0</v>
      </c>
      <c r="G179" s="241"/>
      <c r="H179" s="2054"/>
      <c r="I179" s="244">
        <v>3</v>
      </c>
      <c r="J179" s="243">
        <f>I30</f>
        <v>60</v>
      </c>
      <c r="K179" s="243">
        <f>J30</f>
        <v>-4.3</v>
      </c>
      <c r="L179" s="243">
        <f>K30</f>
        <v>-2.2000000000000002</v>
      </c>
      <c r="M179" s="243">
        <f>L30</f>
        <v>1.0499999999999998</v>
      </c>
      <c r="N179" s="241"/>
      <c r="O179" s="241"/>
      <c r="P179" s="232"/>
    </row>
    <row r="180" spans="1:16" ht="13">
      <c r="A180" s="2053"/>
      <c r="B180" s="244">
        <v>4</v>
      </c>
      <c r="C180" s="243">
        <f>C41</f>
        <v>30</v>
      </c>
      <c r="D180" s="243">
        <f>D41</f>
        <v>-0.6</v>
      </c>
      <c r="E180" s="243">
        <f>E41</f>
        <v>-1</v>
      </c>
      <c r="F180" s="243">
        <f>F41</f>
        <v>0.2</v>
      </c>
      <c r="G180" s="241"/>
      <c r="H180" s="2054"/>
      <c r="I180" s="244">
        <v>4</v>
      </c>
      <c r="J180" s="243">
        <f>I41</f>
        <v>60</v>
      </c>
      <c r="K180" s="243">
        <f>J41</f>
        <v>-0.3</v>
      </c>
      <c r="L180" s="243">
        <f>K41</f>
        <v>-0.9</v>
      </c>
      <c r="M180" s="243">
        <f>L41</f>
        <v>0.30000000000000004</v>
      </c>
      <c r="N180" s="241"/>
      <c r="O180" s="241"/>
      <c r="P180" s="232"/>
    </row>
    <row r="181" spans="1:16" ht="13">
      <c r="A181" s="2053"/>
      <c r="B181" s="244">
        <v>5</v>
      </c>
      <c r="C181" s="243">
        <f>C52</f>
        <v>30</v>
      </c>
      <c r="D181" s="243">
        <f>D52</f>
        <v>0.1</v>
      </c>
      <c r="E181" s="243">
        <f>E52</f>
        <v>-0.7</v>
      </c>
      <c r="F181" s="243">
        <f>F52</f>
        <v>0.39999999999999997</v>
      </c>
      <c r="G181" s="241"/>
      <c r="H181" s="2054"/>
      <c r="I181" s="244">
        <v>5</v>
      </c>
      <c r="J181" s="243">
        <f>I52</f>
        <v>60</v>
      </c>
      <c r="K181" s="243">
        <f>J52</f>
        <v>-4.2</v>
      </c>
      <c r="L181" s="243">
        <f>K52</f>
        <v>-2</v>
      </c>
      <c r="M181" s="243">
        <f>L52</f>
        <v>1.1000000000000001</v>
      </c>
      <c r="N181" s="241"/>
      <c r="O181" s="241"/>
      <c r="P181" s="232"/>
    </row>
    <row r="182" spans="1:16" ht="13">
      <c r="A182" s="2053"/>
      <c r="B182" s="244">
        <v>6</v>
      </c>
      <c r="C182" s="243">
        <f>C63</f>
        <v>30</v>
      </c>
      <c r="D182" s="243">
        <f>D63</f>
        <v>-0.5</v>
      </c>
      <c r="E182" s="243">
        <f>E63</f>
        <v>0.13</v>
      </c>
      <c r="F182" s="243">
        <f>F63</f>
        <v>0.315</v>
      </c>
      <c r="G182" s="241"/>
      <c r="H182" s="2054"/>
      <c r="I182" s="244">
        <v>6</v>
      </c>
      <c r="J182" s="243">
        <f>I63</f>
        <v>60</v>
      </c>
      <c r="K182" s="243">
        <f>J63</f>
        <v>1.1000000000000001</v>
      </c>
      <c r="L182" s="243">
        <f>K63</f>
        <v>-2</v>
      </c>
      <c r="M182" s="243">
        <f>L63</f>
        <v>1.55</v>
      </c>
      <c r="N182" s="241"/>
      <c r="O182" s="241"/>
      <c r="P182" s="232"/>
    </row>
    <row r="183" spans="1:16" ht="13">
      <c r="A183" s="2053"/>
      <c r="B183" s="244">
        <v>7</v>
      </c>
      <c r="C183" s="243">
        <f>C74</f>
        <v>30</v>
      </c>
      <c r="D183" s="243">
        <f>D74</f>
        <v>-0.6</v>
      </c>
      <c r="E183" s="243">
        <f>E74</f>
        <v>-0.1</v>
      </c>
      <c r="F183" s="243">
        <f>F74</f>
        <v>0.25</v>
      </c>
      <c r="G183" s="241"/>
      <c r="H183" s="2054"/>
      <c r="I183" s="244">
        <v>7</v>
      </c>
      <c r="J183" s="243">
        <f>I74</f>
        <v>60</v>
      </c>
      <c r="K183" s="243">
        <f>J74</f>
        <v>0.7</v>
      </c>
      <c r="L183" s="243">
        <f>K74</f>
        <v>1.5</v>
      </c>
      <c r="M183" s="243">
        <f>L74</f>
        <v>0.4</v>
      </c>
      <c r="N183" s="241"/>
      <c r="O183" s="241"/>
      <c r="P183" s="232"/>
    </row>
    <row r="184" spans="1:16" ht="13">
      <c r="A184" s="2053"/>
      <c r="B184" s="244">
        <v>8</v>
      </c>
      <c r="C184" s="243">
        <f>C85</f>
        <v>30</v>
      </c>
      <c r="D184" s="243">
        <f>D85</f>
        <v>-0.4</v>
      </c>
      <c r="E184" s="243">
        <f>E85</f>
        <v>-0.2</v>
      </c>
      <c r="F184" s="243">
        <f>F85</f>
        <v>0.1</v>
      </c>
      <c r="G184" s="241"/>
      <c r="H184" s="2054"/>
      <c r="I184" s="244">
        <v>8</v>
      </c>
      <c r="J184" s="243">
        <f>I85</f>
        <v>60</v>
      </c>
      <c r="K184" s="243">
        <f>J85</f>
        <v>-1.1000000000000001</v>
      </c>
      <c r="L184" s="243">
        <f>K85</f>
        <v>1.7</v>
      </c>
      <c r="M184" s="243">
        <f>L85</f>
        <v>1.4</v>
      </c>
      <c r="N184" s="241"/>
      <c r="O184" s="241"/>
      <c r="P184" s="232"/>
    </row>
    <row r="185" spans="1:16" ht="13">
      <c r="A185" s="2053"/>
      <c r="B185" s="244">
        <v>9</v>
      </c>
      <c r="C185" s="243">
        <f>C96</f>
        <v>30</v>
      </c>
      <c r="D185" s="243">
        <f>D96</f>
        <v>-0.5</v>
      </c>
      <c r="E185" s="243" t="str">
        <f>E96</f>
        <v>-</v>
      </c>
      <c r="F185" s="243">
        <f>F96</f>
        <v>0</v>
      </c>
      <c r="G185" s="241"/>
      <c r="H185" s="2054"/>
      <c r="I185" s="244">
        <v>9</v>
      </c>
      <c r="J185" s="243">
        <f>I96</f>
        <v>60</v>
      </c>
      <c r="K185" s="243">
        <f>J96</f>
        <v>-0.8</v>
      </c>
      <c r="L185" s="243" t="str">
        <f>K96</f>
        <v>-</v>
      </c>
      <c r="M185" s="243">
        <f>L96</f>
        <v>0</v>
      </c>
      <c r="N185" s="241"/>
      <c r="O185" s="241"/>
      <c r="P185" s="232"/>
    </row>
    <row r="186" spans="1:16" ht="13">
      <c r="A186" s="2053"/>
      <c r="B186" s="244">
        <v>10</v>
      </c>
      <c r="C186" s="243">
        <f>C107</f>
        <v>30</v>
      </c>
      <c r="D186" s="243">
        <f>D107</f>
        <v>0.1</v>
      </c>
      <c r="E186" s="243">
        <f>E107</f>
        <v>0.2</v>
      </c>
      <c r="F186" s="243">
        <f>F107</f>
        <v>0.05</v>
      </c>
      <c r="G186" s="241"/>
      <c r="H186" s="2054"/>
      <c r="I186" s="244">
        <v>10</v>
      </c>
      <c r="J186" s="243">
        <f>I107</f>
        <v>60</v>
      </c>
      <c r="K186" s="243">
        <f>J107</f>
        <v>-2.1</v>
      </c>
      <c r="L186" s="243">
        <f>K107</f>
        <v>-5.6</v>
      </c>
      <c r="M186" s="243">
        <f>L107</f>
        <v>1.7499999999999998</v>
      </c>
      <c r="N186" s="241"/>
      <c r="O186" s="241"/>
      <c r="P186" s="232"/>
    </row>
    <row r="187" spans="1:16" ht="13">
      <c r="A187" s="2053"/>
      <c r="B187" s="244">
        <v>11</v>
      </c>
      <c r="C187" s="243">
        <f>C118</f>
        <v>29.5</v>
      </c>
      <c r="D187" s="243">
        <f>D118</f>
        <v>0.4</v>
      </c>
      <c r="E187" s="243" t="str">
        <f>E118</f>
        <v>-</v>
      </c>
      <c r="F187" s="243">
        <f>F118</f>
        <v>0</v>
      </c>
      <c r="G187" s="241"/>
      <c r="H187" s="2054"/>
      <c r="I187" s="244">
        <v>11</v>
      </c>
      <c r="J187" s="243">
        <f>I118</f>
        <v>71.5</v>
      </c>
      <c r="K187" s="243">
        <f>J118</f>
        <v>-4.5</v>
      </c>
      <c r="L187" s="243" t="str">
        <f>K118</f>
        <v>-</v>
      </c>
      <c r="M187" s="243">
        <f>L118</f>
        <v>0</v>
      </c>
      <c r="N187" s="241"/>
      <c r="O187" s="241"/>
      <c r="P187" s="232"/>
    </row>
    <row r="188" spans="1:16" ht="13">
      <c r="A188" s="2053"/>
      <c r="B188" s="244">
        <v>12</v>
      </c>
      <c r="C188" s="243">
        <f>C129</f>
        <v>29.5</v>
      </c>
      <c r="D188" s="243">
        <f>D129</f>
        <v>0</v>
      </c>
      <c r="E188" s="243" t="str">
        <f>E129</f>
        <v>-</v>
      </c>
      <c r="F188" s="243">
        <f>F129</f>
        <v>0</v>
      </c>
      <c r="G188" s="241"/>
      <c r="H188" s="2054"/>
      <c r="I188" s="244">
        <v>12</v>
      </c>
      <c r="J188" s="243">
        <f>I129</f>
        <v>71.5</v>
      </c>
      <c r="K188" s="243">
        <f>J129</f>
        <v>0</v>
      </c>
      <c r="L188" s="243" t="str">
        <f>K129</f>
        <v>-</v>
      </c>
      <c r="M188" s="243">
        <f>L129</f>
        <v>0</v>
      </c>
      <c r="N188" s="241"/>
      <c r="O188" s="241"/>
      <c r="P188" s="232"/>
    </row>
    <row r="189" spans="1:16" ht="13">
      <c r="A189" s="249"/>
      <c r="B189" s="247"/>
      <c r="C189" s="246"/>
      <c r="D189" s="246"/>
      <c r="E189" s="246"/>
      <c r="F189" s="245"/>
      <c r="G189" s="193"/>
      <c r="H189" s="249"/>
      <c r="I189" s="250"/>
      <c r="J189" s="246"/>
      <c r="K189" s="246"/>
      <c r="L189" s="246"/>
      <c r="M189" s="245"/>
      <c r="N189" s="241"/>
      <c r="O189" s="241"/>
      <c r="P189" s="232"/>
    </row>
    <row r="190" spans="1:16" ht="13">
      <c r="A190" s="2053" t="s">
        <v>470</v>
      </c>
      <c r="B190" s="244">
        <v>1</v>
      </c>
      <c r="C190" s="243">
        <f>C9</f>
        <v>35</v>
      </c>
      <c r="D190" s="243">
        <f>D9</f>
        <v>-0.5</v>
      </c>
      <c r="E190" s="243">
        <f>E9</f>
        <v>0</v>
      </c>
      <c r="F190" s="243">
        <f>F9</f>
        <v>0.25</v>
      </c>
      <c r="G190" s="241"/>
      <c r="H190" s="2054" t="s">
        <v>470</v>
      </c>
      <c r="I190" s="244">
        <v>1</v>
      </c>
      <c r="J190" s="243">
        <f>I20</f>
        <v>70</v>
      </c>
      <c r="K190" s="243">
        <f>J20</f>
        <v>-1.1000000000000001</v>
      </c>
      <c r="L190" s="243">
        <f>K20</f>
        <v>-1</v>
      </c>
      <c r="M190" s="243">
        <f>L20</f>
        <v>5.0000000000000044E-2</v>
      </c>
      <c r="N190" s="241"/>
      <c r="O190" s="241"/>
      <c r="P190" s="232"/>
    </row>
    <row r="191" spans="1:16" ht="13">
      <c r="A191" s="2053"/>
      <c r="B191" s="244">
        <v>2</v>
      </c>
      <c r="C191" s="243">
        <f>C20</f>
        <v>35</v>
      </c>
      <c r="D191" s="243">
        <f>D20</f>
        <v>-0.3</v>
      </c>
      <c r="E191" s="243">
        <f>E20</f>
        <v>-1.6</v>
      </c>
      <c r="F191" s="243">
        <f>F20</f>
        <v>0.65</v>
      </c>
      <c r="G191" s="241"/>
      <c r="H191" s="2054"/>
      <c r="I191" s="244">
        <v>2</v>
      </c>
      <c r="J191" s="243">
        <f>I20</f>
        <v>70</v>
      </c>
      <c r="K191" s="243">
        <f>J20</f>
        <v>-1.1000000000000001</v>
      </c>
      <c r="L191" s="243">
        <f>K20</f>
        <v>-1</v>
      </c>
      <c r="M191" s="243">
        <f>L20</f>
        <v>5.0000000000000044E-2</v>
      </c>
      <c r="N191" s="241"/>
      <c r="O191" s="241"/>
      <c r="P191" s="232"/>
    </row>
    <row r="192" spans="1:16" ht="13">
      <c r="A192" s="2053"/>
      <c r="B192" s="244">
        <v>3</v>
      </c>
      <c r="C192" s="243">
        <f>C31</f>
        <v>35</v>
      </c>
      <c r="D192" s="243">
        <f>D31</f>
        <v>-0.5</v>
      </c>
      <c r="E192" s="243">
        <f>E31</f>
        <v>-0.4</v>
      </c>
      <c r="F192" s="243">
        <f>F31</f>
        <v>4.9999999999999989E-2</v>
      </c>
      <c r="G192" s="241"/>
      <c r="H192" s="2054"/>
      <c r="I192" s="244">
        <v>3</v>
      </c>
      <c r="J192" s="243">
        <f>I31</f>
        <v>70</v>
      </c>
      <c r="K192" s="243">
        <f>J31</f>
        <v>-3.6</v>
      </c>
      <c r="L192" s="243">
        <f>K31</f>
        <v>-1.6</v>
      </c>
      <c r="M192" s="243">
        <f>L31</f>
        <v>1</v>
      </c>
      <c r="N192" s="241"/>
      <c r="O192" s="241"/>
      <c r="P192" s="232"/>
    </row>
    <row r="193" spans="1:16" ht="13">
      <c r="A193" s="2053"/>
      <c r="B193" s="244">
        <v>4</v>
      </c>
      <c r="C193" s="243">
        <f>C42</f>
        <v>35</v>
      </c>
      <c r="D193" s="243">
        <f>D42</f>
        <v>-0.6</v>
      </c>
      <c r="E193" s="243">
        <f>E42</f>
        <v>-1.5</v>
      </c>
      <c r="F193" s="243">
        <f>F42</f>
        <v>0.45</v>
      </c>
      <c r="G193" s="241"/>
      <c r="H193" s="2054"/>
      <c r="I193" s="244">
        <v>4</v>
      </c>
      <c r="J193" s="243">
        <f>I42</f>
        <v>70</v>
      </c>
      <c r="K193" s="243">
        <f>J42</f>
        <v>0.7</v>
      </c>
      <c r="L193" s="243">
        <f>K42</f>
        <v>-0.7</v>
      </c>
      <c r="M193" s="243">
        <f>L42</f>
        <v>0.7</v>
      </c>
      <c r="N193" s="241"/>
      <c r="O193" s="241"/>
      <c r="P193" s="232"/>
    </row>
    <row r="194" spans="1:16" ht="13">
      <c r="A194" s="2053"/>
      <c r="B194" s="244">
        <v>5</v>
      </c>
      <c r="C194" s="243">
        <f>C53</f>
        <v>35</v>
      </c>
      <c r="D194" s="243">
        <f>D53</f>
        <v>0</v>
      </c>
      <c r="E194" s="243">
        <f>E53</f>
        <v>-1.1000000000000001</v>
      </c>
      <c r="F194" s="243">
        <f>F53</f>
        <v>0.55000000000000004</v>
      </c>
      <c r="G194" s="241"/>
      <c r="H194" s="2054"/>
      <c r="I194" s="244">
        <v>5</v>
      </c>
      <c r="J194" s="243">
        <f>I53</f>
        <v>70</v>
      </c>
      <c r="K194" s="243">
        <f>J53</f>
        <v>-2.1</v>
      </c>
      <c r="L194" s="243">
        <f>K53</f>
        <v>-1.6</v>
      </c>
      <c r="M194" s="243">
        <f>L53</f>
        <v>0.25</v>
      </c>
      <c r="N194" s="241"/>
      <c r="O194" s="241"/>
      <c r="P194" s="232"/>
    </row>
    <row r="195" spans="1:16" ht="13">
      <c r="A195" s="2053"/>
      <c r="B195" s="244">
        <v>6</v>
      </c>
      <c r="C195" s="243">
        <f>C64</f>
        <v>35</v>
      </c>
      <c r="D195" s="243">
        <f>D64</f>
        <v>-0.9</v>
      </c>
      <c r="E195" s="243">
        <f>E64</f>
        <v>0.1</v>
      </c>
      <c r="F195" s="243">
        <f>F64</f>
        <v>0.5</v>
      </c>
      <c r="G195" s="241"/>
      <c r="H195" s="2054"/>
      <c r="I195" s="244">
        <v>6</v>
      </c>
      <c r="J195" s="243">
        <f>I64</f>
        <v>70</v>
      </c>
      <c r="K195" s="243">
        <f>J64</f>
        <v>0.9</v>
      </c>
      <c r="L195" s="243">
        <f>K64</f>
        <v>-2.1</v>
      </c>
      <c r="M195" s="243">
        <f>L64</f>
        <v>1.5</v>
      </c>
      <c r="N195" s="241"/>
      <c r="O195" s="241"/>
      <c r="P195" s="232"/>
    </row>
    <row r="196" spans="1:16" ht="13">
      <c r="A196" s="2053"/>
      <c r="B196" s="244">
        <v>7</v>
      </c>
      <c r="C196" s="243">
        <f>C75</f>
        <v>35</v>
      </c>
      <c r="D196" s="243">
        <f>D75</f>
        <v>-1.1000000000000001</v>
      </c>
      <c r="E196" s="243">
        <f>E75</f>
        <v>-0.1</v>
      </c>
      <c r="F196" s="243">
        <f>F75</f>
        <v>0.5</v>
      </c>
      <c r="G196" s="241"/>
      <c r="H196" s="2054"/>
      <c r="I196" s="244">
        <v>7</v>
      </c>
      <c r="J196" s="243">
        <f>I75</f>
        <v>70</v>
      </c>
      <c r="K196" s="243">
        <f>J75</f>
        <v>0.9</v>
      </c>
      <c r="L196" s="243">
        <f>K75</f>
        <v>2.8</v>
      </c>
      <c r="M196" s="243">
        <f>L75</f>
        <v>0.95</v>
      </c>
      <c r="N196" s="241"/>
      <c r="O196" s="241"/>
      <c r="P196" s="232"/>
    </row>
    <row r="197" spans="1:16" ht="13">
      <c r="A197" s="2053"/>
      <c r="B197" s="244">
        <v>8</v>
      </c>
      <c r="C197" s="243">
        <f>C86</f>
        <v>35</v>
      </c>
      <c r="D197" s="243">
        <f>D86</f>
        <v>-0.5</v>
      </c>
      <c r="E197" s="243">
        <f>E86</f>
        <v>-0.3</v>
      </c>
      <c r="F197" s="243">
        <f>F86</f>
        <v>0.1</v>
      </c>
      <c r="G197" s="241"/>
      <c r="H197" s="2054"/>
      <c r="I197" s="244">
        <v>8</v>
      </c>
      <c r="J197" s="243">
        <f>I86</f>
        <v>70</v>
      </c>
      <c r="K197" s="243">
        <f>J86</f>
        <v>-1.2</v>
      </c>
      <c r="L197" s="243">
        <f>K86</f>
        <v>2.1</v>
      </c>
      <c r="M197" s="243">
        <f>L86</f>
        <v>1.65</v>
      </c>
      <c r="N197" s="241"/>
      <c r="O197" s="241"/>
      <c r="P197" s="232"/>
    </row>
    <row r="198" spans="1:16" ht="13">
      <c r="A198" s="2053"/>
      <c r="B198" s="244">
        <v>9</v>
      </c>
      <c r="C198" s="243">
        <f>C97</f>
        <v>35</v>
      </c>
      <c r="D198" s="243">
        <f>D97</f>
        <v>-0.5</v>
      </c>
      <c r="E198" s="243" t="str">
        <f>E97</f>
        <v>-</v>
      </c>
      <c r="F198" s="243">
        <f>F97</f>
        <v>0</v>
      </c>
      <c r="G198" s="241"/>
      <c r="H198" s="2054"/>
      <c r="I198" s="244">
        <v>9</v>
      </c>
      <c r="J198" s="243">
        <f>I97</f>
        <v>70</v>
      </c>
      <c r="K198" s="243">
        <f>J97</f>
        <v>-0.6</v>
      </c>
      <c r="L198" s="243" t="str">
        <f>K97</f>
        <v>-</v>
      </c>
      <c r="M198" s="243">
        <f>L97</f>
        <v>0</v>
      </c>
      <c r="N198" s="241"/>
      <c r="O198" s="241"/>
      <c r="P198" s="232"/>
    </row>
    <row r="199" spans="1:16" ht="13">
      <c r="A199" s="2053"/>
      <c r="B199" s="244">
        <v>10</v>
      </c>
      <c r="C199" s="243">
        <f>C108</f>
        <v>35</v>
      </c>
      <c r="D199" s="243">
        <f>D108</f>
        <v>0.2</v>
      </c>
      <c r="E199" s="243">
        <f>E108</f>
        <v>0.8</v>
      </c>
      <c r="F199" s="243">
        <f>F108</f>
        <v>0.30000000000000004</v>
      </c>
      <c r="G199" s="241"/>
      <c r="H199" s="2054"/>
      <c r="I199" s="244">
        <v>10</v>
      </c>
      <c r="J199" s="243">
        <f>I108</f>
        <v>70</v>
      </c>
      <c r="K199" s="243">
        <f>J108</f>
        <v>-0.3</v>
      </c>
      <c r="L199" s="243">
        <f>K108</f>
        <v>-5.0999999999999996</v>
      </c>
      <c r="M199" s="243">
        <f>L108</f>
        <v>2.4</v>
      </c>
      <c r="N199" s="241"/>
      <c r="O199" s="241"/>
      <c r="P199" s="232"/>
    </row>
    <row r="200" spans="1:16" ht="13">
      <c r="A200" s="2053"/>
      <c r="B200" s="244">
        <v>11</v>
      </c>
      <c r="C200" s="243">
        <f>C119</f>
        <v>34.5</v>
      </c>
      <c r="D200" s="243">
        <f>D119</f>
        <v>0.4</v>
      </c>
      <c r="E200" s="243" t="str">
        <f>E119</f>
        <v>-</v>
      </c>
      <c r="F200" s="243">
        <f>F119</f>
        <v>0</v>
      </c>
      <c r="G200" s="241"/>
      <c r="H200" s="2054"/>
      <c r="I200" s="244">
        <v>11</v>
      </c>
      <c r="J200" s="243">
        <f>I119</f>
        <v>80.8</v>
      </c>
      <c r="K200" s="243">
        <f>J119</f>
        <v>-1.7</v>
      </c>
      <c r="L200" s="243" t="str">
        <f>K119</f>
        <v>-</v>
      </c>
      <c r="M200" s="243">
        <f>L119</f>
        <v>0</v>
      </c>
      <c r="N200" s="241"/>
      <c r="O200" s="241"/>
      <c r="P200" s="232"/>
    </row>
    <row r="201" spans="1:16" ht="13">
      <c r="A201" s="2053"/>
      <c r="B201" s="244">
        <v>12</v>
      </c>
      <c r="C201" s="243">
        <f>C130</f>
        <v>34.5</v>
      </c>
      <c r="D201" s="243">
        <f>D130</f>
        <v>0</v>
      </c>
      <c r="E201" s="243" t="str">
        <f>E130</f>
        <v>-</v>
      </c>
      <c r="F201" s="243">
        <f>F130</f>
        <v>0</v>
      </c>
      <c r="G201" s="241"/>
      <c r="H201" s="2054"/>
      <c r="I201" s="244">
        <v>12</v>
      </c>
      <c r="J201" s="243">
        <f>I130</f>
        <v>80.8</v>
      </c>
      <c r="K201" s="243">
        <f>J130</f>
        <v>0</v>
      </c>
      <c r="L201" s="243" t="str">
        <f>K130</f>
        <v>-</v>
      </c>
      <c r="M201" s="243">
        <f>L130</f>
        <v>0</v>
      </c>
      <c r="N201" s="241"/>
      <c r="O201" s="241"/>
      <c r="P201" s="232"/>
    </row>
    <row r="202" spans="1:16" ht="13">
      <c r="A202" s="249"/>
      <c r="B202" s="247"/>
      <c r="C202" s="246"/>
      <c r="D202" s="246"/>
      <c r="E202" s="246"/>
      <c r="F202" s="245"/>
      <c r="G202" s="193"/>
      <c r="H202" s="249"/>
      <c r="I202" s="247"/>
      <c r="J202" s="246"/>
      <c r="K202" s="246"/>
      <c r="L202" s="246"/>
      <c r="M202" s="245"/>
      <c r="N202" s="241"/>
      <c r="O202" s="241"/>
      <c r="P202" s="232"/>
    </row>
    <row r="203" spans="1:16" ht="13">
      <c r="A203" s="2053" t="s">
        <v>471</v>
      </c>
      <c r="B203" s="244">
        <v>1</v>
      </c>
      <c r="C203" s="243">
        <f>C10</f>
        <v>37</v>
      </c>
      <c r="D203" s="243">
        <f>D10</f>
        <v>-0.6</v>
      </c>
      <c r="E203" s="243">
        <f>E10</f>
        <v>0</v>
      </c>
      <c r="F203" s="243">
        <f>F10</f>
        <v>0.3</v>
      </c>
      <c r="G203" s="241"/>
      <c r="H203" s="2054" t="s">
        <v>471</v>
      </c>
      <c r="I203" s="244">
        <v>1</v>
      </c>
      <c r="J203" s="243">
        <f>I10</f>
        <v>80</v>
      </c>
      <c r="K203" s="243">
        <f>J10</f>
        <v>0.7</v>
      </c>
      <c r="L203" s="243">
        <f>K10</f>
        <v>0</v>
      </c>
      <c r="M203" s="243">
        <f>L10</f>
        <v>0.35</v>
      </c>
      <c r="N203" s="241"/>
      <c r="O203" s="241"/>
      <c r="P203" s="232"/>
    </row>
    <row r="204" spans="1:16" ht="13">
      <c r="A204" s="2053"/>
      <c r="B204" s="244">
        <v>2</v>
      </c>
      <c r="C204" s="243">
        <f>C21</f>
        <v>37</v>
      </c>
      <c r="D204" s="243">
        <f>D21</f>
        <v>-0.3</v>
      </c>
      <c r="E204" s="243">
        <f>E21</f>
        <v>-1.8</v>
      </c>
      <c r="F204" s="243">
        <f>F21</f>
        <v>0.75</v>
      </c>
      <c r="G204" s="241"/>
      <c r="H204" s="2054"/>
      <c r="I204" s="244">
        <v>2</v>
      </c>
      <c r="J204" s="243">
        <f>I21</f>
        <v>80</v>
      </c>
      <c r="K204" s="243">
        <f>J21</f>
        <v>-0.7</v>
      </c>
      <c r="L204" s="243">
        <f>K21</f>
        <v>-0.4</v>
      </c>
      <c r="M204" s="243">
        <f>L21</f>
        <v>0.14999999999999997</v>
      </c>
      <c r="N204" s="241"/>
      <c r="O204" s="241"/>
      <c r="P204" s="232"/>
    </row>
    <row r="205" spans="1:16" ht="13">
      <c r="A205" s="2053"/>
      <c r="B205" s="244">
        <v>3</v>
      </c>
      <c r="C205" s="243">
        <f>C32</f>
        <v>37</v>
      </c>
      <c r="D205" s="243">
        <f>D32</f>
        <v>-0.6</v>
      </c>
      <c r="E205" s="243">
        <f>E32</f>
        <v>-0.5</v>
      </c>
      <c r="F205" s="243">
        <f>F32</f>
        <v>4.9999999999999989E-2</v>
      </c>
      <c r="G205" s="241"/>
      <c r="H205" s="2054"/>
      <c r="I205" s="244">
        <v>3</v>
      </c>
      <c r="J205" s="243">
        <f>I32</f>
        <v>80</v>
      </c>
      <c r="K205" s="243">
        <f>J32</f>
        <v>-2.9</v>
      </c>
      <c r="L205" s="243">
        <f>K32</f>
        <v>-0.6</v>
      </c>
      <c r="M205" s="243">
        <f>L32</f>
        <v>1.1499999999999999</v>
      </c>
      <c r="N205" s="241"/>
      <c r="O205" s="241"/>
      <c r="P205" s="232"/>
    </row>
    <row r="206" spans="1:16" ht="13">
      <c r="A206" s="2053"/>
      <c r="B206" s="244">
        <v>4</v>
      </c>
      <c r="C206" s="243">
        <f>C43</f>
        <v>37</v>
      </c>
      <c r="D206" s="243">
        <f>D43</f>
        <v>-0.6</v>
      </c>
      <c r="E206" s="243">
        <f>E43</f>
        <v>-1.8</v>
      </c>
      <c r="F206" s="243">
        <f>F43</f>
        <v>0.60000000000000009</v>
      </c>
      <c r="G206" s="241"/>
      <c r="H206" s="2054"/>
      <c r="I206" s="244">
        <v>4</v>
      </c>
      <c r="J206" s="243">
        <f>I43</f>
        <v>80</v>
      </c>
      <c r="K206" s="243">
        <f>J43</f>
        <v>1.9</v>
      </c>
      <c r="L206" s="243">
        <f>K43</f>
        <v>-0.4</v>
      </c>
      <c r="M206" s="243">
        <f>L43</f>
        <v>1.1499999999999999</v>
      </c>
      <c r="N206" s="241"/>
      <c r="O206" s="241"/>
      <c r="P206" s="232"/>
    </row>
    <row r="207" spans="1:16" ht="13">
      <c r="A207" s="2053"/>
      <c r="B207" s="244">
        <v>5</v>
      </c>
      <c r="C207" s="243">
        <f>C54</f>
        <v>37</v>
      </c>
      <c r="D207" s="243">
        <f>D54</f>
        <v>0</v>
      </c>
      <c r="E207" s="243">
        <f>E54</f>
        <v>-1.2</v>
      </c>
      <c r="F207" s="243">
        <f>F54</f>
        <v>0.6</v>
      </c>
      <c r="G207" s="241"/>
      <c r="H207" s="2054"/>
      <c r="I207" s="244">
        <v>5</v>
      </c>
      <c r="J207" s="243">
        <f>I54</f>
        <v>80</v>
      </c>
      <c r="K207" s="243">
        <f>J54</f>
        <v>0.2</v>
      </c>
      <c r="L207" s="243">
        <f>K54</f>
        <v>-0.9</v>
      </c>
      <c r="M207" s="243">
        <f>L54</f>
        <v>0.55000000000000004</v>
      </c>
      <c r="N207" s="241"/>
      <c r="O207" s="241"/>
      <c r="P207" s="232"/>
    </row>
    <row r="208" spans="1:16" ht="13">
      <c r="A208" s="2053"/>
      <c r="B208" s="244">
        <v>6</v>
      </c>
      <c r="C208" s="243">
        <f>C65</f>
        <v>37</v>
      </c>
      <c r="D208" s="243">
        <f>D65</f>
        <v>-1.1000000000000001</v>
      </c>
      <c r="E208" s="243">
        <f>E65</f>
        <v>0</v>
      </c>
      <c r="F208" s="243">
        <f>F65</f>
        <v>0.55000000000000004</v>
      </c>
      <c r="G208" s="241"/>
      <c r="H208" s="2054"/>
      <c r="I208" s="244">
        <v>6</v>
      </c>
      <c r="J208" s="243">
        <f>I65</f>
        <v>80</v>
      </c>
      <c r="K208" s="243">
        <f>J65</f>
        <v>0.8</v>
      </c>
      <c r="L208" s="243">
        <f>K65</f>
        <v>-2.6</v>
      </c>
      <c r="M208" s="243">
        <f>L65</f>
        <v>1.7000000000000002</v>
      </c>
      <c r="N208" s="241"/>
      <c r="O208" s="241"/>
      <c r="P208" s="232"/>
    </row>
    <row r="209" spans="1:16" ht="13">
      <c r="A209" s="2053"/>
      <c r="B209" s="244">
        <v>7</v>
      </c>
      <c r="C209" s="243">
        <f>C76</f>
        <v>37</v>
      </c>
      <c r="D209" s="243">
        <f>D76</f>
        <v>-1.4</v>
      </c>
      <c r="E209" s="243">
        <f>E76</f>
        <v>-0.1</v>
      </c>
      <c r="F209" s="243">
        <f>F76</f>
        <v>0.64999999999999991</v>
      </c>
      <c r="G209" s="241"/>
      <c r="H209" s="2054"/>
      <c r="I209" s="244">
        <v>7</v>
      </c>
      <c r="J209" s="243">
        <f>I76</f>
        <v>80</v>
      </c>
      <c r="K209" s="243">
        <f>J76</f>
        <v>1.2</v>
      </c>
      <c r="L209" s="243">
        <f>K76</f>
        <v>4.4000000000000004</v>
      </c>
      <c r="M209" s="243">
        <f>L76</f>
        <v>1.6</v>
      </c>
      <c r="N209" s="241"/>
      <c r="O209" s="241"/>
      <c r="P209" s="232"/>
    </row>
    <row r="210" spans="1:16" ht="13">
      <c r="A210" s="2053"/>
      <c r="B210" s="244">
        <v>8</v>
      </c>
      <c r="C210" s="243">
        <f>C87</f>
        <v>37</v>
      </c>
      <c r="D210" s="243">
        <f>D87</f>
        <v>-0.5</v>
      </c>
      <c r="E210" s="243">
        <f>E87</f>
        <v>-0.3</v>
      </c>
      <c r="F210" s="243">
        <f>F87</f>
        <v>0.1</v>
      </c>
      <c r="G210" s="241"/>
      <c r="H210" s="2054"/>
      <c r="I210" s="244">
        <v>8</v>
      </c>
      <c r="J210" s="243">
        <f>I87</f>
        <v>80</v>
      </c>
      <c r="K210" s="243">
        <f>J87</f>
        <v>-1.2</v>
      </c>
      <c r="L210" s="243">
        <f>K87</f>
        <v>2.6</v>
      </c>
      <c r="M210" s="243">
        <f>L87</f>
        <v>1.9</v>
      </c>
      <c r="N210" s="241"/>
      <c r="O210" s="241"/>
      <c r="P210" s="232"/>
    </row>
    <row r="211" spans="1:16" ht="13">
      <c r="A211" s="2053"/>
      <c r="B211" s="244">
        <v>9</v>
      </c>
      <c r="C211" s="243">
        <f>C98</f>
        <v>37</v>
      </c>
      <c r="D211" s="243">
        <f>D98</f>
        <v>-0.5</v>
      </c>
      <c r="E211" s="243" t="str">
        <f>E98</f>
        <v>-</v>
      </c>
      <c r="F211" s="243">
        <f>F98</f>
        <v>0</v>
      </c>
      <c r="G211" s="241"/>
      <c r="H211" s="2054"/>
      <c r="I211" s="244">
        <v>9</v>
      </c>
      <c r="J211" s="243">
        <f>I98</f>
        <v>80</v>
      </c>
      <c r="K211" s="243">
        <f>J98</f>
        <v>-0.5</v>
      </c>
      <c r="L211" s="243" t="str">
        <f>K98</f>
        <v>-</v>
      </c>
      <c r="M211" s="243">
        <f>L98</f>
        <v>0</v>
      </c>
      <c r="N211" s="241"/>
      <c r="O211" s="241"/>
      <c r="P211" s="232"/>
    </row>
    <row r="212" spans="1:16" ht="13">
      <c r="A212" s="2053"/>
      <c r="B212" s="244">
        <v>10</v>
      </c>
      <c r="C212" s="243">
        <f>C109</f>
        <v>37</v>
      </c>
      <c r="D212" s="243">
        <f>D109</f>
        <v>0.2</v>
      </c>
      <c r="E212" s="243">
        <f>E109</f>
        <v>0.4</v>
      </c>
      <c r="F212" s="243">
        <f>F109</f>
        <v>0.1</v>
      </c>
      <c r="G212" s="241"/>
      <c r="H212" s="2054"/>
      <c r="I212" s="244">
        <v>10</v>
      </c>
      <c r="J212" s="243">
        <f>I109</f>
        <v>80</v>
      </c>
      <c r="K212" s="243">
        <f>J109</f>
        <v>2.2000000000000002</v>
      </c>
      <c r="L212" s="243">
        <f>K109</f>
        <v>-4.7</v>
      </c>
      <c r="M212" s="243">
        <f>L109</f>
        <v>3.45</v>
      </c>
      <c r="N212" s="241"/>
      <c r="O212" s="241"/>
      <c r="P212" s="232"/>
    </row>
    <row r="213" spans="1:16" ht="13">
      <c r="A213" s="2053"/>
      <c r="B213" s="244">
        <v>11</v>
      </c>
      <c r="C213" s="243">
        <f>C120</f>
        <v>39.5</v>
      </c>
      <c r="D213" s="243">
        <f>D120</f>
        <v>0.5</v>
      </c>
      <c r="E213" s="243" t="str">
        <f>E120</f>
        <v>-</v>
      </c>
      <c r="F213" s="243">
        <f>F120</f>
        <v>0</v>
      </c>
      <c r="G213" s="241"/>
      <c r="H213" s="2054"/>
      <c r="I213" s="244">
        <v>11</v>
      </c>
      <c r="J213" s="243">
        <f>I120</f>
        <v>88.7</v>
      </c>
      <c r="K213" s="243">
        <f>J120</f>
        <v>2.6</v>
      </c>
      <c r="L213" s="243" t="str">
        <f>K120</f>
        <v>-</v>
      </c>
      <c r="M213" s="243">
        <f>L120</f>
        <v>0</v>
      </c>
      <c r="N213" s="241"/>
      <c r="O213" s="241"/>
      <c r="P213" s="232"/>
    </row>
    <row r="214" spans="1:16" ht="13">
      <c r="A214" s="2053"/>
      <c r="B214" s="244">
        <v>12</v>
      </c>
      <c r="C214" s="243">
        <f>C131</f>
        <v>39.5</v>
      </c>
      <c r="D214" s="243">
        <f>D131</f>
        <v>0</v>
      </c>
      <c r="E214" s="243" t="str">
        <f>E131</f>
        <v>-</v>
      </c>
      <c r="F214" s="243">
        <f>F131</f>
        <v>0</v>
      </c>
      <c r="G214" s="241"/>
      <c r="H214" s="2054"/>
      <c r="I214" s="244">
        <v>12</v>
      </c>
      <c r="J214" s="243">
        <f>I131</f>
        <v>88.7</v>
      </c>
      <c r="K214" s="243">
        <f>J131</f>
        <v>0</v>
      </c>
      <c r="L214" s="243" t="str">
        <f>K131</f>
        <v>-</v>
      </c>
      <c r="M214" s="243">
        <f>L131</f>
        <v>0</v>
      </c>
      <c r="N214" s="241"/>
      <c r="O214" s="241"/>
      <c r="P214" s="232"/>
    </row>
    <row r="215" spans="1:16" ht="13">
      <c r="A215" s="249"/>
      <c r="B215" s="247"/>
      <c r="C215" s="246"/>
      <c r="D215" s="246"/>
      <c r="E215" s="246"/>
      <c r="F215" s="245"/>
      <c r="G215" s="193"/>
      <c r="H215" s="248"/>
      <c r="I215" s="247"/>
      <c r="J215" s="246"/>
      <c r="K215" s="246"/>
      <c r="L215" s="246"/>
      <c r="M215" s="245"/>
      <c r="N215" s="241"/>
      <c r="O215" s="241"/>
      <c r="P215" s="232"/>
    </row>
    <row r="216" spans="1:16" ht="13">
      <c r="A216" s="2053" t="s">
        <v>165</v>
      </c>
      <c r="B216" s="244">
        <v>1</v>
      </c>
      <c r="C216" s="243">
        <f>C11</f>
        <v>40</v>
      </c>
      <c r="D216" s="243">
        <f>D11</f>
        <v>-0.8</v>
      </c>
      <c r="E216" s="243">
        <f>E11</f>
        <v>0</v>
      </c>
      <c r="F216" s="243">
        <f>F11</f>
        <v>0.4</v>
      </c>
      <c r="G216" s="241"/>
      <c r="H216" s="2054" t="s">
        <v>165</v>
      </c>
      <c r="I216" s="244">
        <v>1</v>
      </c>
      <c r="J216" s="243">
        <f>I11</f>
        <v>90</v>
      </c>
      <c r="K216" s="243">
        <f>J11</f>
        <v>4.5</v>
      </c>
      <c r="L216" s="243">
        <f>K11</f>
        <v>0</v>
      </c>
      <c r="M216" s="243">
        <f>L11</f>
        <v>2.25</v>
      </c>
      <c r="N216" s="241"/>
      <c r="O216" s="241"/>
      <c r="P216" s="232"/>
    </row>
    <row r="217" spans="1:16" ht="13">
      <c r="A217" s="2053"/>
      <c r="B217" s="244">
        <v>2</v>
      </c>
      <c r="C217" s="243">
        <f>C22</f>
        <v>40</v>
      </c>
      <c r="D217" s="243">
        <f>D22</f>
        <v>-0.3</v>
      </c>
      <c r="E217" s="243">
        <f>E22</f>
        <v>-2.1</v>
      </c>
      <c r="F217" s="243">
        <f>F22</f>
        <v>0.9</v>
      </c>
      <c r="G217" s="241"/>
      <c r="H217" s="2054"/>
      <c r="I217" s="244">
        <v>2</v>
      </c>
      <c r="J217" s="243">
        <f>I22</f>
        <v>90</v>
      </c>
      <c r="K217" s="243">
        <f>J22</f>
        <v>-0.3</v>
      </c>
      <c r="L217" s="243">
        <f>K22</f>
        <v>0.6</v>
      </c>
      <c r="M217" s="243">
        <f>L22</f>
        <v>0.44999999999999996</v>
      </c>
      <c r="N217" s="241"/>
      <c r="O217" s="241"/>
      <c r="P217" s="232"/>
    </row>
    <row r="218" spans="1:16" ht="13">
      <c r="A218" s="2053"/>
      <c r="B218" s="244">
        <v>3</v>
      </c>
      <c r="C218" s="243">
        <f>C33</f>
        <v>40</v>
      </c>
      <c r="D218" s="243">
        <f>D33</f>
        <v>-0.7</v>
      </c>
      <c r="E218" s="243">
        <f>E33</f>
        <v>-0.5</v>
      </c>
      <c r="F218" s="243">
        <f>F33</f>
        <v>9.9999999999999978E-2</v>
      </c>
      <c r="G218" s="241"/>
      <c r="H218" s="2054"/>
      <c r="I218" s="244">
        <v>3</v>
      </c>
      <c r="J218" s="243">
        <f>I33</f>
        <v>90</v>
      </c>
      <c r="K218" s="243">
        <f>J33</f>
        <v>-2</v>
      </c>
      <c r="L218" s="243">
        <f>K33</f>
        <v>0.9</v>
      </c>
      <c r="M218" s="243">
        <f>L33</f>
        <v>1.45</v>
      </c>
      <c r="N218" s="241"/>
      <c r="O218" s="241"/>
      <c r="P218" s="232"/>
    </row>
    <row r="219" spans="1:16" ht="13">
      <c r="A219" s="2053"/>
      <c r="B219" s="244">
        <v>4</v>
      </c>
      <c r="C219" s="243">
        <f>C44</f>
        <v>40</v>
      </c>
      <c r="D219" s="243">
        <f>D44</f>
        <v>-0.6</v>
      </c>
      <c r="E219" s="243">
        <f>E44</f>
        <v>-2.1</v>
      </c>
      <c r="F219" s="243">
        <f>F44</f>
        <v>0.75</v>
      </c>
      <c r="G219" s="241"/>
      <c r="H219" s="2054"/>
      <c r="I219" s="244">
        <v>4</v>
      </c>
      <c r="J219" s="243">
        <f>I44</f>
        <v>90</v>
      </c>
      <c r="K219" s="243">
        <f>J44</f>
        <v>3.3</v>
      </c>
      <c r="L219" s="243">
        <f>K44</f>
        <v>0.2</v>
      </c>
      <c r="M219" s="243">
        <f>L44</f>
        <v>1.5499999999999998</v>
      </c>
      <c r="N219" s="241"/>
      <c r="O219" s="241"/>
      <c r="P219" s="232"/>
    </row>
    <row r="220" spans="1:16" ht="13">
      <c r="A220" s="2053"/>
      <c r="B220" s="244">
        <v>5</v>
      </c>
      <c r="C220" s="243">
        <f>C55</f>
        <v>40</v>
      </c>
      <c r="D220" s="243">
        <f>D55</f>
        <v>-0.1</v>
      </c>
      <c r="E220" s="243">
        <f>E55</f>
        <v>-1.5</v>
      </c>
      <c r="F220" s="243">
        <f>F55</f>
        <v>0.7</v>
      </c>
      <c r="G220" s="241"/>
      <c r="H220" s="2054"/>
      <c r="I220" s="244">
        <v>5</v>
      </c>
      <c r="J220" s="243">
        <f>I55</f>
        <v>90</v>
      </c>
      <c r="K220" s="243">
        <f>J55</f>
        <v>2.7</v>
      </c>
      <c r="L220" s="243">
        <f>K55</f>
        <v>0.2</v>
      </c>
      <c r="M220" s="243">
        <f>L55</f>
        <v>1.25</v>
      </c>
      <c r="N220" s="241"/>
      <c r="O220" s="241"/>
      <c r="P220" s="232"/>
    </row>
    <row r="221" spans="1:16" ht="13">
      <c r="A221" s="2053"/>
      <c r="B221" s="244">
        <v>6</v>
      </c>
      <c r="C221" s="243">
        <f>C66</f>
        <v>40</v>
      </c>
      <c r="D221" s="243">
        <f>D66</f>
        <v>-1.4</v>
      </c>
      <c r="E221" s="243">
        <f>E66</f>
        <v>-0.1</v>
      </c>
      <c r="F221" s="243">
        <f>F66</f>
        <v>0.64999999999999991</v>
      </c>
      <c r="G221" s="241"/>
      <c r="H221" s="2054"/>
      <c r="I221" s="244">
        <v>6</v>
      </c>
      <c r="J221" s="243">
        <f>I66</f>
        <v>90</v>
      </c>
      <c r="K221" s="243">
        <f>J66</f>
        <v>0.7</v>
      </c>
      <c r="L221" s="243">
        <f>K66</f>
        <v>-2.6</v>
      </c>
      <c r="M221" s="243">
        <f>L66</f>
        <v>1.65</v>
      </c>
      <c r="N221" s="241"/>
      <c r="O221" s="241"/>
      <c r="P221" s="232"/>
    </row>
    <row r="222" spans="1:16" ht="13">
      <c r="A222" s="2053"/>
      <c r="B222" s="244">
        <v>7</v>
      </c>
      <c r="C222" s="243">
        <f>C77</f>
        <v>40</v>
      </c>
      <c r="D222" s="243">
        <f>D77</f>
        <v>-1.7</v>
      </c>
      <c r="E222" s="243">
        <f>E77</f>
        <v>-0.1</v>
      </c>
      <c r="F222" s="243">
        <f>F77</f>
        <v>0.79999999999999993</v>
      </c>
      <c r="G222" s="241"/>
      <c r="H222" s="2054"/>
      <c r="I222" s="244">
        <v>7</v>
      </c>
      <c r="J222" s="243">
        <f>I77</f>
        <v>90</v>
      </c>
      <c r="K222" s="243">
        <f>J77</f>
        <v>1.8</v>
      </c>
      <c r="L222" s="243">
        <f>K77</f>
        <v>4.4000000000000004</v>
      </c>
      <c r="M222" s="243">
        <f>L77</f>
        <v>1.3000000000000003</v>
      </c>
      <c r="N222" s="241"/>
      <c r="O222" s="241"/>
      <c r="P222" s="232"/>
    </row>
    <row r="223" spans="1:16" ht="13">
      <c r="A223" s="2053"/>
      <c r="B223" s="244">
        <v>8</v>
      </c>
      <c r="C223" s="243">
        <f>C88</f>
        <v>40</v>
      </c>
      <c r="D223" s="243">
        <f>D88</f>
        <v>-0.4</v>
      </c>
      <c r="E223" s="243">
        <f>E88</f>
        <v>-0.4</v>
      </c>
      <c r="F223" s="243">
        <f>F88</f>
        <v>0</v>
      </c>
      <c r="G223" s="241"/>
      <c r="H223" s="2054"/>
      <c r="I223" s="244">
        <v>8</v>
      </c>
      <c r="J223" s="243">
        <f>I88</f>
        <v>90</v>
      </c>
      <c r="K223" s="243">
        <f>J88</f>
        <v>-1.3</v>
      </c>
      <c r="L223" s="243">
        <f>K88</f>
        <v>2.6</v>
      </c>
      <c r="M223" s="243">
        <f>L88</f>
        <v>1.9500000000000002</v>
      </c>
      <c r="N223" s="241"/>
      <c r="O223" s="241"/>
      <c r="P223" s="232"/>
    </row>
    <row r="224" spans="1:16" ht="13">
      <c r="A224" s="2053"/>
      <c r="B224" s="244">
        <v>9</v>
      </c>
      <c r="C224" s="243">
        <f>C99</f>
        <v>40</v>
      </c>
      <c r="D224" s="243">
        <f>D99</f>
        <v>-0.4</v>
      </c>
      <c r="E224" s="243" t="str">
        <f>E99</f>
        <v>-</v>
      </c>
      <c r="F224" s="243">
        <f>F99</f>
        <v>0</v>
      </c>
      <c r="G224" s="241"/>
      <c r="H224" s="2054"/>
      <c r="I224" s="244">
        <v>9</v>
      </c>
      <c r="J224" s="243">
        <f>I99</f>
        <v>90</v>
      </c>
      <c r="K224" s="243">
        <f>J99</f>
        <v>-0.2</v>
      </c>
      <c r="L224" s="243" t="str">
        <f>K99</f>
        <v>-</v>
      </c>
      <c r="M224" s="243">
        <f>L99</f>
        <v>0</v>
      </c>
      <c r="N224" s="241"/>
      <c r="O224" s="241"/>
      <c r="P224" s="232"/>
    </row>
    <row r="225" spans="1:16" ht="13">
      <c r="A225" s="2053"/>
      <c r="B225" s="244">
        <v>10</v>
      </c>
      <c r="C225" s="243">
        <f>C110</f>
        <v>40</v>
      </c>
      <c r="D225" s="243">
        <f>D110</f>
        <v>0.2</v>
      </c>
      <c r="E225" s="243">
        <f>E110</f>
        <v>0</v>
      </c>
      <c r="F225" s="243">
        <f>F110</f>
        <v>0.1</v>
      </c>
      <c r="G225" s="241"/>
      <c r="H225" s="2054"/>
      <c r="I225" s="244">
        <v>10</v>
      </c>
      <c r="J225" s="243">
        <f>I110</f>
        <v>90</v>
      </c>
      <c r="K225" s="243">
        <f>J110</f>
        <v>5.4</v>
      </c>
      <c r="L225" s="243">
        <f>K110</f>
        <v>0</v>
      </c>
      <c r="M225" s="243">
        <f>L110</f>
        <v>2.7</v>
      </c>
      <c r="N225" s="241"/>
      <c r="O225" s="241"/>
      <c r="P225" s="232"/>
    </row>
    <row r="226" spans="1:16" ht="13">
      <c r="A226" s="2053"/>
      <c r="B226" s="244">
        <v>11</v>
      </c>
      <c r="C226" s="243">
        <f>C121</f>
        <v>40</v>
      </c>
      <c r="D226" s="243">
        <f>D121</f>
        <v>0</v>
      </c>
      <c r="E226" s="243" t="str">
        <f>E121</f>
        <v>-</v>
      </c>
      <c r="F226" s="243">
        <f>F121</f>
        <v>0</v>
      </c>
      <c r="G226" s="241"/>
      <c r="H226" s="2054"/>
      <c r="I226" s="244">
        <v>11</v>
      </c>
      <c r="J226" s="243">
        <f>I121</f>
        <v>90</v>
      </c>
      <c r="K226" s="243">
        <f>J121</f>
        <v>0</v>
      </c>
      <c r="L226" s="243" t="str">
        <f>K121</f>
        <v>-</v>
      </c>
      <c r="M226" s="243">
        <f>L121</f>
        <v>0</v>
      </c>
      <c r="N226" s="241"/>
      <c r="O226" s="241"/>
      <c r="P226" s="232"/>
    </row>
    <row r="227" spans="1:16" ht="13">
      <c r="A227" s="2053"/>
      <c r="B227" s="244">
        <v>12</v>
      </c>
      <c r="C227" s="243">
        <f>C132</f>
        <v>40</v>
      </c>
      <c r="D227" s="243">
        <f>D132</f>
        <v>0</v>
      </c>
      <c r="E227" s="243" t="str">
        <f>E132</f>
        <v>-</v>
      </c>
      <c r="F227" s="243">
        <f>F132</f>
        <v>0</v>
      </c>
      <c r="G227" s="241"/>
      <c r="H227" s="2054"/>
      <c r="I227" s="244">
        <v>12</v>
      </c>
      <c r="J227" s="243">
        <f>I132</f>
        <v>90</v>
      </c>
      <c r="K227" s="243">
        <f>J132</f>
        <v>0</v>
      </c>
      <c r="L227" s="243" t="str">
        <f>K132</f>
        <v>-</v>
      </c>
      <c r="M227" s="243">
        <f>L132</f>
        <v>0</v>
      </c>
      <c r="N227" s="241"/>
      <c r="O227" s="241"/>
      <c r="P227" s="232"/>
    </row>
    <row r="228" spans="1:16" ht="13.5" thickBot="1">
      <c r="A228" s="242"/>
      <c r="B228" s="239"/>
      <c r="C228" s="193"/>
      <c r="D228" s="193"/>
      <c r="E228" s="193"/>
      <c r="F228" s="193"/>
      <c r="G228" s="193"/>
      <c r="H228" s="241"/>
      <c r="I228" s="240"/>
      <c r="J228" s="239"/>
      <c r="K228" s="193"/>
      <c r="L228" s="193"/>
      <c r="M228" s="193"/>
      <c r="N228" s="193"/>
      <c r="O228" s="193"/>
      <c r="P228" s="232"/>
    </row>
    <row r="229" spans="1:16" ht="29.25" customHeight="1">
      <c r="A229" s="237">
        <f>A261</f>
        <v>7</v>
      </c>
      <c r="B229" s="2055" t="str">
        <f>A248</f>
        <v>Thermohygrolight, Merek : Greisinger, Model : GFTB 200, SN : 34903053</v>
      </c>
      <c r="C229" s="2055"/>
      <c r="D229" s="2056"/>
      <c r="E229" s="238"/>
      <c r="F229" s="237">
        <f>A229</f>
        <v>7</v>
      </c>
      <c r="G229" s="2055" t="str">
        <f>B229</f>
        <v>Thermohygrolight, Merek : Greisinger, Model : GFTB 200, SN : 34903053</v>
      </c>
      <c r="H229" s="2055"/>
      <c r="I229" s="2056"/>
      <c r="J229" s="238"/>
      <c r="K229" s="237">
        <f>A229</f>
        <v>7</v>
      </c>
      <c r="L229" s="2048" t="str">
        <f>G229</f>
        <v>Thermohygrolight, Merek : Greisinger, Model : GFTB 200, SN : 34903053</v>
      </c>
      <c r="M229" s="2049"/>
      <c r="N229" s="2049"/>
      <c r="O229" s="2050"/>
      <c r="P229" s="232"/>
    </row>
    <row r="230" spans="1:16" ht="13.5">
      <c r="A230" s="236" t="s">
        <v>74</v>
      </c>
      <c r="B230" s="2051" t="s">
        <v>7</v>
      </c>
      <c r="C230" s="2051"/>
      <c r="D230" s="2052" t="s">
        <v>2</v>
      </c>
      <c r="E230" s="193"/>
      <c r="F230" s="236" t="s">
        <v>75</v>
      </c>
      <c r="G230" s="2051" t="s">
        <v>7</v>
      </c>
      <c r="H230" s="2051"/>
      <c r="I230" s="2052" t="s">
        <v>2</v>
      </c>
      <c r="J230" s="193"/>
      <c r="K230" s="2057"/>
      <c r="L230" s="2060" t="s">
        <v>43</v>
      </c>
      <c r="M230" s="2060" t="s">
        <v>45</v>
      </c>
      <c r="N230" s="2060" t="s">
        <v>46</v>
      </c>
      <c r="O230" s="2061" t="s">
        <v>81</v>
      </c>
      <c r="P230" s="232"/>
    </row>
    <row r="231" spans="1:16" ht="14">
      <c r="A231" s="235" t="s">
        <v>102</v>
      </c>
      <c r="B231" s="233">
        <f>VLOOKUP(B229,A249:K260,9,FALSE)</f>
        <v>2018</v>
      </c>
      <c r="C231" s="233">
        <f>VLOOKUP(B229,A249:K260,10,FALSE)</f>
        <v>2017</v>
      </c>
      <c r="D231" s="2052"/>
      <c r="E231" s="193"/>
      <c r="F231" s="234" t="s">
        <v>78</v>
      </c>
      <c r="G231" s="233">
        <f>B231</f>
        <v>2018</v>
      </c>
      <c r="H231" s="233">
        <f>C231</f>
        <v>2017</v>
      </c>
      <c r="I231" s="2052"/>
      <c r="J231" s="193"/>
      <c r="K231" s="2058"/>
      <c r="L231" s="2060"/>
      <c r="M231" s="2060"/>
      <c r="N231" s="2060"/>
      <c r="O231" s="2061"/>
      <c r="P231" s="232"/>
    </row>
    <row r="232" spans="1:16" ht="13">
      <c r="A232" s="221">
        <f>VLOOKUP($A$229,$B$138:$F$149,2,FALSE)</f>
        <v>15</v>
      </c>
      <c r="B232" s="220">
        <f>VLOOKUP($A$229,$B$138:$F$149,3,FALSE)</f>
        <v>0.3</v>
      </c>
      <c r="C232" s="220">
        <f>VLOOKUP($A$229,$B$138:$F$149,4,FALSE)</f>
        <v>0.2</v>
      </c>
      <c r="D232" s="219">
        <f>VLOOKUP($A$229,$B$138:$F$149,5,FALSE)</f>
        <v>4.9999999999999989E-2</v>
      </c>
      <c r="E232" s="193"/>
      <c r="F232" s="221">
        <f>VLOOKUP($F$229,$I$138:$M$149,2,FALSE)</f>
        <v>30</v>
      </c>
      <c r="G232" s="220">
        <f>VLOOKUP($F$229,$I$138:$M$149,3,FALSE)</f>
        <v>1.8</v>
      </c>
      <c r="H232" s="220">
        <f>VLOOKUP($F$229,$I$138:$M$149,4,FALSE)</f>
        <v>-0.1</v>
      </c>
      <c r="I232" s="219">
        <f>VLOOKUP($F$229,$I$138:$M$149,5,FALSE)</f>
        <v>0.95000000000000007</v>
      </c>
      <c r="J232" s="193"/>
      <c r="K232" s="2059"/>
      <c r="L232" s="2060"/>
      <c r="M232" s="2060"/>
      <c r="N232" s="2060"/>
      <c r="O232" s="2061"/>
      <c r="P232" s="232"/>
    </row>
    <row r="233" spans="1:16" ht="13">
      <c r="A233" s="221">
        <f>VLOOKUP($A$229,$B$151:$F$162,2,FALSE)</f>
        <v>20</v>
      </c>
      <c r="B233" s="220">
        <f>VLOOKUP($A$229,$B$151:$F$162,3,FALSE)</f>
        <v>0.1</v>
      </c>
      <c r="C233" s="220">
        <f>VLOOKUP($A$229,$B$151:$F$162,4,FALSE)</f>
        <v>0.1</v>
      </c>
      <c r="D233" s="219">
        <f>VLOOKUP($A$229,$B$151:$F$162,5,FALSE)</f>
        <v>0</v>
      </c>
      <c r="E233" s="193"/>
      <c r="F233" s="221">
        <f>VLOOKUP($F$229,$I$151:$M$162,2,FALSE)</f>
        <v>40</v>
      </c>
      <c r="G233" s="220">
        <f>VLOOKUP($F$229,$I$151:$M$162,3,FALSE)</f>
        <v>1.2</v>
      </c>
      <c r="H233" s="220">
        <f>VLOOKUP($F$229,$I$151:$M$162,4,FALSE)</f>
        <v>0</v>
      </c>
      <c r="I233" s="219">
        <f>VLOOKUP($F$229,$I$151:$M$162,5,FALSE)</f>
        <v>0.6</v>
      </c>
      <c r="J233" s="193"/>
      <c r="K233" s="231" t="s">
        <v>74</v>
      </c>
      <c r="L233" s="230">
        <f>AVERAGE(ID!F14:G14)</f>
        <v>23.4</v>
      </c>
      <c r="M233" s="230">
        <f>L233+C242</f>
        <v>23.295999999999999</v>
      </c>
      <c r="N233" s="230">
        <f>STDEV(ID!F14:G14)</f>
        <v>0.28284271247462051</v>
      </c>
      <c r="O233" s="229">
        <f>VLOOKUP(K229,O137:P148,2,(FALSE))</f>
        <v>0.3</v>
      </c>
      <c r="P233" s="212"/>
    </row>
    <row r="234" spans="1:16" ht="13.5" thickBot="1">
      <c r="A234" s="221">
        <f>VLOOKUP($A$229,$B$164:$F$175,2,FALSE)</f>
        <v>25</v>
      </c>
      <c r="B234" s="220">
        <f>VLOOKUP($A$229,$B$164:$F$175,3,FALSE)</f>
        <v>-0.2</v>
      </c>
      <c r="C234" s="220">
        <f>VLOOKUP($A$229,$B$164:$F$175,4,FALSE)</f>
        <v>0</v>
      </c>
      <c r="D234" s="219">
        <f>VLOOKUP($A$229,$B$164:$F$175,5,FALSE)</f>
        <v>0.1</v>
      </c>
      <c r="E234" s="193"/>
      <c r="F234" s="221">
        <f>VLOOKUP($F$229,$I$164:$M$175,2,FALSE)</f>
        <v>50</v>
      </c>
      <c r="G234" s="220">
        <f>VLOOKUP($F$229,$I$164:$M$175,3,FALSE)</f>
        <v>0.8</v>
      </c>
      <c r="H234" s="220">
        <f>VLOOKUP($F$229,$I$164:$M$175,4,FALSE)</f>
        <v>0.6</v>
      </c>
      <c r="I234" s="219">
        <f>VLOOKUP($F$229,$I$164:$M$175,5,FALSE)</f>
        <v>0.10000000000000003</v>
      </c>
      <c r="J234" s="193"/>
      <c r="K234" s="228" t="s">
        <v>78</v>
      </c>
      <c r="L234" s="227">
        <f>AVERAGE(ID!F15:G15)</f>
        <v>66.95</v>
      </c>
      <c r="M234" s="227">
        <f>L234+H242</f>
        <v>67.789000000000001</v>
      </c>
      <c r="N234" s="230">
        <f>STDEV(ID!F15:G15)</f>
        <v>0.7778174593051983</v>
      </c>
      <c r="O234" s="226">
        <f>VLOOKUP(K229,O153:P164,2,(FALSE))</f>
        <v>2.2999999999999998</v>
      </c>
      <c r="P234" s="212"/>
    </row>
    <row r="235" spans="1:16" ht="13">
      <c r="A235" s="221">
        <f>VLOOKUP($A$229,$B$177:$F$188,2,FALSE)</f>
        <v>30</v>
      </c>
      <c r="B235" s="220">
        <f>VLOOKUP($A$229,$B$177:$F$188,3,FALSE)</f>
        <v>-0.6</v>
      </c>
      <c r="C235" s="220">
        <f>VLOOKUP($A$229,$B$177:$F$188,4,FALSE)</f>
        <v>-0.1</v>
      </c>
      <c r="D235" s="219">
        <f>VLOOKUP($A$229,$B$177:$F$188,5,FALSE)</f>
        <v>0.25</v>
      </c>
      <c r="E235" s="193"/>
      <c r="F235" s="221">
        <f>VLOOKUP($F$229,$I$177:$M$188,2,FALSE)</f>
        <v>60</v>
      </c>
      <c r="G235" s="220">
        <f>VLOOKUP($F$229,$I$177:$M$188,3,FALSE)</f>
        <v>0.7</v>
      </c>
      <c r="H235" s="220">
        <f>VLOOKUP($F$229,$I$177:$M$188,4,FALSE)</f>
        <v>1.5</v>
      </c>
      <c r="I235" s="219">
        <f>VLOOKUP($F$229,$I$177:$M$188,5,FALSE)</f>
        <v>0.4</v>
      </c>
      <c r="J235" s="193"/>
      <c r="K235" s="193"/>
      <c r="L235" s="224"/>
      <c r="M235" s="225"/>
      <c r="N235" s="224"/>
      <c r="O235" s="223"/>
      <c r="P235" s="212"/>
    </row>
    <row r="236" spans="1:16" ht="13">
      <c r="A236" s="221">
        <f>VLOOKUP($A$229,$B$190:$F$201,2,FALSE)</f>
        <v>35</v>
      </c>
      <c r="B236" s="220">
        <f>VLOOKUP($A$229,$B$190:$F$201,3,FALSE)</f>
        <v>-1.1000000000000001</v>
      </c>
      <c r="C236" s="220">
        <f>VLOOKUP($A$229,$B$190:$F$201,4,FALSE)</f>
        <v>-0.1</v>
      </c>
      <c r="D236" s="219">
        <f>VLOOKUP($A$229,$B$190:$F$201,5,FALSE)</f>
        <v>0.5</v>
      </c>
      <c r="E236" s="193"/>
      <c r="F236" s="221">
        <f>VLOOKUP($F$229,$I$190:$M$201,2,FALSE)</f>
        <v>70</v>
      </c>
      <c r="G236" s="220">
        <f>VLOOKUP($F$229,$I$190:$M$201,3,FALSE)</f>
        <v>0.9</v>
      </c>
      <c r="H236" s="220">
        <f>VLOOKUP($F$229,$I$190:$M$201,4,FALSE)</f>
        <v>2.8</v>
      </c>
      <c r="I236" s="219">
        <f>VLOOKUP($F$229,$I$190:$M$201,5,FALSE)</f>
        <v>0.95</v>
      </c>
      <c r="J236" s="193"/>
      <c r="K236" s="193"/>
      <c r="L236" s="2062" t="s">
        <v>107</v>
      </c>
      <c r="M236" s="2062"/>
      <c r="N236" s="2062"/>
      <c r="O236" s="222"/>
      <c r="P236" s="212"/>
    </row>
    <row r="237" spans="1:16" ht="15.5">
      <c r="A237" s="221">
        <f>VLOOKUP($A$229,$B$203:$F$214,2,FALSE)</f>
        <v>37</v>
      </c>
      <c r="B237" s="220">
        <f>VLOOKUP($A$229,$B$203:$F$214,3,FALSE)</f>
        <v>-1.4</v>
      </c>
      <c r="C237" s="220">
        <f>VLOOKUP($A$229,$B$203:$F$214,4,FALSE)</f>
        <v>-0.1</v>
      </c>
      <c r="D237" s="219">
        <f>VLOOKUP($A$229,$B$203:$F$214,5,FALSE)</f>
        <v>0.64999999999999991</v>
      </c>
      <c r="E237" s="193"/>
      <c r="F237" s="221">
        <f>VLOOKUP($F$229,$I$203:$M$214,2,FALSE)</f>
        <v>80</v>
      </c>
      <c r="G237" s="220">
        <f>VLOOKUP($F$229,$I$203:$M$214,3,FALSE)</f>
        <v>1.2</v>
      </c>
      <c r="H237" s="220">
        <f>VLOOKUP($F$229,$I$203:$M$214,4,FALSE)</f>
        <v>4.4000000000000004</v>
      </c>
      <c r="I237" s="219">
        <f>VLOOKUP($F$229,$I$203:$M$214,5,FALSE)</f>
        <v>1.6</v>
      </c>
      <c r="J237" s="193"/>
      <c r="K237" s="193"/>
      <c r="L237" s="214" t="str">
        <f>TEXT(M233,"0.0")</f>
        <v>23.3</v>
      </c>
      <c r="M237" s="214" t="str">
        <f>TEXT(O233,"0.0")</f>
        <v>0.3</v>
      </c>
      <c r="N237" s="213" t="s">
        <v>109</v>
      </c>
      <c r="O237" s="204"/>
      <c r="P237" s="218"/>
    </row>
    <row r="238" spans="1:16" ht="16" thickBot="1">
      <c r="A238" s="217">
        <f>VLOOKUP($A$229,$B$216:$F$227,2,FALSE)</f>
        <v>40</v>
      </c>
      <c r="B238" s="216">
        <f>VLOOKUP($A$229,$B$216:$F$227,3,FALSE)</f>
        <v>-1.7</v>
      </c>
      <c r="C238" s="216">
        <f>VLOOKUP($A$229,$B$216:$F$227,4,FALSE)</f>
        <v>-0.1</v>
      </c>
      <c r="D238" s="215">
        <f>VLOOKUP($A$229,$B$216:$F$227,5,FALSE)</f>
        <v>0.79999999999999993</v>
      </c>
      <c r="E238" s="193"/>
      <c r="F238" s="217">
        <f>VLOOKUP($F$229,$I$216:$M$227,2,FALSE)</f>
        <v>90</v>
      </c>
      <c r="G238" s="216">
        <f>VLOOKUP($F$229,$I$216:$M$227,3,FALSE)</f>
        <v>1.8</v>
      </c>
      <c r="H238" s="216">
        <f>VLOOKUP($F$229,$I$216:$M$227,4,FALSE)</f>
        <v>4.4000000000000004</v>
      </c>
      <c r="I238" s="215">
        <f>VLOOKUP($F$229,$I$216:$M$227,5,FALSE)</f>
        <v>1.3000000000000003</v>
      </c>
      <c r="J238" s="193"/>
      <c r="K238" s="193"/>
      <c r="L238" s="214" t="str">
        <f>TEXT(M234,"0.0")</f>
        <v>67.8</v>
      </c>
      <c r="M238" s="214" t="str">
        <f>TEXT(O234,"0.0")</f>
        <v>2.3</v>
      </c>
      <c r="N238" s="213" t="s">
        <v>111</v>
      </c>
      <c r="O238" s="204"/>
      <c r="P238" s="212"/>
    </row>
    <row r="239" spans="1:16" ht="16" thickBot="1">
      <c r="A239" s="211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  <c r="L239" s="210" t="s">
        <v>115</v>
      </c>
      <c r="M239" s="209" t="s">
        <v>116</v>
      </c>
      <c r="N239" s="209" t="s">
        <v>117</v>
      </c>
      <c r="O239" s="204"/>
      <c r="P239" s="208"/>
    </row>
    <row r="240" spans="1:16" ht="14.5" thickBot="1">
      <c r="A240" s="2030" t="s">
        <v>104</v>
      </c>
      <c r="B240" s="2031"/>
      <c r="C240" s="2031"/>
      <c r="D240" s="2032"/>
      <c r="E240" s="207"/>
      <c r="F240" s="2030" t="s">
        <v>105</v>
      </c>
      <c r="G240" s="2031"/>
      <c r="H240" s="2031"/>
      <c r="I240" s="2032"/>
      <c r="J240" s="193"/>
      <c r="K240" s="193"/>
      <c r="L240" s="193"/>
      <c r="M240" s="206"/>
      <c r="N240" s="205"/>
      <c r="O240" s="204"/>
      <c r="P240" s="203"/>
    </row>
    <row r="241" spans="1:16" ht="13.5">
      <c r="A241" s="202"/>
      <c r="B241" s="200">
        <f>IF(A242&lt;=A233,A232,IF(A242&lt;=A234,A233,IF(A242&lt;=A235,A234,IF(A242&lt;=A236,A235,IF(A242&lt;=A237,A236,IF(A242&lt;=A238,A237))))))</f>
        <v>20</v>
      </c>
      <c r="C241" s="200"/>
      <c r="D241" s="199">
        <f>IF(A242&lt;=A233,B232,IF(A242&lt;=A234,B233,IF(A242&lt;=A235,B234,IF(A242&lt;=A236,B235,IF(A242&lt;=A237,B236,IF(A242&lt;=A238,B237))))))</f>
        <v>0.1</v>
      </c>
      <c r="E241" s="197"/>
      <c r="F241" s="201"/>
      <c r="G241" s="200">
        <f>IF(F242&lt;=F233,F232,IF(F242&lt;=F234,F233,IF(F242&lt;=F235,F234,IF(F242&lt;=F236,F235,IF(F242&lt;=F237,F236,IF(F242&lt;=F238,F237))))))</f>
        <v>60</v>
      </c>
      <c r="H241" s="200"/>
      <c r="I241" s="199">
        <f>IF(F242&lt;=F233,G232,IF(F242&lt;=F234,G233,IF(F242&lt;=F235,G234,IF(F242&lt;=F236,G235,IF(F242&lt;=F237,G236,IF(F242&lt;=F238,G237))))))</f>
        <v>0.7</v>
      </c>
      <c r="J241" s="193"/>
      <c r="K241" s="193"/>
      <c r="L241" s="193"/>
      <c r="M241" s="193"/>
      <c r="N241" s="193"/>
      <c r="O241" s="192"/>
      <c r="P241" s="198"/>
    </row>
    <row r="242" spans="1:16" ht="14">
      <c r="A242" s="196">
        <f>L233</f>
        <v>23.4</v>
      </c>
      <c r="B242" s="195"/>
      <c r="C242" s="195">
        <f>((A242-B241)/(B243-B241)*(D243-D241)+D241)</f>
        <v>-0.10399999999999993</v>
      </c>
      <c r="D242" s="194"/>
      <c r="E242" s="197"/>
      <c r="F242" s="196">
        <f>L234</f>
        <v>66.95</v>
      </c>
      <c r="G242" s="195"/>
      <c r="H242" s="195">
        <f>((F242-G241)/(G243-G241)*(I243-I241)+I241)</f>
        <v>0.83900000000000008</v>
      </c>
      <c r="I242" s="194"/>
      <c r="J242" s="193"/>
      <c r="K242" s="193"/>
      <c r="L242" s="193"/>
      <c r="M242" s="193"/>
      <c r="N242" s="193"/>
      <c r="O242" s="192"/>
      <c r="P242" s="191"/>
    </row>
    <row r="243" spans="1:16" ht="13.5" thickBot="1">
      <c r="A243" s="189"/>
      <c r="B243" s="188">
        <f>IF(A242&lt;=A233,A233,IF(A242&lt;=A234,A234,IF(A242&lt;=A235,A235,IF(A242&lt;=A236,A236,IF(A242&lt;=A237,A237,IF(A242&lt;=A238,A238))))))</f>
        <v>25</v>
      </c>
      <c r="C243" s="187"/>
      <c r="D243" s="186">
        <f>IF(A242&lt;=A233,B233,IF(A242&lt;=A234,B234,IF(A242&lt;=A235,B235,IF(A242&lt;=A236,B236,IF(A242&lt;=A237,B237,IF(A242&lt;=A238,B238))))))</f>
        <v>-0.2</v>
      </c>
      <c r="E243" s="190"/>
      <c r="F243" s="189"/>
      <c r="G243" s="188">
        <f>IF(F242&lt;=F233,F233,IF(F242&lt;=F234,F234,IF(F242&lt;=F235,F235,IF(F242&lt;=F236,F236,IF(F242&lt;=F237,F237,IF(F242&lt;=F238,F238))))))</f>
        <v>70</v>
      </c>
      <c r="H243" s="187"/>
      <c r="I243" s="186">
        <f>IF(F242&lt;=F233,G233,IF(F242&lt;=F234,G234,IF(F242&lt;=F235,G235,IF(F242&lt;=F236,G236,IF(F242&lt;=F237,G237,IF(F242&lt;=F238,G238))))))</f>
        <v>0.9</v>
      </c>
      <c r="J243" s="185"/>
      <c r="K243" s="185"/>
      <c r="L243" s="185"/>
      <c r="M243" s="185"/>
      <c r="N243" s="185"/>
      <c r="O243" s="184"/>
      <c r="P243" s="183"/>
    </row>
    <row r="248" spans="1:16" s="169" customFormat="1" ht="13.5" thickBot="1">
      <c r="A248" s="2033" t="str">
        <f>ID!B99</f>
        <v>Thermohygrolight, Merek : Greisinger, Model : GFTB 200, SN : 34903053</v>
      </c>
      <c r="B248" s="2034"/>
      <c r="C248" s="2034"/>
      <c r="D248" s="2034"/>
      <c r="E248" s="2034"/>
      <c r="F248" s="2034"/>
      <c r="G248" s="2034"/>
      <c r="H248" s="2034"/>
      <c r="I248" s="2035"/>
      <c r="J248" s="2035"/>
      <c r="K248" s="2036"/>
    </row>
    <row r="249" spans="1:16" s="169" customFormat="1" ht="13">
      <c r="A249" s="180" t="s">
        <v>108</v>
      </c>
      <c r="B249" s="176"/>
      <c r="C249" s="176"/>
      <c r="D249" s="175"/>
      <c r="E249" s="175"/>
      <c r="F249" s="175"/>
      <c r="G249" s="174"/>
      <c r="H249" s="173"/>
      <c r="I249" s="182">
        <f>D4</f>
        <v>2017</v>
      </c>
      <c r="J249" s="181">
        <f>E4</f>
        <v>2015</v>
      </c>
      <c r="K249" s="170">
        <v>1</v>
      </c>
    </row>
    <row r="250" spans="1:16" s="169" customFormat="1" ht="13">
      <c r="A250" s="180" t="s">
        <v>110</v>
      </c>
      <c r="B250" s="176"/>
      <c r="C250" s="176"/>
      <c r="D250" s="175"/>
      <c r="E250" s="175"/>
      <c r="F250" s="175"/>
      <c r="G250" s="174"/>
      <c r="H250" s="173"/>
      <c r="I250" s="179">
        <f>D15</f>
        <v>2018</v>
      </c>
      <c r="J250" s="178">
        <f>E15</f>
        <v>2017</v>
      </c>
      <c r="K250" s="170">
        <v>2</v>
      </c>
    </row>
    <row r="251" spans="1:16" s="169" customFormat="1" ht="13">
      <c r="A251" s="180" t="s">
        <v>112</v>
      </c>
      <c r="B251" s="176"/>
      <c r="C251" s="176"/>
      <c r="D251" s="175"/>
      <c r="E251" s="175"/>
      <c r="F251" s="175"/>
      <c r="G251" s="174"/>
      <c r="H251" s="173"/>
      <c r="I251" s="179">
        <f>D26</f>
        <v>2018</v>
      </c>
      <c r="J251" s="178">
        <f>E26</f>
        <v>2017</v>
      </c>
      <c r="K251" s="170">
        <v>3</v>
      </c>
    </row>
    <row r="252" spans="1:16" s="169" customFormat="1" ht="13">
      <c r="A252" s="180" t="s">
        <v>114</v>
      </c>
      <c r="B252" s="176"/>
      <c r="C252" s="176"/>
      <c r="D252" s="175"/>
      <c r="E252" s="175"/>
      <c r="F252" s="175"/>
      <c r="G252" s="174"/>
      <c r="H252" s="173"/>
      <c r="I252" s="179">
        <f>D37</f>
        <v>2017</v>
      </c>
      <c r="J252" s="178">
        <f>E37</f>
        <v>2015</v>
      </c>
      <c r="K252" s="170">
        <v>4</v>
      </c>
    </row>
    <row r="253" spans="1:16" s="169" customFormat="1" ht="13">
      <c r="A253" s="180" t="s">
        <v>118</v>
      </c>
      <c r="B253" s="176"/>
      <c r="C253" s="176"/>
      <c r="D253" s="175"/>
      <c r="E253" s="175"/>
      <c r="F253" s="175"/>
      <c r="G253" s="174"/>
      <c r="H253" s="173"/>
      <c r="I253" s="179">
        <f>D48</f>
        <v>2017</v>
      </c>
      <c r="J253" s="178">
        <f>E48</f>
        <v>2015</v>
      </c>
      <c r="K253" s="170">
        <v>5</v>
      </c>
    </row>
    <row r="254" spans="1:16" s="169" customFormat="1" ht="13">
      <c r="A254" s="180" t="s">
        <v>119</v>
      </c>
      <c r="B254" s="176"/>
      <c r="C254" s="176"/>
      <c r="D254" s="175"/>
      <c r="E254" s="175"/>
      <c r="F254" s="175"/>
      <c r="G254" s="174"/>
      <c r="H254" s="173"/>
      <c r="I254" s="179">
        <f>D59</f>
        <v>2018</v>
      </c>
      <c r="J254" s="178">
        <f>E59</f>
        <v>2017</v>
      </c>
      <c r="K254" s="170">
        <v>6</v>
      </c>
    </row>
    <row r="255" spans="1:16" s="169" customFormat="1" ht="13">
      <c r="A255" s="180" t="s">
        <v>120</v>
      </c>
      <c r="B255" s="176"/>
      <c r="C255" s="176"/>
      <c r="D255" s="175"/>
      <c r="E255" s="175"/>
      <c r="F255" s="175"/>
      <c r="G255" s="174"/>
      <c r="H255" s="173"/>
      <c r="I255" s="179">
        <f>D70</f>
        <v>2018</v>
      </c>
      <c r="J255" s="178">
        <f>E70</f>
        <v>2017</v>
      </c>
      <c r="K255" s="170">
        <v>7</v>
      </c>
    </row>
    <row r="256" spans="1:16" s="169" customFormat="1" ht="13">
      <c r="A256" s="180" t="s">
        <v>121</v>
      </c>
      <c r="B256" s="176"/>
      <c r="C256" s="176"/>
      <c r="D256" s="175"/>
      <c r="E256" s="175"/>
      <c r="F256" s="175"/>
      <c r="G256" s="174"/>
      <c r="H256" s="173"/>
      <c r="I256" s="179">
        <f>D81</f>
        <v>2019</v>
      </c>
      <c r="J256" s="178">
        <f>E81</f>
        <v>2017</v>
      </c>
      <c r="K256" s="170">
        <v>8</v>
      </c>
    </row>
    <row r="257" spans="1:11" s="169" customFormat="1" ht="13">
      <c r="A257" s="180" t="s">
        <v>122</v>
      </c>
      <c r="B257" s="176"/>
      <c r="C257" s="176"/>
      <c r="D257" s="175"/>
      <c r="E257" s="175"/>
      <c r="F257" s="175"/>
      <c r="G257" s="174"/>
      <c r="H257" s="173"/>
      <c r="I257" s="179">
        <f>D92</f>
        <v>2019</v>
      </c>
      <c r="J257" s="178" t="str">
        <f>E92</f>
        <v>-</v>
      </c>
      <c r="K257" s="170">
        <v>9</v>
      </c>
    </row>
    <row r="258" spans="1:11" s="169" customFormat="1" ht="13">
      <c r="A258" s="180" t="s">
        <v>123</v>
      </c>
      <c r="B258" s="176"/>
      <c r="C258" s="176"/>
      <c r="D258" s="175"/>
      <c r="E258" s="175"/>
      <c r="F258" s="175"/>
      <c r="G258" s="174"/>
      <c r="H258" s="173"/>
      <c r="I258" s="179">
        <f>D103</f>
        <v>2019</v>
      </c>
      <c r="J258" s="178">
        <f>E103</f>
        <v>2016</v>
      </c>
      <c r="K258" s="170">
        <v>10</v>
      </c>
    </row>
    <row r="259" spans="1:11" s="169" customFormat="1" ht="13">
      <c r="A259" s="180" t="s">
        <v>124</v>
      </c>
      <c r="B259" s="176"/>
      <c r="C259" s="176"/>
      <c r="D259" s="175"/>
      <c r="E259" s="175"/>
      <c r="F259" s="175"/>
      <c r="G259" s="174"/>
      <c r="H259" s="173"/>
      <c r="I259" s="179">
        <f>D114</f>
        <v>2016</v>
      </c>
      <c r="J259" s="178" t="str">
        <f>E114</f>
        <v>-</v>
      </c>
      <c r="K259" s="170">
        <v>11</v>
      </c>
    </row>
    <row r="260" spans="1:11" s="169" customFormat="1" ht="13.5" thickBot="1">
      <c r="A260" s="177">
        <v>12</v>
      </c>
      <c r="B260" s="176"/>
      <c r="C260" s="176"/>
      <c r="D260" s="175"/>
      <c r="E260" s="175"/>
      <c r="F260" s="175"/>
      <c r="G260" s="174"/>
      <c r="H260" s="173"/>
      <c r="I260" s="172">
        <f>D125</f>
        <v>2017</v>
      </c>
      <c r="J260" s="171" t="str">
        <f>E125</f>
        <v>-</v>
      </c>
      <c r="K260" s="170">
        <v>12</v>
      </c>
    </row>
    <row r="261" spans="1:11" s="169" customFormat="1" ht="13.5" thickBot="1">
      <c r="A261" s="2044">
        <f>VLOOKUP(A248,A249:K259,11,(FALSE))</f>
        <v>7</v>
      </c>
      <c r="B261" s="2045"/>
      <c r="C261" s="2045"/>
      <c r="D261" s="2045"/>
      <c r="E261" s="2045"/>
      <c r="F261" s="2045"/>
      <c r="G261" s="2045"/>
      <c r="H261" s="2045"/>
      <c r="I261" s="2046"/>
      <c r="J261" s="2046"/>
      <c r="K261" s="2047"/>
    </row>
  </sheetData>
  <mergeCells count="190">
    <mergeCell ref="A13:A22"/>
    <mergeCell ref="B13:F13"/>
    <mergeCell ref="H13:L13"/>
    <mergeCell ref="A1:O1"/>
    <mergeCell ref="A2:A11"/>
    <mergeCell ref="B2:F2"/>
    <mergeCell ref="H2:L2"/>
    <mergeCell ref="N2:O2"/>
    <mergeCell ref="B3:C3"/>
    <mergeCell ref="D3:E3"/>
    <mergeCell ref="F3:F4"/>
    <mergeCell ref="H3:I3"/>
    <mergeCell ref="J3:K3"/>
    <mergeCell ref="L3:L4"/>
    <mergeCell ref="B4:C4"/>
    <mergeCell ref="H4:I4"/>
    <mergeCell ref="N13:O13"/>
    <mergeCell ref="B14:C14"/>
    <mergeCell ref="D14:E14"/>
    <mergeCell ref="F14:F15"/>
    <mergeCell ref="H14:I14"/>
    <mergeCell ref="J14:K14"/>
    <mergeCell ref="L14:L15"/>
    <mergeCell ref="B15:C15"/>
    <mergeCell ref="H15:I15"/>
    <mergeCell ref="N35:O35"/>
    <mergeCell ref="B36:C36"/>
    <mergeCell ref="D36:E36"/>
    <mergeCell ref="F36:F37"/>
    <mergeCell ref="H36:I36"/>
    <mergeCell ref="B37:C37"/>
    <mergeCell ref="H37:I37"/>
    <mergeCell ref="N24:O24"/>
    <mergeCell ref="B25:C25"/>
    <mergeCell ref="D25:E25"/>
    <mergeCell ref="F25:F26"/>
    <mergeCell ref="H25:I25"/>
    <mergeCell ref="J25:K25"/>
    <mergeCell ref="L25:L26"/>
    <mergeCell ref="A46:A55"/>
    <mergeCell ref="B46:F46"/>
    <mergeCell ref="H46:L46"/>
    <mergeCell ref="B26:C26"/>
    <mergeCell ref="H26:I26"/>
    <mergeCell ref="A35:A44"/>
    <mergeCell ref="B35:F35"/>
    <mergeCell ref="H35:L35"/>
    <mergeCell ref="A24:A33"/>
    <mergeCell ref="B24:F24"/>
    <mergeCell ref="H24:L24"/>
    <mergeCell ref="J36:K36"/>
    <mergeCell ref="L36:L37"/>
    <mergeCell ref="N46:O46"/>
    <mergeCell ref="B47:C47"/>
    <mergeCell ref="D47:E47"/>
    <mergeCell ref="F47:F48"/>
    <mergeCell ref="H47:I47"/>
    <mergeCell ref="J47:K47"/>
    <mergeCell ref="L47:L48"/>
    <mergeCell ref="B48:C48"/>
    <mergeCell ref="H48:I48"/>
    <mergeCell ref="L69:L70"/>
    <mergeCell ref="N68:O68"/>
    <mergeCell ref="B69:C69"/>
    <mergeCell ref="D69:E69"/>
    <mergeCell ref="F69:F70"/>
    <mergeCell ref="H69:I69"/>
    <mergeCell ref="B59:C59"/>
    <mergeCell ref="H59:I59"/>
    <mergeCell ref="H57:L57"/>
    <mergeCell ref="N57:O57"/>
    <mergeCell ref="B58:C58"/>
    <mergeCell ref="A112:A121"/>
    <mergeCell ref="B112:F112"/>
    <mergeCell ref="H112:L112"/>
    <mergeCell ref="B92:C92"/>
    <mergeCell ref="H92:I92"/>
    <mergeCell ref="H81:I81"/>
    <mergeCell ref="J102:K102"/>
    <mergeCell ref="L102:L103"/>
    <mergeCell ref="B103:C103"/>
    <mergeCell ref="H103:I103"/>
    <mergeCell ref="A79:A88"/>
    <mergeCell ref="B79:F79"/>
    <mergeCell ref="H79:L79"/>
    <mergeCell ref="A101:A110"/>
    <mergeCell ref="B101:F101"/>
    <mergeCell ref="H101:L101"/>
    <mergeCell ref="B80:C80"/>
    <mergeCell ref="D80:E80"/>
    <mergeCell ref="F80:F81"/>
    <mergeCell ref="H80:I80"/>
    <mergeCell ref="J80:K80"/>
    <mergeCell ref="L80:L81"/>
    <mergeCell ref="B81:C81"/>
    <mergeCell ref="A57:A66"/>
    <mergeCell ref="B57:F57"/>
    <mergeCell ref="N90:O90"/>
    <mergeCell ref="B91:C91"/>
    <mergeCell ref="D91:E91"/>
    <mergeCell ref="F91:F92"/>
    <mergeCell ref="H91:I91"/>
    <mergeCell ref="J91:K91"/>
    <mergeCell ref="L91:L92"/>
    <mergeCell ref="A90:A99"/>
    <mergeCell ref="B90:F90"/>
    <mergeCell ref="H90:L90"/>
    <mergeCell ref="A68:A77"/>
    <mergeCell ref="B68:F68"/>
    <mergeCell ref="H68:L68"/>
    <mergeCell ref="B70:C70"/>
    <mergeCell ref="H70:I70"/>
    <mergeCell ref="N79:O79"/>
    <mergeCell ref="D58:E58"/>
    <mergeCell ref="F58:F59"/>
    <mergeCell ref="H58:I58"/>
    <mergeCell ref="J58:K58"/>
    <mergeCell ref="L58:L59"/>
    <mergeCell ref="J69:K69"/>
    <mergeCell ref="O136:P136"/>
    <mergeCell ref="N123:O123"/>
    <mergeCell ref="N101:O101"/>
    <mergeCell ref="B102:C102"/>
    <mergeCell ref="D102:E102"/>
    <mergeCell ref="F102:F103"/>
    <mergeCell ref="H102:I102"/>
    <mergeCell ref="N112:O112"/>
    <mergeCell ref="B113:C113"/>
    <mergeCell ref="D113:E113"/>
    <mergeCell ref="F113:F114"/>
    <mergeCell ref="H113:I113"/>
    <mergeCell ref="J113:K113"/>
    <mergeCell ref="L113:L114"/>
    <mergeCell ref="B114:C114"/>
    <mergeCell ref="H114:I114"/>
    <mergeCell ref="L236:N236"/>
    <mergeCell ref="L124:L125"/>
    <mergeCell ref="B125:C125"/>
    <mergeCell ref="H125:I125"/>
    <mergeCell ref="A151:A162"/>
    <mergeCell ref="H151:H162"/>
    <mergeCell ref="O151:P151"/>
    <mergeCell ref="O152:P152"/>
    <mergeCell ref="J135:M135"/>
    <mergeCell ref="O135:P135"/>
    <mergeCell ref="D136:E136"/>
    <mergeCell ref="A123:A132"/>
    <mergeCell ref="B123:F123"/>
    <mergeCell ref="H123:L123"/>
    <mergeCell ref="A138:A149"/>
    <mergeCell ref="H138:H149"/>
    <mergeCell ref="B124:C124"/>
    <mergeCell ref="D124:E124"/>
    <mergeCell ref="F124:F125"/>
    <mergeCell ref="H124:I124"/>
    <mergeCell ref="J124:K124"/>
    <mergeCell ref="F136:F137"/>
    <mergeCell ref="K136:L136"/>
    <mergeCell ref="M136:M137"/>
    <mergeCell ref="L229:O229"/>
    <mergeCell ref="B230:C230"/>
    <mergeCell ref="D230:D231"/>
    <mergeCell ref="G230:H230"/>
    <mergeCell ref="I230:I231"/>
    <mergeCell ref="A164:A175"/>
    <mergeCell ref="H164:H175"/>
    <mergeCell ref="A177:A188"/>
    <mergeCell ref="H177:H188"/>
    <mergeCell ref="A190:A201"/>
    <mergeCell ref="H190:H201"/>
    <mergeCell ref="A203:A214"/>
    <mergeCell ref="H203:H214"/>
    <mergeCell ref="A216:A227"/>
    <mergeCell ref="H216:H227"/>
    <mergeCell ref="B229:D229"/>
    <mergeCell ref="G229:I229"/>
    <mergeCell ref="K230:K232"/>
    <mergeCell ref="L230:L232"/>
    <mergeCell ref="M230:M232"/>
    <mergeCell ref="N230:N232"/>
    <mergeCell ref="O230:O232"/>
    <mergeCell ref="A240:D240"/>
    <mergeCell ref="F240:I240"/>
    <mergeCell ref="A248:K248"/>
    <mergeCell ref="A135:A137"/>
    <mergeCell ref="B135:B137"/>
    <mergeCell ref="C135:F135"/>
    <mergeCell ref="H135:H137"/>
    <mergeCell ref="I135:I137"/>
    <mergeCell ref="A261:K261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27C-9D10-46C6-8400-AD8FCC70D0F8}">
  <sheetPr>
    <tabColor rgb="FF00B0F0"/>
  </sheetPr>
  <dimension ref="A1:W413"/>
  <sheetViews>
    <sheetView view="pageBreakPreview" topLeftCell="A372" zoomScale="80" zoomScaleNormal="100" zoomScaleSheetLayoutView="80" workbookViewId="0">
      <selection activeCell="I386" sqref="I386"/>
    </sheetView>
  </sheetViews>
  <sheetFormatPr defaultColWidth="8.7265625" defaultRowHeight="12.5"/>
  <cols>
    <col min="6" max="6" width="11.54296875" customWidth="1"/>
  </cols>
  <sheetData>
    <row r="1" spans="1:21" ht="18" thickBot="1">
      <c r="A1" s="2183" t="s">
        <v>72</v>
      </c>
      <c r="B1" s="2184"/>
      <c r="C1" s="2184"/>
      <c r="D1" s="2184"/>
      <c r="E1" s="2184"/>
      <c r="F1" s="2184"/>
      <c r="G1" s="2184"/>
      <c r="H1" s="2184"/>
      <c r="I1" s="2184"/>
      <c r="J1" s="2184"/>
      <c r="K1" s="2184"/>
      <c r="L1" s="2184"/>
      <c r="M1" s="2184"/>
      <c r="N1" s="2184"/>
      <c r="O1" s="2184"/>
      <c r="P1" s="2184"/>
      <c r="Q1" s="2184"/>
      <c r="R1" s="2184"/>
      <c r="S1" s="2184"/>
      <c r="T1" s="2184"/>
      <c r="U1" s="2184"/>
    </row>
    <row r="2" spans="1:21" ht="13">
      <c r="A2" s="2173">
        <v>1</v>
      </c>
      <c r="B2" s="2176" t="s">
        <v>73</v>
      </c>
      <c r="C2" s="2160"/>
      <c r="D2" s="2160"/>
      <c r="E2" s="2160"/>
      <c r="F2" s="2163"/>
      <c r="G2" s="791"/>
      <c r="H2" s="2176" t="str">
        <f>B2</f>
        <v>KOREKSI KIMO THERMOHYGROMETER 15062873</v>
      </c>
      <c r="I2" s="2160"/>
      <c r="J2" s="2160"/>
      <c r="K2" s="2160"/>
      <c r="L2" s="2163"/>
      <c r="M2" s="791"/>
      <c r="N2" s="2176" t="str">
        <f>H2</f>
        <v>KOREKSI KIMO THERMOHYGROMETER 15062873</v>
      </c>
      <c r="O2" s="2160"/>
      <c r="P2" s="2160"/>
      <c r="Q2" s="2160"/>
      <c r="R2" s="2163"/>
      <c r="T2" s="994">
        <v>0.6</v>
      </c>
      <c r="U2" s="994">
        <v>0.6</v>
      </c>
    </row>
    <row r="3" spans="1:21" ht="13">
      <c r="A3" s="2174"/>
      <c r="B3" s="2177" t="s">
        <v>74</v>
      </c>
      <c r="C3" s="2178"/>
      <c r="D3" s="2178" t="s">
        <v>7</v>
      </c>
      <c r="E3" s="2178"/>
      <c r="F3" s="2179" t="s">
        <v>2</v>
      </c>
      <c r="H3" s="2177" t="s">
        <v>75</v>
      </c>
      <c r="I3" s="2178"/>
      <c r="J3" s="2178" t="s">
        <v>7</v>
      </c>
      <c r="K3" s="2178"/>
      <c r="L3" s="2179" t="s">
        <v>2</v>
      </c>
      <c r="N3" s="2177" t="s">
        <v>76</v>
      </c>
      <c r="O3" s="2178"/>
      <c r="P3" s="2178" t="s">
        <v>7</v>
      </c>
      <c r="Q3" s="2178"/>
      <c r="R3" s="2179" t="s">
        <v>2</v>
      </c>
      <c r="T3" s="994">
        <v>3.1</v>
      </c>
      <c r="U3" s="994">
        <v>3.1</v>
      </c>
    </row>
    <row r="4" spans="1:21" ht="14.5">
      <c r="A4" s="2174"/>
      <c r="B4" s="2180" t="s">
        <v>77</v>
      </c>
      <c r="C4" s="2181"/>
      <c r="D4" s="803">
        <v>2020</v>
      </c>
      <c r="E4" s="803">
        <v>2017</v>
      </c>
      <c r="F4" s="2179"/>
      <c r="H4" s="2182" t="s">
        <v>78</v>
      </c>
      <c r="I4" s="2181"/>
      <c r="J4" s="995">
        <f>D4</f>
        <v>2020</v>
      </c>
      <c r="K4" s="995">
        <f>E4</f>
        <v>2017</v>
      </c>
      <c r="L4" s="2179"/>
      <c r="N4" s="2182" t="s">
        <v>79</v>
      </c>
      <c r="O4" s="2181"/>
      <c r="P4" s="995">
        <f>J4</f>
        <v>2020</v>
      </c>
      <c r="Q4" s="995">
        <f>K4</f>
        <v>2017</v>
      </c>
      <c r="R4" s="2179"/>
      <c r="T4" s="996" t="s">
        <v>78</v>
      </c>
      <c r="U4" s="994">
        <v>3.3</v>
      </c>
    </row>
    <row r="5" spans="1:21" ht="13.5" thickBot="1">
      <c r="A5" s="2174"/>
      <c r="B5" s="997">
        <v>1</v>
      </c>
      <c r="C5" s="998">
        <v>15</v>
      </c>
      <c r="D5" s="999">
        <v>-0.5</v>
      </c>
      <c r="E5" s="999">
        <v>0.3</v>
      </c>
      <c r="F5" s="1000">
        <f t="shared" ref="F5:F11" si="0">0.5*(MAX(D5:E5)-MIN(D5:E5))</f>
        <v>0.4</v>
      </c>
      <c r="H5" s="997">
        <v>1</v>
      </c>
      <c r="I5" s="998">
        <v>35</v>
      </c>
      <c r="J5" s="999">
        <v>-6</v>
      </c>
      <c r="K5" s="999">
        <v>-9.4</v>
      </c>
      <c r="L5" s="1000">
        <f t="shared" ref="L5:L11" si="1">0.5*(MAX(J5:K5)-MIN(J5:K5))</f>
        <v>1.7000000000000002</v>
      </c>
      <c r="N5" s="997">
        <v>1</v>
      </c>
      <c r="O5" s="1001">
        <v>750</v>
      </c>
      <c r="P5" s="1002" t="s">
        <v>10</v>
      </c>
      <c r="Q5" s="1002" t="s">
        <v>10</v>
      </c>
      <c r="R5" s="1000">
        <f t="shared" ref="R5:R11" si="2">0.5*(MAX(P5:Q5)-MIN(P5:Q5))</f>
        <v>0</v>
      </c>
      <c r="T5" s="1003" t="s">
        <v>79</v>
      </c>
      <c r="U5" s="1004">
        <v>0</v>
      </c>
    </row>
    <row r="6" spans="1:21" ht="13">
      <c r="A6" s="2174"/>
      <c r="B6" s="997">
        <v>2</v>
      </c>
      <c r="C6" s="998">
        <v>20</v>
      </c>
      <c r="D6" s="999">
        <v>-0.2</v>
      </c>
      <c r="E6" s="999">
        <v>0.2</v>
      </c>
      <c r="F6" s="1000">
        <f>0.5*(MAX(D6:E6)-MIN(D6:E6))</f>
        <v>0.2</v>
      </c>
      <c r="H6" s="997">
        <v>2</v>
      </c>
      <c r="I6" s="998">
        <v>40</v>
      </c>
      <c r="J6" s="999">
        <v>-6</v>
      </c>
      <c r="K6" s="999">
        <v>-8.6</v>
      </c>
      <c r="L6" s="1000">
        <f t="shared" si="1"/>
        <v>1.2999999999999998</v>
      </c>
      <c r="N6" s="997">
        <v>2</v>
      </c>
      <c r="O6" s="1005">
        <v>800</v>
      </c>
      <c r="P6" s="1006" t="s">
        <v>10</v>
      </c>
      <c r="Q6" s="1006" t="s">
        <v>10</v>
      </c>
      <c r="R6" s="1000">
        <f t="shared" si="2"/>
        <v>0</v>
      </c>
    </row>
    <row r="7" spans="1:21" ht="13">
      <c r="A7" s="2174"/>
      <c r="B7" s="997">
        <v>3</v>
      </c>
      <c r="C7" s="998">
        <v>25</v>
      </c>
      <c r="D7" s="999">
        <v>0</v>
      </c>
      <c r="E7" s="999">
        <v>0.1</v>
      </c>
      <c r="F7" s="1000">
        <f t="shared" si="0"/>
        <v>0.05</v>
      </c>
      <c r="H7" s="997">
        <v>3</v>
      </c>
      <c r="I7" s="998">
        <v>50</v>
      </c>
      <c r="J7" s="999">
        <v>-5.8</v>
      </c>
      <c r="K7" s="999">
        <v>-7.2</v>
      </c>
      <c r="L7" s="1000">
        <f t="shared" si="1"/>
        <v>0.70000000000000018</v>
      </c>
      <c r="N7" s="997">
        <v>3</v>
      </c>
      <c r="O7" s="1005">
        <v>850</v>
      </c>
      <c r="P7" s="1006" t="s">
        <v>10</v>
      </c>
      <c r="Q7" s="1006" t="s">
        <v>10</v>
      </c>
      <c r="R7" s="1000">
        <f t="shared" si="2"/>
        <v>0</v>
      </c>
    </row>
    <row r="8" spans="1:21" ht="13">
      <c r="A8" s="2174"/>
      <c r="B8" s="997">
        <v>4</v>
      </c>
      <c r="C8" s="1007">
        <v>30</v>
      </c>
      <c r="D8" s="1008">
        <v>0</v>
      </c>
      <c r="E8" s="1009">
        <v>-0.2</v>
      </c>
      <c r="F8" s="1000">
        <f t="shared" si="0"/>
        <v>0.1</v>
      </c>
      <c r="H8" s="997">
        <v>4</v>
      </c>
      <c r="I8" s="1007">
        <v>60</v>
      </c>
      <c r="J8" s="1009">
        <v>-5.3</v>
      </c>
      <c r="K8" s="1009">
        <v>-5.2</v>
      </c>
      <c r="L8" s="1000">
        <f t="shared" si="1"/>
        <v>4.9999999999999822E-2</v>
      </c>
      <c r="N8" s="997">
        <v>4</v>
      </c>
      <c r="O8" s="1010">
        <v>900</v>
      </c>
      <c r="P8" s="1009" t="s">
        <v>10</v>
      </c>
      <c r="Q8" s="1008" t="s">
        <v>10</v>
      </c>
      <c r="R8" s="1000">
        <f t="shared" si="2"/>
        <v>0</v>
      </c>
    </row>
    <row r="9" spans="1:21" ht="13">
      <c r="A9" s="2174"/>
      <c r="B9" s="997">
        <v>5</v>
      </c>
      <c r="C9" s="1007">
        <v>35</v>
      </c>
      <c r="D9" s="1009">
        <v>-0.1</v>
      </c>
      <c r="E9" s="1009">
        <v>-0.5</v>
      </c>
      <c r="F9" s="1000">
        <f t="shared" si="0"/>
        <v>0.2</v>
      </c>
      <c r="H9" s="997">
        <v>5</v>
      </c>
      <c r="I9" s="1007">
        <v>70</v>
      </c>
      <c r="J9" s="1009">
        <v>-4.4000000000000004</v>
      </c>
      <c r="K9" s="1009">
        <v>-2.6</v>
      </c>
      <c r="L9" s="1000">
        <f t="shared" si="1"/>
        <v>0.90000000000000013</v>
      </c>
      <c r="N9" s="997">
        <v>5</v>
      </c>
      <c r="O9" s="1010">
        <v>1000</v>
      </c>
      <c r="P9" s="1009" t="s">
        <v>10</v>
      </c>
      <c r="Q9" s="1008" t="s">
        <v>10</v>
      </c>
      <c r="R9" s="1000">
        <f t="shared" si="2"/>
        <v>0</v>
      </c>
    </row>
    <row r="10" spans="1:21" ht="13">
      <c r="A10" s="2174"/>
      <c r="B10" s="997">
        <v>6</v>
      </c>
      <c r="C10" s="1007">
        <v>37</v>
      </c>
      <c r="D10" s="1009">
        <v>-0.2</v>
      </c>
      <c r="E10" s="1009">
        <v>-0.6</v>
      </c>
      <c r="F10" s="1000">
        <f t="shared" si="0"/>
        <v>0.19999999999999998</v>
      </c>
      <c r="H10" s="997">
        <v>6</v>
      </c>
      <c r="I10" s="1007">
        <v>80</v>
      </c>
      <c r="J10" s="1009">
        <v>-3.2</v>
      </c>
      <c r="K10" s="1009">
        <v>0.7</v>
      </c>
      <c r="L10" s="1000">
        <f t="shared" si="1"/>
        <v>1.9500000000000002</v>
      </c>
      <c r="N10" s="997">
        <v>6</v>
      </c>
      <c r="O10" s="1010">
        <v>1005</v>
      </c>
      <c r="P10" s="1009" t="s">
        <v>10</v>
      </c>
      <c r="Q10" s="1008" t="s">
        <v>10</v>
      </c>
      <c r="R10" s="1000">
        <f t="shared" si="2"/>
        <v>0</v>
      </c>
    </row>
    <row r="11" spans="1:21" ht="13.5" thickBot="1">
      <c r="A11" s="2175"/>
      <c r="B11" s="1011">
        <v>7</v>
      </c>
      <c r="C11" s="1012">
        <v>40</v>
      </c>
      <c r="D11" s="1013">
        <v>-0.3</v>
      </c>
      <c r="E11" s="1013">
        <v>-0.8</v>
      </c>
      <c r="F11" s="1014">
        <f t="shared" si="0"/>
        <v>0.25</v>
      </c>
      <c r="G11" s="1015"/>
      <c r="H11" s="1011">
        <v>7</v>
      </c>
      <c r="I11" s="1012">
        <v>90</v>
      </c>
      <c r="J11" s="1013">
        <v>-1.6</v>
      </c>
      <c r="K11" s="1013">
        <v>4.5</v>
      </c>
      <c r="L11" s="1014">
        <f t="shared" si="1"/>
        <v>3.05</v>
      </c>
      <c r="M11" s="1015"/>
      <c r="N11" s="1011">
        <v>7</v>
      </c>
      <c r="O11" s="1016">
        <v>1020</v>
      </c>
      <c r="P11" s="1013" t="s">
        <v>10</v>
      </c>
      <c r="Q11" s="1017" t="s">
        <v>10</v>
      </c>
      <c r="R11" s="1014">
        <f t="shared" si="2"/>
        <v>0</v>
      </c>
    </row>
    <row r="12" spans="1:21" ht="13.5" thickBot="1">
      <c r="A12" s="760"/>
      <c r="B12" s="760"/>
      <c r="O12" s="1018"/>
      <c r="P12" s="828"/>
    </row>
    <row r="13" spans="1:21">
      <c r="A13" s="2173">
        <v>2</v>
      </c>
      <c r="B13" s="2176" t="s">
        <v>80</v>
      </c>
      <c r="C13" s="2160"/>
      <c r="D13" s="2160"/>
      <c r="E13" s="2160"/>
      <c r="F13" s="2163"/>
      <c r="G13" s="791"/>
      <c r="H13" s="2176" t="str">
        <f>B13</f>
        <v>KOREKSI KIMO THERMOHYGROMETER 15062874</v>
      </c>
      <c r="I13" s="2160"/>
      <c r="J13" s="2160"/>
      <c r="K13" s="2160"/>
      <c r="L13" s="2163"/>
      <c r="M13" s="791"/>
      <c r="N13" s="2176" t="str">
        <f>H13</f>
        <v>KOREKSI KIMO THERMOHYGROMETER 15062874</v>
      </c>
      <c r="O13" s="2160"/>
      <c r="P13" s="2160"/>
      <c r="Q13" s="2160"/>
      <c r="R13" s="2163"/>
      <c r="T13" s="2141" t="s">
        <v>81</v>
      </c>
      <c r="U13" s="2142"/>
    </row>
    <row r="14" spans="1:21" ht="13">
      <c r="A14" s="2174"/>
      <c r="B14" s="2177" t="s">
        <v>74</v>
      </c>
      <c r="C14" s="2178"/>
      <c r="D14" s="2178" t="s">
        <v>7</v>
      </c>
      <c r="E14" s="2178"/>
      <c r="F14" s="2179" t="s">
        <v>2</v>
      </c>
      <c r="H14" s="2177" t="s">
        <v>75</v>
      </c>
      <c r="I14" s="2178"/>
      <c r="J14" s="2178" t="s">
        <v>7</v>
      </c>
      <c r="K14" s="2178"/>
      <c r="L14" s="2179" t="s">
        <v>2</v>
      </c>
      <c r="N14" s="2177" t="s">
        <v>76</v>
      </c>
      <c r="O14" s="2178"/>
      <c r="P14" s="2178" t="s">
        <v>7</v>
      </c>
      <c r="Q14" s="2178"/>
      <c r="R14" s="2179" t="s">
        <v>2</v>
      </c>
      <c r="T14" s="996" t="s">
        <v>74</v>
      </c>
      <c r="U14" s="1019">
        <v>0.8</v>
      </c>
    </row>
    <row r="15" spans="1:21" ht="14.5">
      <c r="A15" s="2174"/>
      <c r="B15" s="2180" t="s">
        <v>77</v>
      </c>
      <c r="C15" s="2181"/>
      <c r="D15" s="803">
        <v>2021</v>
      </c>
      <c r="E15" s="803">
        <v>2018</v>
      </c>
      <c r="F15" s="2179"/>
      <c r="H15" s="2182" t="s">
        <v>78</v>
      </c>
      <c r="I15" s="2181"/>
      <c r="J15" s="995">
        <f>D15</f>
        <v>2021</v>
      </c>
      <c r="K15" s="995">
        <f>E15</f>
        <v>2018</v>
      </c>
      <c r="L15" s="2179"/>
      <c r="N15" s="2182" t="s">
        <v>79</v>
      </c>
      <c r="O15" s="2181"/>
      <c r="P15" s="995">
        <f>J15</f>
        <v>2021</v>
      </c>
      <c r="Q15" s="995">
        <f>K15</f>
        <v>2018</v>
      </c>
      <c r="R15" s="2179"/>
      <c r="T15" s="996" t="s">
        <v>78</v>
      </c>
      <c r="U15" s="1019">
        <v>2.2000000000000002</v>
      </c>
    </row>
    <row r="16" spans="1:21" ht="13.5" thickBot="1">
      <c r="A16" s="2174"/>
      <c r="B16" s="997">
        <v>1</v>
      </c>
      <c r="C16" s="998">
        <v>15</v>
      </c>
      <c r="D16" s="999">
        <v>0.4</v>
      </c>
      <c r="E16" s="999">
        <v>0</v>
      </c>
      <c r="F16" s="1000">
        <f t="shared" ref="F16:F22" si="3">0.5*(MAX(D16:E16)-MIN(D16:E16))</f>
        <v>0.2</v>
      </c>
      <c r="H16" s="997">
        <v>1</v>
      </c>
      <c r="I16" s="998">
        <v>35</v>
      </c>
      <c r="J16" s="999">
        <v>-6.9</v>
      </c>
      <c r="K16" s="999">
        <v>-1.6</v>
      </c>
      <c r="L16" s="1000">
        <f t="shared" ref="L16:L22" si="4">0.5*(MAX(J16:K16)-MIN(J16:K16))</f>
        <v>2.6500000000000004</v>
      </c>
      <c r="N16" s="997">
        <v>1</v>
      </c>
      <c r="O16" s="1001">
        <v>750</v>
      </c>
      <c r="P16" s="1002" t="s">
        <v>10</v>
      </c>
      <c r="Q16" s="1002" t="s">
        <v>10</v>
      </c>
      <c r="R16" s="1000">
        <f t="shared" ref="R16:R22" si="5">0.5*(MAX(P16:Q16)-MIN(P16:Q16))</f>
        <v>0</v>
      </c>
      <c r="T16" s="1003" t="s">
        <v>79</v>
      </c>
      <c r="U16" s="1004">
        <v>0</v>
      </c>
    </row>
    <row r="17" spans="1:21" ht="13">
      <c r="A17" s="2174"/>
      <c r="B17" s="997">
        <v>2</v>
      </c>
      <c r="C17" s="998">
        <v>20</v>
      </c>
      <c r="D17" s="999">
        <v>0.7</v>
      </c>
      <c r="E17" s="999">
        <v>-0.1</v>
      </c>
      <c r="F17" s="1000">
        <f t="shared" si="3"/>
        <v>0.39999999999999997</v>
      </c>
      <c r="H17" s="997">
        <v>2</v>
      </c>
      <c r="I17" s="998">
        <v>40</v>
      </c>
      <c r="J17" s="999">
        <v>-6.2</v>
      </c>
      <c r="K17" s="999">
        <v>-1.6</v>
      </c>
      <c r="L17" s="1000">
        <f t="shared" si="4"/>
        <v>2.2999999999999998</v>
      </c>
      <c r="N17" s="997">
        <v>2</v>
      </c>
      <c r="O17" s="1005">
        <v>800</v>
      </c>
      <c r="P17" s="1006" t="s">
        <v>10</v>
      </c>
      <c r="Q17" s="1006" t="s">
        <v>10</v>
      </c>
      <c r="R17" s="1000">
        <f t="shared" si="5"/>
        <v>0</v>
      </c>
    </row>
    <row r="18" spans="1:21" ht="13">
      <c r="A18" s="2174"/>
      <c r="B18" s="997">
        <v>3</v>
      </c>
      <c r="C18" s="998">
        <v>25</v>
      </c>
      <c r="D18" s="999">
        <v>0.5</v>
      </c>
      <c r="E18" s="999">
        <v>-0.2</v>
      </c>
      <c r="F18" s="1000">
        <f t="shared" si="3"/>
        <v>0.35</v>
      </c>
      <c r="H18" s="997">
        <v>3</v>
      </c>
      <c r="I18" s="998">
        <v>50</v>
      </c>
      <c r="J18" s="999">
        <v>-5.3</v>
      </c>
      <c r="K18" s="999">
        <v>-1.5</v>
      </c>
      <c r="L18" s="1000">
        <f t="shared" si="4"/>
        <v>1.9</v>
      </c>
      <c r="N18" s="997">
        <v>3</v>
      </c>
      <c r="O18" s="1005">
        <v>850</v>
      </c>
      <c r="P18" s="1006" t="s">
        <v>10</v>
      </c>
      <c r="Q18" s="1006" t="s">
        <v>10</v>
      </c>
      <c r="R18" s="1000">
        <f t="shared" si="5"/>
        <v>0</v>
      </c>
    </row>
    <row r="19" spans="1:21" ht="13">
      <c r="A19" s="2174"/>
      <c r="B19" s="997">
        <v>4</v>
      </c>
      <c r="C19" s="1007">
        <v>30</v>
      </c>
      <c r="D19" s="1008">
        <v>0.2</v>
      </c>
      <c r="E19" s="1008">
        <v>-0.3</v>
      </c>
      <c r="F19" s="1000">
        <f t="shared" si="3"/>
        <v>0.25</v>
      </c>
      <c r="H19" s="997">
        <v>4</v>
      </c>
      <c r="I19" s="1007">
        <v>60</v>
      </c>
      <c r="J19" s="1008">
        <v>-4</v>
      </c>
      <c r="K19" s="1008">
        <v>-1.3</v>
      </c>
      <c r="L19" s="1000">
        <f t="shared" si="4"/>
        <v>1.35</v>
      </c>
      <c r="N19" s="997">
        <v>4</v>
      </c>
      <c r="O19" s="1010">
        <v>900</v>
      </c>
      <c r="P19" s="1009" t="s">
        <v>10</v>
      </c>
      <c r="Q19" s="1008" t="s">
        <v>10</v>
      </c>
      <c r="R19" s="1000">
        <f t="shared" si="5"/>
        <v>0</v>
      </c>
    </row>
    <row r="20" spans="1:21" ht="13">
      <c r="A20" s="2174"/>
      <c r="B20" s="997">
        <v>5</v>
      </c>
      <c r="C20" s="1007">
        <v>35</v>
      </c>
      <c r="D20" s="1008">
        <v>-0.1</v>
      </c>
      <c r="E20" s="1008">
        <v>-0.3</v>
      </c>
      <c r="F20" s="1000">
        <f t="shared" si="3"/>
        <v>9.9999999999999992E-2</v>
      </c>
      <c r="H20" s="997">
        <v>5</v>
      </c>
      <c r="I20" s="1007">
        <v>70</v>
      </c>
      <c r="J20" s="1008">
        <v>-2.4</v>
      </c>
      <c r="K20" s="1008">
        <v>-1.1000000000000001</v>
      </c>
      <c r="L20" s="1000">
        <f t="shared" si="4"/>
        <v>0.64999999999999991</v>
      </c>
      <c r="N20" s="997">
        <v>5</v>
      </c>
      <c r="O20" s="1010">
        <v>1000</v>
      </c>
      <c r="P20" s="1009" t="s">
        <v>10</v>
      </c>
      <c r="Q20" s="1008" t="s">
        <v>10</v>
      </c>
      <c r="R20" s="1000">
        <f t="shared" si="5"/>
        <v>0</v>
      </c>
    </row>
    <row r="21" spans="1:21" ht="13">
      <c r="A21" s="2174"/>
      <c r="B21" s="997">
        <v>6</v>
      </c>
      <c r="C21" s="1007">
        <v>37</v>
      </c>
      <c r="D21" s="1008">
        <v>-0.2</v>
      </c>
      <c r="E21" s="1008">
        <v>-0.3</v>
      </c>
      <c r="F21" s="1000">
        <f t="shared" si="3"/>
        <v>4.9999999999999989E-2</v>
      </c>
      <c r="H21" s="997">
        <v>6</v>
      </c>
      <c r="I21" s="1007">
        <v>80</v>
      </c>
      <c r="J21" s="1008">
        <v>-0.5</v>
      </c>
      <c r="K21" s="1008">
        <v>-0.7</v>
      </c>
      <c r="L21" s="1000">
        <f t="shared" si="4"/>
        <v>9.9999999999999978E-2</v>
      </c>
      <c r="N21" s="997">
        <v>6</v>
      </c>
      <c r="O21" s="1010">
        <v>1005</v>
      </c>
      <c r="P21" s="1009" t="s">
        <v>10</v>
      </c>
      <c r="Q21" s="1008" t="s">
        <v>10</v>
      </c>
      <c r="R21" s="1000">
        <f t="shared" si="5"/>
        <v>0</v>
      </c>
    </row>
    <row r="22" spans="1:21" ht="13.5" thickBot="1">
      <c r="A22" s="2175"/>
      <c r="B22" s="1011">
        <v>7</v>
      </c>
      <c r="C22" s="1012">
        <v>40</v>
      </c>
      <c r="D22" s="1017">
        <v>-0.1</v>
      </c>
      <c r="E22" s="1017">
        <v>-0.3</v>
      </c>
      <c r="F22" s="1014">
        <f t="shared" si="3"/>
        <v>9.9999999999999992E-2</v>
      </c>
      <c r="G22" s="1015"/>
      <c r="H22" s="1011">
        <v>7</v>
      </c>
      <c r="I22" s="1012">
        <v>90</v>
      </c>
      <c r="J22" s="1017">
        <v>1.7</v>
      </c>
      <c r="K22" s="1017">
        <v>-0.3</v>
      </c>
      <c r="L22" s="1014">
        <f t="shared" si="4"/>
        <v>1</v>
      </c>
      <c r="M22" s="1015"/>
      <c r="N22" s="1011">
        <v>7</v>
      </c>
      <c r="O22" s="1016">
        <v>1020</v>
      </c>
      <c r="P22" s="1013" t="s">
        <v>10</v>
      </c>
      <c r="Q22" s="1017" t="s">
        <v>10</v>
      </c>
      <c r="R22" s="1014">
        <f t="shared" si="5"/>
        <v>0</v>
      </c>
    </row>
    <row r="23" spans="1:21" ht="13.5" thickBot="1">
      <c r="A23" s="760"/>
      <c r="B23" s="760"/>
      <c r="O23" s="1018"/>
      <c r="P23" s="828"/>
    </row>
    <row r="24" spans="1:21">
      <c r="A24" s="2173">
        <v>3</v>
      </c>
      <c r="B24" s="2176" t="s">
        <v>82</v>
      </c>
      <c r="C24" s="2160"/>
      <c r="D24" s="2160"/>
      <c r="E24" s="2160"/>
      <c r="F24" s="2163"/>
      <c r="G24" s="791"/>
      <c r="H24" s="2176" t="str">
        <f>B24</f>
        <v>KOREKSI KIMO THERMOHYGROMETER 14082463</v>
      </c>
      <c r="I24" s="2160"/>
      <c r="J24" s="2160"/>
      <c r="K24" s="2160"/>
      <c r="L24" s="2163"/>
      <c r="M24" s="791"/>
      <c r="N24" s="2176" t="str">
        <f>H24</f>
        <v>KOREKSI KIMO THERMOHYGROMETER 14082463</v>
      </c>
      <c r="O24" s="2160"/>
      <c r="P24" s="2160"/>
      <c r="Q24" s="2160"/>
      <c r="R24" s="2163"/>
      <c r="T24" s="2141" t="s">
        <v>81</v>
      </c>
      <c r="U24" s="2142"/>
    </row>
    <row r="25" spans="1:21" ht="13">
      <c r="A25" s="2174"/>
      <c r="B25" s="2177" t="s">
        <v>74</v>
      </c>
      <c r="C25" s="2178"/>
      <c r="D25" s="2178" t="s">
        <v>7</v>
      </c>
      <c r="E25" s="2178"/>
      <c r="F25" s="2179" t="s">
        <v>2</v>
      </c>
      <c r="H25" s="2177" t="s">
        <v>75</v>
      </c>
      <c r="I25" s="2178"/>
      <c r="J25" s="2178" t="s">
        <v>7</v>
      </c>
      <c r="K25" s="2178"/>
      <c r="L25" s="2179" t="s">
        <v>2</v>
      </c>
      <c r="N25" s="2177" t="s">
        <v>76</v>
      </c>
      <c r="O25" s="2178"/>
      <c r="P25" s="2178" t="s">
        <v>7</v>
      </c>
      <c r="Q25" s="2178"/>
      <c r="R25" s="2179" t="s">
        <v>2</v>
      </c>
      <c r="T25" s="996" t="s">
        <v>74</v>
      </c>
      <c r="U25" s="1019">
        <v>0.5</v>
      </c>
    </row>
    <row r="26" spans="1:21" ht="14.5">
      <c r="A26" s="2174"/>
      <c r="B26" s="2180" t="s">
        <v>77</v>
      </c>
      <c r="C26" s="2181"/>
      <c r="D26" s="803">
        <v>2021</v>
      </c>
      <c r="E26" s="803">
        <v>2018</v>
      </c>
      <c r="F26" s="2179"/>
      <c r="H26" s="2182" t="s">
        <v>78</v>
      </c>
      <c r="I26" s="2181"/>
      <c r="J26" s="995">
        <f>D26</f>
        <v>2021</v>
      </c>
      <c r="K26" s="995">
        <f>E26</f>
        <v>2018</v>
      </c>
      <c r="L26" s="2179"/>
      <c r="N26" s="2182" t="s">
        <v>79</v>
      </c>
      <c r="O26" s="2181"/>
      <c r="P26" s="995">
        <f>J26</f>
        <v>2021</v>
      </c>
      <c r="Q26" s="995">
        <f>K26</f>
        <v>2018</v>
      </c>
      <c r="R26" s="2179"/>
      <c r="T26" s="996" t="s">
        <v>78</v>
      </c>
      <c r="U26" s="1019">
        <v>3.1</v>
      </c>
    </row>
    <row r="27" spans="1:21" ht="13.5" thickBot="1">
      <c r="A27" s="2174"/>
      <c r="B27" s="997">
        <v>1</v>
      </c>
      <c r="C27" s="998">
        <v>15</v>
      </c>
      <c r="D27" s="999">
        <v>0.4</v>
      </c>
      <c r="E27" s="999">
        <v>0</v>
      </c>
      <c r="F27" s="1000">
        <f t="shared" ref="F27:F33" si="6">0.5*(MAX(D27:E27)-MIN(D27:E27))</f>
        <v>0.2</v>
      </c>
      <c r="H27" s="997">
        <v>1</v>
      </c>
      <c r="I27" s="998">
        <v>30</v>
      </c>
      <c r="J27" s="999">
        <v>-7.3</v>
      </c>
      <c r="K27" s="999">
        <v>-5.7</v>
      </c>
      <c r="L27" s="1000">
        <f t="shared" ref="L27:L33" si="7">0.5*(MAX(J27:K27)-MIN(J27:K27))</f>
        <v>0.79999999999999982</v>
      </c>
      <c r="N27" s="997">
        <v>1</v>
      </c>
      <c r="O27" s="1001">
        <v>750</v>
      </c>
      <c r="P27" s="1002" t="s">
        <v>10</v>
      </c>
      <c r="Q27" s="1002" t="s">
        <v>10</v>
      </c>
      <c r="R27" s="1000">
        <f t="shared" ref="R27:R33" si="8">0.5*(MAX(P27:Q27)-MIN(P27:Q27))</f>
        <v>0</v>
      </c>
      <c r="T27" s="1003" t="s">
        <v>79</v>
      </c>
      <c r="U27" s="1004">
        <v>0</v>
      </c>
    </row>
    <row r="28" spans="1:21" ht="13">
      <c r="A28" s="2174"/>
      <c r="B28" s="997">
        <v>2</v>
      </c>
      <c r="C28" s="998">
        <v>20</v>
      </c>
      <c r="D28" s="999">
        <v>1</v>
      </c>
      <c r="E28" s="999">
        <v>0</v>
      </c>
      <c r="F28" s="1000">
        <f t="shared" si="6"/>
        <v>0.5</v>
      </c>
      <c r="H28" s="997">
        <v>2</v>
      </c>
      <c r="I28" s="998">
        <v>40</v>
      </c>
      <c r="J28" s="999">
        <v>-5.9</v>
      </c>
      <c r="K28" s="999">
        <v>-5.3</v>
      </c>
      <c r="L28" s="1000">
        <f t="shared" si="7"/>
        <v>0.30000000000000027</v>
      </c>
      <c r="N28" s="997">
        <v>2</v>
      </c>
      <c r="O28" s="1005">
        <v>800</v>
      </c>
      <c r="P28" s="1006" t="s">
        <v>10</v>
      </c>
      <c r="Q28" s="1006" t="s">
        <v>10</v>
      </c>
      <c r="R28" s="1000">
        <f t="shared" si="8"/>
        <v>0</v>
      </c>
    </row>
    <row r="29" spans="1:21" ht="13">
      <c r="A29" s="2174"/>
      <c r="B29" s="997">
        <v>3</v>
      </c>
      <c r="C29" s="998">
        <v>25</v>
      </c>
      <c r="D29" s="999">
        <v>0.7</v>
      </c>
      <c r="E29" s="999">
        <v>-0.1</v>
      </c>
      <c r="F29" s="1000">
        <f t="shared" si="6"/>
        <v>0.39999999999999997</v>
      </c>
      <c r="H29" s="997">
        <v>3</v>
      </c>
      <c r="I29" s="998">
        <v>50</v>
      </c>
      <c r="J29" s="999">
        <v>-4.5</v>
      </c>
      <c r="K29" s="999">
        <v>-4.9000000000000004</v>
      </c>
      <c r="L29" s="1000">
        <f t="shared" si="7"/>
        <v>0.20000000000000018</v>
      </c>
      <c r="N29" s="997">
        <v>3</v>
      </c>
      <c r="O29" s="1005">
        <v>850</v>
      </c>
      <c r="P29" s="1006" t="s">
        <v>10</v>
      </c>
      <c r="Q29" s="1006" t="s">
        <v>10</v>
      </c>
      <c r="R29" s="1000">
        <f t="shared" si="8"/>
        <v>0</v>
      </c>
    </row>
    <row r="30" spans="1:21" ht="13">
      <c r="A30" s="2174"/>
      <c r="B30" s="997">
        <v>4</v>
      </c>
      <c r="C30" s="1007">
        <v>30</v>
      </c>
      <c r="D30" s="1008">
        <v>0</v>
      </c>
      <c r="E30" s="1008">
        <v>-0.3</v>
      </c>
      <c r="F30" s="1000">
        <f t="shared" si="6"/>
        <v>0.15</v>
      </c>
      <c r="H30" s="997">
        <v>4</v>
      </c>
      <c r="I30" s="1007">
        <v>60</v>
      </c>
      <c r="J30" s="1008">
        <v>-3.2</v>
      </c>
      <c r="K30" s="1008">
        <v>-4.3</v>
      </c>
      <c r="L30" s="1000">
        <f t="shared" si="7"/>
        <v>0.54999999999999982</v>
      </c>
      <c r="N30" s="997">
        <v>4</v>
      </c>
      <c r="O30" s="1010">
        <v>900</v>
      </c>
      <c r="P30" s="1009" t="s">
        <v>10</v>
      </c>
      <c r="Q30" s="1008" t="s">
        <v>10</v>
      </c>
      <c r="R30" s="1000">
        <f t="shared" si="8"/>
        <v>0</v>
      </c>
    </row>
    <row r="31" spans="1:21" ht="13">
      <c r="A31" s="2174"/>
      <c r="B31" s="997">
        <v>5</v>
      </c>
      <c r="C31" s="1007">
        <v>35</v>
      </c>
      <c r="D31" s="1008">
        <v>-0.3</v>
      </c>
      <c r="E31" s="1008">
        <v>-0.5</v>
      </c>
      <c r="F31" s="1000">
        <f t="shared" si="6"/>
        <v>0.1</v>
      </c>
      <c r="H31" s="997">
        <v>5</v>
      </c>
      <c r="I31" s="1007">
        <v>70</v>
      </c>
      <c r="J31" s="1008">
        <v>-2</v>
      </c>
      <c r="K31" s="1008">
        <v>-3.6</v>
      </c>
      <c r="L31" s="1000">
        <f t="shared" si="7"/>
        <v>0.8</v>
      </c>
      <c r="N31" s="997">
        <v>5</v>
      </c>
      <c r="O31" s="1010">
        <v>1000</v>
      </c>
      <c r="P31" s="1009" t="s">
        <v>10</v>
      </c>
      <c r="Q31" s="1008" t="s">
        <v>10</v>
      </c>
      <c r="R31" s="1000">
        <f t="shared" si="8"/>
        <v>0</v>
      </c>
    </row>
    <row r="32" spans="1:21" ht="13">
      <c r="A32" s="2174"/>
      <c r="B32" s="997">
        <v>6</v>
      </c>
      <c r="C32" s="1007">
        <v>37</v>
      </c>
      <c r="D32" s="1008">
        <v>-0.2</v>
      </c>
      <c r="E32" s="1008">
        <v>-0.6</v>
      </c>
      <c r="F32" s="1000">
        <f t="shared" si="6"/>
        <v>0.19999999999999998</v>
      </c>
      <c r="H32" s="997">
        <v>6</v>
      </c>
      <c r="I32" s="1007">
        <v>80</v>
      </c>
      <c r="J32" s="1008">
        <v>-0.8</v>
      </c>
      <c r="K32" s="1008">
        <v>-2.9</v>
      </c>
      <c r="L32" s="1000">
        <f t="shared" si="7"/>
        <v>1.0499999999999998</v>
      </c>
      <c r="N32" s="997">
        <v>6</v>
      </c>
      <c r="O32" s="1010">
        <v>1005</v>
      </c>
      <c r="P32" s="1009" t="s">
        <v>10</v>
      </c>
      <c r="Q32" s="1008" t="s">
        <v>10</v>
      </c>
      <c r="R32" s="1000">
        <f t="shared" si="8"/>
        <v>0</v>
      </c>
    </row>
    <row r="33" spans="1:21" ht="13.5" thickBot="1">
      <c r="A33" s="2175"/>
      <c r="B33" s="1011">
        <v>7</v>
      </c>
      <c r="C33" s="1012">
        <v>40</v>
      </c>
      <c r="D33" s="1017">
        <v>0.2</v>
      </c>
      <c r="E33" s="1017">
        <v>-0.7</v>
      </c>
      <c r="F33" s="1014">
        <f t="shared" si="6"/>
        <v>0.44999999999999996</v>
      </c>
      <c r="G33" s="1015"/>
      <c r="H33" s="1011">
        <v>7</v>
      </c>
      <c r="I33" s="1012">
        <v>90</v>
      </c>
      <c r="J33" s="1017">
        <v>0.3</v>
      </c>
      <c r="K33" s="1017">
        <v>-2</v>
      </c>
      <c r="L33" s="1014">
        <f t="shared" si="7"/>
        <v>1.1499999999999999</v>
      </c>
      <c r="M33" s="1015"/>
      <c r="N33" s="1011">
        <v>7</v>
      </c>
      <c r="O33" s="1016">
        <v>1020</v>
      </c>
      <c r="P33" s="1013" t="s">
        <v>10</v>
      </c>
      <c r="Q33" s="1017" t="s">
        <v>10</v>
      </c>
      <c r="R33" s="1014">
        <f t="shared" si="8"/>
        <v>0</v>
      </c>
    </row>
    <row r="34" spans="1:21" ht="13.5" thickBot="1">
      <c r="A34" s="760"/>
      <c r="B34" s="760"/>
      <c r="H34" s="457"/>
      <c r="O34" s="1018"/>
      <c r="P34" s="828"/>
    </row>
    <row r="35" spans="1:21" ht="13" thickBot="1">
      <c r="A35" s="2164">
        <v>4</v>
      </c>
      <c r="B35" s="2167" t="s">
        <v>83</v>
      </c>
      <c r="C35" s="2168"/>
      <c r="D35" s="2168"/>
      <c r="E35" s="2168"/>
      <c r="F35" s="2169"/>
      <c r="G35" s="791"/>
      <c r="H35" s="2167" t="str">
        <f>B35</f>
        <v>KOREKSI KIMO THERMOHYGROMETER 15062872</v>
      </c>
      <c r="I35" s="2168"/>
      <c r="J35" s="2168"/>
      <c r="K35" s="2168"/>
      <c r="L35" s="2169"/>
      <c r="M35" s="791"/>
      <c r="N35" s="2167" t="str">
        <f>H35</f>
        <v>KOREKSI KIMO THERMOHYGROMETER 15062872</v>
      </c>
      <c r="O35" s="2168"/>
      <c r="P35" s="2168"/>
      <c r="Q35" s="2168"/>
      <c r="R35" s="2169"/>
    </row>
    <row r="36" spans="1:21" ht="13.5" thickBot="1">
      <c r="A36" s="2165"/>
      <c r="B36" s="2143" t="s">
        <v>74</v>
      </c>
      <c r="C36" s="2144"/>
      <c r="D36" s="2145" t="s">
        <v>7</v>
      </c>
      <c r="E36" s="2146"/>
      <c r="F36" s="2147" t="s">
        <v>2</v>
      </c>
      <c r="H36" s="2143" t="s">
        <v>75</v>
      </c>
      <c r="I36" s="2144"/>
      <c r="J36" s="2145" t="s">
        <v>7</v>
      </c>
      <c r="K36" s="2146"/>
      <c r="L36" s="2147" t="s">
        <v>2</v>
      </c>
      <c r="N36" s="2143" t="s">
        <v>76</v>
      </c>
      <c r="O36" s="2144"/>
      <c r="P36" s="2145" t="s">
        <v>7</v>
      </c>
      <c r="Q36" s="2146"/>
      <c r="R36" s="2147" t="s">
        <v>2</v>
      </c>
      <c r="T36" s="2141" t="s">
        <v>81</v>
      </c>
      <c r="U36" s="2142"/>
    </row>
    <row r="37" spans="1:21" ht="15" thickBot="1">
      <c r="A37" s="2165"/>
      <c r="B37" s="2152" t="s">
        <v>77</v>
      </c>
      <c r="C37" s="2153"/>
      <c r="D37" s="1020">
        <v>2019</v>
      </c>
      <c r="E37" s="1020">
        <v>2017</v>
      </c>
      <c r="F37" s="2148"/>
      <c r="H37" s="2154" t="s">
        <v>78</v>
      </c>
      <c r="I37" s="2155"/>
      <c r="J37" s="1021">
        <f>D37</f>
        <v>2019</v>
      </c>
      <c r="K37" s="1021">
        <f>E37</f>
        <v>2017</v>
      </c>
      <c r="L37" s="2148"/>
      <c r="N37" s="2154" t="s">
        <v>79</v>
      </c>
      <c r="O37" s="2155"/>
      <c r="P37" s="1021">
        <f>J37</f>
        <v>2019</v>
      </c>
      <c r="Q37" s="1021">
        <f>K37</f>
        <v>2017</v>
      </c>
      <c r="R37" s="2148"/>
      <c r="T37" s="996" t="s">
        <v>74</v>
      </c>
      <c r="U37" s="1019">
        <v>0.3</v>
      </c>
    </row>
    <row r="38" spans="1:21" ht="13">
      <c r="A38" s="2165"/>
      <c r="B38" s="997">
        <v>1</v>
      </c>
      <c r="C38" s="1001">
        <v>15</v>
      </c>
      <c r="D38" s="1022">
        <v>-0.2</v>
      </c>
      <c r="E38" s="1022">
        <v>-0.1</v>
      </c>
      <c r="F38" s="1023">
        <f t="shared" ref="F38:F44" si="9">0.5*(MAX(D38:E38)-MIN(D38:E38))</f>
        <v>0.05</v>
      </c>
      <c r="H38" s="997">
        <v>1</v>
      </c>
      <c r="I38" s="1001">
        <v>35</v>
      </c>
      <c r="J38" s="1022">
        <v>-4.5</v>
      </c>
      <c r="K38" s="1022">
        <v>-1.7</v>
      </c>
      <c r="L38" s="1023">
        <f t="shared" ref="L38:L44" si="10">0.5*(MAX(J38:K38)-MIN(J38:K38))</f>
        <v>1.4</v>
      </c>
      <c r="N38" s="997">
        <v>1</v>
      </c>
      <c r="O38" s="1001">
        <v>750</v>
      </c>
      <c r="P38" s="1002" t="s">
        <v>10</v>
      </c>
      <c r="Q38" s="1002" t="s">
        <v>10</v>
      </c>
      <c r="R38" s="1023">
        <f t="shared" ref="R38:R44" si="11">0.5*(MAX(P38:Q38)-MIN(P38:Q38))</f>
        <v>0</v>
      </c>
      <c r="T38" s="996" t="s">
        <v>78</v>
      </c>
      <c r="U38" s="1019">
        <v>1.3</v>
      </c>
    </row>
    <row r="39" spans="1:21" ht="13.5" thickBot="1">
      <c r="A39" s="2165"/>
      <c r="B39" s="997">
        <v>2</v>
      </c>
      <c r="C39" s="1005">
        <v>20</v>
      </c>
      <c r="D39" s="999">
        <v>-0.1</v>
      </c>
      <c r="E39" s="999">
        <v>-0.3</v>
      </c>
      <c r="F39" s="1000">
        <f>0.5*(MAX(D39:E39)-MIN(D39:E39))</f>
        <v>9.9999999999999992E-2</v>
      </c>
      <c r="H39" s="997">
        <v>2</v>
      </c>
      <c r="I39" s="1005">
        <v>40</v>
      </c>
      <c r="J39" s="999">
        <v>-4.4000000000000004</v>
      </c>
      <c r="K39" s="999">
        <v>-1.5</v>
      </c>
      <c r="L39" s="1000">
        <f t="shared" si="10"/>
        <v>1.4500000000000002</v>
      </c>
      <c r="N39" s="997">
        <v>2</v>
      </c>
      <c r="O39" s="1005">
        <v>800</v>
      </c>
      <c r="P39" s="1006" t="s">
        <v>10</v>
      </c>
      <c r="Q39" s="1006" t="s">
        <v>10</v>
      </c>
      <c r="R39" s="1000">
        <f t="shared" si="11"/>
        <v>0</v>
      </c>
      <c r="T39" s="1003" t="s">
        <v>79</v>
      </c>
      <c r="U39" s="1004">
        <v>0</v>
      </c>
    </row>
    <row r="40" spans="1:21" ht="13">
      <c r="A40" s="2165"/>
      <c r="B40" s="997">
        <v>3</v>
      </c>
      <c r="C40" s="1005">
        <v>25</v>
      </c>
      <c r="D40" s="999">
        <v>-0.1</v>
      </c>
      <c r="E40" s="999">
        <v>-0.5</v>
      </c>
      <c r="F40" s="1000">
        <f t="shared" si="9"/>
        <v>0.2</v>
      </c>
      <c r="H40" s="997">
        <v>3</v>
      </c>
      <c r="I40" s="1005">
        <v>50</v>
      </c>
      <c r="J40" s="999">
        <v>-4.3</v>
      </c>
      <c r="K40" s="999">
        <v>-1</v>
      </c>
      <c r="L40" s="1000">
        <f t="shared" si="10"/>
        <v>1.65</v>
      </c>
      <c r="N40" s="997">
        <v>3</v>
      </c>
      <c r="O40" s="1005">
        <v>850</v>
      </c>
      <c r="P40" s="1006" t="s">
        <v>10</v>
      </c>
      <c r="Q40" s="1006" t="s">
        <v>10</v>
      </c>
      <c r="R40" s="1000">
        <f t="shared" si="11"/>
        <v>0</v>
      </c>
    </row>
    <row r="41" spans="1:21" ht="13">
      <c r="A41" s="2165"/>
      <c r="B41" s="997">
        <v>4</v>
      </c>
      <c r="C41" s="1010">
        <v>30</v>
      </c>
      <c r="D41" s="1009">
        <v>-0.1</v>
      </c>
      <c r="E41" s="1009">
        <v>-0.6</v>
      </c>
      <c r="F41" s="1000">
        <f t="shared" si="9"/>
        <v>0.25</v>
      </c>
      <c r="H41" s="997">
        <v>4</v>
      </c>
      <c r="I41" s="1010">
        <v>60</v>
      </c>
      <c r="J41" s="1009">
        <v>-4.2</v>
      </c>
      <c r="K41" s="1009">
        <v>-0.3</v>
      </c>
      <c r="L41" s="1000">
        <f t="shared" si="10"/>
        <v>1.9500000000000002</v>
      </c>
      <c r="N41" s="997">
        <v>4</v>
      </c>
      <c r="O41" s="1010">
        <v>900</v>
      </c>
      <c r="P41" s="1009" t="s">
        <v>10</v>
      </c>
      <c r="Q41" s="1008" t="s">
        <v>10</v>
      </c>
      <c r="R41" s="1000">
        <f t="shared" si="11"/>
        <v>0</v>
      </c>
    </row>
    <row r="42" spans="1:21" ht="13">
      <c r="A42" s="2165"/>
      <c r="B42" s="997">
        <v>5</v>
      </c>
      <c r="C42" s="1010">
        <v>35</v>
      </c>
      <c r="D42" s="1009">
        <v>-0.3</v>
      </c>
      <c r="E42" s="1009">
        <v>-0.6</v>
      </c>
      <c r="F42" s="1000">
        <f t="shared" si="9"/>
        <v>0.15</v>
      </c>
      <c r="H42" s="997">
        <v>5</v>
      </c>
      <c r="I42" s="1010">
        <v>70</v>
      </c>
      <c r="J42" s="1008">
        <v>-4</v>
      </c>
      <c r="K42" s="1009">
        <v>0.7</v>
      </c>
      <c r="L42" s="1000">
        <f t="shared" si="10"/>
        <v>2.35</v>
      </c>
      <c r="N42" s="997">
        <v>5</v>
      </c>
      <c r="O42" s="1010">
        <v>1000</v>
      </c>
      <c r="P42" s="1009" t="s">
        <v>10</v>
      </c>
      <c r="Q42" s="1008" t="s">
        <v>10</v>
      </c>
      <c r="R42" s="1000">
        <f t="shared" si="11"/>
        <v>0</v>
      </c>
    </row>
    <row r="43" spans="1:21" ht="13">
      <c r="A43" s="2165"/>
      <c r="B43" s="997">
        <v>6</v>
      </c>
      <c r="C43" s="1010">
        <v>37</v>
      </c>
      <c r="D43" s="1009">
        <v>-0.4</v>
      </c>
      <c r="E43" s="1009">
        <v>-0.6</v>
      </c>
      <c r="F43" s="1000">
        <f t="shared" si="9"/>
        <v>9.9999999999999978E-2</v>
      </c>
      <c r="H43" s="997">
        <v>6</v>
      </c>
      <c r="I43" s="1010">
        <v>80</v>
      </c>
      <c r="J43" s="1009">
        <v>-3.8</v>
      </c>
      <c r="K43" s="1009">
        <v>1.9</v>
      </c>
      <c r="L43" s="1000">
        <f t="shared" si="10"/>
        <v>2.8499999999999996</v>
      </c>
      <c r="N43" s="997">
        <v>6</v>
      </c>
      <c r="O43" s="1010">
        <v>1005</v>
      </c>
      <c r="P43" s="1009" t="s">
        <v>10</v>
      </c>
      <c r="Q43" s="1008" t="s">
        <v>10</v>
      </c>
      <c r="R43" s="1000">
        <f t="shared" si="11"/>
        <v>0</v>
      </c>
    </row>
    <row r="44" spans="1:21" ht="13.5" thickBot="1">
      <c r="A44" s="2166"/>
      <c r="B44" s="1011">
        <v>7</v>
      </c>
      <c r="C44" s="1016">
        <v>40</v>
      </c>
      <c r="D44" s="1009">
        <v>-0.5</v>
      </c>
      <c r="E44" s="1009">
        <v>-0.6</v>
      </c>
      <c r="F44" s="1014">
        <f t="shared" si="9"/>
        <v>4.9999999999999989E-2</v>
      </c>
      <c r="G44" s="1015"/>
      <c r="H44" s="1011">
        <v>7</v>
      </c>
      <c r="I44" s="1016">
        <v>90</v>
      </c>
      <c r="J44" s="1013">
        <v>-3.5</v>
      </c>
      <c r="K44" s="1013">
        <v>3.3</v>
      </c>
      <c r="L44" s="1014">
        <f t="shared" si="10"/>
        <v>3.4</v>
      </c>
      <c r="M44" s="1015"/>
      <c r="N44" s="1011">
        <v>7</v>
      </c>
      <c r="O44" s="1016">
        <v>1020</v>
      </c>
      <c r="P44" s="1013" t="s">
        <v>10</v>
      </c>
      <c r="Q44" s="1017" t="s">
        <v>10</v>
      </c>
      <c r="R44" s="1014">
        <f t="shared" si="11"/>
        <v>0</v>
      </c>
    </row>
    <row r="45" spans="1:21" ht="13.5" thickBot="1">
      <c r="A45" s="760"/>
      <c r="B45" s="760"/>
      <c r="O45" s="1018"/>
      <c r="P45" s="828"/>
    </row>
    <row r="46" spans="1:21" ht="13" thickBot="1">
      <c r="A46" s="2164">
        <v>5</v>
      </c>
      <c r="B46" s="2167" t="s">
        <v>84</v>
      </c>
      <c r="C46" s="2168"/>
      <c r="D46" s="2168"/>
      <c r="E46" s="2168"/>
      <c r="F46" s="2169"/>
      <c r="G46" s="791"/>
      <c r="H46" s="2167" t="str">
        <f>B46</f>
        <v>KOREKSI KIMO THERMOHYGROMETER 15062875</v>
      </c>
      <c r="I46" s="2168"/>
      <c r="J46" s="2168"/>
      <c r="K46" s="2168"/>
      <c r="L46" s="2169"/>
      <c r="M46" s="791"/>
      <c r="N46" s="2167" t="str">
        <f>H46</f>
        <v>KOREKSI KIMO THERMOHYGROMETER 15062875</v>
      </c>
      <c r="O46" s="2168"/>
      <c r="P46" s="2168"/>
      <c r="Q46" s="2168"/>
      <c r="R46" s="2169"/>
      <c r="T46" s="2141" t="s">
        <v>81</v>
      </c>
      <c r="U46" s="2142"/>
    </row>
    <row r="47" spans="1:21" ht="13.5" thickBot="1">
      <c r="A47" s="2165"/>
      <c r="B47" s="2143" t="s">
        <v>74</v>
      </c>
      <c r="C47" s="2144"/>
      <c r="D47" s="2145" t="s">
        <v>7</v>
      </c>
      <c r="E47" s="2146"/>
      <c r="F47" s="2147" t="s">
        <v>2</v>
      </c>
      <c r="H47" s="2143" t="s">
        <v>75</v>
      </c>
      <c r="I47" s="2144"/>
      <c r="J47" s="2145" t="s">
        <v>7</v>
      </c>
      <c r="K47" s="2146"/>
      <c r="L47" s="2147" t="s">
        <v>2</v>
      </c>
      <c r="N47" s="2143" t="s">
        <v>76</v>
      </c>
      <c r="O47" s="2144"/>
      <c r="P47" s="2145" t="s">
        <v>7</v>
      </c>
      <c r="Q47" s="2146"/>
      <c r="R47" s="2147" t="s">
        <v>2</v>
      </c>
      <c r="T47" s="996" t="s">
        <v>74</v>
      </c>
      <c r="U47" s="1019">
        <v>0.4</v>
      </c>
    </row>
    <row r="48" spans="1:21" ht="15" thickBot="1">
      <c r="A48" s="2165"/>
      <c r="B48" s="2152" t="s">
        <v>77</v>
      </c>
      <c r="C48" s="2153"/>
      <c r="D48" s="1020">
        <v>2020</v>
      </c>
      <c r="E48" s="1020">
        <v>2017</v>
      </c>
      <c r="F48" s="2148"/>
      <c r="H48" s="2154" t="s">
        <v>78</v>
      </c>
      <c r="I48" s="2155"/>
      <c r="J48" s="1021">
        <f>D48</f>
        <v>2020</v>
      </c>
      <c r="K48" s="1021">
        <f>E48</f>
        <v>2017</v>
      </c>
      <c r="L48" s="2148"/>
      <c r="N48" s="2154" t="s">
        <v>79</v>
      </c>
      <c r="O48" s="2155"/>
      <c r="P48" s="1021">
        <f>J48</f>
        <v>2020</v>
      </c>
      <c r="Q48" s="1021">
        <f>K48</f>
        <v>2017</v>
      </c>
      <c r="R48" s="2148"/>
      <c r="T48" s="996" t="s">
        <v>78</v>
      </c>
      <c r="U48" s="1019">
        <v>2.8</v>
      </c>
    </row>
    <row r="49" spans="1:21" ht="13.5" thickBot="1">
      <c r="A49" s="2165"/>
      <c r="B49" s="997">
        <v>1</v>
      </c>
      <c r="C49" s="1001">
        <v>15</v>
      </c>
      <c r="D49" s="1022">
        <v>-0.3</v>
      </c>
      <c r="E49" s="1022">
        <v>0.3</v>
      </c>
      <c r="F49" s="1023">
        <f t="shared" ref="F49:F55" si="12">0.5*(MAX(D49:E49)-MIN(D49:E49))</f>
        <v>0.3</v>
      </c>
      <c r="H49" s="997">
        <v>1</v>
      </c>
      <c r="I49" s="1001">
        <v>35</v>
      </c>
      <c r="J49" s="1022">
        <v>-7.7</v>
      </c>
      <c r="K49" s="1022">
        <v>-9.6</v>
      </c>
      <c r="L49" s="1023">
        <f t="shared" ref="L49:L55" si="13">0.5*(MAX(J49:K49)-MIN(J49:K49))</f>
        <v>0.94999999999999973</v>
      </c>
      <c r="N49" s="997">
        <v>1</v>
      </c>
      <c r="O49" s="1001">
        <v>750</v>
      </c>
      <c r="P49" s="1002" t="s">
        <v>10</v>
      </c>
      <c r="Q49" s="1002" t="s">
        <v>10</v>
      </c>
      <c r="R49" s="1023">
        <f t="shared" ref="R49:R55" si="14">0.5*(MAX(P49:Q49)-MIN(P49:Q49))</f>
        <v>0</v>
      </c>
      <c r="T49" s="1003" t="s">
        <v>79</v>
      </c>
      <c r="U49" s="1004">
        <v>0</v>
      </c>
    </row>
    <row r="50" spans="1:21" ht="13">
      <c r="A50" s="2165"/>
      <c r="B50" s="997">
        <v>2</v>
      </c>
      <c r="C50" s="1005">
        <v>20</v>
      </c>
      <c r="D50" s="999">
        <v>0.1</v>
      </c>
      <c r="E50" s="999">
        <v>0.3</v>
      </c>
      <c r="F50" s="1000">
        <f t="shared" si="12"/>
        <v>9.9999999999999992E-2</v>
      </c>
      <c r="H50" s="997">
        <v>2</v>
      </c>
      <c r="I50" s="1005">
        <v>40</v>
      </c>
      <c r="J50" s="999">
        <v>-7.2</v>
      </c>
      <c r="K50" s="999">
        <v>-8</v>
      </c>
      <c r="L50" s="1000">
        <f t="shared" si="13"/>
        <v>0.39999999999999991</v>
      </c>
      <c r="N50" s="997">
        <v>2</v>
      </c>
      <c r="O50" s="1005">
        <v>800</v>
      </c>
      <c r="P50" s="1006" t="s">
        <v>10</v>
      </c>
      <c r="Q50" s="1006" t="s">
        <v>10</v>
      </c>
      <c r="R50" s="1000">
        <f t="shared" si="14"/>
        <v>0</v>
      </c>
    </row>
    <row r="51" spans="1:21" ht="13">
      <c r="A51" s="2165"/>
      <c r="B51" s="997">
        <v>3</v>
      </c>
      <c r="C51" s="1005">
        <v>25</v>
      </c>
      <c r="D51" s="999">
        <v>0.4</v>
      </c>
      <c r="E51" s="999">
        <v>0.2</v>
      </c>
      <c r="F51" s="1000">
        <f t="shared" si="12"/>
        <v>0.1</v>
      </c>
      <c r="H51" s="997">
        <v>3</v>
      </c>
      <c r="I51" s="1005">
        <v>50</v>
      </c>
      <c r="J51" s="999">
        <v>-6.2</v>
      </c>
      <c r="K51" s="999">
        <v>-6.2</v>
      </c>
      <c r="L51" s="1000">
        <f t="shared" si="13"/>
        <v>0</v>
      </c>
      <c r="N51" s="997">
        <v>3</v>
      </c>
      <c r="O51" s="1005">
        <v>850</v>
      </c>
      <c r="P51" s="1006" t="s">
        <v>10</v>
      </c>
      <c r="Q51" s="1006" t="s">
        <v>10</v>
      </c>
      <c r="R51" s="1000">
        <f t="shared" si="14"/>
        <v>0</v>
      </c>
    </row>
    <row r="52" spans="1:21" ht="13">
      <c r="A52" s="2165"/>
      <c r="B52" s="997">
        <v>4</v>
      </c>
      <c r="C52" s="1010">
        <v>30</v>
      </c>
      <c r="D52" s="1009">
        <v>0.6</v>
      </c>
      <c r="E52" s="1008">
        <v>0.1</v>
      </c>
      <c r="F52" s="1000">
        <f t="shared" si="12"/>
        <v>0.25</v>
      </c>
      <c r="H52" s="997">
        <v>4</v>
      </c>
      <c r="I52" s="1010">
        <v>60</v>
      </c>
      <c r="J52" s="1009">
        <v>-5.2</v>
      </c>
      <c r="K52" s="1009">
        <v>-4.2</v>
      </c>
      <c r="L52" s="1000">
        <f t="shared" si="13"/>
        <v>0.5</v>
      </c>
      <c r="N52" s="997">
        <v>4</v>
      </c>
      <c r="O52" s="1010">
        <v>900</v>
      </c>
      <c r="P52" s="1009" t="s">
        <v>10</v>
      </c>
      <c r="Q52" s="1008" t="s">
        <v>10</v>
      </c>
      <c r="R52" s="1000">
        <f t="shared" si="14"/>
        <v>0</v>
      </c>
    </row>
    <row r="53" spans="1:21" ht="13">
      <c r="A53" s="2165"/>
      <c r="B53" s="997">
        <v>5</v>
      </c>
      <c r="C53" s="1010">
        <v>35</v>
      </c>
      <c r="D53" s="1009">
        <v>0.7</v>
      </c>
      <c r="E53" s="1008">
        <v>0</v>
      </c>
      <c r="F53" s="1000">
        <f t="shared" si="12"/>
        <v>0.35</v>
      </c>
      <c r="H53" s="997">
        <v>5</v>
      </c>
      <c r="I53" s="1010">
        <v>70</v>
      </c>
      <c r="J53" s="1009">
        <v>-4.0999999999999996</v>
      </c>
      <c r="K53" s="1009">
        <v>-2.1</v>
      </c>
      <c r="L53" s="1000">
        <f t="shared" si="13"/>
        <v>0.99999999999999978</v>
      </c>
      <c r="N53" s="997">
        <v>5</v>
      </c>
      <c r="O53" s="1010">
        <v>1000</v>
      </c>
      <c r="P53" s="1009" t="s">
        <v>10</v>
      </c>
      <c r="Q53" s="1008" t="s">
        <v>10</v>
      </c>
      <c r="R53" s="1000">
        <f t="shared" si="14"/>
        <v>0</v>
      </c>
    </row>
    <row r="54" spans="1:21" ht="13">
      <c r="A54" s="2165"/>
      <c r="B54" s="997">
        <v>6</v>
      </c>
      <c r="C54" s="1010">
        <v>37</v>
      </c>
      <c r="D54" s="1009">
        <v>0.7</v>
      </c>
      <c r="E54" s="1008">
        <v>0</v>
      </c>
      <c r="F54" s="1000">
        <f t="shared" si="12"/>
        <v>0.35</v>
      </c>
      <c r="H54" s="997">
        <v>6</v>
      </c>
      <c r="I54" s="1010">
        <v>80</v>
      </c>
      <c r="J54" s="1008">
        <v>-3</v>
      </c>
      <c r="K54" s="1009">
        <v>0.2</v>
      </c>
      <c r="L54" s="1000">
        <f t="shared" si="13"/>
        <v>1.6</v>
      </c>
      <c r="N54" s="997">
        <v>6</v>
      </c>
      <c r="O54" s="1010">
        <v>1005</v>
      </c>
      <c r="P54" s="1009" t="s">
        <v>10</v>
      </c>
      <c r="Q54" s="1008" t="s">
        <v>10</v>
      </c>
      <c r="R54" s="1000">
        <f t="shared" si="14"/>
        <v>0</v>
      </c>
    </row>
    <row r="55" spans="1:21" ht="13.5" thickBot="1">
      <c r="A55" s="2166"/>
      <c r="B55" s="1011">
        <v>7</v>
      </c>
      <c r="C55" s="1016">
        <v>40</v>
      </c>
      <c r="D55" s="1013">
        <v>0.7</v>
      </c>
      <c r="E55" s="1017">
        <v>-0.1</v>
      </c>
      <c r="F55" s="1014">
        <f t="shared" si="12"/>
        <v>0.39999999999999997</v>
      </c>
      <c r="G55" s="1015"/>
      <c r="H55" s="1011">
        <v>7</v>
      </c>
      <c r="I55" s="1016">
        <v>90</v>
      </c>
      <c r="J55" s="1013">
        <v>-1.8</v>
      </c>
      <c r="K55" s="1013">
        <v>2.7</v>
      </c>
      <c r="L55" s="1014">
        <f t="shared" si="13"/>
        <v>2.25</v>
      </c>
      <c r="M55" s="1015"/>
      <c r="N55" s="1011">
        <v>7</v>
      </c>
      <c r="O55" s="1016">
        <v>1020</v>
      </c>
      <c r="P55" s="1013" t="s">
        <v>10</v>
      </c>
      <c r="Q55" s="1017" t="s">
        <v>10</v>
      </c>
      <c r="R55" s="1014">
        <f t="shared" si="14"/>
        <v>0</v>
      </c>
    </row>
    <row r="56" spans="1:21" ht="13.5" thickBot="1">
      <c r="A56" s="1024"/>
      <c r="B56" s="1025"/>
      <c r="C56" s="1025"/>
      <c r="D56" s="1025"/>
      <c r="E56" s="1026"/>
      <c r="F56" s="1027"/>
      <c r="G56" s="794"/>
      <c r="H56" s="1025"/>
      <c r="I56" s="1025"/>
      <c r="J56" s="1025"/>
      <c r="K56" s="1026"/>
      <c r="L56" s="1027"/>
      <c r="O56" s="1018"/>
      <c r="P56" s="828"/>
    </row>
    <row r="57" spans="1:21" ht="13" thickBot="1">
      <c r="A57" s="2164">
        <v>6</v>
      </c>
      <c r="B57" s="2167" t="s">
        <v>85</v>
      </c>
      <c r="C57" s="2168"/>
      <c r="D57" s="2168"/>
      <c r="E57" s="2168"/>
      <c r="F57" s="2169"/>
      <c r="G57" s="791"/>
      <c r="H57" s="2167" t="str">
        <f>B57</f>
        <v>KOREKSI GREISINGER 34903046</v>
      </c>
      <c r="I57" s="2168"/>
      <c r="J57" s="2168"/>
      <c r="K57" s="2168"/>
      <c r="L57" s="2169"/>
      <c r="M57" s="791"/>
      <c r="N57" s="2167" t="str">
        <f>H57</f>
        <v>KOREKSI GREISINGER 34903046</v>
      </c>
      <c r="O57" s="2168"/>
      <c r="P57" s="2168"/>
      <c r="Q57" s="2168"/>
      <c r="R57" s="2169"/>
      <c r="T57" s="2141" t="s">
        <v>81</v>
      </c>
      <c r="U57" s="2142"/>
    </row>
    <row r="58" spans="1:21" ht="13.5" thickBot="1">
      <c r="A58" s="2165"/>
      <c r="B58" s="2143" t="s">
        <v>74</v>
      </c>
      <c r="C58" s="2144"/>
      <c r="D58" s="2145" t="s">
        <v>7</v>
      </c>
      <c r="E58" s="2146"/>
      <c r="F58" s="2147" t="s">
        <v>2</v>
      </c>
      <c r="H58" s="2143" t="s">
        <v>75</v>
      </c>
      <c r="I58" s="2144"/>
      <c r="J58" s="2145" t="s">
        <v>7</v>
      </c>
      <c r="K58" s="2146"/>
      <c r="L58" s="2147" t="s">
        <v>2</v>
      </c>
      <c r="N58" s="2143" t="s">
        <v>76</v>
      </c>
      <c r="O58" s="2144"/>
      <c r="P58" s="2145" t="s">
        <v>7</v>
      </c>
      <c r="Q58" s="2146"/>
      <c r="R58" s="2147" t="s">
        <v>2</v>
      </c>
      <c r="T58" s="996" t="s">
        <v>74</v>
      </c>
      <c r="U58" s="1019">
        <v>0.8</v>
      </c>
    </row>
    <row r="59" spans="1:21" ht="15" thickBot="1">
      <c r="A59" s="2165"/>
      <c r="B59" s="2152" t="s">
        <v>77</v>
      </c>
      <c r="C59" s="2153"/>
      <c r="D59" s="1020">
        <v>2019</v>
      </c>
      <c r="E59" s="1020">
        <v>2018</v>
      </c>
      <c r="F59" s="2148"/>
      <c r="H59" s="2154" t="s">
        <v>78</v>
      </c>
      <c r="I59" s="2155"/>
      <c r="J59" s="1021">
        <f>D59</f>
        <v>2019</v>
      </c>
      <c r="K59" s="1021">
        <f>E59</f>
        <v>2018</v>
      </c>
      <c r="L59" s="2148"/>
      <c r="N59" s="2154" t="s">
        <v>79</v>
      </c>
      <c r="O59" s="2155"/>
      <c r="P59" s="1021">
        <f>J59</f>
        <v>2019</v>
      </c>
      <c r="Q59" s="1021">
        <f>K59</f>
        <v>2018</v>
      </c>
      <c r="R59" s="2148"/>
      <c r="T59" s="996" t="s">
        <v>78</v>
      </c>
      <c r="U59" s="994">
        <v>2.6</v>
      </c>
    </row>
    <row r="60" spans="1:21" ht="13.5" thickBot="1">
      <c r="A60" s="2165"/>
      <c r="B60" s="997">
        <v>1</v>
      </c>
      <c r="C60" s="1001">
        <v>15</v>
      </c>
      <c r="D60" s="1028">
        <v>0.4</v>
      </c>
      <c r="E60" s="1028">
        <v>0.4</v>
      </c>
      <c r="F60" s="1023">
        <f t="shared" ref="F60:F66" si="15">0.5*(MAX(D60:E60)-MIN(D60:E60))</f>
        <v>0</v>
      </c>
      <c r="H60" s="997">
        <v>1</v>
      </c>
      <c r="I60" s="1001">
        <v>30</v>
      </c>
      <c r="J60" s="1028">
        <v>-1.5</v>
      </c>
      <c r="K60" s="1028">
        <v>1.7</v>
      </c>
      <c r="L60" s="1023">
        <f t="shared" ref="L60:L66" si="16">0.5*(MAX(J60:K60)-MIN(J60:K60))</f>
        <v>1.6</v>
      </c>
      <c r="N60" s="997">
        <v>1</v>
      </c>
      <c r="O60" s="1001">
        <v>750</v>
      </c>
      <c r="P60" s="1028">
        <v>0.9</v>
      </c>
      <c r="Q60" s="1028">
        <v>2.1</v>
      </c>
      <c r="R60" s="1023">
        <f t="shared" ref="R60:R66" si="17">0.5*(MAX(P60:Q60)-MIN(P60:Q60))</f>
        <v>0.60000000000000009</v>
      </c>
      <c r="T60" s="1003" t="s">
        <v>79</v>
      </c>
      <c r="U60" s="1029">
        <v>1.6</v>
      </c>
    </row>
    <row r="61" spans="1:21" ht="13">
      <c r="A61" s="2165"/>
      <c r="B61" s="997">
        <v>2</v>
      </c>
      <c r="C61" s="1005">
        <v>20</v>
      </c>
      <c r="D61" s="998">
        <v>0.3</v>
      </c>
      <c r="E61" s="998">
        <v>0.2</v>
      </c>
      <c r="F61" s="1000">
        <f t="shared" si="15"/>
        <v>4.9999999999999989E-2</v>
      </c>
      <c r="H61" s="997">
        <v>2</v>
      </c>
      <c r="I61" s="1005">
        <v>40</v>
      </c>
      <c r="J61" s="998">
        <v>-3.8</v>
      </c>
      <c r="K61" s="998">
        <v>1.5</v>
      </c>
      <c r="L61" s="1000">
        <f t="shared" si="16"/>
        <v>2.65</v>
      </c>
      <c r="N61" s="997">
        <v>2</v>
      </c>
      <c r="O61" s="1005">
        <v>800</v>
      </c>
      <c r="P61" s="998">
        <v>0.9</v>
      </c>
      <c r="Q61" s="998">
        <v>1.6</v>
      </c>
      <c r="R61" s="1000">
        <f t="shared" si="17"/>
        <v>0.35000000000000003</v>
      </c>
    </row>
    <row r="62" spans="1:21" ht="13">
      <c r="A62" s="2165"/>
      <c r="B62" s="997">
        <v>3</v>
      </c>
      <c r="C62" s="1005">
        <v>25</v>
      </c>
      <c r="D62" s="998">
        <v>0.2</v>
      </c>
      <c r="E62" s="998">
        <v>-0.1</v>
      </c>
      <c r="F62" s="1000">
        <f t="shared" si="15"/>
        <v>0.15000000000000002</v>
      </c>
      <c r="H62" s="997">
        <v>3</v>
      </c>
      <c r="I62" s="1005">
        <v>50</v>
      </c>
      <c r="J62" s="998">
        <v>-5.4</v>
      </c>
      <c r="K62" s="998">
        <v>1.2</v>
      </c>
      <c r="L62" s="1000">
        <f t="shared" si="16"/>
        <v>3.3000000000000003</v>
      </c>
      <c r="N62" s="997">
        <v>3</v>
      </c>
      <c r="O62" s="1005">
        <v>850</v>
      </c>
      <c r="P62" s="998">
        <v>0.9</v>
      </c>
      <c r="Q62" s="998">
        <v>1.1000000000000001</v>
      </c>
      <c r="R62" s="1000">
        <f t="shared" si="17"/>
        <v>0.10000000000000003</v>
      </c>
    </row>
    <row r="63" spans="1:21" ht="13">
      <c r="A63" s="2165"/>
      <c r="B63" s="997">
        <v>4</v>
      </c>
      <c r="C63" s="1010">
        <v>30</v>
      </c>
      <c r="D63" s="1007">
        <v>0.1</v>
      </c>
      <c r="E63" s="1007">
        <v>-0.5</v>
      </c>
      <c r="F63" s="1000">
        <f t="shared" si="15"/>
        <v>0.3</v>
      </c>
      <c r="H63" s="997">
        <v>4</v>
      </c>
      <c r="I63" s="1010">
        <v>60</v>
      </c>
      <c r="J63" s="1007">
        <v>-6.4</v>
      </c>
      <c r="K63" s="1007">
        <v>1.1000000000000001</v>
      </c>
      <c r="L63" s="1000">
        <f t="shared" si="16"/>
        <v>3.75</v>
      </c>
      <c r="N63" s="997">
        <v>4</v>
      </c>
      <c r="O63" s="1010">
        <v>900</v>
      </c>
      <c r="P63" s="1007">
        <v>0.9</v>
      </c>
      <c r="Q63" s="1007">
        <v>0.7</v>
      </c>
      <c r="R63" s="1000">
        <f t="shared" si="17"/>
        <v>0.10000000000000003</v>
      </c>
    </row>
    <row r="64" spans="1:21" ht="13">
      <c r="A64" s="2165"/>
      <c r="B64" s="997">
        <v>5</v>
      </c>
      <c r="C64" s="1010">
        <v>35</v>
      </c>
      <c r="D64" s="1007">
        <v>0.1</v>
      </c>
      <c r="E64" s="1007">
        <v>-0.9</v>
      </c>
      <c r="F64" s="1000">
        <f t="shared" si="15"/>
        <v>0.5</v>
      </c>
      <c r="H64" s="997">
        <v>5</v>
      </c>
      <c r="I64" s="1010">
        <v>70</v>
      </c>
      <c r="J64" s="1007">
        <v>-6.7</v>
      </c>
      <c r="K64" s="1007">
        <v>0.9</v>
      </c>
      <c r="L64" s="1000">
        <f t="shared" si="16"/>
        <v>3.8000000000000003</v>
      </c>
      <c r="N64" s="997">
        <v>5</v>
      </c>
      <c r="O64" s="1010">
        <v>1000</v>
      </c>
      <c r="P64" s="1007">
        <v>0.9</v>
      </c>
      <c r="Q64" s="1007">
        <v>-0.3</v>
      </c>
      <c r="R64" s="1000">
        <f t="shared" si="17"/>
        <v>0.6</v>
      </c>
    </row>
    <row r="65" spans="1:21" ht="13">
      <c r="A65" s="2165"/>
      <c r="B65" s="997">
        <v>6</v>
      </c>
      <c r="C65" s="1010">
        <v>37</v>
      </c>
      <c r="D65" s="1007">
        <v>0.1</v>
      </c>
      <c r="E65" s="1007">
        <v>-1.1000000000000001</v>
      </c>
      <c r="F65" s="1000">
        <f t="shared" si="15"/>
        <v>0.60000000000000009</v>
      </c>
      <c r="H65" s="997">
        <v>6</v>
      </c>
      <c r="I65" s="1010">
        <v>80</v>
      </c>
      <c r="J65" s="1007">
        <v>-6.3</v>
      </c>
      <c r="K65" s="1007">
        <v>0.8</v>
      </c>
      <c r="L65" s="1000">
        <f t="shared" si="16"/>
        <v>3.55</v>
      </c>
      <c r="N65" s="997">
        <v>6</v>
      </c>
      <c r="O65" s="1010">
        <v>1005</v>
      </c>
      <c r="P65" s="1007">
        <v>0.9</v>
      </c>
      <c r="Q65" s="1007">
        <v>-0.3</v>
      </c>
      <c r="R65" s="1000">
        <f t="shared" si="17"/>
        <v>0.6</v>
      </c>
    </row>
    <row r="66" spans="1:21" ht="13.5" thickBot="1">
      <c r="A66" s="2166"/>
      <c r="B66" s="1011">
        <v>7</v>
      </c>
      <c r="C66" s="1016">
        <v>40</v>
      </c>
      <c r="D66" s="1012">
        <v>0.1</v>
      </c>
      <c r="E66" s="1012">
        <v>-1.4</v>
      </c>
      <c r="F66" s="1014">
        <f t="shared" si="15"/>
        <v>0.75</v>
      </c>
      <c r="G66" s="1015"/>
      <c r="H66" s="1011">
        <v>7</v>
      </c>
      <c r="I66" s="1016">
        <v>90</v>
      </c>
      <c r="J66" s="1012">
        <v>-5.2</v>
      </c>
      <c r="K66" s="1012">
        <v>0.7</v>
      </c>
      <c r="L66" s="1014">
        <f t="shared" si="16"/>
        <v>2.95</v>
      </c>
      <c r="M66" s="1015"/>
      <c r="N66" s="1011">
        <v>7</v>
      </c>
      <c r="O66" s="1016">
        <v>1020</v>
      </c>
      <c r="P66" s="1012">
        <v>0.9</v>
      </c>
      <c r="Q66" s="1012">
        <v>0</v>
      </c>
      <c r="R66" s="1014">
        <f t="shared" si="17"/>
        <v>0.45</v>
      </c>
    </row>
    <row r="67" spans="1:21" ht="13.5" thickBot="1">
      <c r="A67" s="1024"/>
      <c r="B67" s="1025"/>
      <c r="C67" s="1025"/>
      <c r="D67" s="1025"/>
      <c r="E67" s="1026"/>
      <c r="F67" s="1027"/>
      <c r="G67" s="794"/>
      <c r="H67" s="1025"/>
      <c r="I67" s="1025"/>
      <c r="J67" s="1025"/>
      <c r="K67" s="1026"/>
      <c r="L67" s="1027"/>
      <c r="O67" s="1018"/>
      <c r="P67" s="828"/>
    </row>
    <row r="68" spans="1:21" ht="13" thickBot="1">
      <c r="A68" s="2164">
        <v>7</v>
      </c>
      <c r="B68" s="2167" t="s">
        <v>86</v>
      </c>
      <c r="C68" s="2168"/>
      <c r="D68" s="2168"/>
      <c r="E68" s="2168"/>
      <c r="F68" s="2169"/>
      <c r="G68" s="791"/>
      <c r="H68" s="2167" t="str">
        <f>B68</f>
        <v>KOREKSI GREISINGER 34903053</v>
      </c>
      <c r="I68" s="2168"/>
      <c r="J68" s="2168"/>
      <c r="K68" s="2168"/>
      <c r="L68" s="2169"/>
      <c r="M68" s="791"/>
      <c r="N68" s="2167" t="str">
        <f>H68</f>
        <v>KOREKSI GREISINGER 34903053</v>
      </c>
      <c r="O68" s="2168"/>
      <c r="P68" s="2168"/>
      <c r="Q68" s="2168"/>
      <c r="R68" s="2169"/>
      <c r="T68" s="2141" t="s">
        <v>81</v>
      </c>
      <c r="U68" s="2142"/>
    </row>
    <row r="69" spans="1:21" ht="13.5" thickBot="1">
      <c r="A69" s="2165"/>
      <c r="B69" s="2143" t="s">
        <v>74</v>
      </c>
      <c r="C69" s="2144"/>
      <c r="D69" s="2145" t="s">
        <v>7</v>
      </c>
      <c r="E69" s="2146"/>
      <c r="F69" s="2147" t="s">
        <v>2</v>
      </c>
      <c r="H69" s="2143" t="s">
        <v>75</v>
      </c>
      <c r="I69" s="2144"/>
      <c r="J69" s="2145" t="s">
        <v>7</v>
      </c>
      <c r="K69" s="2146"/>
      <c r="L69" s="2147" t="s">
        <v>2</v>
      </c>
      <c r="N69" s="2143" t="s">
        <v>76</v>
      </c>
      <c r="O69" s="2144"/>
      <c r="P69" s="2145" t="s">
        <v>7</v>
      </c>
      <c r="Q69" s="2146"/>
      <c r="R69" s="2147" t="s">
        <v>2</v>
      </c>
      <c r="T69" s="996" t="s">
        <v>74</v>
      </c>
      <c r="U69" s="1019">
        <v>0.2</v>
      </c>
    </row>
    <row r="70" spans="1:21" ht="15" thickBot="1">
      <c r="A70" s="2165"/>
      <c r="B70" s="2152" t="s">
        <v>77</v>
      </c>
      <c r="C70" s="2153"/>
      <c r="D70" s="1020">
        <v>2021</v>
      </c>
      <c r="E70" s="1020">
        <v>2018</v>
      </c>
      <c r="F70" s="2148"/>
      <c r="H70" s="2154" t="s">
        <v>78</v>
      </c>
      <c r="I70" s="2155"/>
      <c r="J70" s="1021">
        <f>D70</f>
        <v>2021</v>
      </c>
      <c r="K70" s="1021">
        <f>E70</f>
        <v>2018</v>
      </c>
      <c r="L70" s="2148"/>
      <c r="N70" s="2154" t="s">
        <v>79</v>
      </c>
      <c r="O70" s="2155"/>
      <c r="P70" s="1021">
        <f>J70</f>
        <v>2021</v>
      </c>
      <c r="Q70" s="1021">
        <f>K70</f>
        <v>2018</v>
      </c>
      <c r="R70" s="2148"/>
      <c r="T70" s="996" t="s">
        <v>78</v>
      </c>
      <c r="U70" s="1019">
        <v>2.4</v>
      </c>
    </row>
    <row r="71" spans="1:21" ht="13.5" thickBot="1">
      <c r="A71" s="2165"/>
      <c r="B71" s="997">
        <v>1</v>
      </c>
      <c r="C71" s="1001">
        <v>15</v>
      </c>
      <c r="D71" s="1028">
        <v>0.1</v>
      </c>
      <c r="E71" s="1028">
        <v>0.3</v>
      </c>
      <c r="F71" s="1023">
        <f t="shared" ref="F71:F77" si="18">0.5*(MAX(D71:E71)-MIN(D71:E71))</f>
        <v>9.9999999999999992E-2</v>
      </c>
      <c r="H71" s="997">
        <v>1</v>
      </c>
      <c r="I71" s="1001">
        <v>30</v>
      </c>
      <c r="J71" s="1028">
        <v>-1.9</v>
      </c>
      <c r="K71" s="1028">
        <v>1.8</v>
      </c>
      <c r="L71" s="1023">
        <f t="shared" ref="L71:L77" si="19">0.5*(MAX(J71:K71)-MIN(J71:K71))</f>
        <v>1.85</v>
      </c>
      <c r="N71" s="997">
        <v>1</v>
      </c>
      <c r="O71" s="1001">
        <v>750</v>
      </c>
      <c r="P71" s="1028">
        <v>0</v>
      </c>
      <c r="Q71" s="1028">
        <v>3.2</v>
      </c>
      <c r="R71" s="1023">
        <f t="shared" ref="R71:R77" si="20">0.5*(MAX(P71:Q71)-MIN(P71:Q71))</f>
        <v>1.6</v>
      </c>
      <c r="T71" s="1003" t="s">
        <v>79</v>
      </c>
      <c r="U71" s="1029">
        <v>2.4</v>
      </c>
    </row>
    <row r="72" spans="1:21" ht="13">
      <c r="A72" s="2165"/>
      <c r="B72" s="997">
        <v>2</v>
      </c>
      <c r="C72" s="1005">
        <v>20</v>
      </c>
      <c r="D72" s="998">
        <v>0</v>
      </c>
      <c r="E72" s="998">
        <v>0.1</v>
      </c>
      <c r="F72" s="1000">
        <f t="shared" si="18"/>
        <v>0.05</v>
      </c>
      <c r="H72" s="997">
        <v>2</v>
      </c>
      <c r="I72" s="1005">
        <v>40</v>
      </c>
      <c r="J72" s="998">
        <v>-1.9</v>
      </c>
      <c r="K72" s="998">
        <v>1.2</v>
      </c>
      <c r="L72" s="1000">
        <f t="shared" si="19"/>
        <v>1.5499999999999998</v>
      </c>
      <c r="N72" s="997">
        <v>2</v>
      </c>
      <c r="O72" s="1005">
        <v>800</v>
      </c>
      <c r="P72" s="998">
        <v>0</v>
      </c>
      <c r="Q72" s="998">
        <v>2.5</v>
      </c>
      <c r="R72" s="1000">
        <f t="shared" si="20"/>
        <v>1.25</v>
      </c>
    </row>
    <row r="73" spans="1:21" ht="13">
      <c r="A73" s="2165"/>
      <c r="B73" s="997">
        <v>3</v>
      </c>
      <c r="C73" s="1005">
        <v>25</v>
      </c>
      <c r="D73" s="998">
        <v>0</v>
      </c>
      <c r="E73" s="998">
        <v>-0.2</v>
      </c>
      <c r="F73" s="1000">
        <f t="shared" si="18"/>
        <v>0.1</v>
      </c>
      <c r="H73" s="997">
        <v>3</v>
      </c>
      <c r="I73" s="1005">
        <v>50</v>
      </c>
      <c r="J73" s="998">
        <v>-1.9</v>
      </c>
      <c r="K73" s="998">
        <v>0.8</v>
      </c>
      <c r="L73" s="1000">
        <f t="shared" si="19"/>
        <v>1.35</v>
      </c>
      <c r="N73" s="997">
        <v>3</v>
      </c>
      <c r="O73" s="1005">
        <v>850</v>
      </c>
      <c r="P73" s="998">
        <v>0</v>
      </c>
      <c r="Q73" s="998">
        <v>1.7</v>
      </c>
      <c r="R73" s="1000">
        <f t="shared" si="20"/>
        <v>0.85</v>
      </c>
    </row>
    <row r="74" spans="1:21" ht="13">
      <c r="A74" s="2165"/>
      <c r="B74" s="997">
        <v>4</v>
      </c>
      <c r="C74" s="1010">
        <v>30</v>
      </c>
      <c r="D74" s="1007">
        <v>0</v>
      </c>
      <c r="E74" s="1007">
        <v>-0.6</v>
      </c>
      <c r="F74" s="1000">
        <f t="shared" si="18"/>
        <v>0.3</v>
      </c>
      <c r="H74" s="997">
        <v>4</v>
      </c>
      <c r="I74" s="1010">
        <v>60</v>
      </c>
      <c r="J74" s="1007">
        <v>-2.1</v>
      </c>
      <c r="K74" s="1007">
        <v>0.7</v>
      </c>
      <c r="L74" s="1000">
        <f t="shared" si="19"/>
        <v>1.4</v>
      </c>
      <c r="N74" s="997">
        <v>4</v>
      </c>
      <c r="O74" s="1010">
        <v>900</v>
      </c>
      <c r="P74" s="1007">
        <v>0</v>
      </c>
      <c r="Q74" s="1007">
        <v>1</v>
      </c>
      <c r="R74" s="1000">
        <f t="shared" si="20"/>
        <v>0.5</v>
      </c>
    </row>
    <row r="75" spans="1:21" ht="13">
      <c r="A75" s="2165"/>
      <c r="B75" s="997">
        <v>5</v>
      </c>
      <c r="C75" s="1010">
        <v>35</v>
      </c>
      <c r="D75" s="1007">
        <v>0</v>
      </c>
      <c r="E75" s="1007">
        <v>-1.1000000000000001</v>
      </c>
      <c r="F75" s="1000">
        <f t="shared" si="18"/>
        <v>0.55000000000000004</v>
      </c>
      <c r="H75" s="997">
        <v>5</v>
      </c>
      <c r="I75" s="1010">
        <v>70</v>
      </c>
      <c r="J75" s="1007">
        <v>-2.2999999999999998</v>
      </c>
      <c r="K75" s="1007">
        <v>0.9</v>
      </c>
      <c r="L75" s="1000">
        <f t="shared" si="19"/>
        <v>1.5999999999999999</v>
      </c>
      <c r="N75" s="997">
        <v>5</v>
      </c>
      <c r="O75" s="1010">
        <v>1000</v>
      </c>
      <c r="P75" s="1007">
        <v>-3.9</v>
      </c>
      <c r="Q75" s="1007">
        <v>-0.4</v>
      </c>
      <c r="R75" s="1000">
        <f t="shared" si="20"/>
        <v>1.75</v>
      </c>
    </row>
    <row r="76" spans="1:21" ht="13">
      <c r="A76" s="2165"/>
      <c r="B76" s="997">
        <v>6</v>
      </c>
      <c r="C76" s="1010">
        <v>37</v>
      </c>
      <c r="D76" s="1007">
        <v>0</v>
      </c>
      <c r="E76" s="1007">
        <v>-1.4</v>
      </c>
      <c r="F76" s="1000">
        <f t="shared" si="18"/>
        <v>0.7</v>
      </c>
      <c r="H76" s="997">
        <v>6</v>
      </c>
      <c r="I76" s="1010">
        <v>80</v>
      </c>
      <c r="J76" s="1007">
        <v>-2.6</v>
      </c>
      <c r="K76" s="1007">
        <v>1.2</v>
      </c>
      <c r="L76" s="1000">
        <f t="shared" si="19"/>
        <v>1.9</v>
      </c>
      <c r="N76" s="997">
        <v>6</v>
      </c>
      <c r="O76" s="1010">
        <v>1005</v>
      </c>
      <c r="P76" s="1007">
        <v>-3.8</v>
      </c>
      <c r="Q76" s="1007">
        <v>-0.5</v>
      </c>
      <c r="R76" s="1000">
        <f t="shared" si="20"/>
        <v>1.65</v>
      </c>
    </row>
    <row r="77" spans="1:21" ht="13.5" thickBot="1">
      <c r="A77" s="2166"/>
      <c r="B77" s="1011">
        <v>7</v>
      </c>
      <c r="C77" s="1016">
        <v>40</v>
      </c>
      <c r="D77" s="1012">
        <v>0.1</v>
      </c>
      <c r="E77" s="1012">
        <v>-1.7</v>
      </c>
      <c r="F77" s="1014">
        <f t="shared" si="18"/>
        <v>0.9</v>
      </c>
      <c r="G77" s="1015"/>
      <c r="H77" s="1011">
        <v>7</v>
      </c>
      <c r="I77" s="1016">
        <v>90</v>
      </c>
      <c r="J77" s="1012">
        <v>-3</v>
      </c>
      <c r="K77" s="1012">
        <v>1.8</v>
      </c>
      <c r="L77" s="1014">
        <f t="shared" si="19"/>
        <v>2.4</v>
      </c>
      <c r="M77" s="1015"/>
      <c r="N77" s="1011">
        <v>7</v>
      </c>
      <c r="O77" s="1016">
        <v>1020</v>
      </c>
      <c r="P77" s="1012">
        <v>-3.8</v>
      </c>
      <c r="Q77" s="1012">
        <v>0</v>
      </c>
      <c r="R77" s="1014">
        <f t="shared" si="20"/>
        <v>1.9</v>
      </c>
    </row>
    <row r="78" spans="1:21" ht="13.5" thickBot="1">
      <c r="A78" s="1024"/>
      <c r="B78" s="1025"/>
      <c r="C78" s="1025"/>
      <c r="D78" s="1025"/>
      <c r="E78" s="1026"/>
      <c r="F78" s="1027"/>
      <c r="G78" s="794"/>
      <c r="H78" s="1025"/>
      <c r="I78" s="1025"/>
      <c r="J78" s="1025"/>
      <c r="K78" s="1026"/>
      <c r="L78" s="1027"/>
      <c r="O78" s="1018"/>
      <c r="P78" s="828"/>
    </row>
    <row r="79" spans="1:21" ht="13" thickBot="1">
      <c r="A79" s="2164">
        <v>8</v>
      </c>
      <c r="B79" s="2167" t="s">
        <v>87</v>
      </c>
      <c r="C79" s="2168"/>
      <c r="D79" s="2168"/>
      <c r="E79" s="2168"/>
      <c r="F79" s="2169"/>
      <c r="G79" s="791"/>
      <c r="H79" s="2167" t="str">
        <f>B79</f>
        <v>KOREKSI GREISINGER 34903051</v>
      </c>
      <c r="I79" s="2168"/>
      <c r="J79" s="2168"/>
      <c r="K79" s="2168"/>
      <c r="L79" s="2169"/>
      <c r="M79" s="791"/>
      <c r="N79" s="2167" t="str">
        <f>H79</f>
        <v>KOREKSI GREISINGER 34903051</v>
      </c>
      <c r="O79" s="2168"/>
      <c r="P79" s="2168"/>
      <c r="Q79" s="2168"/>
      <c r="R79" s="2169"/>
      <c r="T79" s="2141" t="s">
        <v>81</v>
      </c>
      <c r="U79" s="2142"/>
    </row>
    <row r="80" spans="1:21" ht="13.5" thickBot="1">
      <c r="A80" s="2165"/>
      <c r="B80" s="2143" t="s">
        <v>74</v>
      </c>
      <c r="C80" s="2144"/>
      <c r="D80" s="2145" t="s">
        <v>7</v>
      </c>
      <c r="E80" s="2146"/>
      <c r="F80" s="2147" t="s">
        <v>2</v>
      </c>
      <c r="H80" s="2143" t="s">
        <v>75</v>
      </c>
      <c r="I80" s="2144"/>
      <c r="J80" s="2145" t="s">
        <v>7</v>
      </c>
      <c r="K80" s="2146"/>
      <c r="L80" s="2147" t="s">
        <v>2</v>
      </c>
      <c r="N80" s="2143" t="s">
        <v>76</v>
      </c>
      <c r="O80" s="2144"/>
      <c r="P80" s="2145" t="s">
        <v>7</v>
      </c>
      <c r="Q80" s="2146"/>
      <c r="R80" s="2147" t="s">
        <v>2</v>
      </c>
      <c r="T80" s="996" t="s">
        <v>74</v>
      </c>
      <c r="U80" s="994">
        <v>0.3</v>
      </c>
    </row>
    <row r="81" spans="1:21" ht="15" thickBot="1">
      <c r="A81" s="2165"/>
      <c r="B81" s="2152" t="s">
        <v>77</v>
      </c>
      <c r="C81" s="2153"/>
      <c r="D81" s="1020">
        <v>2021</v>
      </c>
      <c r="E81" s="1020">
        <v>2019</v>
      </c>
      <c r="F81" s="2148"/>
      <c r="H81" s="2154" t="s">
        <v>78</v>
      </c>
      <c r="I81" s="2155"/>
      <c r="J81" s="1021">
        <f>D81</f>
        <v>2021</v>
      </c>
      <c r="K81" s="1021">
        <f>E81</f>
        <v>2019</v>
      </c>
      <c r="L81" s="2148"/>
      <c r="N81" s="2154" t="s">
        <v>79</v>
      </c>
      <c r="O81" s="2155"/>
      <c r="P81" s="1021">
        <f>J81</f>
        <v>2021</v>
      </c>
      <c r="Q81" s="1021">
        <f>K81</f>
        <v>2019</v>
      </c>
      <c r="R81" s="2148"/>
      <c r="T81" s="996" t="s">
        <v>78</v>
      </c>
      <c r="U81" s="994">
        <v>2.5</v>
      </c>
    </row>
    <row r="82" spans="1:21" ht="13.5" thickBot="1">
      <c r="A82" s="2165"/>
      <c r="B82" s="997">
        <v>1</v>
      </c>
      <c r="C82" s="1030">
        <v>15</v>
      </c>
      <c r="D82" s="1028">
        <v>0.1</v>
      </c>
      <c r="E82" s="1028">
        <v>0</v>
      </c>
      <c r="F82" s="1023">
        <f t="shared" ref="F82:F88" si="21">0.5*(MAX(D82:E82)-MIN(D82:E82))</f>
        <v>0.05</v>
      </c>
      <c r="H82" s="997">
        <v>1</v>
      </c>
      <c r="I82" s="1030">
        <v>30</v>
      </c>
      <c r="J82" s="1028">
        <v>-4</v>
      </c>
      <c r="K82" s="1028">
        <v>-1.4</v>
      </c>
      <c r="L82" s="1023">
        <f t="shared" ref="L82:L88" si="22">0.5*(MAX(J82:K82)-MIN(J82:K82))</f>
        <v>1.3</v>
      </c>
      <c r="N82" s="997">
        <v>1</v>
      </c>
      <c r="O82" s="1001">
        <v>750</v>
      </c>
      <c r="P82" s="1002">
        <v>0</v>
      </c>
      <c r="Q82" s="1002">
        <v>0</v>
      </c>
      <c r="R82" s="1023">
        <f t="shared" ref="R82:R88" si="23">0.5*(MAX(P82:Q82)-MIN(P82:Q82))</f>
        <v>0</v>
      </c>
      <c r="T82" s="1003" t="s">
        <v>79</v>
      </c>
      <c r="U82" s="1004">
        <v>2.1</v>
      </c>
    </row>
    <row r="83" spans="1:21" ht="13">
      <c r="A83" s="2165"/>
      <c r="B83" s="997">
        <v>2</v>
      </c>
      <c r="C83" s="1031">
        <v>20</v>
      </c>
      <c r="D83" s="1028">
        <v>0</v>
      </c>
      <c r="E83" s="1028">
        <v>-0.2</v>
      </c>
      <c r="F83" s="1000">
        <f>0.5*(MAX(D83:E83)-MIN(D83:E83))</f>
        <v>0.1</v>
      </c>
      <c r="H83" s="997">
        <v>2</v>
      </c>
      <c r="I83" s="1031">
        <v>40</v>
      </c>
      <c r="J83" s="998">
        <v>-3.8</v>
      </c>
      <c r="K83" s="998">
        <v>-1.2</v>
      </c>
      <c r="L83" s="1000">
        <f t="shared" si="22"/>
        <v>1.2999999999999998</v>
      </c>
      <c r="N83" s="997">
        <v>2</v>
      </c>
      <c r="O83" s="1005">
        <v>800</v>
      </c>
      <c r="P83" s="1006">
        <v>0</v>
      </c>
      <c r="Q83" s="1006">
        <v>0</v>
      </c>
      <c r="R83" s="1000">
        <f t="shared" si="23"/>
        <v>0</v>
      </c>
    </row>
    <row r="84" spans="1:21" ht="13">
      <c r="A84" s="2165"/>
      <c r="B84" s="997">
        <v>3</v>
      </c>
      <c r="C84" s="1031">
        <v>25</v>
      </c>
      <c r="D84" s="1028">
        <v>-0.1</v>
      </c>
      <c r="E84" s="1028">
        <v>-0.4</v>
      </c>
      <c r="F84" s="1000">
        <f t="shared" si="21"/>
        <v>0.15000000000000002</v>
      </c>
      <c r="H84" s="997">
        <v>3</v>
      </c>
      <c r="I84" s="1031">
        <v>50</v>
      </c>
      <c r="J84" s="998">
        <v>-3.8</v>
      </c>
      <c r="K84" s="998">
        <v>-1.2</v>
      </c>
      <c r="L84" s="1000">
        <f t="shared" si="22"/>
        <v>1.2999999999999998</v>
      </c>
      <c r="N84" s="997">
        <v>3</v>
      </c>
      <c r="O84" s="1005">
        <v>850</v>
      </c>
      <c r="P84" s="1006">
        <v>0</v>
      </c>
      <c r="Q84" s="1006">
        <v>0</v>
      </c>
      <c r="R84" s="1000">
        <f t="shared" si="23"/>
        <v>0</v>
      </c>
    </row>
    <row r="85" spans="1:21" ht="13">
      <c r="A85" s="2165"/>
      <c r="B85" s="997">
        <v>4</v>
      </c>
      <c r="C85" s="1032">
        <v>30</v>
      </c>
      <c r="D85" s="1028">
        <v>-0.2</v>
      </c>
      <c r="E85" s="1028">
        <v>-0.4</v>
      </c>
      <c r="F85" s="1000">
        <f t="shared" si="21"/>
        <v>0.1</v>
      </c>
      <c r="H85" s="997">
        <v>4</v>
      </c>
      <c r="I85" s="1032">
        <v>60</v>
      </c>
      <c r="J85" s="1007">
        <v>-3.9</v>
      </c>
      <c r="K85" s="1007">
        <v>-1.1000000000000001</v>
      </c>
      <c r="L85" s="1000">
        <f t="shared" si="22"/>
        <v>1.4</v>
      </c>
      <c r="N85" s="997">
        <v>4</v>
      </c>
      <c r="O85" s="1010">
        <v>900</v>
      </c>
      <c r="P85" s="1008">
        <v>-4.4000000000000004</v>
      </c>
      <c r="Q85" s="1008">
        <v>0</v>
      </c>
      <c r="R85" s="1000">
        <f t="shared" si="23"/>
        <v>2.2000000000000002</v>
      </c>
    </row>
    <row r="86" spans="1:21" ht="13">
      <c r="A86" s="2165"/>
      <c r="B86" s="997">
        <v>5</v>
      </c>
      <c r="C86" s="1032">
        <v>35</v>
      </c>
      <c r="D86" s="1007">
        <v>-0.1</v>
      </c>
      <c r="E86" s="1007">
        <v>-0.5</v>
      </c>
      <c r="F86" s="1000">
        <f t="shared" si="21"/>
        <v>0.2</v>
      </c>
      <c r="H86" s="997">
        <v>5</v>
      </c>
      <c r="I86" s="1032">
        <v>70</v>
      </c>
      <c r="J86" s="1007">
        <v>-4.0999999999999996</v>
      </c>
      <c r="K86" s="1007">
        <v>-1.2</v>
      </c>
      <c r="L86" s="1000">
        <f t="shared" si="22"/>
        <v>1.4499999999999997</v>
      </c>
      <c r="N86" s="997">
        <v>5</v>
      </c>
      <c r="O86" s="1010">
        <v>1000</v>
      </c>
      <c r="P86" s="1008">
        <v>-3.5</v>
      </c>
      <c r="Q86" s="1008">
        <v>0.2</v>
      </c>
      <c r="R86" s="1000">
        <f t="shared" si="23"/>
        <v>1.85</v>
      </c>
    </row>
    <row r="87" spans="1:21" ht="13">
      <c r="A87" s="2165"/>
      <c r="B87" s="997">
        <v>6</v>
      </c>
      <c r="C87" s="1032">
        <v>37</v>
      </c>
      <c r="D87" s="1007">
        <v>-0.1</v>
      </c>
      <c r="E87" s="1007">
        <v>-0.5</v>
      </c>
      <c r="F87" s="1000">
        <f t="shared" si="21"/>
        <v>0.2</v>
      </c>
      <c r="H87" s="997">
        <v>6</v>
      </c>
      <c r="I87" s="1032">
        <v>80</v>
      </c>
      <c r="J87" s="1007">
        <v>-4.5</v>
      </c>
      <c r="K87" s="1007">
        <v>-1.2</v>
      </c>
      <c r="L87" s="1000">
        <f t="shared" si="22"/>
        <v>1.65</v>
      </c>
      <c r="N87" s="997">
        <v>6</v>
      </c>
      <c r="O87" s="1010">
        <v>1005</v>
      </c>
      <c r="P87" s="1008">
        <v>-3.4</v>
      </c>
      <c r="Q87" s="1008">
        <v>0.2</v>
      </c>
      <c r="R87" s="1000">
        <f t="shared" si="23"/>
        <v>1.8</v>
      </c>
    </row>
    <row r="88" spans="1:21" ht="13.5" thickBot="1">
      <c r="A88" s="2166"/>
      <c r="B88" s="1011">
        <v>7</v>
      </c>
      <c r="C88" s="1033">
        <v>40</v>
      </c>
      <c r="D88" s="1012">
        <v>0</v>
      </c>
      <c r="E88" s="1012">
        <v>-0.4</v>
      </c>
      <c r="F88" s="1014">
        <f t="shared" si="21"/>
        <v>0.2</v>
      </c>
      <c r="G88" s="1015"/>
      <c r="H88" s="1011">
        <v>7</v>
      </c>
      <c r="I88" s="1033">
        <v>90</v>
      </c>
      <c r="J88" s="1012">
        <v>-4.9000000000000004</v>
      </c>
      <c r="K88" s="1012">
        <v>-1.3</v>
      </c>
      <c r="L88" s="1014">
        <f t="shared" si="22"/>
        <v>1.8000000000000003</v>
      </c>
      <c r="M88" s="1015"/>
      <c r="N88" s="1011">
        <v>7</v>
      </c>
      <c r="O88" s="1016">
        <v>1020</v>
      </c>
      <c r="P88" s="1034">
        <v>-3.4</v>
      </c>
      <c r="Q88" s="1034">
        <v>0</v>
      </c>
      <c r="R88" s="1014">
        <f t="shared" si="23"/>
        <v>1.7</v>
      </c>
    </row>
    <row r="89" spans="1:21" ht="13.5" thickBot="1">
      <c r="A89" s="1024"/>
      <c r="B89" s="1025"/>
      <c r="C89" s="1025"/>
      <c r="D89" s="1025"/>
      <c r="E89" s="1026"/>
      <c r="F89" s="818"/>
      <c r="G89" s="794"/>
      <c r="H89" s="1025"/>
      <c r="I89" s="1025"/>
      <c r="J89" s="1025"/>
      <c r="K89" s="1026"/>
      <c r="L89" s="818"/>
      <c r="O89" s="791"/>
      <c r="P89" s="828"/>
    </row>
    <row r="90" spans="1:21" ht="13" thickBot="1">
      <c r="A90" s="2164">
        <v>9</v>
      </c>
      <c r="B90" s="2167" t="s">
        <v>88</v>
      </c>
      <c r="C90" s="2168"/>
      <c r="D90" s="2168"/>
      <c r="E90" s="2168"/>
      <c r="F90" s="2169"/>
      <c r="G90" s="791"/>
      <c r="H90" s="2167" t="str">
        <f>B90</f>
        <v>KOREKSI GREISINGER 34904091</v>
      </c>
      <c r="I90" s="2168"/>
      <c r="J90" s="2168"/>
      <c r="K90" s="2168"/>
      <c r="L90" s="2169"/>
      <c r="M90" s="791"/>
      <c r="N90" s="2167" t="str">
        <f>H90</f>
        <v>KOREKSI GREISINGER 34904091</v>
      </c>
      <c r="O90" s="2168"/>
      <c r="P90" s="2168"/>
      <c r="Q90" s="2168"/>
      <c r="R90" s="2169"/>
      <c r="T90" s="2141" t="s">
        <v>81</v>
      </c>
      <c r="U90" s="2142"/>
    </row>
    <row r="91" spans="1:21" ht="13.5" thickBot="1">
      <c r="A91" s="2165"/>
      <c r="B91" s="2143" t="s">
        <v>74</v>
      </c>
      <c r="C91" s="2144"/>
      <c r="D91" s="2145" t="s">
        <v>7</v>
      </c>
      <c r="E91" s="2146"/>
      <c r="F91" s="2147" t="s">
        <v>2</v>
      </c>
      <c r="H91" s="2143" t="s">
        <v>75</v>
      </c>
      <c r="I91" s="2144"/>
      <c r="J91" s="2145" t="s">
        <v>7</v>
      </c>
      <c r="K91" s="2146"/>
      <c r="L91" s="2147" t="s">
        <v>2</v>
      </c>
      <c r="N91" s="2143" t="s">
        <v>76</v>
      </c>
      <c r="O91" s="2144"/>
      <c r="P91" s="2145" t="s">
        <v>7</v>
      </c>
      <c r="Q91" s="2146"/>
      <c r="R91" s="2147" t="s">
        <v>2</v>
      </c>
      <c r="T91" s="996" t="s">
        <v>74</v>
      </c>
      <c r="U91" s="994">
        <v>0.3</v>
      </c>
    </row>
    <row r="92" spans="1:21" ht="15" thickBot="1">
      <c r="A92" s="2165"/>
      <c r="B92" s="2152" t="s">
        <v>77</v>
      </c>
      <c r="C92" s="2153"/>
      <c r="D92" s="1020">
        <v>2019</v>
      </c>
      <c r="E92" s="1035" t="s">
        <v>10</v>
      </c>
      <c r="F92" s="2148"/>
      <c r="H92" s="2154" t="s">
        <v>78</v>
      </c>
      <c r="I92" s="2155"/>
      <c r="J92" s="1021">
        <f>D92</f>
        <v>2019</v>
      </c>
      <c r="K92" s="1021" t="str">
        <f>E92</f>
        <v>-</v>
      </c>
      <c r="L92" s="2148"/>
      <c r="N92" s="2154" t="s">
        <v>79</v>
      </c>
      <c r="O92" s="2155"/>
      <c r="P92" s="1021">
        <f>J92</f>
        <v>2019</v>
      </c>
      <c r="Q92" s="1021" t="str">
        <f>K92</f>
        <v>-</v>
      </c>
      <c r="R92" s="2148"/>
      <c r="T92" s="996" t="s">
        <v>78</v>
      </c>
      <c r="U92" s="994">
        <v>2.4</v>
      </c>
    </row>
    <row r="93" spans="1:21" ht="13.5" thickBot="1">
      <c r="A93" s="2165"/>
      <c r="B93" s="997">
        <v>1</v>
      </c>
      <c r="C93" s="1030">
        <v>15</v>
      </c>
      <c r="D93" s="1022">
        <v>0</v>
      </c>
      <c r="E93" s="1036" t="s">
        <v>10</v>
      </c>
      <c r="F93" s="1023">
        <f t="shared" ref="F93" si="24">0.5*(MAX(D93:E93)-MIN(D93:E93))</f>
        <v>0</v>
      </c>
      <c r="H93" s="997">
        <v>1</v>
      </c>
      <c r="I93" s="1030">
        <v>30</v>
      </c>
      <c r="J93" s="1022">
        <v>-1.2</v>
      </c>
      <c r="K93" s="1036" t="s">
        <v>10</v>
      </c>
      <c r="L93" s="1023">
        <f t="shared" ref="L93:L99" si="25">0.5*(MAX(J93:K93)-MIN(J93:K93))</f>
        <v>0</v>
      </c>
      <c r="N93" s="997">
        <v>1</v>
      </c>
      <c r="O93" s="1001">
        <v>750</v>
      </c>
      <c r="P93" s="1002">
        <v>0</v>
      </c>
      <c r="Q93" s="1002" t="s">
        <v>10</v>
      </c>
      <c r="R93" s="1023">
        <f t="shared" ref="R93:R99" si="26">0.5*(MAX(P93:Q93)-MIN(P93:Q93))</f>
        <v>0</v>
      </c>
      <c r="T93" s="1003" t="s">
        <v>79</v>
      </c>
      <c r="U93" s="1004">
        <v>2.2000000000000002</v>
      </c>
    </row>
    <row r="94" spans="1:21" ht="13">
      <c r="A94" s="2165"/>
      <c r="B94" s="997">
        <v>2</v>
      </c>
      <c r="C94" s="1031">
        <v>20</v>
      </c>
      <c r="D94" s="1022">
        <v>-0.2</v>
      </c>
      <c r="E94" s="811" t="s">
        <v>10</v>
      </c>
      <c r="F94" s="1000">
        <f>0.5*(MAX(D94:E94)-MIN(D94:E94))</f>
        <v>0</v>
      </c>
      <c r="H94" s="997">
        <v>2</v>
      </c>
      <c r="I94" s="1031">
        <v>40</v>
      </c>
      <c r="J94" s="1022">
        <v>-1</v>
      </c>
      <c r="K94" s="811" t="s">
        <v>10</v>
      </c>
      <c r="L94" s="1000">
        <f t="shared" si="25"/>
        <v>0</v>
      </c>
      <c r="N94" s="997">
        <v>2</v>
      </c>
      <c r="O94" s="1005">
        <v>800</v>
      </c>
      <c r="P94" s="1006">
        <v>0</v>
      </c>
      <c r="Q94" s="1006" t="s">
        <v>10</v>
      </c>
      <c r="R94" s="1000">
        <f t="shared" si="26"/>
        <v>0</v>
      </c>
    </row>
    <row r="95" spans="1:21" ht="13">
      <c r="A95" s="2165"/>
      <c r="B95" s="997">
        <v>3</v>
      </c>
      <c r="C95" s="1031">
        <v>25</v>
      </c>
      <c r="D95" s="1022">
        <v>-0.4</v>
      </c>
      <c r="E95" s="811" t="s">
        <v>10</v>
      </c>
      <c r="F95" s="1000">
        <f t="shared" ref="F95:F99" si="27">0.5*(MAX(D95:E95)-MIN(D95:E95))</f>
        <v>0</v>
      </c>
      <c r="H95" s="997">
        <v>3</v>
      </c>
      <c r="I95" s="1031">
        <v>50</v>
      </c>
      <c r="J95" s="1022">
        <v>-0.9</v>
      </c>
      <c r="K95" s="811" t="s">
        <v>10</v>
      </c>
      <c r="L95" s="1000">
        <f t="shared" si="25"/>
        <v>0</v>
      </c>
      <c r="N95" s="997">
        <v>3</v>
      </c>
      <c r="O95" s="1005">
        <v>850</v>
      </c>
      <c r="P95" s="1006">
        <v>0</v>
      </c>
      <c r="Q95" s="1006" t="s">
        <v>10</v>
      </c>
      <c r="R95" s="1000">
        <f t="shared" si="26"/>
        <v>0</v>
      </c>
    </row>
    <row r="96" spans="1:21" ht="13">
      <c r="A96" s="2165"/>
      <c r="B96" s="997">
        <v>4</v>
      </c>
      <c r="C96" s="1032">
        <v>30</v>
      </c>
      <c r="D96" s="1022">
        <v>-0.5</v>
      </c>
      <c r="E96" s="1009" t="s">
        <v>10</v>
      </c>
      <c r="F96" s="1000">
        <f t="shared" si="27"/>
        <v>0</v>
      </c>
      <c r="H96" s="997">
        <v>4</v>
      </c>
      <c r="I96" s="1032">
        <v>60</v>
      </c>
      <c r="J96" s="1022">
        <v>-0.8</v>
      </c>
      <c r="K96" s="1009" t="s">
        <v>10</v>
      </c>
      <c r="L96" s="1000">
        <f t="shared" si="25"/>
        <v>0</v>
      </c>
      <c r="N96" s="997">
        <v>4</v>
      </c>
      <c r="O96" s="1010">
        <v>900</v>
      </c>
      <c r="P96" s="1008">
        <v>0</v>
      </c>
      <c r="Q96" s="1008" t="s">
        <v>10</v>
      </c>
      <c r="R96" s="1000">
        <f t="shared" si="26"/>
        <v>0</v>
      </c>
    </row>
    <row r="97" spans="1:21" ht="13">
      <c r="A97" s="2165"/>
      <c r="B97" s="997">
        <v>5</v>
      </c>
      <c r="C97" s="1032">
        <v>35</v>
      </c>
      <c r="D97" s="1022">
        <v>-0.5</v>
      </c>
      <c r="E97" s="1009" t="s">
        <v>10</v>
      </c>
      <c r="F97" s="1000">
        <f t="shared" si="27"/>
        <v>0</v>
      </c>
      <c r="H97" s="997">
        <v>5</v>
      </c>
      <c r="I97" s="1032">
        <v>70</v>
      </c>
      <c r="J97" s="1022">
        <v>-0.6</v>
      </c>
      <c r="K97" s="1009" t="s">
        <v>10</v>
      </c>
      <c r="L97" s="1000">
        <f t="shared" si="25"/>
        <v>0</v>
      </c>
      <c r="N97" s="997">
        <v>5</v>
      </c>
      <c r="O97" s="1010">
        <v>1000</v>
      </c>
      <c r="P97" s="1008">
        <v>0.2</v>
      </c>
      <c r="Q97" s="1008" t="s">
        <v>10</v>
      </c>
      <c r="R97" s="1000">
        <f t="shared" si="26"/>
        <v>0</v>
      </c>
    </row>
    <row r="98" spans="1:21" ht="13">
      <c r="A98" s="2165"/>
      <c r="B98" s="997">
        <v>6</v>
      </c>
      <c r="C98" s="1032">
        <v>37</v>
      </c>
      <c r="D98" s="1022">
        <v>-0.5</v>
      </c>
      <c r="E98" s="1009" t="s">
        <v>10</v>
      </c>
      <c r="F98" s="1000">
        <f t="shared" si="27"/>
        <v>0</v>
      </c>
      <c r="H98" s="997">
        <v>6</v>
      </c>
      <c r="I98" s="1032">
        <v>80</v>
      </c>
      <c r="J98" s="1022">
        <v>-0.5</v>
      </c>
      <c r="K98" s="1009" t="s">
        <v>10</v>
      </c>
      <c r="L98" s="1000">
        <f t="shared" si="25"/>
        <v>0</v>
      </c>
      <c r="N98" s="997">
        <v>6</v>
      </c>
      <c r="O98" s="1010">
        <v>1005</v>
      </c>
      <c r="P98" s="1008">
        <v>0.2</v>
      </c>
      <c r="Q98" s="1008" t="s">
        <v>10</v>
      </c>
      <c r="R98" s="1000">
        <f t="shared" si="26"/>
        <v>0</v>
      </c>
    </row>
    <row r="99" spans="1:21" ht="13.5" thickBot="1">
      <c r="A99" s="2166"/>
      <c r="B99" s="1011">
        <v>7</v>
      </c>
      <c r="C99" s="1033">
        <v>40</v>
      </c>
      <c r="D99" s="1037">
        <v>-0.4</v>
      </c>
      <c r="E99" s="1013" t="s">
        <v>10</v>
      </c>
      <c r="F99" s="1014">
        <f t="shared" si="27"/>
        <v>0</v>
      </c>
      <c r="G99" s="1015"/>
      <c r="H99" s="1011">
        <v>7</v>
      </c>
      <c r="I99" s="1033">
        <v>90</v>
      </c>
      <c r="J99" s="1037">
        <v>-0.2</v>
      </c>
      <c r="K99" s="1013" t="s">
        <v>10</v>
      </c>
      <c r="L99" s="1014">
        <f t="shared" si="25"/>
        <v>0</v>
      </c>
      <c r="M99" s="1015"/>
      <c r="N99" s="1011">
        <v>7</v>
      </c>
      <c r="O99" s="1016">
        <v>1020</v>
      </c>
      <c r="P99" s="1034">
        <v>0</v>
      </c>
      <c r="Q99" s="1034" t="s">
        <v>10</v>
      </c>
      <c r="R99" s="1014">
        <f t="shared" si="26"/>
        <v>0</v>
      </c>
    </row>
    <row r="100" spans="1:21" ht="13.5" thickBot="1">
      <c r="A100" s="1024"/>
      <c r="B100" s="1025"/>
      <c r="C100" s="1025"/>
      <c r="D100" s="1025"/>
      <c r="E100" s="1026"/>
      <c r="F100" s="818"/>
      <c r="G100" s="794"/>
      <c r="H100" s="1025"/>
      <c r="I100" s="1025"/>
      <c r="J100" s="1025"/>
      <c r="K100" s="1026"/>
      <c r="L100" s="818"/>
      <c r="M100" s="794"/>
      <c r="O100" s="791"/>
      <c r="P100" s="828"/>
    </row>
    <row r="101" spans="1:21" ht="13" thickBot="1">
      <c r="A101" s="2164">
        <v>10</v>
      </c>
      <c r="B101" s="2167" t="s">
        <v>89</v>
      </c>
      <c r="C101" s="2168"/>
      <c r="D101" s="2168"/>
      <c r="E101" s="2168"/>
      <c r="F101" s="2169"/>
      <c r="G101" s="791"/>
      <c r="H101" s="2170" t="str">
        <f>B101</f>
        <v>KOREKSI Sekonic HE-21.000669</v>
      </c>
      <c r="I101" s="2171"/>
      <c r="J101" s="2171"/>
      <c r="K101" s="2171"/>
      <c r="L101" s="2172"/>
      <c r="M101" s="791"/>
      <c r="N101" s="2170" t="str">
        <f>H101</f>
        <v>KOREKSI Sekonic HE-21.000669</v>
      </c>
      <c r="O101" s="2171"/>
      <c r="P101" s="2171"/>
      <c r="Q101" s="2171"/>
      <c r="R101" s="2172"/>
      <c r="T101" s="2141" t="s">
        <v>81</v>
      </c>
      <c r="U101" s="2142"/>
    </row>
    <row r="102" spans="1:21" ht="13.5" thickBot="1">
      <c r="A102" s="2165"/>
      <c r="B102" s="2143" t="s">
        <v>74</v>
      </c>
      <c r="C102" s="2144"/>
      <c r="D102" s="2145" t="s">
        <v>7</v>
      </c>
      <c r="E102" s="2146"/>
      <c r="F102" s="2147" t="s">
        <v>2</v>
      </c>
      <c r="H102" s="2143" t="s">
        <v>75</v>
      </c>
      <c r="I102" s="2144"/>
      <c r="J102" s="2145" t="s">
        <v>7</v>
      </c>
      <c r="K102" s="2146"/>
      <c r="L102" s="2147" t="s">
        <v>2</v>
      </c>
      <c r="N102" s="2143" t="s">
        <v>76</v>
      </c>
      <c r="O102" s="2144"/>
      <c r="P102" s="2145" t="s">
        <v>7</v>
      </c>
      <c r="Q102" s="2146"/>
      <c r="R102" s="2147" t="s">
        <v>2</v>
      </c>
      <c r="T102" s="996" t="s">
        <v>74</v>
      </c>
      <c r="U102" s="994">
        <v>0.3</v>
      </c>
    </row>
    <row r="103" spans="1:21" ht="15" thickBot="1">
      <c r="A103" s="2165"/>
      <c r="B103" s="2152" t="s">
        <v>77</v>
      </c>
      <c r="C103" s="2153"/>
      <c r="D103" s="1020">
        <v>2019</v>
      </c>
      <c r="E103" s="1020">
        <v>2016</v>
      </c>
      <c r="F103" s="2148"/>
      <c r="H103" s="2154" t="s">
        <v>78</v>
      </c>
      <c r="I103" s="2155"/>
      <c r="J103" s="1021">
        <f>D103</f>
        <v>2019</v>
      </c>
      <c r="K103" s="1021">
        <f>E103</f>
        <v>2016</v>
      </c>
      <c r="L103" s="2148"/>
      <c r="N103" s="2154" t="s">
        <v>79</v>
      </c>
      <c r="O103" s="2155"/>
      <c r="P103" s="1021">
        <f>J103</f>
        <v>2019</v>
      </c>
      <c r="Q103" s="1021">
        <f>K103</f>
        <v>2016</v>
      </c>
      <c r="R103" s="2148"/>
      <c r="T103" s="996" t="s">
        <v>78</v>
      </c>
      <c r="U103" s="994">
        <v>1.5</v>
      </c>
    </row>
    <row r="104" spans="1:21" ht="13.5" thickBot="1">
      <c r="A104" s="2165"/>
      <c r="B104" s="997">
        <v>1</v>
      </c>
      <c r="C104" s="1030">
        <v>15</v>
      </c>
      <c r="D104" s="1028">
        <v>0.2</v>
      </c>
      <c r="E104" s="1028">
        <v>0.2</v>
      </c>
      <c r="F104" s="1023">
        <f t="shared" ref="F104:F110" si="28">0.5*(MAX(D104:E104)-MIN(D104:E104))</f>
        <v>0</v>
      </c>
      <c r="H104" s="997">
        <v>1</v>
      </c>
      <c r="I104" s="1038">
        <v>30</v>
      </c>
      <c r="J104" s="1028">
        <v>-2.9</v>
      </c>
      <c r="K104" s="1028">
        <v>-5.8</v>
      </c>
      <c r="L104" s="1023">
        <f t="shared" ref="L104:L107" si="29">0.5*(MAX(J104:K104)-MIN(J104:K104))</f>
        <v>1.45</v>
      </c>
      <c r="N104" s="997">
        <v>1</v>
      </c>
      <c r="O104" s="1001">
        <v>750</v>
      </c>
      <c r="P104" s="1002" t="s">
        <v>10</v>
      </c>
      <c r="Q104" s="1002" t="s">
        <v>10</v>
      </c>
      <c r="R104" s="1023">
        <f t="shared" ref="R104:R107" si="30">0.5*(MAX(P104:Q104)-MIN(P104:Q104))</f>
        <v>0</v>
      </c>
      <c r="T104" s="1003" t="s">
        <v>79</v>
      </c>
      <c r="U104" s="1004">
        <v>0</v>
      </c>
    </row>
    <row r="105" spans="1:21" ht="13">
      <c r="A105" s="2165"/>
      <c r="B105" s="997">
        <v>2</v>
      </c>
      <c r="C105" s="1031">
        <v>20</v>
      </c>
      <c r="D105" s="998">
        <v>0.2</v>
      </c>
      <c r="E105" s="998">
        <v>-0.7</v>
      </c>
      <c r="F105" s="1000">
        <f t="shared" si="28"/>
        <v>0.44999999999999996</v>
      </c>
      <c r="H105" s="997">
        <v>2</v>
      </c>
      <c r="I105" s="806">
        <v>40</v>
      </c>
      <c r="J105" s="998">
        <v>-3.3</v>
      </c>
      <c r="K105" s="998">
        <v>-6.4</v>
      </c>
      <c r="L105" s="1000">
        <f t="shared" si="29"/>
        <v>1.5500000000000003</v>
      </c>
      <c r="N105" s="997">
        <v>2</v>
      </c>
      <c r="O105" s="1005">
        <v>800</v>
      </c>
      <c r="P105" s="1006" t="s">
        <v>10</v>
      </c>
      <c r="Q105" s="1006" t="s">
        <v>10</v>
      </c>
      <c r="R105" s="1000">
        <f t="shared" si="30"/>
        <v>0</v>
      </c>
    </row>
    <row r="106" spans="1:21" ht="13">
      <c r="A106" s="2165"/>
      <c r="B106" s="997">
        <v>3</v>
      </c>
      <c r="C106" s="1031">
        <v>25</v>
      </c>
      <c r="D106" s="998">
        <v>0.1</v>
      </c>
      <c r="E106" s="998">
        <v>-0.5</v>
      </c>
      <c r="F106" s="1000">
        <f t="shared" si="28"/>
        <v>0.3</v>
      </c>
      <c r="H106" s="997">
        <v>3</v>
      </c>
      <c r="I106" s="806">
        <v>50</v>
      </c>
      <c r="J106" s="998">
        <v>-3.1</v>
      </c>
      <c r="K106" s="998">
        <v>-6.1</v>
      </c>
      <c r="L106" s="1000">
        <f t="shared" si="29"/>
        <v>1.4999999999999998</v>
      </c>
      <c r="N106" s="997">
        <v>3</v>
      </c>
      <c r="O106" s="1005">
        <v>850</v>
      </c>
      <c r="P106" s="1006" t="s">
        <v>10</v>
      </c>
      <c r="Q106" s="1006" t="s">
        <v>10</v>
      </c>
      <c r="R106" s="1000">
        <f t="shared" si="30"/>
        <v>0</v>
      </c>
    </row>
    <row r="107" spans="1:21" ht="13">
      <c r="A107" s="2165"/>
      <c r="B107" s="997">
        <v>4</v>
      </c>
      <c r="C107" s="1032">
        <v>30</v>
      </c>
      <c r="D107" s="1007">
        <v>0.1</v>
      </c>
      <c r="E107" s="1007">
        <v>0.2</v>
      </c>
      <c r="F107" s="1000">
        <f t="shared" si="28"/>
        <v>0.05</v>
      </c>
      <c r="H107" s="997">
        <v>4</v>
      </c>
      <c r="I107" s="1039">
        <v>60</v>
      </c>
      <c r="J107" s="1007">
        <v>-2.1</v>
      </c>
      <c r="K107" s="1007">
        <v>-5.6</v>
      </c>
      <c r="L107" s="1000">
        <f t="shared" si="29"/>
        <v>1.7499999999999998</v>
      </c>
      <c r="N107" s="997">
        <v>4</v>
      </c>
      <c r="O107" s="1010">
        <v>900</v>
      </c>
      <c r="P107" s="1008" t="s">
        <v>10</v>
      </c>
      <c r="Q107" s="1008" t="s">
        <v>10</v>
      </c>
      <c r="R107" s="1000">
        <f t="shared" si="30"/>
        <v>0</v>
      </c>
    </row>
    <row r="108" spans="1:21" ht="13">
      <c r="A108" s="2165"/>
      <c r="B108" s="997">
        <v>5</v>
      </c>
      <c r="C108" s="1032">
        <v>35</v>
      </c>
      <c r="D108" s="1007">
        <v>0.2</v>
      </c>
      <c r="E108" s="1007">
        <v>0.8</v>
      </c>
      <c r="F108" s="1000">
        <f t="shared" si="28"/>
        <v>0.30000000000000004</v>
      </c>
      <c r="H108" s="997">
        <v>5</v>
      </c>
      <c r="I108" s="1039">
        <v>70</v>
      </c>
      <c r="J108" s="1007">
        <v>-0.3</v>
      </c>
      <c r="K108" s="1007">
        <v>-5.0999999999999996</v>
      </c>
      <c r="L108" s="1000">
        <f>0.5*(MAX(J108:K108)-MIN(J108:K108))</f>
        <v>2.4</v>
      </c>
      <c r="N108" s="997">
        <v>5</v>
      </c>
      <c r="O108" s="1010">
        <v>1000</v>
      </c>
      <c r="P108" s="1008" t="s">
        <v>10</v>
      </c>
      <c r="Q108" s="1008" t="s">
        <v>10</v>
      </c>
      <c r="R108" s="1000">
        <f>0.5*(MAX(P108:Q108)-MIN(P108:Q108))</f>
        <v>0</v>
      </c>
    </row>
    <row r="109" spans="1:21" ht="13">
      <c r="A109" s="2165"/>
      <c r="B109" s="997">
        <v>6</v>
      </c>
      <c r="C109" s="1032">
        <v>37</v>
      </c>
      <c r="D109" s="1007">
        <v>0.2</v>
      </c>
      <c r="E109" s="1007">
        <v>0.4</v>
      </c>
      <c r="F109" s="1000">
        <f t="shared" si="28"/>
        <v>0.1</v>
      </c>
      <c r="H109" s="997">
        <v>6</v>
      </c>
      <c r="I109" s="1039">
        <v>80</v>
      </c>
      <c r="J109" s="1007">
        <v>2.2000000000000002</v>
      </c>
      <c r="K109" s="1007">
        <v>-4.7</v>
      </c>
      <c r="L109" s="1000">
        <f t="shared" ref="L109:L110" si="31">0.5*(MAX(J109:K109)-MIN(J109:K109))</f>
        <v>3.45</v>
      </c>
      <c r="N109" s="997">
        <v>6</v>
      </c>
      <c r="O109" s="1010">
        <v>1005</v>
      </c>
      <c r="P109" s="1008" t="s">
        <v>10</v>
      </c>
      <c r="Q109" s="1008" t="s">
        <v>10</v>
      </c>
      <c r="R109" s="1000">
        <f t="shared" ref="R109:R110" si="32">0.5*(MAX(P109:Q109)-MIN(P109:Q109))</f>
        <v>0</v>
      </c>
    </row>
    <row r="110" spans="1:21" ht="13.5" thickBot="1">
      <c r="A110" s="2166"/>
      <c r="B110" s="1011">
        <v>7</v>
      </c>
      <c r="C110" s="1040">
        <v>40</v>
      </c>
      <c r="D110" s="1041">
        <v>0.2</v>
      </c>
      <c r="E110" s="1041">
        <v>0</v>
      </c>
      <c r="F110" s="1014">
        <f t="shared" si="28"/>
        <v>0.1</v>
      </c>
      <c r="G110" s="1015"/>
      <c r="H110" s="1011">
        <v>7</v>
      </c>
      <c r="I110" s="1040">
        <v>90</v>
      </c>
      <c r="J110" s="1042">
        <v>5.4</v>
      </c>
      <c r="K110" s="1042">
        <v>0</v>
      </c>
      <c r="L110" s="1014">
        <f t="shared" si="31"/>
        <v>2.7</v>
      </c>
      <c r="M110" s="1015"/>
      <c r="N110" s="1011">
        <v>7</v>
      </c>
      <c r="O110" s="1016">
        <v>1020</v>
      </c>
      <c r="P110" s="1034" t="s">
        <v>10</v>
      </c>
      <c r="Q110" s="1034" t="s">
        <v>10</v>
      </c>
      <c r="R110" s="1014">
        <f t="shared" si="32"/>
        <v>0</v>
      </c>
    </row>
    <row r="111" spans="1:21" ht="13.5" thickBot="1">
      <c r="A111" s="1024"/>
      <c r="B111" s="1025"/>
      <c r="C111" s="1025"/>
      <c r="D111" s="1025"/>
      <c r="E111" s="1026"/>
      <c r="F111" s="818"/>
      <c r="G111" s="794"/>
      <c r="H111" s="1025"/>
      <c r="I111" s="1025"/>
      <c r="J111" s="1025"/>
      <c r="K111" s="1026"/>
      <c r="L111" s="818"/>
      <c r="M111" s="794"/>
      <c r="O111" s="791"/>
      <c r="P111" s="828"/>
    </row>
    <row r="112" spans="1:21" ht="13" thickBot="1">
      <c r="A112" s="2164">
        <v>11</v>
      </c>
      <c r="B112" s="2167" t="s">
        <v>90</v>
      </c>
      <c r="C112" s="2168"/>
      <c r="D112" s="2168"/>
      <c r="E112" s="2168"/>
      <c r="F112" s="2169"/>
      <c r="G112" s="791"/>
      <c r="H112" s="2170" t="str">
        <f>B112</f>
        <v>KOREKSI Sekonic HE-21.000670</v>
      </c>
      <c r="I112" s="2171"/>
      <c r="J112" s="2171"/>
      <c r="K112" s="2171"/>
      <c r="L112" s="2172"/>
      <c r="M112" s="791"/>
      <c r="N112" s="2170" t="str">
        <f>H112</f>
        <v>KOREKSI Sekonic HE-21.000670</v>
      </c>
      <c r="O112" s="2171"/>
      <c r="P112" s="2171"/>
      <c r="Q112" s="2171"/>
      <c r="R112" s="2172"/>
      <c r="T112" s="2141" t="s">
        <v>81</v>
      </c>
      <c r="U112" s="2142"/>
    </row>
    <row r="113" spans="1:21" ht="13.5" thickBot="1">
      <c r="A113" s="2165"/>
      <c r="B113" s="2143" t="s">
        <v>74</v>
      </c>
      <c r="C113" s="2144"/>
      <c r="D113" s="2145" t="s">
        <v>7</v>
      </c>
      <c r="E113" s="2146"/>
      <c r="F113" s="2147" t="s">
        <v>2</v>
      </c>
      <c r="H113" s="2143" t="s">
        <v>75</v>
      </c>
      <c r="I113" s="2144"/>
      <c r="J113" s="2145" t="s">
        <v>7</v>
      </c>
      <c r="K113" s="2146"/>
      <c r="L113" s="2147" t="s">
        <v>2</v>
      </c>
      <c r="N113" s="2143" t="s">
        <v>76</v>
      </c>
      <c r="O113" s="2144"/>
      <c r="P113" s="2145" t="s">
        <v>7</v>
      </c>
      <c r="Q113" s="2146"/>
      <c r="R113" s="2147" t="s">
        <v>2</v>
      </c>
      <c r="T113" s="996" t="s">
        <v>74</v>
      </c>
      <c r="U113" s="994">
        <v>0.3</v>
      </c>
    </row>
    <row r="114" spans="1:21" ht="15" thickBot="1">
      <c r="A114" s="2165"/>
      <c r="B114" s="2152" t="s">
        <v>77</v>
      </c>
      <c r="C114" s="2153"/>
      <c r="D114" s="1020">
        <v>2020</v>
      </c>
      <c r="E114" s="1035">
        <v>2016</v>
      </c>
      <c r="F114" s="2148"/>
      <c r="H114" s="2154" t="s">
        <v>78</v>
      </c>
      <c r="I114" s="2155"/>
      <c r="J114" s="1021">
        <f>D114</f>
        <v>2020</v>
      </c>
      <c r="K114" s="1021">
        <f>E114</f>
        <v>2016</v>
      </c>
      <c r="L114" s="2148"/>
      <c r="N114" s="2154" t="s">
        <v>79</v>
      </c>
      <c r="O114" s="2155"/>
      <c r="P114" s="1021">
        <f>J114</f>
        <v>2020</v>
      </c>
      <c r="Q114" s="1021">
        <f>K114</f>
        <v>2016</v>
      </c>
      <c r="R114" s="2148"/>
      <c r="T114" s="996" t="s">
        <v>78</v>
      </c>
      <c r="U114" s="994">
        <v>1.8</v>
      </c>
    </row>
    <row r="115" spans="1:21" ht="13.5" thickBot="1">
      <c r="A115" s="2165"/>
      <c r="B115" s="997">
        <v>1</v>
      </c>
      <c r="C115" s="1001">
        <v>15</v>
      </c>
      <c r="D115" s="1028">
        <v>0.3</v>
      </c>
      <c r="E115" s="1028">
        <v>0.3</v>
      </c>
      <c r="F115" s="1023">
        <f t="shared" ref="F115:F121" si="33">0.5*(MAX(D115:E115)-MIN(D115:E115))</f>
        <v>0</v>
      </c>
      <c r="H115" s="997">
        <v>1</v>
      </c>
      <c r="I115" s="1001">
        <v>30</v>
      </c>
      <c r="J115" s="1028">
        <v>-5.2</v>
      </c>
      <c r="K115" s="1028">
        <v>-6.4</v>
      </c>
      <c r="L115" s="1023">
        <f t="shared" ref="L115:L121" si="34">0.5*(MAX(J115:K115)-MIN(J115:K115))</f>
        <v>0.60000000000000009</v>
      </c>
      <c r="N115" s="997">
        <v>1</v>
      </c>
      <c r="O115" s="1001">
        <v>750</v>
      </c>
      <c r="P115" s="1002" t="s">
        <v>10</v>
      </c>
      <c r="Q115" s="1036" t="s">
        <v>10</v>
      </c>
      <c r="R115" s="1023">
        <f t="shared" ref="R115:R121" si="35">0.5*(MAX(P115:Q115)-MIN(P115:Q115))</f>
        <v>0</v>
      </c>
      <c r="T115" s="1003" t="s">
        <v>79</v>
      </c>
      <c r="U115" s="1004">
        <v>0</v>
      </c>
    </row>
    <row r="116" spans="1:21" ht="13">
      <c r="A116" s="2165"/>
      <c r="B116" s="997">
        <v>2</v>
      </c>
      <c r="C116" s="1005">
        <v>20</v>
      </c>
      <c r="D116" s="998">
        <v>0.4</v>
      </c>
      <c r="E116" s="998">
        <v>0.5</v>
      </c>
      <c r="F116" s="1000">
        <f t="shared" si="33"/>
        <v>4.9999999999999989E-2</v>
      </c>
      <c r="H116" s="997">
        <v>2</v>
      </c>
      <c r="I116" s="1005">
        <v>40</v>
      </c>
      <c r="J116" s="998">
        <v>-5.5</v>
      </c>
      <c r="K116" s="998">
        <v>-5.9</v>
      </c>
      <c r="L116" s="1000">
        <f t="shared" si="34"/>
        <v>0.20000000000000018</v>
      </c>
      <c r="N116" s="997">
        <v>2</v>
      </c>
      <c r="O116" s="1005">
        <v>800</v>
      </c>
      <c r="P116" s="1006" t="s">
        <v>10</v>
      </c>
      <c r="Q116" s="811" t="s">
        <v>10</v>
      </c>
      <c r="R116" s="1000">
        <f t="shared" si="35"/>
        <v>0</v>
      </c>
    </row>
    <row r="117" spans="1:21" ht="13">
      <c r="A117" s="2165"/>
      <c r="B117" s="997">
        <v>3</v>
      </c>
      <c r="C117" s="1005">
        <v>25</v>
      </c>
      <c r="D117" s="998">
        <v>0.4</v>
      </c>
      <c r="E117" s="998">
        <v>0.5</v>
      </c>
      <c r="F117" s="1000">
        <f t="shared" si="33"/>
        <v>4.9999999999999989E-2</v>
      </c>
      <c r="H117" s="997">
        <v>3</v>
      </c>
      <c r="I117" s="1005">
        <v>50</v>
      </c>
      <c r="J117" s="998">
        <v>-5.5</v>
      </c>
      <c r="K117" s="998">
        <v>-5.6</v>
      </c>
      <c r="L117" s="1000">
        <f t="shared" si="34"/>
        <v>4.9999999999999822E-2</v>
      </c>
      <c r="N117" s="997">
        <v>3</v>
      </c>
      <c r="O117" s="1005">
        <v>850</v>
      </c>
      <c r="P117" s="1006" t="s">
        <v>10</v>
      </c>
      <c r="Q117" s="811" t="s">
        <v>10</v>
      </c>
      <c r="R117" s="1000">
        <f t="shared" si="35"/>
        <v>0</v>
      </c>
    </row>
    <row r="118" spans="1:21" ht="13">
      <c r="A118" s="2165"/>
      <c r="B118" s="997">
        <v>4</v>
      </c>
      <c r="C118" s="1010">
        <v>30</v>
      </c>
      <c r="D118" s="1007">
        <v>0.5</v>
      </c>
      <c r="E118" s="1007">
        <v>0.4</v>
      </c>
      <c r="F118" s="1000">
        <f t="shared" si="33"/>
        <v>4.9999999999999989E-2</v>
      </c>
      <c r="H118" s="997">
        <v>4</v>
      </c>
      <c r="I118" s="1010">
        <v>60</v>
      </c>
      <c r="J118" s="1007">
        <v>-4.8</v>
      </c>
      <c r="K118" s="1007">
        <v>-4.5</v>
      </c>
      <c r="L118" s="1000">
        <f t="shared" si="34"/>
        <v>0.14999999999999991</v>
      </c>
      <c r="N118" s="997">
        <v>4</v>
      </c>
      <c r="O118" s="1010">
        <v>900</v>
      </c>
      <c r="P118" s="1008" t="s">
        <v>10</v>
      </c>
      <c r="Q118" s="1009" t="s">
        <v>10</v>
      </c>
      <c r="R118" s="1000">
        <f t="shared" si="35"/>
        <v>0</v>
      </c>
    </row>
    <row r="119" spans="1:21" ht="13">
      <c r="A119" s="2165"/>
      <c r="B119" s="997">
        <v>5</v>
      </c>
      <c r="C119" s="1010">
        <v>35</v>
      </c>
      <c r="D119" s="1007">
        <v>0.5</v>
      </c>
      <c r="E119" s="1007">
        <v>0.4</v>
      </c>
      <c r="F119" s="1000">
        <f t="shared" si="33"/>
        <v>4.9999999999999989E-2</v>
      </c>
      <c r="H119" s="997">
        <v>5</v>
      </c>
      <c r="I119" s="1010">
        <v>70</v>
      </c>
      <c r="J119" s="1007">
        <v>-3.4</v>
      </c>
      <c r="K119" s="1007">
        <v>-1.7</v>
      </c>
      <c r="L119" s="1000">
        <f t="shared" si="34"/>
        <v>0.85</v>
      </c>
      <c r="N119" s="997">
        <v>5</v>
      </c>
      <c r="O119" s="1010">
        <v>1000</v>
      </c>
      <c r="P119" s="1008" t="s">
        <v>10</v>
      </c>
      <c r="Q119" s="1009" t="s">
        <v>10</v>
      </c>
      <c r="R119" s="1000">
        <f t="shared" si="35"/>
        <v>0</v>
      </c>
    </row>
    <row r="120" spans="1:21" ht="13">
      <c r="A120" s="2165"/>
      <c r="B120" s="997">
        <v>6</v>
      </c>
      <c r="C120" s="1010">
        <v>37</v>
      </c>
      <c r="D120" s="1007">
        <v>0.5</v>
      </c>
      <c r="E120" s="1007">
        <v>0.5</v>
      </c>
      <c r="F120" s="1000">
        <f t="shared" si="33"/>
        <v>0</v>
      </c>
      <c r="H120" s="997">
        <v>6</v>
      </c>
      <c r="I120" s="1010">
        <v>80</v>
      </c>
      <c r="J120" s="1007">
        <v>-1.4</v>
      </c>
      <c r="K120" s="1007">
        <v>2.6</v>
      </c>
      <c r="L120" s="1000">
        <f t="shared" si="34"/>
        <v>2</v>
      </c>
      <c r="N120" s="997">
        <v>6</v>
      </c>
      <c r="O120" s="1010">
        <v>1005</v>
      </c>
      <c r="P120" s="1008" t="s">
        <v>10</v>
      </c>
      <c r="Q120" s="1009" t="s">
        <v>10</v>
      </c>
      <c r="R120" s="1000">
        <f t="shared" si="35"/>
        <v>0</v>
      </c>
    </row>
    <row r="121" spans="1:21" ht="13.5" thickBot="1">
      <c r="A121" s="2166"/>
      <c r="B121" s="1011">
        <v>7</v>
      </c>
      <c r="C121" s="1042">
        <v>40</v>
      </c>
      <c r="D121" s="1043">
        <v>0.5</v>
      </c>
      <c r="E121" s="1043">
        <v>0</v>
      </c>
      <c r="F121" s="1014">
        <f t="shared" si="33"/>
        <v>0.25</v>
      </c>
      <c r="G121" s="1015"/>
      <c r="H121" s="1011">
        <v>7</v>
      </c>
      <c r="I121" s="1042">
        <v>90</v>
      </c>
      <c r="J121" s="1043">
        <v>1.3</v>
      </c>
      <c r="K121" s="1043">
        <v>0</v>
      </c>
      <c r="L121" s="1014">
        <f t="shared" si="34"/>
        <v>0.65</v>
      </c>
      <c r="M121" s="1015"/>
      <c r="N121" s="1011">
        <v>7</v>
      </c>
      <c r="O121" s="1016">
        <v>1020</v>
      </c>
      <c r="P121" s="1017" t="s">
        <v>10</v>
      </c>
      <c r="Q121" s="1013" t="s">
        <v>10</v>
      </c>
      <c r="R121" s="1014">
        <f t="shared" si="35"/>
        <v>0</v>
      </c>
    </row>
    <row r="122" spans="1:21" ht="13.5" thickBot="1">
      <c r="A122" s="1024"/>
      <c r="B122" s="1025"/>
      <c r="C122" s="1025"/>
      <c r="D122" s="1025"/>
      <c r="E122" s="1026"/>
      <c r="F122" s="818"/>
      <c r="G122" s="794"/>
      <c r="H122" s="1025"/>
      <c r="I122" s="1025"/>
      <c r="J122" s="1025"/>
      <c r="K122" s="1026"/>
      <c r="L122" s="818"/>
      <c r="O122" s="791"/>
      <c r="P122" s="828"/>
    </row>
    <row r="123" spans="1:21" ht="13" thickBot="1">
      <c r="A123" s="2164">
        <v>12</v>
      </c>
      <c r="B123" s="2167" t="s">
        <v>91</v>
      </c>
      <c r="C123" s="2168"/>
      <c r="D123" s="2168"/>
      <c r="E123" s="2168"/>
      <c r="F123" s="2169"/>
      <c r="G123" s="791"/>
      <c r="H123" s="2167" t="str">
        <f>B123</f>
        <v>KOREKSI EXTECH A.100586</v>
      </c>
      <c r="I123" s="2168"/>
      <c r="J123" s="2168"/>
      <c r="K123" s="2168"/>
      <c r="L123" s="2169"/>
      <c r="M123" s="791"/>
      <c r="N123" s="2167" t="str">
        <f>H123</f>
        <v>KOREKSI EXTECH A.100586</v>
      </c>
      <c r="O123" s="2168"/>
      <c r="P123" s="2168"/>
      <c r="Q123" s="2168"/>
      <c r="R123" s="2169"/>
      <c r="T123" s="2141" t="s">
        <v>81</v>
      </c>
      <c r="U123" s="2142"/>
    </row>
    <row r="124" spans="1:21" ht="13.5" thickBot="1">
      <c r="A124" s="2165"/>
      <c r="B124" s="2143" t="s">
        <v>74</v>
      </c>
      <c r="C124" s="2144"/>
      <c r="D124" s="2145" t="s">
        <v>7</v>
      </c>
      <c r="E124" s="2146"/>
      <c r="F124" s="2147" t="s">
        <v>2</v>
      </c>
      <c r="H124" s="2143" t="s">
        <v>75</v>
      </c>
      <c r="I124" s="2144"/>
      <c r="J124" s="2145" t="s">
        <v>7</v>
      </c>
      <c r="K124" s="2146"/>
      <c r="L124" s="2147" t="s">
        <v>2</v>
      </c>
      <c r="N124" s="2143" t="s">
        <v>76</v>
      </c>
      <c r="O124" s="2144"/>
      <c r="P124" s="2145" t="s">
        <v>7</v>
      </c>
      <c r="Q124" s="2146"/>
      <c r="R124" s="2147" t="s">
        <v>2</v>
      </c>
      <c r="T124" s="996" t="s">
        <v>74</v>
      </c>
      <c r="U124" s="994">
        <v>0.3</v>
      </c>
    </row>
    <row r="125" spans="1:21" ht="15" thickBot="1">
      <c r="A125" s="2165"/>
      <c r="B125" s="2152" t="s">
        <v>77</v>
      </c>
      <c r="C125" s="2153"/>
      <c r="D125" s="1020">
        <v>2020</v>
      </c>
      <c r="E125" s="1035" t="s">
        <v>10</v>
      </c>
      <c r="F125" s="2148"/>
      <c r="H125" s="2154" t="s">
        <v>78</v>
      </c>
      <c r="I125" s="2155"/>
      <c r="J125" s="1021">
        <f>D125</f>
        <v>2020</v>
      </c>
      <c r="K125" s="1021" t="str">
        <f>E125</f>
        <v>-</v>
      </c>
      <c r="L125" s="2148"/>
      <c r="N125" s="2154" t="s">
        <v>79</v>
      </c>
      <c r="O125" s="2155"/>
      <c r="P125" s="1021">
        <f>J125</f>
        <v>2020</v>
      </c>
      <c r="Q125" s="1021" t="str">
        <f>K125</f>
        <v>-</v>
      </c>
      <c r="R125" s="2148"/>
      <c r="T125" s="996" t="s">
        <v>78</v>
      </c>
      <c r="U125" s="994">
        <v>2</v>
      </c>
    </row>
    <row r="126" spans="1:21" ht="13.5" thickBot="1">
      <c r="A126" s="2165"/>
      <c r="B126" s="997">
        <v>1</v>
      </c>
      <c r="C126" s="1001">
        <v>15</v>
      </c>
      <c r="D126" s="1028">
        <v>0</v>
      </c>
      <c r="E126" s="1036" t="s">
        <v>10</v>
      </c>
      <c r="F126" s="1023">
        <f t="shared" ref="F126:F132" si="36">0.5*(MAX(D126:E126)-MIN(D126:E126))</f>
        <v>0</v>
      </c>
      <c r="H126" s="997">
        <v>1</v>
      </c>
      <c r="I126" s="1001">
        <v>30</v>
      </c>
      <c r="J126" s="1028">
        <v>-0.4</v>
      </c>
      <c r="K126" s="1036" t="s">
        <v>10</v>
      </c>
      <c r="L126" s="1023">
        <f t="shared" ref="L126:L132" si="37">0.5*(MAX(J126:K126)-MIN(J126:K126))</f>
        <v>0</v>
      </c>
      <c r="N126" s="997">
        <v>1</v>
      </c>
      <c r="O126" s="1005">
        <v>800</v>
      </c>
      <c r="P126" s="1006">
        <v>-0.4</v>
      </c>
      <c r="Q126" s="1036" t="s">
        <v>10</v>
      </c>
      <c r="R126" s="1023">
        <f t="shared" ref="R126:R132" si="38">0.5*(MAX(P126:Q126)-MIN(P126:Q126))</f>
        <v>0</v>
      </c>
      <c r="T126" s="1003" t="s">
        <v>79</v>
      </c>
      <c r="U126" s="1004">
        <v>2.4</v>
      </c>
    </row>
    <row r="127" spans="1:21" ht="13">
      <c r="A127" s="2165"/>
      <c r="B127" s="997">
        <v>2</v>
      </c>
      <c r="C127" s="1005">
        <v>20</v>
      </c>
      <c r="D127" s="998">
        <v>0</v>
      </c>
      <c r="E127" s="811" t="s">
        <v>10</v>
      </c>
      <c r="F127" s="1000">
        <f t="shared" si="36"/>
        <v>0</v>
      </c>
      <c r="H127" s="997">
        <v>2</v>
      </c>
      <c r="I127" s="1005">
        <v>40</v>
      </c>
      <c r="J127" s="998">
        <v>-0.1</v>
      </c>
      <c r="K127" s="811" t="s">
        <v>10</v>
      </c>
      <c r="L127" s="1000">
        <f t="shared" si="37"/>
        <v>0</v>
      </c>
      <c r="N127" s="997">
        <v>2</v>
      </c>
      <c r="O127" s="1005">
        <v>850</v>
      </c>
      <c r="P127" s="1006">
        <v>-0.5</v>
      </c>
      <c r="Q127" s="811" t="s">
        <v>10</v>
      </c>
      <c r="R127" s="1000">
        <f t="shared" si="38"/>
        <v>0</v>
      </c>
    </row>
    <row r="128" spans="1:21" ht="13">
      <c r="A128" s="2165"/>
      <c r="B128" s="997">
        <v>3</v>
      </c>
      <c r="C128" s="1005">
        <v>25</v>
      </c>
      <c r="D128" s="998">
        <v>0</v>
      </c>
      <c r="E128" s="811" t="s">
        <v>10</v>
      </c>
      <c r="F128" s="1000">
        <f t="shared" si="36"/>
        <v>0</v>
      </c>
      <c r="H128" s="997">
        <v>3</v>
      </c>
      <c r="I128" s="1005">
        <v>50</v>
      </c>
      <c r="J128" s="998">
        <v>0</v>
      </c>
      <c r="K128" s="811" t="s">
        <v>10</v>
      </c>
      <c r="L128" s="1000">
        <f t="shared" si="37"/>
        <v>0</v>
      </c>
      <c r="N128" s="997">
        <v>3</v>
      </c>
      <c r="O128" s="1010">
        <v>900</v>
      </c>
      <c r="P128" s="1008">
        <v>-0.6</v>
      </c>
      <c r="Q128" s="811" t="s">
        <v>10</v>
      </c>
      <c r="R128" s="1000">
        <f t="shared" si="38"/>
        <v>0</v>
      </c>
    </row>
    <row r="129" spans="1:21" ht="13">
      <c r="A129" s="2165"/>
      <c r="B129" s="997">
        <v>4</v>
      </c>
      <c r="C129" s="1010">
        <v>30</v>
      </c>
      <c r="D129" s="1007">
        <v>-0.1</v>
      </c>
      <c r="E129" s="1009" t="s">
        <v>10</v>
      </c>
      <c r="F129" s="1000">
        <f t="shared" si="36"/>
        <v>0</v>
      </c>
      <c r="H129" s="997">
        <v>4</v>
      </c>
      <c r="I129" s="1010">
        <v>60</v>
      </c>
      <c r="J129" s="1007">
        <v>0</v>
      </c>
      <c r="K129" s="1009" t="s">
        <v>10</v>
      </c>
      <c r="L129" s="1000">
        <f t="shared" si="37"/>
        <v>0</v>
      </c>
      <c r="N129" s="997">
        <v>4</v>
      </c>
      <c r="O129" s="1010">
        <v>950</v>
      </c>
      <c r="P129" s="1008">
        <v>-0.7</v>
      </c>
      <c r="Q129" s="1009" t="s">
        <v>10</v>
      </c>
      <c r="R129" s="1000">
        <f t="shared" si="38"/>
        <v>0</v>
      </c>
    </row>
    <row r="130" spans="1:21" ht="13">
      <c r="A130" s="2165"/>
      <c r="B130" s="997">
        <v>5</v>
      </c>
      <c r="C130" s="1010">
        <v>35</v>
      </c>
      <c r="D130" s="1007">
        <v>-0.2</v>
      </c>
      <c r="E130" s="1009" t="s">
        <v>10</v>
      </c>
      <c r="F130" s="1000">
        <f t="shared" si="36"/>
        <v>0</v>
      </c>
      <c r="H130" s="997">
        <v>5</v>
      </c>
      <c r="I130" s="1010">
        <v>70</v>
      </c>
      <c r="J130" s="1007">
        <v>-0.1</v>
      </c>
      <c r="K130" s="1009" t="s">
        <v>10</v>
      </c>
      <c r="L130" s="1000">
        <f t="shared" si="37"/>
        <v>0</v>
      </c>
      <c r="N130" s="997">
        <v>5</v>
      </c>
      <c r="O130" s="1010">
        <v>1000</v>
      </c>
      <c r="P130" s="1008">
        <v>-0.8</v>
      </c>
      <c r="Q130" s="1009" t="s">
        <v>10</v>
      </c>
      <c r="R130" s="1000">
        <f t="shared" si="38"/>
        <v>0</v>
      </c>
    </row>
    <row r="131" spans="1:21" ht="13.5" thickBot="1">
      <c r="A131" s="2165"/>
      <c r="B131" s="997">
        <v>6</v>
      </c>
      <c r="C131" s="1010">
        <v>37</v>
      </c>
      <c r="D131" s="1007">
        <v>-0.3</v>
      </c>
      <c r="E131" s="1009" t="s">
        <v>10</v>
      </c>
      <c r="F131" s="1000">
        <f t="shared" si="36"/>
        <v>0</v>
      </c>
      <c r="H131" s="997">
        <v>6</v>
      </c>
      <c r="I131" s="1010">
        <v>80</v>
      </c>
      <c r="J131" s="1007">
        <v>-0.5</v>
      </c>
      <c r="K131" s="1009" t="s">
        <v>10</v>
      </c>
      <c r="L131" s="1000">
        <f t="shared" si="37"/>
        <v>0</v>
      </c>
      <c r="N131" s="997">
        <v>6</v>
      </c>
      <c r="O131" s="1016">
        <v>1005</v>
      </c>
      <c r="P131" s="1017">
        <v>-0.8</v>
      </c>
      <c r="Q131" s="1009" t="s">
        <v>10</v>
      </c>
      <c r="R131" s="1000">
        <f t="shared" si="38"/>
        <v>0</v>
      </c>
    </row>
    <row r="132" spans="1:21" ht="13.5" thickBot="1">
      <c r="A132" s="2166"/>
      <c r="B132" s="1011">
        <v>7</v>
      </c>
      <c r="C132" s="1042">
        <v>40</v>
      </c>
      <c r="D132" s="1012">
        <v>-0.4</v>
      </c>
      <c r="E132" s="1013" t="s">
        <v>10</v>
      </c>
      <c r="F132" s="1014">
        <f t="shared" si="36"/>
        <v>0</v>
      </c>
      <c r="G132" s="1015"/>
      <c r="H132" s="1011">
        <v>7</v>
      </c>
      <c r="I132" s="1042">
        <v>90</v>
      </c>
      <c r="J132" s="1012">
        <v>-0.9</v>
      </c>
      <c r="K132" s="1013" t="s">
        <v>10</v>
      </c>
      <c r="L132" s="1014">
        <f t="shared" si="37"/>
        <v>0</v>
      </c>
      <c r="M132" s="1015"/>
      <c r="N132" s="1011">
        <v>7</v>
      </c>
      <c r="O132" s="1016">
        <v>1020</v>
      </c>
      <c r="P132" s="1017">
        <v>0</v>
      </c>
      <c r="Q132" s="1013" t="s">
        <v>10</v>
      </c>
      <c r="R132" s="1014">
        <f t="shared" si="38"/>
        <v>0</v>
      </c>
    </row>
    <row r="133" spans="1:21" ht="13" thickBot="1">
      <c r="A133" s="1044"/>
      <c r="C133" s="1045"/>
      <c r="D133" s="1046"/>
      <c r="E133" s="1047"/>
      <c r="F133" s="959"/>
      <c r="I133" s="1045"/>
      <c r="J133" s="1046"/>
      <c r="K133" s="1047"/>
      <c r="L133" s="959"/>
      <c r="O133" s="1046"/>
      <c r="P133" s="1048"/>
      <c r="Q133" s="1047"/>
      <c r="R133" s="959"/>
    </row>
    <row r="134" spans="1:21" ht="13" thickBot="1">
      <c r="A134" s="2164">
        <v>13</v>
      </c>
      <c r="B134" s="2167" t="s">
        <v>92</v>
      </c>
      <c r="C134" s="2168"/>
      <c r="D134" s="2168"/>
      <c r="E134" s="2168"/>
      <c r="F134" s="2169"/>
      <c r="G134" s="791"/>
      <c r="H134" s="2167" t="str">
        <f>B134</f>
        <v>KOREKSI EXTECH A.100605</v>
      </c>
      <c r="I134" s="2168"/>
      <c r="J134" s="2168"/>
      <c r="K134" s="2168"/>
      <c r="L134" s="2169"/>
      <c r="M134" s="791"/>
      <c r="N134" s="2167" t="str">
        <f>H134</f>
        <v>KOREKSI EXTECH A.100605</v>
      </c>
      <c r="O134" s="2168"/>
      <c r="P134" s="2168"/>
      <c r="Q134" s="2168"/>
      <c r="R134" s="2169"/>
      <c r="T134" s="2141" t="s">
        <v>81</v>
      </c>
      <c r="U134" s="2142"/>
    </row>
    <row r="135" spans="1:21" ht="13.5" thickBot="1">
      <c r="A135" s="2165"/>
      <c r="B135" s="2143" t="s">
        <v>74</v>
      </c>
      <c r="C135" s="2144"/>
      <c r="D135" s="2145" t="s">
        <v>7</v>
      </c>
      <c r="E135" s="2146"/>
      <c r="F135" s="2147" t="s">
        <v>2</v>
      </c>
      <c r="H135" s="2143" t="s">
        <v>75</v>
      </c>
      <c r="I135" s="2144"/>
      <c r="J135" s="2145" t="s">
        <v>7</v>
      </c>
      <c r="K135" s="2146"/>
      <c r="L135" s="2147" t="s">
        <v>2</v>
      </c>
      <c r="N135" s="2143" t="s">
        <v>76</v>
      </c>
      <c r="O135" s="2144"/>
      <c r="P135" s="2145" t="s">
        <v>7</v>
      </c>
      <c r="Q135" s="2146"/>
      <c r="R135" s="2147" t="s">
        <v>2</v>
      </c>
      <c r="T135" s="996" t="s">
        <v>74</v>
      </c>
      <c r="U135" s="994">
        <v>0.3</v>
      </c>
    </row>
    <row r="136" spans="1:21" ht="15" thickBot="1">
      <c r="A136" s="2165"/>
      <c r="B136" s="2152" t="s">
        <v>77</v>
      </c>
      <c r="C136" s="2153"/>
      <c r="D136" s="1020">
        <v>2020</v>
      </c>
      <c r="E136" s="1035" t="s">
        <v>10</v>
      </c>
      <c r="F136" s="2148"/>
      <c r="H136" s="2154" t="s">
        <v>78</v>
      </c>
      <c r="I136" s="2155"/>
      <c r="J136" s="1021">
        <f>D136</f>
        <v>2020</v>
      </c>
      <c r="K136" s="1021" t="str">
        <f>E136</f>
        <v>-</v>
      </c>
      <c r="L136" s="2148"/>
      <c r="N136" s="2154" t="s">
        <v>79</v>
      </c>
      <c r="O136" s="2155"/>
      <c r="P136" s="1021">
        <f>J136</f>
        <v>2020</v>
      </c>
      <c r="Q136" s="1021" t="str">
        <f>K136</f>
        <v>-</v>
      </c>
      <c r="R136" s="2148"/>
      <c r="T136" s="996" t="s">
        <v>78</v>
      </c>
      <c r="U136" s="994">
        <v>2.7</v>
      </c>
    </row>
    <row r="137" spans="1:21" ht="13.5" thickBot="1">
      <c r="A137" s="2165"/>
      <c r="B137" s="997">
        <v>1</v>
      </c>
      <c r="C137" s="1001">
        <v>15</v>
      </c>
      <c r="D137" s="1028">
        <v>-0.7</v>
      </c>
      <c r="E137" s="1036" t="s">
        <v>10</v>
      </c>
      <c r="F137" s="1023">
        <f t="shared" ref="F137:F143" si="39">0.5*(MAX(D137:E137)-MIN(D137:E137))</f>
        <v>0</v>
      </c>
      <c r="H137" s="997">
        <v>1</v>
      </c>
      <c r="I137" s="1001">
        <v>35</v>
      </c>
      <c r="J137" s="1028">
        <v>-1.4</v>
      </c>
      <c r="K137" s="1036" t="s">
        <v>10</v>
      </c>
      <c r="L137" s="1023">
        <f t="shared" ref="L137:L143" si="40">0.5*(MAX(J137:K137)-MIN(J137:K137))</f>
        <v>0</v>
      </c>
      <c r="N137" s="997">
        <v>1</v>
      </c>
      <c r="O137" s="1005">
        <v>960</v>
      </c>
      <c r="P137" s="1006">
        <v>0.9</v>
      </c>
      <c r="Q137" s="1036" t="s">
        <v>10</v>
      </c>
      <c r="R137" s="1023">
        <f t="shared" ref="R137:R143" si="41">0.5*(MAX(P137:Q137)-MIN(P137:Q137))</f>
        <v>0</v>
      </c>
      <c r="T137" s="1003" t="s">
        <v>79</v>
      </c>
      <c r="U137" s="1004">
        <v>1.5</v>
      </c>
    </row>
    <row r="138" spans="1:21" ht="13">
      <c r="A138" s="2165"/>
      <c r="B138" s="997">
        <v>2</v>
      </c>
      <c r="C138" s="1005">
        <v>20</v>
      </c>
      <c r="D138" s="998">
        <v>-0.4</v>
      </c>
      <c r="E138" s="811" t="s">
        <v>10</v>
      </c>
      <c r="F138" s="1000">
        <f t="shared" si="39"/>
        <v>0</v>
      </c>
      <c r="H138" s="997">
        <v>2</v>
      </c>
      <c r="I138" s="1005">
        <v>40</v>
      </c>
      <c r="J138" s="998">
        <v>-1.3</v>
      </c>
      <c r="K138" s="811" t="s">
        <v>10</v>
      </c>
      <c r="L138" s="1000">
        <f t="shared" si="40"/>
        <v>0</v>
      </c>
      <c r="N138" s="997">
        <v>2</v>
      </c>
      <c r="O138" s="1005">
        <v>970</v>
      </c>
      <c r="P138" s="1006">
        <v>1</v>
      </c>
      <c r="Q138" s="811" t="s">
        <v>10</v>
      </c>
      <c r="R138" s="1000">
        <f t="shared" si="41"/>
        <v>0</v>
      </c>
    </row>
    <row r="139" spans="1:21" ht="13">
      <c r="A139" s="2165"/>
      <c r="B139" s="997">
        <v>3</v>
      </c>
      <c r="C139" s="1005">
        <v>25</v>
      </c>
      <c r="D139" s="998">
        <v>-0.2</v>
      </c>
      <c r="E139" s="811" t="s">
        <v>10</v>
      </c>
      <c r="F139" s="1000">
        <f t="shared" si="39"/>
        <v>0</v>
      </c>
      <c r="H139" s="997">
        <v>3</v>
      </c>
      <c r="I139" s="1005">
        <v>50</v>
      </c>
      <c r="J139" s="998">
        <v>-1.3</v>
      </c>
      <c r="K139" s="811" t="s">
        <v>10</v>
      </c>
      <c r="L139" s="1000">
        <f t="shared" si="40"/>
        <v>0</v>
      </c>
      <c r="N139" s="997">
        <v>3</v>
      </c>
      <c r="O139" s="1010">
        <v>980</v>
      </c>
      <c r="P139" s="1008">
        <v>1</v>
      </c>
      <c r="Q139" s="811" t="s">
        <v>10</v>
      </c>
      <c r="R139" s="1000">
        <f t="shared" si="41"/>
        <v>0</v>
      </c>
    </row>
    <row r="140" spans="1:21" ht="13">
      <c r="A140" s="2165"/>
      <c r="B140" s="997">
        <v>4</v>
      </c>
      <c r="C140" s="1010">
        <v>30</v>
      </c>
      <c r="D140" s="1007">
        <v>0.1</v>
      </c>
      <c r="E140" s="1009" t="s">
        <v>10</v>
      </c>
      <c r="F140" s="1000">
        <f t="shared" si="39"/>
        <v>0</v>
      </c>
      <c r="H140" s="997">
        <v>4</v>
      </c>
      <c r="I140" s="1010">
        <v>60</v>
      </c>
      <c r="J140" s="1007">
        <v>-1.5</v>
      </c>
      <c r="K140" s="1009" t="s">
        <v>10</v>
      </c>
      <c r="L140" s="1000">
        <f t="shared" si="40"/>
        <v>0</v>
      </c>
      <c r="N140" s="997">
        <v>4</v>
      </c>
      <c r="O140" s="1010">
        <v>990</v>
      </c>
      <c r="P140" s="1008">
        <v>1.1000000000000001</v>
      </c>
      <c r="Q140" s="1009" t="s">
        <v>10</v>
      </c>
      <c r="R140" s="1000">
        <f t="shared" si="41"/>
        <v>0</v>
      </c>
    </row>
    <row r="141" spans="1:21" ht="13">
      <c r="A141" s="2165"/>
      <c r="B141" s="997">
        <v>5</v>
      </c>
      <c r="C141" s="1010">
        <v>35</v>
      </c>
      <c r="D141" s="1007">
        <v>0.3</v>
      </c>
      <c r="E141" s="1009" t="s">
        <v>10</v>
      </c>
      <c r="F141" s="1000">
        <f t="shared" si="39"/>
        <v>0</v>
      </c>
      <c r="H141" s="997">
        <v>5</v>
      </c>
      <c r="I141" s="1010">
        <v>70</v>
      </c>
      <c r="J141" s="1007">
        <v>-1.9</v>
      </c>
      <c r="K141" s="1009" t="s">
        <v>10</v>
      </c>
      <c r="L141" s="1000">
        <f t="shared" si="40"/>
        <v>0</v>
      </c>
      <c r="N141" s="997">
        <v>5</v>
      </c>
      <c r="O141" s="1010">
        <v>1000</v>
      </c>
      <c r="P141" s="1008">
        <v>1.1000000000000001</v>
      </c>
      <c r="Q141" s="1009" t="s">
        <v>10</v>
      </c>
      <c r="R141" s="1000">
        <f t="shared" si="41"/>
        <v>0</v>
      </c>
    </row>
    <row r="142" spans="1:21" ht="13.5" thickBot="1">
      <c r="A142" s="2165"/>
      <c r="B142" s="997">
        <v>6</v>
      </c>
      <c r="C142" s="1010">
        <v>37</v>
      </c>
      <c r="D142" s="1007">
        <v>0.4</v>
      </c>
      <c r="E142" s="1009" t="s">
        <v>10</v>
      </c>
      <c r="F142" s="1000">
        <f t="shared" si="39"/>
        <v>0</v>
      </c>
      <c r="H142" s="997">
        <v>6</v>
      </c>
      <c r="I142" s="1010">
        <v>80</v>
      </c>
      <c r="J142" s="1007">
        <v>-2.5</v>
      </c>
      <c r="K142" s="1009" t="s">
        <v>10</v>
      </c>
      <c r="L142" s="1000">
        <f t="shared" si="40"/>
        <v>0</v>
      </c>
      <c r="N142" s="997">
        <v>6</v>
      </c>
      <c r="O142" s="1016">
        <v>1005</v>
      </c>
      <c r="P142" s="1017">
        <v>1.1000000000000001</v>
      </c>
      <c r="Q142" s="1009" t="s">
        <v>10</v>
      </c>
      <c r="R142" s="1000">
        <f t="shared" si="41"/>
        <v>0</v>
      </c>
    </row>
    <row r="143" spans="1:21" ht="13.5" thickBot="1">
      <c r="A143" s="2166"/>
      <c r="B143" s="1011">
        <v>7</v>
      </c>
      <c r="C143" s="1042">
        <v>40</v>
      </c>
      <c r="D143" s="1012">
        <v>0.5</v>
      </c>
      <c r="E143" s="1013" t="s">
        <v>10</v>
      </c>
      <c r="F143" s="1014">
        <f t="shared" si="39"/>
        <v>0</v>
      </c>
      <c r="G143" s="1015"/>
      <c r="H143" s="1011">
        <v>7</v>
      </c>
      <c r="I143" s="1042">
        <v>90</v>
      </c>
      <c r="J143" s="1012">
        <v>-3.2</v>
      </c>
      <c r="K143" s="1013" t="s">
        <v>10</v>
      </c>
      <c r="L143" s="1014">
        <f t="shared" si="40"/>
        <v>0</v>
      </c>
      <c r="M143" s="1015"/>
      <c r="N143" s="1011">
        <v>7</v>
      </c>
      <c r="O143" s="1016">
        <v>1020</v>
      </c>
      <c r="P143" s="1017">
        <v>0</v>
      </c>
      <c r="Q143" s="1013" t="s">
        <v>10</v>
      </c>
      <c r="R143" s="1014">
        <f t="shared" si="41"/>
        <v>0</v>
      </c>
    </row>
    <row r="144" spans="1:21" ht="13" thickBot="1">
      <c r="A144" s="1044"/>
      <c r="C144" s="1045"/>
      <c r="D144" s="1046"/>
      <c r="E144" s="1047"/>
      <c r="F144" s="959"/>
      <c r="I144" s="1045"/>
      <c r="J144" s="1046"/>
      <c r="K144" s="1047"/>
      <c r="L144" s="959"/>
      <c r="O144" s="1046"/>
      <c r="P144" s="1048"/>
      <c r="Q144" s="1047"/>
      <c r="R144" s="959"/>
    </row>
    <row r="145" spans="1:21" ht="13" thickBot="1">
      <c r="A145" s="2164">
        <v>14</v>
      </c>
      <c r="B145" s="2167" t="s">
        <v>93</v>
      </c>
      <c r="C145" s="2168"/>
      <c r="D145" s="2168"/>
      <c r="E145" s="2168"/>
      <c r="F145" s="2169"/>
      <c r="G145" s="791"/>
      <c r="H145" s="2167" t="str">
        <f>B145</f>
        <v>KOREKSI EXTECH A.100609</v>
      </c>
      <c r="I145" s="2168"/>
      <c r="J145" s="2168"/>
      <c r="K145" s="2168"/>
      <c r="L145" s="2169"/>
      <c r="M145" s="791"/>
      <c r="N145" s="2167" t="str">
        <f>H145</f>
        <v>KOREKSI EXTECH A.100609</v>
      </c>
      <c r="O145" s="2168"/>
      <c r="P145" s="2168"/>
      <c r="Q145" s="2168"/>
      <c r="R145" s="2169"/>
      <c r="T145" s="2141" t="s">
        <v>81</v>
      </c>
      <c r="U145" s="2142"/>
    </row>
    <row r="146" spans="1:21" ht="13.5" thickBot="1">
      <c r="A146" s="2165"/>
      <c r="B146" s="2143" t="s">
        <v>74</v>
      </c>
      <c r="C146" s="2144"/>
      <c r="D146" s="2145" t="s">
        <v>7</v>
      </c>
      <c r="E146" s="2146"/>
      <c r="F146" s="2147" t="s">
        <v>2</v>
      </c>
      <c r="H146" s="2143" t="s">
        <v>75</v>
      </c>
      <c r="I146" s="2144"/>
      <c r="J146" s="2145" t="s">
        <v>7</v>
      </c>
      <c r="K146" s="2146"/>
      <c r="L146" s="2147" t="s">
        <v>2</v>
      </c>
      <c r="N146" s="2143" t="s">
        <v>76</v>
      </c>
      <c r="O146" s="2144"/>
      <c r="P146" s="2145" t="s">
        <v>7</v>
      </c>
      <c r="Q146" s="2146"/>
      <c r="R146" s="2147" t="s">
        <v>2</v>
      </c>
      <c r="T146" s="996" t="s">
        <v>74</v>
      </c>
      <c r="U146" s="994">
        <v>0.4</v>
      </c>
    </row>
    <row r="147" spans="1:21" ht="15" thickBot="1">
      <c r="A147" s="2165"/>
      <c r="B147" s="2152" t="s">
        <v>77</v>
      </c>
      <c r="C147" s="2153"/>
      <c r="D147" s="1020">
        <v>2020</v>
      </c>
      <c r="E147" s="1035" t="s">
        <v>10</v>
      </c>
      <c r="F147" s="2148"/>
      <c r="H147" s="2154" t="s">
        <v>78</v>
      </c>
      <c r="I147" s="2155"/>
      <c r="J147" s="1021">
        <f>D147</f>
        <v>2020</v>
      </c>
      <c r="K147" s="1021" t="str">
        <f>E147</f>
        <v>-</v>
      </c>
      <c r="L147" s="2148"/>
      <c r="N147" s="2154" t="s">
        <v>79</v>
      </c>
      <c r="O147" s="2155"/>
      <c r="P147" s="1021">
        <f>J147</f>
        <v>2020</v>
      </c>
      <c r="Q147" s="1021" t="str">
        <f>K147</f>
        <v>-</v>
      </c>
      <c r="R147" s="2148"/>
      <c r="T147" s="996" t="s">
        <v>78</v>
      </c>
      <c r="U147" s="994">
        <v>2.2000000000000002</v>
      </c>
    </row>
    <row r="148" spans="1:21" ht="13.5" thickBot="1">
      <c r="A148" s="2165"/>
      <c r="B148" s="997">
        <v>1</v>
      </c>
      <c r="C148" s="1001">
        <v>15</v>
      </c>
      <c r="D148" s="1028">
        <v>-0.2</v>
      </c>
      <c r="E148" s="1036" t="s">
        <v>10</v>
      </c>
      <c r="F148" s="1023">
        <f t="shared" ref="F148:F154" si="42">0.5*(MAX(D148:E148)-MIN(D148:E148))</f>
        <v>0</v>
      </c>
      <c r="H148" s="997">
        <v>1</v>
      </c>
      <c r="I148" s="1001">
        <v>35</v>
      </c>
      <c r="J148" s="1028">
        <v>0.6</v>
      </c>
      <c r="K148" s="1036" t="s">
        <v>10</v>
      </c>
      <c r="L148" s="1023">
        <f t="shared" ref="L148:L154" si="43">0.5*(MAX(J148:K148)-MIN(J148:K148))</f>
        <v>0</v>
      </c>
      <c r="N148" s="997">
        <v>1</v>
      </c>
      <c r="O148" s="1005">
        <v>960</v>
      </c>
      <c r="P148" s="1006">
        <v>0.9</v>
      </c>
      <c r="Q148" s="1036" t="s">
        <v>10</v>
      </c>
      <c r="R148" s="1023">
        <f t="shared" ref="R148:R154" si="44">0.5*(MAX(P148:Q148)-MIN(P148:Q148))</f>
        <v>0</v>
      </c>
      <c r="T148" s="1003" t="s">
        <v>79</v>
      </c>
      <c r="U148" s="1004">
        <v>1.5</v>
      </c>
    </row>
    <row r="149" spans="1:21" ht="13">
      <c r="A149" s="2165"/>
      <c r="B149" s="997">
        <v>2</v>
      </c>
      <c r="C149" s="1005">
        <v>20</v>
      </c>
      <c r="D149" s="998">
        <v>-0.1</v>
      </c>
      <c r="E149" s="811" t="s">
        <v>10</v>
      </c>
      <c r="F149" s="1000">
        <f t="shared" si="42"/>
        <v>0</v>
      </c>
      <c r="H149" s="997">
        <v>2</v>
      </c>
      <c r="I149" s="1005">
        <v>40</v>
      </c>
      <c r="J149" s="998">
        <v>0.3</v>
      </c>
      <c r="K149" s="811" t="s">
        <v>10</v>
      </c>
      <c r="L149" s="1000">
        <f t="shared" si="43"/>
        <v>0</v>
      </c>
      <c r="N149" s="997">
        <v>2</v>
      </c>
      <c r="O149" s="1005">
        <v>970</v>
      </c>
      <c r="P149" s="1006">
        <v>1</v>
      </c>
      <c r="Q149" s="811" t="s">
        <v>10</v>
      </c>
      <c r="R149" s="1000">
        <f t="shared" si="44"/>
        <v>0</v>
      </c>
    </row>
    <row r="150" spans="1:21" ht="13">
      <c r="A150" s="2165"/>
      <c r="B150" s="997">
        <v>3</v>
      </c>
      <c r="C150" s="1005">
        <v>25</v>
      </c>
      <c r="D150" s="998">
        <v>-0.1</v>
      </c>
      <c r="E150" s="811" t="s">
        <v>10</v>
      </c>
      <c r="F150" s="1000">
        <f t="shared" si="42"/>
        <v>0</v>
      </c>
      <c r="H150" s="997">
        <v>3</v>
      </c>
      <c r="I150" s="1005">
        <v>50</v>
      </c>
      <c r="J150" s="998">
        <v>-0.2</v>
      </c>
      <c r="K150" s="811" t="s">
        <v>10</v>
      </c>
      <c r="L150" s="1000">
        <f t="shared" si="43"/>
        <v>0</v>
      </c>
      <c r="N150" s="997">
        <v>3</v>
      </c>
      <c r="O150" s="1010">
        <v>980</v>
      </c>
      <c r="P150" s="1008">
        <v>1</v>
      </c>
      <c r="Q150" s="811" t="s">
        <v>10</v>
      </c>
      <c r="R150" s="1000">
        <f t="shared" si="44"/>
        <v>0</v>
      </c>
    </row>
    <row r="151" spans="1:21" ht="13">
      <c r="A151" s="2165"/>
      <c r="B151" s="997">
        <v>4</v>
      </c>
      <c r="C151" s="1010">
        <v>30</v>
      </c>
      <c r="D151" s="1007">
        <v>-0.3</v>
      </c>
      <c r="E151" s="1009" t="s">
        <v>10</v>
      </c>
      <c r="F151" s="1000">
        <f t="shared" si="42"/>
        <v>0</v>
      </c>
      <c r="H151" s="997">
        <v>4</v>
      </c>
      <c r="I151" s="1010">
        <v>60</v>
      </c>
      <c r="J151" s="1007">
        <v>-0.6</v>
      </c>
      <c r="K151" s="1009" t="s">
        <v>10</v>
      </c>
      <c r="L151" s="1000">
        <f t="shared" si="43"/>
        <v>0</v>
      </c>
      <c r="N151" s="997">
        <v>4</v>
      </c>
      <c r="O151" s="1010">
        <v>990</v>
      </c>
      <c r="P151" s="1008">
        <v>1.1000000000000001</v>
      </c>
      <c r="Q151" s="1009" t="s">
        <v>10</v>
      </c>
      <c r="R151" s="1000">
        <f t="shared" si="44"/>
        <v>0</v>
      </c>
    </row>
    <row r="152" spans="1:21" ht="13">
      <c r="A152" s="2165"/>
      <c r="B152" s="997">
        <v>5</v>
      </c>
      <c r="C152" s="1010">
        <v>35</v>
      </c>
      <c r="D152" s="1007">
        <v>-0.6</v>
      </c>
      <c r="E152" s="1009" t="s">
        <v>10</v>
      </c>
      <c r="F152" s="1000">
        <f t="shared" si="42"/>
        <v>0</v>
      </c>
      <c r="H152" s="997">
        <v>5</v>
      </c>
      <c r="I152" s="1010">
        <v>70</v>
      </c>
      <c r="J152" s="1007">
        <v>-0.8</v>
      </c>
      <c r="K152" s="1009" t="s">
        <v>10</v>
      </c>
      <c r="L152" s="1000">
        <f t="shared" si="43"/>
        <v>0</v>
      </c>
      <c r="N152" s="997">
        <v>5</v>
      </c>
      <c r="O152" s="1010">
        <v>1000</v>
      </c>
      <c r="P152" s="1008">
        <v>1.1000000000000001</v>
      </c>
      <c r="Q152" s="1009" t="s">
        <v>10</v>
      </c>
      <c r="R152" s="1000">
        <f t="shared" si="44"/>
        <v>0</v>
      </c>
    </row>
    <row r="153" spans="1:21" ht="13.5" thickBot="1">
      <c r="A153" s="2165"/>
      <c r="B153" s="997">
        <v>6</v>
      </c>
      <c r="C153" s="1010">
        <v>37</v>
      </c>
      <c r="D153" s="1007">
        <v>-0.8</v>
      </c>
      <c r="E153" s="1009" t="s">
        <v>10</v>
      </c>
      <c r="F153" s="1000">
        <f t="shared" si="42"/>
        <v>0</v>
      </c>
      <c r="H153" s="997">
        <v>6</v>
      </c>
      <c r="I153" s="1010">
        <v>80</v>
      </c>
      <c r="J153" s="1007">
        <v>-0.9</v>
      </c>
      <c r="K153" s="1009" t="s">
        <v>10</v>
      </c>
      <c r="L153" s="1000">
        <f t="shared" si="43"/>
        <v>0</v>
      </c>
      <c r="N153" s="997">
        <v>6</v>
      </c>
      <c r="O153" s="1016">
        <v>1005</v>
      </c>
      <c r="P153" s="1017">
        <v>1.1000000000000001</v>
      </c>
      <c r="Q153" s="1009" t="s">
        <v>10</v>
      </c>
      <c r="R153" s="1000">
        <f t="shared" si="44"/>
        <v>0</v>
      </c>
    </row>
    <row r="154" spans="1:21" ht="13.5" thickBot="1">
      <c r="A154" s="2166"/>
      <c r="B154" s="1011">
        <v>7</v>
      </c>
      <c r="C154" s="1042">
        <v>40</v>
      </c>
      <c r="D154" s="1012">
        <v>-1.1000000000000001</v>
      </c>
      <c r="E154" s="1013" t="s">
        <v>10</v>
      </c>
      <c r="F154" s="1014">
        <f t="shared" si="42"/>
        <v>0</v>
      </c>
      <c r="G154" s="1015"/>
      <c r="H154" s="1011">
        <v>7</v>
      </c>
      <c r="I154" s="1042">
        <v>90</v>
      </c>
      <c r="J154" s="1012">
        <v>-0.8</v>
      </c>
      <c r="K154" s="1013" t="s">
        <v>10</v>
      </c>
      <c r="L154" s="1014">
        <f t="shared" si="43"/>
        <v>0</v>
      </c>
      <c r="M154" s="1015"/>
      <c r="N154" s="1011">
        <v>7</v>
      </c>
      <c r="O154" s="1016">
        <v>1020</v>
      </c>
      <c r="P154" s="1017">
        <v>0</v>
      </c>
      <c r="Q154" s="1013" t="s">
        <v>10</v>
      </c>
      <c r="R154" s="1014">
        <f t="shared" si="44"/>
        <v>0</v>
      </c>
    </row>
    <row r="155" spans="1:21" ht="13" thickBot="1">
      <c r="A155" s="1044"/>
      <c r="C155" s="1045"/>
      <c r="D155" s="1046"/>
      <c r="E155" s="1047"/>
      <c r="F155" s="959"/>
      <c r="I155" s="1045"/>
      <c r="J155" s="1046"/>
      <c r="K155" s="1047"/>
      <c r="L155" s="959"/>
      <c r="O155" s="1046"/>
      <c r="P155" s="1048"/>
      <c r="Q155" s="1047"/>
      <c r="R155" s="959"/>
    </row>
    <row r="156" spans="1:21" ht="13" thickBot="1">
      <c r="A156" s="2164">
        <v>15</v>
      </c>
      <c r="B156" s="2167" t="s">
        <v>94</v>
      </c>
      <c r="C156" s="2168"/>
      <c r="D156" s="2168"/>
      <c r="E156" s="2168"/>
      <c r="F156" s="2169"/>
      <c r="G156" s="791"/>
      <c r="H156" s="2167" t="str">
        <f>B156</f>
        <v>KOREKSI EXTECH A.100611</v>
      </c>
      <c r="I156" s="2168"/>
      <c r="J156" s="2168"/>
      <c r="K156" s="2168"/>
      <c r="L156" s="2169"/>
      <c r="M156" s="791"/>
      <c r="N156" s="2167" t="str">
        <f>H156</f>
        <v>KOREKSI EXTECH A.100611</v>
      </c>
      <c r="O156" s="2168"/>
      <c r="P156" s="2168"/>
      <c r="Q156" s="2168"/>
      <c r="R156" s="2169"/>
      <c r="T156" s="2141" t="s">
        <v>81</v>
      </c>
      <c r="U156" s="2142"/>
    </row>
    <row r="157" spans="1:21" ht="13.5" thickBot="1">
      <c r="A157" s="2165"/>
      <c r="B157" s="2143" t="s">
        <v>74</v>
      </c>
      <c r="C157" s="2144"/>
      <c r="D157" s="2145" t="s">
        <v>7</v>
      </c>
      <c r="E157" s="2146"/>
      <c r="F157" s="2147" t="s">
        <v>2</v>
      </c>
      <c r="H157" s="2143" t="s">
        <v>75</v>
      </c>
      <c r="I157" s="2144"/>
      <c r="J157" s="2145" t="s">
        <v>7</v>
      </c>
      <c r="K157" s="2146"/>
      <c r="L157" s="2147" t="s">
        <v>2</v>
      </c>
      <c r="N157" s="2143" t="s">
        <v>76</v>
      </c>
      <c r="O157" s="2144"/>
      <c r="P157" s="2145" t="s">
        <v>7</v>
      </c>
      <c r="Q157" s="2146"/>
      <c r="R157" s="2147" t="s">
        <v>2</v>
      </c>
      <c r="T157" s="996" t="s">
        <v>74</v>
      </c>
      <c r="U157" s="994">
        <v>0.3</v>
      </c>
    </row>
    <row r="158" spans="1:21" ht="15" thickBot="1">
      <c r="A158" s="2165"/>
      <c r="B158" s="2152" t="s">
        <v>77</v>
      </c>
      <c r="C158" s="2153"/>
      <c r="D158" s="1020">
        <v>2020</v>
      </c>
      <c r="E158" s="1035" t="s">
        <v>10</v>
      </c>
      <c r="F158" s="2148"/>
      <c r="H158" s="2154" t="s">
        <v>78</v>
      </c>
      <c r="I158" s="2155"/>
      <c r="J158" s="1021">
        <f>D158</f>
        <v>2020</v>
      </c>
      <c r="K158" s="1021" t="str">
        <f>E158</f>
        <v>-</v>
      </c>
      <c r="L158" s="2148"/>
      <c r="N158" s="2154" t="s">
        <v>79</v>
      </c>
      <c r="O158" s="2155"/>
      <c r="P158" s="1021">
        <f>J158</f>
        <v>2020</v>
      </c>
      <c r="Q158" s="1021" t="str">
        <f>K158</f>
        <v>-</v>
      </c>
      <c r="R158" s="2148"/>
      <c r="T158" s="996" t="s">
        <v>78</v>
      </c>
      <c r="U158" s="994">
        <v>2.7</v>
      </c>
    </row>
    <row r="159" spans="1:21" ht="13.5" thickBot="1">
      <c r="A159" s="2165"/>
      <c r="B159" s="997">
        <v>1</v>
      </c>
      <c r="C159" s="1001">
        <v>15</v>
      </c>
      <c r="D159" s="1028">
        <v>-0.6</v>
      </c>
      <c r="E159" s="1036" t="s">
        <v>10</v>
      </c>
      <c r="F159" s="1023">
        <f t="shared" ref="F159:F165" si="45">0.5*(MAX(D159:E159)-MIN(D159:E159))</f>
        <v>0</v>
      </c>
      <c r="H159" s="997">
        <v>1</v>
      </c>
      <c r="I159" s="1001">
        <v>35</v>
      </c>
      <c r="J159" s="1028">
        <v>-0.4</v>
      </c>
      <c r="K159" s="1036" t="s">
        <v>10</v>
      </c>
      <c r="L159" s="1023">
        <f t="shared" ref="L159:L165" si="46">0.5*(MAX(J159:K159)-MIN(J159:K159))</f>
        <v>0</v>
      </c>
      <c r="N159" s="997">
        <v>1</v>
      </c>
      <c r="O159" s="1005">
        <v>960</v>
      </c>
      <c r="P159" s="1006">
        <v>0.9</v>
      </c>
      <c r="Q159" s="1036" t="s">
        <v>10</v>
      </c>
      <c r="R159" s="1023">
        <f t="shared" ref="R159:R165" si="47">0.5*(MAX(P159:Q159)-MIN(P159:Q159))</f>
        <v>0</v>
      </c>
      <c r="T159" s="1003" t="s">
        <v>79</v>
      </c>
      <c r="U159" s="1004">
        <v>1.5</v>
      </c>
    </row>
    <row r="160" spans="1:21" ht="13">
      <c r="A160" s="2165"/>
      <c r="B160" s="997">
        <v>2</v>
      </c>
      <c r="C160" s="1005">
        <v>20</v>
      </c>
      <c r="D160" s="998">
        <v>-0.5</v>
      </c>
      <c r="E160" s="811" t="s">
        <v>10</v>
      </c>
      <c r="F160" s="1000">
        <f t="shared" si="45"/>
        <v>0</v>
      </c>
      <c r="H160" s="997">
        <v>2</v>
      </c>
      <c r="I160" s="1005">
        <v>40</v>
      </c>
      <c r="J160" s="998">
        <v>-0.3</v>
      </c>
      <c r="K160" s="811" t="s">
        <v>10</v>
      </c>
      <c r="L160" s="1000">
        <f t="shared" si="46"/>
        <v>0</v>
      </c>
      <c r="N160" s="997">
        <v>2</v>
      </c>
      <c r="O160" s="1005">
        <v>970</v>
      </c>
      <c r="P160" s="1006">
        <v>1</v>
      </c>
      <c r="Q160" s="811" t="s">
        <v>10</v>
      </c>
      <c r="R160" s="1000">
        <f t="shared" si="47"/>
        <v>0</v>
      </c>
    </row>
    <row r="161" spans="1:21" ht="13">
      <c r="A161" s="2165"/>
      <c r="B161" s="997">
        <v>3</v>
      </c>
      <c r="C161" s="1005">
        <v>25</v>
      </c>
      <c r="D161" s="998">
        <v>-0.4</v>
      </c>
      <c r="E161" s="811" t="s">
        <v>10</v>
      </c>
      <c r="F161" s="1000">
        <f t="shared" si="45"/>
        <v>0</v>
      </c>
      <c r="H161" s="997">
        <v>3</v>
      </c>
      <c r="I161" s="1005">
        <v>50</v>
      </c>
      <c r="J161" s="998">
        <v>-0.3</v>
      </c>
      <c r="K161" s="811" t="s">
        <v>10</v>
      </c>
      <c r="L161" s="1000">
        <f t="shared" si="46"/>
        <v>0</v>
      </c>
      <c r="N161" s="997">
        <v>3</v>
      </c>
      <c r="O161" s="1010">
        <v>980</v>
      </c>
      <c r="P161" s="1008">
        <v>1</v>
      </c>
      <c r="Q161" s="811" t="s">
        <v>10</v>
      </c>
      <c r="R161" s="1000">
        <f t="shared" si="47"/>
        <v>0</v>
      </c>
    </row>
    <row r="162" spans="1:21" ht="13">
      <c r="A162" s="2165"/>
      <c r="B162" s="997">
        <v>4</v>
      </c>
      <c r="C162" s="1010">
        <v>30</v>
      </c>
      <c r="D162" s="1007">
        <v>-0.2</v>
      </c>
      <c r="E162" s="1009" t="s">
        <v>10</v>
      </c>
      <c r="F162" s="1000">
        <f t="shared" si="45"/>
        <v>0</v>
      </c>
      <c r="H162" s="997">
        <v>4</v>
      </c>
      <c r="I162" s="1010">
        <v>60</v>
      </c>
      <c r="J162" s="1007">
        <v>-0.5</v>
      </c>
      <c r="K162" s="1009" t="s">
        <v>10</v>
      </c>
      <c r="L162" s="1000">
        <f t="shared" si="46"/>
        <v>0</v>
      </c>
      <c r="N162" s="997">
        <v>4</v>
      </c>
      <c r="O162" s="1010">
        <v>990</v>
      </c>
      <c r="P162" s="1008">
        <v>1.1000000000000001</v>
      </c>
      <c r="Q162" s="1009" t="s">
        <v>10</v>
      </c>
      <c r="R162" s="1000">
        <f t="shared" si="47"/>
        <v>0</v>
      </c>
    </row>
    <row r="163" spans="1:21" ht="13">
      <c r="A163" s="2165"/>
      <c r="B163" s="997">
        <v>5</v>
      </c>
      <c r="C163" s="1010">
        <v>35</v>
      </c>
      <c r="D163" s="1007">
        <v>-0.1</v>
      </c>
      <c r="E163" s="1009" t="s">
        <v>10</v>
      </c>
      <c r="F163" s="1000">
        <f t="shared" si="45"/>
        <v>0</v>
      </c>
      <c r="H163" s="997">
        <v>5</v>
      </c>
      <c r="I163" s="1010">
        <v>70</v>
      </c>
      <c r="J163" s="1007">
        <v>-0.8</v>
      </c>
      <c r="K163" s="1009" t="s">
        <v>10</v>
      </c>
      <c r="L163" s="1000">
        <f t="shared" si="46"/>
        <v>0</v>
      </c>
      <c r="N163" s="997">
        <v>5</v>
      </c>
      <c r="O163" s="1010">
        <v>1000</v>
      </c>
      <c r="P163" s="1008">
        <v>1.1000000000000001</v>
      </c>
      <c r="Q163" s="1009" t="s">
        <v>10</v>
      </c>
      <c r="R163" s="1000">
        <f t="shared" si="47"/>
        <v>0</v>
      </c>
    </row>
    <row r="164" spans="1:21" ht="13.5" thickBot="1">
      <c r="A164" s="2165"/>
      <c r="B164" s="997">
        <v>6</v>
      </c>
      <c r="C164" s="1010">
        <v>37</v>
      </c>
      <c r="D164" s="1007">
        <v>-0.1</v>
      </c>
      <c r="E164" s="1009" t="s">
        <v>10</v>
      </c>
      <c r="F164" s="1000">
        <f t="shared" si="45"/>
        <v>0</v>
      </c>
      <c r="H164" s="997">
        <v>6</v>
      </c>
      <c r="I164" s="1010">
        <v>80</v>
      </c>
      <c r="J164" s="1007">
        <v>-1.3</v>
      </c>
      <c r="K164" s="1009" t="s">
        <v>10</v>
      </c>
      <c r="L164" s="1000">
        <f t="shared" si="46"/>
        <v>0</v>
      </c>
      <c r="N164" s="997">
        <v>6</v>
      </c>
      <c r="O164" s="1016">
        <v>1005</v>
      </c>
      <c r="P164" s="1017">
        <v>1.1000000000000001</v>
      </c>
      <c r="Q164" s="1009" t="s">
        <v>10</v>
      </c>
      <c r="R164" s="1000">
        <f t="shared" si="47"/>
        <v>0</v>
      </c>
    </row>
    <row r="165" spans="1:21" ht="13.5" thickBot="1">
      <c r="A165" s="2166"/>
      <c r="B165" s="1011">
        <v>7</v>
      </c>
      <c r="C165" s="1042">
        <v>40</v>
      </c>
      <c r="D165" s="1012">
        <v>0</v>
      </c>
      <c r="E165" s="1013" t="s">
        <v>10</v>
      </c>
      <c r="F165" s="1014">
        <f t="shared" si="45"/>
        <v>0</v>
      </c>
      <c r="G165" s="1015"/>
      <c r="H165" s="1011">
        <v>7</v>
      </c>
      <c r="I165" s="1042">
        <v>90</v>
      </c>
      <c r="J165" s="1012">
        <v>-2</v>
      </c>
      <c r="K165" s="1013" t="s">
        <v>10</v>
      </c>
      <c r="L165" s="1014">
        <f t="shared" si="46"/>
        <v>0</v>
      </c>
      <c r="M165" s="1015"/>
      <c r="N165" s="1011">
        <v>7</v>
      </c>
      <c r="O165" s="1016">
        <v>1020</v>
      </c>
      <c r="P165" s="1017">
        <v>0</v>
      </c>
      <c r="Q165" s="1013" t="s">
        <v>10</v>
      </c>
      <c r="R165" s="1014">
        <f t="shared" si="47"/>
        <v>0</v>
      </c>
    </row>
    <row r="166" spans="1:21" ht="13" thickBot="1">
      <c r="A166" s="1044"/>
      <c r="C166" s="1045"/>
      <c r="D166" s="1046"/>
      <c r="E166" s="1047"/>
      <c r="F166" s="959"/>
      <c r="I166" s="1045"/>
      <c r="J166" s="1046"/>
      <c r="K166" s="1047"/>
      <c r="L166" s="959"/>
      <c r="O166" s="1046"/>
      <c r="P166" s="1048"/>
      <c r="Q166" s="1047"/>
      <c r="R166" s="959"/>
    </row>
    <row r="167" spans="1:21" ht="13" thickBot="1">
      <c r="A167" s="2164">
        <v>16</v>
      </c>
      <c r="B167" s="2167" t="s">
        <v>95</v>
      </c>
      <c r="C167" s="2168"/>
      <c r="D167" s="2168"/>
      <c r="E167" s="2168"/>
      <c r="F167" s="2169"/>
      <c r="G167" s="791"/>
      <c r="H167" s="2167" t="str">
        <f>B167</f>
        <v>KOREKSI EXTECH A.100616</v>
      </c>
      <c r="I167" s="2168"/>
      <c r="J167" s="2168"/>
      <c r="K167" s="2168"/>
      <c r="L167" s="2169"/>
      <c r="M167" s="791"/>
      <c r="N167" s="2167" t="str">
        <f>H167</f>
        <v>KOREKSI EXTECH A.100616</v>
      </c>
      <c r="O167" s="2168"/>
      <c r="P167" s="2168"/>
      <c r="Q167" s="2168"/>
      <c r="R167" s="2169"/>
      <c r="T167" s="2141" t="s">
        <v>81</v>
      </c>
      <c r="U167" s="2142"/>
    </row>
    <row r="168" spans="1:21" ht="13.5" thickBot="1">
      <c r="A168" s="2165"/>
      <c r="B168" s="2143" t="s">
        <v>74</v>
      </c>
      <c r="C168" s="2144"/>
      <c r="D168" s="2145" t="s">
        <v>7</v>
      </c>
      <c r="E168" s="2146"/>
      <c r="F168" s="2147" t="s">
        <v>2</v>
      </c>
      <c r="H168" s="2143" t="s">
        <v>75</v>
      </c>
      <c r="I168" s="2144"/>
      <c r="J168" s="2145" t="s">
        <v>7</v>
      </c>
      <c r="K168" s="2146"/>
      <c r="L168" s="2147" t="s">
        <v>2</v>
      </c>
      <c r="N168" s="2143" t="s">
        <v>76</v>
      </c>
      <c r="O168" s="2144"/>
      <c r="P168" s="2145" t="s">
        <v>7</v>
      </c>
      <c r="Q168" s="2146"/>
      <c r="R168" s="2147" t="s">
        <v>2</v>
      </c>
      <c r="T168" s="996" t="s">
        <v>74</v>
      </c>
      <c r="U168" s="994">
        <v>0.4</v>
      </c>
    </row>
    <row r="169" spans="1:21" ht="15" thickBot="1">
      <c r="A169" s="2165"/>
      <c r="B169" s="2152" t="s">
        <v>77</v>
      </c>
      <c r="C169" s="2153"/>
      <c r="D169" s="1020">
        <v>2020</v>
      </c>
      <c r="E169" s="1035" t="s">
        <v>10</v>
      </c>
      <c r="F169" s="2148"/>
      <c r="H169" s="2154" t="s">
        <v>78</v>
      </c>
      <c r="I169" s="2155"/>
      <c r="J169" s="1021">
        <f>D169</f>
        <v>2020</v>
      </c>
      <c r="K169" s="1021" t="str">
        <f>E169</f>
        <v>-</v>
      </c>
      <c r="L169" s="2148"/>
      <c r="N169" s="2154" t="s">
        <v>79</v>
      </c>
      <c r="O169" s="2155"/>
      <c r="P169" s="1021">
        <f>J169</f>
        <v>2020</v>
      </c>
      <c r="Q169" s="1021" t="str">
        <f>K169</f>
        <v>-</v>
      </c>
      <c r="R169" s="2148"/>
      <c r="T169" s="996" t="s">
        <v>78</v>
      </c>
      <c r="U169" s="994">
        <v>2.2000000000000002</v>
      </c>
    </row>
    <row r="170" spans="1:21" ht="13.5" thickBot="1">
      <c r="A170" s="2165"/>
      <c r="B170" s="997">
        <v>1</v>
      </c>
      <c r="C170" s="1001">
        <v>15</v>
      </c>
      <c r="D170" s="1028">
        <v>0.1</v>
      </c>
      <c r="E170" s="1036" t="s">
        <v>10</v>
      </c>
      <c r="F170" s="1023">
        <f t="shared" ref="F170:F176" si="48">0.5*(MAX(D170:E170)-MIN(D170:E170))</f>
        <v>0</v>
      </c>
      <c r="H170" s="997">
        <v>1</v>
      </c>
      <c r="I170" s="1001">
        <v>30</v>
      </c>
      <c r="J170" s="1028">
        <v>-1.6</v>
      </c>
      <c r="K170" s="1036" t="s">
        <v>10</v>
      </c>
      <c r="L170" s="1023">
        <f t="shared" ref="L170:L176" si="49">0.5*(MAX(J170:K170)-MIN(J170:K170))</f>
        <v>0</v>
      </c>
      <c r="N170" s="997">
        <v>1</v>
      </c>
      <c r="O170" s="1005">
        <v>800</v>
      </c>
      <c r="P170" s="1006">
        <v>-2.9</v>
      </c>
      <c r="Q170" s="1036" t="s">
        <v>10</v>
      </c>
      <c r="R170" s="1023">
        <f t="shared" ref="R170:R176" si="50">0.5*(MAX(P170:Q170)-MIN(P170:Q170))</f>
        <v>0</v>
      </c>
      <c r="T170" s="1003" t="s">
        <v>79</v>
      </c>
      <c r="U170" s="1004">
        <v>2.2999999999999998</v>
      </c>
    </row>
    <row r="171" spans="1:21" ht="13">
      <c r="A171" s="2165"/>
      <c r="B171" s="997">
        <v>2</v>
      </c>
      <c r="C171" s="1005">
        <v>20</v>
      </c>
      <c r="D171" s="998">
        <v>0.2</v>
      </c>
      <c r="E171" s="811" t="s">
        <v>10</v>
      </c>
      <c r="F171" s="1000">
        <f t="shared" si="48"/>
        <v>0</v>
      </c>
      <c r="H171" s="997">
        <v>2</v>
      </c>
      <c r="I171" s="1005">
        <v>40</v>
      </c>
      <c r="J171" s="998">
        <v>-1.4</v>
      </c>
      <c r="K171" s="811" t="s">
        <v>10</v>
      </c>
      <c r="L171" s="1000">
        <f t="shared" si="49"/>
        <v>0</v>
      </c>
      <c r="N171" s="997">
        <v>2</v>
      </c>
      <c r="O171" s="1005">
        <v>850</v>
      </c>
      <c r="P171" s="1006">
        <v>-2.2999999999999998</v>
      </c>
      <c r="Q171" s="811" t="s">
        <v>10</v>
      </c>
      <c r="R171" s="1000">
        <f t="shared" si="50"/>
        <v>0</v>
      </c>
    </row>
    <row r="172" spans="1:21" ht="13">
      <c r="A172" s="2165"/>
      <c r="B172" s="997">
        <v>3</v>
      </c>
      <c r="C172" s="1005">
        <v>25</v>
      </c>
      <c r="D172" s="998">
        <v>0.2</v>
      </c>
      <c r="E172" s="811" t="s">
        <v>10</v>
      </c>
      <c r="F172" s="1000">
        <f t="shared" si="48"/>
        <v>0</v>
      </c>
      <c r="H172" s="997">
        <v>3</v>
      </c>
      <c r="I172" s="1005">
        <v>50</v>
      </c>
      <c r="J172" s="998">
        <v>-1.4</v>
      </c>
      <c r="K172" s="811" t="s">
        <v>10</v>
      </c>
      <c r="L172" s="1000">
        <f t="shared" si="49"/>
        <v>0</v>
      </c>
      <c r="N172" s="997">
        <v>3</v>
      </c>
      <c r="O172" s="1010">
        <v>900</v>
      </c>
      <c r="P172" s="1008">
        <v>-1.7</v>
      </c>
      <c r="Q172" s="811" t="s">
        <v>10</v>
      </c>
      <c r="R172" s="1000">
        <f t="shared" si="50"/>
        <v>0</v>
      </c>
    </row>
    <row r="173" spans="1:21" ht="13">
      <c r="A173" s="2165"/>
      <c r="B173" s="997">
        <v>4</v>
      </c>
      <c r="C173" s="1010">
        <v>30</v>
      </c>
      <c r="D173" s="1007">
        <v>0.2</v>
      </c>
      <c r="E173" s="1009" t="s">
        <v>10</v>
      </c>
      <c r="F173" s="1000">
        <f t="shared" si="48"/>
        <v>0</v>
      </c>
      <c r="H173" s="997">
        <v>4</v>
      </c>
      <c r="I173" s="1010">
        <v>60</v>
      </c>
      <c r="J173" s="1007">
        <v>-1.5</v>
      </c>
      <c r="K173" s="1009" t="s">
        <v>10</v>
      </c>
      <c r="L173" s="1000">
        <f t="shared" si="49"/>
        <v>0</v>
      </c>
      <c r="N173" s="997">
        <v>4</v>
      </c>
      <c r="O173" s="1010">
        <v>950</v>
      </c>
      <c r="P173" s="1008">
        <v>-1.1000000000000001</v>
      </c>
      <c r="Q173" s="1009" t="s">
        <v>10</v>
      </c>
      <c r="R173" s="1000">
        <f t="shared" si="50"/>
        <v>0</v>
      </c>
    </row>
    <row r="174" spans="1:21" ht="13">
      <c r="A174" s="2165"/>
      <c r="B174" s="997">
        <v>5</v>
      </c>
      <c r="C174" s="1010">
        <v>35</v>
      </c>
      <c r="D174" s="1007">
        <v>0.1</v>
      </c>
      <c r="E174" s="1009" t="s">
        <v>10</v>
      </c>
      <c r="F174" s="1000">
        <f t="shared" si="48"/>
        <v>0</v>
      </c>
      <c r="H174" s="997">
        <v>5</v>
      </c>
      <c r="I174" s="1010">
        <v>70</v>
      </c>
      <c r="J174" s="1007">
        <v>-1.8</v>
      </c>
      <c r="K174" s="1009" t="s">
        <v>10</v>
      </c>
      <c r="L174" s="1000">
        <f t="shared" si="49"/>
        <v>0</v>
      </c>
      <c r="N174" s="997">
        <v>5</v>
      </c>
      <c r="O174" s="1010">
        <v>1000</v>
      </c>
      <c r="P174" s="1008">
        <v>-0.4</v>
      </c>
      <c r="Q174" s="1009" t="s">
        <v>10</v>
      </c>
      <c r="R174" s="1000">
        <f t="shared" si="50"/>
        <v>0</v>
      </c>
    </row>
    <row r="175" spans="1:21" ht="13.5" thickBot="1">
      <c r="A175" s="2165"/>
      <c r="B175" s="997">
        <v>6</v>
      </c>
      <c r="C175" s="1010">
        <v>37</v>
      </c>
      <c r="D175" s="1007">
        <v>0</v>
      </c>
      <c r="E175" s="1009" t="s">
        <v>10</v>
      </c>
      <c r="F175" s="1000">
        <f t="shared" si="48"/>
        <v>0</v>
      </c>
      <c r="H175" s="997">
        <v>6</v>
      </c>
      <c r="I175" s="1010">
        <v>80</v>
      </c>
      <c r="J175" s="1007">
        <v>-2.2999999999999998</v>
      </c>
      <c r="K175" s="1009" t="s">
        <v>10</v>
      </c>
      <c r="L175" s="1000">
        <f t="shared" si="49"/>
        <v>0</v>
      </c>
      <c r="N175" s="997">
        <v>6</v>
      </c>
      <c r="O175" s="1016">
        <v>1005</v>
      </c>
      <c r="P175" s="1017">
        <v>-0.4</v>
      </c>
      <c r="Q175" s="1009" t="s">
        <v>10</v>
      </c>
      <c r="R175" s="1000">
        <f t="shared" si="50"/>
        <v>0</v>
      </c>
    </row>
    <row r="176" spans="1:21" ht="13.5" thickBot="1">
      <c r="A176" s="2166"/>
      <c r="B176" s="1011">
        <v>7</v>
      </c>
      <c r="C176" s="1042">
        <v>40</v>
      </c>
      <c r="D176" s="1012">
        <v>0</v>
      </c>
      <c r="E176" s="1013" t="s">
        <v>10</v>
      </c>
      <c r="F176" s="1014">
        <f t="shared" si="48"/>
        <v>0</v>
      </c>
      <c r="G176" s="1015"/>
      <c r="H176" s="1011">
        <v>7</v>
      </c>
      <c r="I176" s="1042">
        <v>90</v>
      </c>
      <c r="J176" s="1012">
        <v>-3</v>
      </c>
      <c r="K176" s="1013" t="s">
        <v>10</v>
      </c>
      <c r="L176" s="1014">
        <f t="shared" si="49"/>
        <v>0</v>
      </c>
      <c r="M176" s="1015"/>
      <c r="N176" s="1011">
        <v>7</v>
      </c>
      <c r="O176" s="1016">
        <v>1020</v>
      </c>
      <c r="P176" s="1017">
        <v>0</v>
      </c>
      <c r="Q176" s="1013" t="s">
        <v>10</v>
      </c>
      <c r="R176" s="1014">
        <f t="shared" si="50"/>
        <v>0</v>
      </c>
    </row>
    <row r="177" spans="1:21" ht="13" thickBot="1">
      <c r="A177" s="1044"/>
      <c r="C177" s="1045"/>
      <c r="D177" s="1046"/>
      <c r="E177" s="1047"/>
      <c r="F177" s="959"/>
      <c r="I177" s="1045"/>
      <c r="J177" s="1046"/>
      <c r="K177" s="1047"/>
      <c r="L177" s="959"/>
      <c r="O177" s="1046"/>
      <c r="P177" s="1048"/>
      <c r="Q177" s="1047"/>
      <c r="R177" s="959"/>
    </row>
    <row r="178" spans="1:21" ht="13" thickBot="1">
      <c r="A178" s="2164">
        <v>17</v>
      </c>
      <c r="B178" s="2167" t="s">
        <v>96</v>
      </c>
      <c r="C178" s="2168"/>
      <c r="D178" s="2168"/>
      <c r="E178" s="2168"/>
      <c r="F178" s="2169"/>
      <c r="G178" s="791"/>
      <c r="H178" s="2167" t="str">
        <f>B178</f>
        <v>KOREKSI EXTECH A.100617</v>
      </c>
      <c r="I178" s="2168"/>
      <c r="J178" s="2168"/>
      <c r="K178" s="2168"/>
      <c r="L178" s="2169"/>
      <c r="M178" s="791"/>
      <c r="N178" s="2167" t="str">
        <f>H178</f>
        <v>KOREKSI EXTECH A.100617</v>
      </c>
      <c r="O178" s="2168"/>
      <c r="P178" s="2168"/>
      <c r="Q178" s="2168"/>
      <c r="R178" s="2169"/>
      <c r="T178" s="2141" t="s">
        <v>81</v>
      </c>
      <c r="U178" s="2142"/>
    </row>
    <row r="179" spans="1:21" ht="13.5" thickBot="1">
      <c r="A179" s="2165"/>
      <c r="B179" s="2143" t="s">
        <v>74</v>
      </c>
      <c r="C179" s="2144"/>
      <c r="D179" s="2145" t="s">
        <v>7</v>
      </c>
      <c r="E179" s="2146"/>
      <c r="F179" s="2147" t="s">
        <v>2</v>
      </c>
      <c r="H179" s="2143" t="s">
        <v>75</v>
      </c>
      <c r="I179" s="2144"/>
      <c r="J179" s="2145" t="s">
        <v>7</v>
      </c>
      <c r="K179" s="2146"/>
      <c r="L179" s="2147" t="s">
        <v>2</v>
      </c>
      <c r="N179" s="2143" t="s">
        <v>76</v>
      </c>
      <c r="O179" s="2144"/>
      <c r="P179" s="2145" t="s">
        <v>7</v>
      </c>
      <c r="Q179" s="2146"/>
      <c r="R179" s="2147" t="s">
        <v>2</v>
      </c>
      <c r="T179" s="996" t="s">
        <v>74</v>
      </c>
      <c r="U179" s="994">
        <v>0.3</v>
      </c>
    </row>
    <row r="180" spans="1:21" ht="15" thickBot="1">
      <c r="A180" s="2165"/>
      <c r="B180" s="2152" t="s">
        <v>77</v>
      </c>
      <c r="C180" s="2153"/>
      <c r="D180" s="1020">
        <v>2020</v>
      </c>
      <c r="E180" s="1035" t="s">
        <v>10</v>
      </c>
      <c r="F180" s="2148"/>
      <c r="H180" s="2154" t="s">
        <v>78</v>
      </c>
      <c r="I180" s="2155"/>
      <c r="J180" s="1021">
        <f>D180</f>
        <v>2020</v>
      </c>
      <c r="K180" s="1021" t="str">
        <f>E180</f>
        <v>-</v>
      </c>
      <c r="L180" s="2148"/>
      <c r="N180" s="2154" t="s">
        <v>79</v>
      </c>
      <c r="O180" s="2155"/>
      <c r="P180" s="1021">
        <f>J180</f>
        <v>2020</v>
      </c>
      <c r="Q180" s="1021" t="str">
        <f>K180</f>
        <v>-</v>
      </c>
      <c r="R180" s="2148"/>
      <c r="T180" s="996" t="s">
        <v>78</v>
      </c>
      <c r="U180" s="994">
        <v>2.8</v>
      </c>
    </row>
    <row r="181" spans="1:21" ht="13.5" thickBot="1">
      <c r="A181" s="2165"/>
      <c r="B181" s="997">
        <v>1</v>
      </c>
      <c r="C181" s="1001">
        <v>15</v>
      </c>
      <c r="D181" s="1028">
        <v>0.1</v>
      </c>
      <c r="E181" s="1036" t="s">
        <v>10</v>
      </c>
      <c r="F181" s="1023">
        <f t="shared" ref="F181:F187" si="51">0.5*(MAX(D181:E181)-MIN(D181:E181))</f>
        <v>0</v>
      </c>
      <c r="H181" s="997">
        <v>1</v>
      </c>
      <c r="I181" s="1001">
        <v>30</v>
      </c>
      <c r="J181" s="1028">
        <v>0.1</v>
      </c>
      <c r="K181" s="1036" t="s">
        <v>10</v>
      </c>
      <c r="L181" s="1023">
        <f t="shared" ref="L181:L187" si="52">0.5*(MAX(J181:K181)-MIN(J181:K181))</f>
        <v>0</v>
      </c>
      <c r="N181" s="997">
        <v>1</v>
      </c>
      <c r="O181" s="1005">
        <v>960</v>
      </c>
      <c r="P181" s="1006">
        <v>-0.6</v>
      </c>
      <c r="Q181" s="1036" t="s">
        <v>10</v>
      </c>
      <c r="R181" s="1023">
        <f t="shared" ref="R181:R187" si="53">0.5*(MAX(P181:Q181)-MIN(P181:Q181))</f>
        <v>0</v>
      </c>
      <c r="T181" s="1003" t="s">
        <v>79</v>
      </c>
      <c r="U181" s="1004">
        <v>2.1</v>
      </c>
    </row>
    <row r="182" spans="1:21" ht="13">
      <c r="A182" s="2165"/>
      <c r="B182" s="997">
        <v>2</v>
      </c>
      <c r="C182" s="1005">
        <v>20</v>
      </c>
      <c r="D182" s="998">
        <v>0.1</v>
      </c>
      <c r="E182" s="811" t="s">
        <v>10</v>
      </c>
      <c r="F182" s="1000">
        <f t="shared" si="51"/>
        <v>0</v>
      </c>
      <c r="H182" s="997">
        <v>2</v>
      </c>
      <c r="I182" s="1005">
        <v>40</v>
      </c>
      <c r="J182" s="998">
        <v>0.2</v>
      </c>
      <c r="K182" s="811" t="s">
        <v>10</v>
      </c>
      <c r="L182" s="1000">
        <f t="shared" si="52"/>
        <v>0</v>
      </c>
      <c r="N182" s="997">
        <v>2</v>
      </c>
      <c r="O182" s="1005">
        <v>970</v>
      </c>
      <c r="P182" s="1006">
        <v>-0.6</v>
      </c>
      <c r="Q182" s="811" t="s">
        <v>10</v>
      </c>
      <c r="R182" s="1000">
        <f t="shared" si="53"/>
        <v>0</v>
      </c>
    </row>
    <row r="183" spans="1:21" ht="13">
      <c r="A183" s="2165"/>
      <c r="B183" s="997">
        <v>3</v>
      </c>
      <c r="C183" s="1005">
        <v>25</v>
      </c>
      <c r="D183" s="998">
        <v>0</v>
      </c>
      <c r="E183" s="811" t="s">
        <v>10</v>
      </c>
      <c r="F183" s="1000">
        <f t="shared" si="51"/>
        <v>0</v>
      </c>
      <c r="H183" s="997">
        <v>3</v>
      </c>
      <c r="I183" s="1005">
        <v>50</v>
      </c>
      <c r="J183" s="998">
        <v>0.2</v>
      </c>
      <c r="K183" s="811" t="s">
        <v>10</v>
      </c>
      <c r="L183" s="1000">
        <f t="shared" si="52"/>
        <v>0</v>
      </c>
      <c r="N183" s="997">
        <v>3</v>
      </c>
      <c r="O183" s="1010">
        <v>980</v>
      </c>
      <c r="P183" s="1008">
        <v>-0.6</v>
      </c>
      <c r="Q183" s="811" t="s">
        <v>10</v>
      </c>
      <c r="R183" s="1000">
        <f t="shared" si="53"/>
        <v>0</v>
      </c>
    </row>
    <row r="184" spans="1:21" ht="13">
      <c r="A184" s="2165"/>
      <c r="B184" s="997">
        <v>4</v>
      </c>
      <c r="C184" s="1010">
        <v>30</v>
      </c>
      <c r="D184" s="1007">
        <v>-0.2</v>
      </c>
      <c r="E184" s="1009" t="s">
        <v>10</v>
      </c>
      <c r="F184" s="1000">
        <f t="shared" si="51"/>
        <v>0</v>
      </c>
      <c r="H184" s="997">
        <v>4</v>
      </c>
      <c r="I184" s="1010">
        <v>60</v>
      </c>
      <c r="J184" s="1007">
        <v>0</v>
      </c>
      <c r="K184" s="1009" t="s">
        <v>10</v>
      </c>
      <c r="L184" s="1000">
        <f t="shared" si="52"/>
        <v>0</v>
      </c>
      <c r="N184" s="997">
        <v>4</v>
      </c>
      <c r="O184" s="1010">
        <v>990</v>
      </c>
      <c r="P184" s="1008">
        <v>-0.6</v>
      </c>
      <c r="Q184" s="1009" t="s">
        <v>10</v>
      </c>
      <c r="R184" s="1000">
        <f t="shared" si="53"/>
        <v>0</v>
      </c>
    </row>
    <row r="185" spans="1:21" ht="13">
      <c r="A185" s="2165"/>
      <c r="B185" s="997">
        <v>5</v>
      </c>
      <c r="C185" s="1010">
        <v>35</v>
      </c>
      <c r="D185" s="1007">
        <v>-0.5</v>
      </c>
      <c r="E185" s="1009" t="s">
        <v>10</v>
      </c>
      <c r="F185" s="1000">
        <f t="shared" si="51"/>
        <v>0</v>
      </c>
      <c r="H185" s="997">
        <v>5</v>
      </c>
      <c r="I185" s="1010">
        <v>70</v>
      </c>
      <c r="J185" s="1007">
        <v>-0.3</v>
      </c>
      <c r="K185" s="1009" t="s">
        <v>10</v>
      </c>
      <c r="L185" s="1000">
        <f t="shared" si="52"/>
        <v>0</v>
      </c>
      <c r="N185" s="997">
        <v>5</v>
      </c>
      <c r="O185" s="1010">
        <v>1000</v>
      </c>
      <c r="P185" s="1008">
        <v>-0.6</v>
      </c>
      <c r="Q185" s="1009" t="s">
        <v>10</v>
      </c>
      <c r="R185" s="1000">
        <f t="shared" si="53"/>
        <v>0</v>
      </c>
    </row>
    <row r="186" spans="1:21" ht="13.5" thickBot="1">
      <c r="A186" s="2165"/>
      <c r="B186" s="997">
        <v>6</v>
      </c>
      <c r="C186" s="1010">
        <v>37</v>
      </c>
      <c r="D186" s="1007">
        <v>-0.6</v>
      </c>
      <c r="E186" s="1009" t="s">
        <v>10</v>
      </c>
      <c r="F186" s="1000">
        <f t="shared" si="51"/>
        <v>0</v>
      </c>
      <c r="H186" s="997">
        <v>6</v>
      </c>
      <c r="I186" s="1010">
        <v>80</v>
      </c>
      <c r="J186" s="1007">
        <v>-0.8</v>
      </c>
      <c r="K186" s="1009" t="s">
        <v>10</v>
      </c>
      <c r="L186" s="1000">
        <f t="shared" si="52"/>
        <v>0</v>
      </c>
      <c r="N186" s="997">
        <v>6</v>
      </c>
      <c r="O186" s="1016">
        <v>1005</v>
      </c>
      <c r="P186" s="1017">
        <v>-0.6</v>
      </c>
      <c r="Q186" s="1009" t="s">
        <v>10</v>
      </c>
      <c r="R186" s="1000">
        <f t="shared" si="53"/>
        <v>0</v>
      </c>
    </row>
    <row r="187" spans="1:21" ht="13.5" thickBot="1">
      <c r="A187" s="2166"/>
      <c r="B187" s="1011">
        <v>7</v>
      </c>
      <c r="C187" s="1042">
        <v>40</v>
      </c>
      <c r="D187" s="1012">
        <v>-0.8</v>
      </c>
      <c r="E187" s="1013" t="s">
        <v>10</v>
      </c>
      <c r="F187" s="1014">
        <f t="shared" si="51"/>
        <v>0</v>
      </c>
      <c r="G187" s="1015"/>
      <c r="H187" s="1011">
        <v>7</v>
      </c>
      <c r="I187" s="1042">
        <v>90</v>
      </c>
      <c r="J187" s="1012">
        <v>-1.4</v>
      </c>
      <c r="K187" s="1013" t="s">
        <v>10</v>
      </c>
      <c r="L187" s="1014">
        <f t="shared" si="52"/>
        <v>0</v>
      </c>
      <c r="M187" s="1015"/>
      <c r="N187" s="1011">
        <v>7</v>
      </c>
      <c r="O187" s="1016">
        <v>1020</v>
      </c>
      <c r="P187" s="1017">
        <v>0</v>
      </c>
      <c r="Q187" s="1013" t="s">
        <v>10</v>
      </c>
      <c r="R187" s="1014">
        <f t="shared" si="53"/>
        <v>0</v>
      </c>
    </row>
    <row r="188" spans="1:21" ht="13" thickBot="1">
      <c r="A188" s="1044"/>
      <c r="C188" s="1045"/>
      <c r="D188" s="1046"/>
      <c r="E188" s="1047"/>
      <c r="F188" s="959"/>
      <c r="I188" s="1045"/>
      <c r="J188" s="1046"/>
      <c r="K188" s="1047"/>
      <c r="L188" s="959"/>
      <c r="O188" s="1046"/>
      <c r="P188" s="1048"/>
      <c r="Q188" s="1047"/>
      <c r="R188" s="959"/>
    </row>
    <row r="189" spans="1:21" ht="13" thickBot="1">
      <c r="A189" s="2164">
        <v>18</v>
      </c>
      <c r="B189" s="2167" t="s">
        <v>97</v>
      </c>
      <c r="C189" s="2168"/>
      <c r="D189" s="2168"/>
      <c r="E189" s="2168"/>
      <c r="F189" s="2169"/>
      <c r="G189" s="791"/>
      <c r="H189" s="2167" t="str">
        <f>B189</f>
        <v>KOREKSI EXTECH A.100618</v>
      </c>
      <c r="I189" s="2168"/>
      <c r="J189" s="2168"/>
      <c r="K189" s="2168"/>
      <c r="L189" s="2169"/>
      <c r="M189" s="791"/>
      <c r="N189" s="2167" t="str">
        <f>H189</f>
        <v>KOREKSI EXTECH A.100618</v>
      </c>
      <c r="O189" s="2168"/>
      <c r="P189" s="2168"/>
      <c r="Q189" s="2168"/>
      <c r="R189" s="2169"/>
      <c r="T189" s="2141" t="s">
        <v>81</v>
      </c>
      <c r="U189" s="2142"/>
    </row>
    <row r="190" spans="1:21" ht="13.5" thickBot="1">
      <c r="A190" s="2165"/>
      <c r="B190" s="2143" t="s">
        <v>74</v>
      </c>
      <c r="C190" s="2144"/>
      <c r="D190" s="2145" t="s">
        <v>7</v>
      </c>
      <c r="E190" s="2146"/>
      <c r="F190" s="2147" t="s">
        <v>2</v>
      </c>
      <c r="H190" s="2143" t="s">
        <v>75</v>
      </c>
      <c r="I190" s="2144"/>
      <c r="J190" s="2145" t="s">
        <v>7</v>
      </c>
      <c r="K190" s="2146"/>
      <c r="L190" s="2147" t="s">
        <v>2</v>
      </c>
      <c r="N190" s="2143" t="s">
        <v>76</v>
      </c>
      <c r="O190" s="2144"/>
      <c r="P190" s="2145" t="s">
        <v>7</v>
      </c>
      <c r="Q190" s="2146"/>
      <c r="R190" s="2147" t="s">
        <v>2</v>
      </c>
      <c r="T190" s="996" t="s">
        <v>74</v>
      </c>
      <c r="U190" s="994">
        <v>0.3</v>
      </c>
    </row>
    <row r="191" spans="1:21" ht="15" thickBot="1">
      <c r="A191" s="2165"/>
      <c r="B191" s="2152" t="s">
        <v>77</v>
      </c>
      <c r="C191" s="2153"/>
      <c r="D191" s="1020">
        <v>2020</v>
      </c>
      <c r="E191" s="1035" t="s">
        <v>10</v>
      </c>
      <c r="F191" s="2148"/>
      <c r="H191" s="2154" t="s">
        <v>78</v>
      </c>
      <c r="I191" s="2155"/>
      <c r="J191" s="1021">
        <f>D191</f>
        <v>2020</v>
      </c>
      <c r="K191" s="1021" t="str">
        <f>E191</f>
        <v>-</v>
      </c>
      <c r="L191" s="2148"/>
      <c r="N191" s="2154" t="s">
        <v>79</v>
      </c>
      <c r="O191" s="2155"/>
      <c r="P191" s="1021">
        <f>J191</f>
        <v>2020</v>
      </c>
      <c r="Q191" s="1021" t="str">
        <f>K191</f>
        <v>-</v>
      </c>
      <c r="R191" s="2148"/>
      <c r="T191" s="996" t="s">
        <v>78</v>
      </c>
      <c r="U191" s="994">
        <v>1.6</v>
      </c>
    </row>
    <row r="192" spans="1:21" ht="13.5" thickBot="1">
      <c r="A192" s="2165"/>
      <c r="B192" s="997">
        <v>1</v>
      </c>
      <c r="C192" s="1001">
        <v>15</v>
      </c>
      <c r="D192" s="1028">
        <v>0</v>
      </c>
      <c r="E192" s="1036" t="s">
        <v>10</v>
      </c>
      <c r="F192" s="1023">
        <f t="shared" ref="F192:F198" si="54">0.5*(MAX(D192:E192)-MIN(D192:E192))</f>
        <v>0</v>
      </c>
      <c r="H192" s="997">
        <v>1</v>
      </c>
      <c r="I192" s="1001">
        <v>30</v>
      </c>
      <c r="J192" s="1028">
        <v>-0.4</v>
      </c>
      <c r="K192" s="1036" t="s">
        <v>10</v>
      </c>
      <c r="L192" s="1023">
        <f t="shared" ref="L192:L198" si="55">0.5*(MAX(J192:K192)-MIN(J192:K192))</f>
        <v>0</v>
      </c>
      <c r="N192" s="997">
        <v>1</v>
      </c>
      <c r="O192" s="1005">
        <v>800</v>
      </c>
      <c r="P192" s="1006">
        <v>-1.5</v>
      </c>
      <c r="Q192" s="1036" t="s">
        <v>10</v>
      </c>
      <c r="R192" s="1023">
        <f t="shared" ref="R192:R198" si="56">0.5*(MAX(P192:Q192)-MIN(P192:Q192))</f>
        <v>0</v>
      </c>
      <c r="T192" s="1003" t="s">
        <v>79</v>
      </c>
      <c r="U192" s="1004">
        <v>2.4</v>
      </c>
    </row>
    <row r="193" spans="1:21" ht="13">
      <c r="A193" s="2165"/>
      <c r="B193" s="997">
        <v>2</v>
      </c>
      <c r="C193" s="1005">
        <v>20</v>
      </c>
      <c r="D193" s="998">
        <v>-0.1</v>
      </c>
      <c r="E193" s="811" t="s">
        <v>10</v>
      </c>
      <c r="F193" s="1000">
        <f t="shared" si="54"/>
        <v>0</v>
      </c>
      <c r="H193" s="997">
        <v>2</v>
      </c>
      <c r="I193" s="1005">
        <v>40</v>
      </c>
      <c r="J193" s="998">
        <v>-0.2</v>
      </c>
      <c r="K193" s="811" t="s">
        <v>10</v>
      </c>
      <c r="L193" s="1000">
        <f t="shared" si="55"/>
        <v>0</v>
      </c>
      <c r="N193" s="997">
        <v>2</v>
      </c>
      <c r="O193" s="1005">
        <v>850</v>
      </c>
      <c r="P193" s="1006">
        <v>-1.3</v>
      </c>
      <c r="Q193" s="811" t="s">
        <v>10</v>
      </c>
      <c r="R193" s="1000">
        <f t="shared" si="56"/>
        <v>0</v>
      </c>
    </row>
    <row r="194" spans="1:21" ht="13">
      <c r="A194" s="2165"/>
      <c r="B194" s="997">
        <v>3</v>
      </c>
      <c r="C194" s="1005">
        <v>25</v>
      </c>
      <c r="D194" s="998">
        <v>-0.2</v>
      </c>
      <c r="E194" s="811" t="s">
        <v>10</v>
      </c>
      <c r="F194" s="1000">
        <f t="shared" si="54"/>
        <v>0</v>
      </c>
      <c r="H194" s="997">
        <v>3</v>
      </c>
      <c r="I194" s="1005">
        <v>50</v>
      </c>
      <c r="J194" s="998">
        <v>-0.2</v>
      </c>
      <c r="K194" s="811" t="s">
        <v>10</v>
      </c>
      <c r="L194" s="1000">
        <f t="shared" si="55"/>
        <v>0</v>
      </c>
      <c r="N194" s="997">
        <v>3</v>
      </c>
      <c r="O194" s="1010">
        <v>900</v>
      </c>
      <c r="P194" s="1008">
        <v>-1.1000000000000001</v>
      </c>
      <c r="Q194" s="811" t="s">
        <v>10</v>
      </c>
      <c r="R194" s="1000">
        <f t="shared" si="56"/>
        <v>0</v>
      </c>
    </row>
    <row r="195" spans="1:21" ht="13">
      <c r="A195" s="2165"/>
      <c r="B195" s="997">
        <v>4</v>
      </c>
      <c r="C195" s="1010">
        <v>30</v>
      </c>
      <c r="D195" s="1007">
        <v>-0.2</v>
      </c>
      <c r="E195" s="1009" t="s">
        <v>10</v>
      </c>
      <c r="F195" s="1000">
        <f t="shared" si="54"/>
        <v>0</v>
      </c>
      <c r="H195" s="997">
        <v>4</v>
      </c>
      <c r="I195" s="1010">
        <v>60</v>
      </c>
      <c r="J195" s="1007">
        <v>-0.2</v>
      </c>
      <c r="K195" s="1009" t="s">
        <v>10</v>
      </c>
      <c r="L195" s="1000">
        <f t="shared" si="55"/>
        <v>0</v>
      </c>
      <c r="N195" s="997">
        <v>4</v>
      </c>
      <c r="O195" s="1010">
        <v>950</v>
      </c>
      <c r="P195" s="1008">
        <v>-0.9</v>
      </c>
      <c r="Q195" s="1009" t="s">
        <v>10</v>
      </c>
      <c r="R195" s="1000">
        <f t="shared" si="56"/>
        <v>0</v>
      </c>
    </row>
    <row r="196" spans="1:21" ht="13">
      <c r="A196" s="2165"/>
      <c r="B196" s="997">
        <v>5</v>
      </c>
      <c r="C196" s="1010">
        <v>35</v>
      </c>
      <c r="D196" s="1007">
        <v>-0.3</v>
      </c>
      <c r="E196" s="1009" t="s">
        <v>10</v>
      </c>
      <c r="F196" s="1000">
        <f t="shared" si="54"/>
        <v>0</v>
      </c>
      <c r="H196" s="997">
        <v>5</v>
      </c>
      <c r="I196" s="1010">
        <v>70</v>
      </c>
      <c r="J196" s="1007">
        <v>-0.3</v>
      </c>
      <c r="K196" s="1009" t="s">
        <v>10</v>
      </c>
      <c r="L196" s="1000">
        <f t="shared" si="55"/>
        <v>0</v>
      </c>
      <c r="N196" s="997">
        <v>5</v>
      </c>
      <c r="O196" s="1010">
        <v>1000</v>
      </c>
      <c r="P196" s="1008">
        <v>-0.8</v>
      </c>
      <c r="Q196" s="1009" t="s">
        <v>10</v>
      </c>
      <c r="R196" s="1000">
        <f t="shared" si="56"/>
        <v>0</v>
      </c>
    </row>
    <row r="197" spans="1:21" ht="13.5" thickBot="1">
      <c r="A197" s="2165"/>
      <c r="B197" s="997">
        <v>6</v>
      </c>
      <c r="C197" s="1010">
        <v>37</v>
      </c>
      <c r="D197" s="1007">
        <v>-0.3</v>
      </c>
      <c r="E197" s="1009" t="s">
        <v>10</v>
      </c>
      <c r="F197" s="1000">
        <f t="shared" si="54"/>
        <v>0</v>
      </c>
      <c r="H197" s="997">
        <v>6</v>
      </c>
      <c r="I197" s="1010">
        <v>80</v>
      </c>
      <c r="J197" s="1007">
        <v>-0.5</v>
      </c>
      <c r="K197" s="1009" t="s">
        <v>10</v>
      </c>
      <c r="L197" s="1000">
        <f t="shared" si="55"/>
        <v>0</v>
      </c>
      <c r="N197" s="997">
        <v>6</v>
      </c>
      <c r="O197" s="1016">
        <v>1005</v>
      </c>
      <c r="P197" s="1017">
        <v>-0.7</v>
      </c>
      <c r="Q197" s="1009" t="s">
        <v>10</v>
      </c>
      <c r="R197" s="1000">
        <f t="shared" si="56"/>
        <v>0</v>
      </c>
    </row>
    <row r="198" spans="1:21" ht="13.5" thickBot="1">
      <c r="A198" s="2166"/>
      <c r="B198" s="1011">
        <v>7</v>
      </c>
      <c r="C198" s="1042">
        <v>40</v>
      </c>
      <c r="D198" s="1012">
        <v>-0.4</v>
      </c>
      <c r="E198" s="1013" t="s">
        <v>10</v>
      </c>
      <c r="F198" s="1014">
        <f t="shared" si="54"/>
        <v>0</v>
      </c>
      <c r="G198" s="1015"/>
      <c r="H198" s="1011">
        <v>7</v>
      </c>
      <c r="I198" s="1042">
        <v>90</v>
      </c>
      <c r="J198" s="1012">
        <v>-0.8</v>
      </c>
      <c r="K198" s="1013" t="s">
        <v>10</v>
      </c>
      <c r="L198" s="1014">
        <f t="shared" si="55"/>
        <v>0</v>
      </c>
      <c r="M198" s="1015"/>
      <c r="N198" s="1011">
        <v>7</v>
      </c>
      <c r="O198" s="1016">
        <v>1020</v>
      </c>
      <c r="P198" s="1017">
        <v>0</v>
      </c>
      <c r="Q198" s="1013" t="s">
        <v>10</v>
      </c>
      <c r="R198" s="1014">
        <f t="shared" si="56"/>
        <v>0</v>
      </c>
    </row>
    <row r="199" spans="1:21" ht="13" thickBot="1">
      <c r="A199" s="1044"/>
      <c r="C199" s="1045"/>
      <c r="D199" s="1046"/>
      <c r="E199" s="1047"/>
      <c r="F199" s="959"/>
      <c r="I199" s="1045"/>
      <c r="J199" s="1046"/>
      <c r="K199" s="1047"/>
      <c r="L199" s="959"/>
      <c r="O199" s="1046"/>
      <c r="P199" s="1048"/>
      <c r="Q199" s="1047"/>
      <c r="R199" s="959"/>
    </row>
    <row r="200" spans="1:21" ht="13" thickBot="1">
      <c r="A200" s="2164">
        <v>19</v>
      </c>
      <c r="B200" s="2167" t="s">
        <v>98</v>
      </c>
      <c r="C200" s="2168"/>
      <c r="D200" s="2168"/>
      <c r="E200" s="2168"/>
      <c r="F200" s="2169"/>
      <c r="G200" s="791"/>
      <c r="H200" s="2167" t="str">
        <f>B200</f>
        <v>KOREKSI EXTECH A.100615</v>
      </c>
      <c r="I200" s="2168"/>
      <c r="J200" s="2168"/>
      <c r="K200" s="2168"/>
      <c r="L200" s="2169"/>
      <c r="M200" s="791"/>
      <c r="N200" s="2167" t="str">
        <f>H200</f>
        <v>KOREKSI EXTECH A.100615</v>
      </c>
      <c r="O200" s="2168"/>
      <c r="P200" s="2168"/>
      <c r="Q200" s="2168"/>
      <c r="R200" s="2169"/>
      <c r="T200" s="2141" t="s">
        <v>81</v>
      </c>
      <c r="U200" s="2142"/>
    </row>
    <row r="201" spans="1:21" ht="13.5" thickBot="1">
      <c r="A201" s="2165"/>
      <c r="B201" s="2143" t="s">
        <v>74</v>
      </c>
      <c r="C201" s="2144"/>
      <c r="D201" s="2145" t="s">
        <v>7</v>
      </c>
      <c r="E201" s="2146"/>
      <c r="F201" s="2147" t="s">
        <v>2</v>
      </c>
      <c r="H201" s="2143" t="s">
        <v>75</v>
      </c>
      <c r="I201" s="2144"/>
      <c r="J201" s="2145" t="s">
        <v>7</v>
      </c>
      <c r="K201" s="2146"/>
      <c r="L201" s="2147" t="s">
        <v>2</v>
      </c>
      <c r="N201" s="2143" t="s">
        <v>76</v>
      </c>
      <c r="O201" s="2144"/>
      <c r="P201" s="2145" t="s">
        <v>7</v>
      </c>
      <c r="Q201" s="2146"/>
      <c r="R201" s="2147" t="s">
        <v>2</v>
      </c>
      <c r="T201" s="996" t="s">
        <v>74</v>
      </c>
      <c r="U201" s="994">
        <v>0.1</v>
      </c>
    </row>
    <row r="202" spans="1:21" ht="15" thickBot="1">
      <c r="A202" s="2165"/>
      <c r="B202" s="2152" t="s">
        <v>77</v>
      </c>
      <c r="C202" s="2153"/>
      <c r="D202" s="1020">
        <v>2021</v>
      </c>
      <c r="E202" s="1035" t="s">
        <v>10</v>
      </c>
      <c r="F202" s="2148"/>
      <c r="H202" s="2154" t="s">
        <v>78</v>
      </c>
      <c r="I202" s="2155"/>
      <c r="J202" s="1021">
        <f>D202</f>
        <v>2021</v>
      </c>
      <c r="K202" s="1021" t="str">
        <f>E202</f>
        <v>-</v>
      </c>
      <c r="L202" s="2148"/>
      <c r="N202" s="2154" t="s">
        <v>79</v>
      </c>
      <c r="O202" s="2155"/>
      <c r="P202" s="1021">
        <f>J202</f>
        <v>2021</v>
      </c>
      <c r="Q202" s="1021" t="str">
        <f>K202</f>
        <v>-</v>
      </c>
      <c r="R202" s="2148"/>
      <c r="T202" s="996" t="s">
        <v>78</v>
      </c>
      <c r="U202" s="994">
        <v>1.5</v>
      </c>
    </row>
    <row r="203" spans="1:21" ht="13.5" thickBot="1">
      <c r="A203" s="2165"/>
      <c r="B203" s="997">
        <v>1</v>
      </c>
      <c r="C203" s="1001">
        <v>15</v>
      </c>
      <c r="D203" s="1028">
        <v>0</v>
      </c>
      <c r="E203" s="1036" t="s">
        <v>10</v>
      </c>
      <c r="F203" s="1023">
        <f t="shared" ref="F203:F209" si="57">0.5*(MAX(D203:E203)-MIN(D203:E203))</f>
        <v>0</v>
      </c>
      <c r="H203" s="997">
        <v>1</v>
      </c>
      <c r="I203" s="1001">
        <v>30</v>
      </c>
      <c r="J203" s="1028">
        <v>-1.5</v>
      </c>
      <c r="K203" s="1036" t="s">
        <v>10</v>
      </c>
      <c r="L203" s="1023">
        <f t="shared" ref="L203:L209" si="58">0.5*(MAX(J203:K203)-MIN(J203:K203))</f>
        <v>0</v>
      </c>
      <c r="N203" s="997">
        <v>1</v>
      </c>
      <c r="O203" s="1001">
        <v>750</v>
      </c>
      <c r="P203" s="1002">
        <v>2.5</v>
      </c>
      <c r="Q203" s="1036" t="s">
        <v>10</v>
      </c>
      <c r="R203" s="1023">
        <f t="shared" ref="R203:R209" si="59">0.5*(MAX(P203:Q203)-MIN(P203:Q203))</f>
        <v>0</v>
      </c>
      <c r="T203" s="1003" t="s">
        <v>79</v>
      </c>
      <c r="U203" s="1004">
        <v>0.4</v>
      </c>
    </row>
    <row r="204" spans="1:21" ht="13">
      <c r="A204" s="2165"/>
      <c r="B204" s="997">
        <v>2</v>
      </c>
      <c r="C204" s="1005">
        <v>20</v>
      </c>
      <c r="D204" s="998">
        <v>0.1</v>
      </c>
      <c r="E204" s="811" t="s">
        <v>10</v>
      </c>
      <c r="F204" s="1000">
        <f t="shared" si="57"/>
        <v>0</v>
      </c>
      <c r="H204" s="997">
        <v>2</v>
      </c>
      <c r="I204" s="1005">
        <v>40</v>
      </c>
      <c r="J204" s="998">
        <v>-0.8</v>
      </c>
      <c r="K204" s="811" t="s">
        <v>10</v>
      </c>
      <c r="L204" s="1000">
        <f t="shared" si="58"/>
        <v>0</v>
      </c>
      <c r="N204" s="997">
        <v>2</v>
      </c>
      <c r="O204" s="1005">
        <v>800</v>
      </c>
      <c r="P204" s="1006">
        <v>2.5</v>
      </c>
      <c r="Q204" s="811" t="s">
        <v>10</v>
      </c>
      <c r="R204" s="1000">
        <f t="shared" si="59"/>
        <v>0</v>
      </c>
    </row>
    <row r="205" spans="1:21" ht="13">
      <c r="A205" s="2165"/>
      <c r="B205" s="997">
        <v>3</v>
      </c>
      <c r="C205" s="1005">
        <v>25</v>
      </c>
      <c r="D205" s="998">
        <v>0</v>
      </c>
      <c r="E205" s="811" t="s">
        <v>10</v>
      </c>
      <c r="F205" s="1000">
        <f t="shared" si="57"/>
        <v>0</v>
      </c>
      <c r="H205" s="997">
        <v>3</v>
      </c>
      <c r="I205" s="1005">
        <v>50</v>
      </c>
      <c r="J205" s="998">
        <v>-0.2</v>
      </c>
      <c r="K205" s="811" t="s">
        <v>10</v>
      </c>
      <c r="L205" s="1000">
        <f t="shared" si="58"/>
        <v>0</v>
      </c>
      <c r="N205" s="997">
        <v>3</v>
      </c>
      <c r="O205" s="1005">
        <v>850</v>
      </c>
      <c r="P205" s="1006">
        <v>2.4</v>
      </c>
      <c r="Q205" s="811" t="s">
        <v>10</v>
      </c>
      <c r="R205" s="1000">
        <f t="shared" si="59"/>
        <v>0</v>
      </c>
    </row>
    <row r="206" spans="1:21" ht="13">
      <c r="A206" s="2165"/>
      <c r="B206" s="997">
        <v>4</v>
      </c>
      <c r="C206" s="1010">
        <v>30</v>
      </c>
      <c r="D206" s="1007">
        <v>-0.1</v>
      </c>
      <c r="E206" s="1009" t="s">
        <v>10</v>
      </c>
      <c r="F206" s="1000">
        <f t="shared" si="57"/>
        <v>0</v>
      </c>
      <c r="H206" s="997">
        <v>4</v>
      </c>
      <c r="I206" s="1010">
        <v>60</v>
      </c>
      <c r="J206" s="1007">
        <v>0.4</v>
      </c>
      <c r="K206" s="1009" t="s">
        <v>10</v>
      </c>
      <c r="L206" s="1000">
        <f t="shared" si="58"/>
        <v>0</v>
      </c>
      <c r="N206" s="997">
        <v>4</v>
      </c>
      <c r="O206" s="1010">
        <v>900</v>
      </c>
      <c r="P206" s="1008">
        <v>2.2999999999999998</v>
      </c>
      <c r="Q206" s="1009" t="s">
        <v>10</v>
      </c>
      <c r="R206" s="1000">
        <f t="shared" si="59"/>
        <v>0</v>
      </c>
    </row>
    <row r="207" spans="1:21" ht="13">
      <c r="A207" s="2165"/>
      <c r="B207" s="997">
        <v>5</v>
      </c>
      <c r="C207" s="1010">
        <v>35</v>
      </c>
      <c r="D207" s="1007">
        <v>-0.1</v>
      </c>
      <c r="E207" s="1009" t="s">
        <v>10</v>
      </c>
      <c r="F207" s="1000">
        <f t="shared" si="57"/>
        <v>0</v>
      </c>
      <c r="H207" s="997">
        <v>5</v>
      </c>
      <c r="I207" s="1010">
        <v>70</v>
      </c>
      <c r="J207" s="1007">
        <v>-0.7</v>
      </c>
      <c r="K207" s="1009" t="s">
        <v>10</v>
      </c>
      <c r="L207" s="1000">
        <f t="shared" si="58"/>
        <v>0</v>
      </c>
      <c r="N207" s="997">
        <v>5</v>
      </c>
      <c r="O207" s="1010">
        <v>1000</v>
      </c>
      <c r="P207" s="1008">
        <v>2.2000000000000002</v>
      </c>
      <c r="Q207" s="1009" t="s">
        <v>10</v>
      </c>
      <c r="R207" s="1000">
        <f t="shared" si="59"/>
        <v>0</v>
      </c>
    </row>
    <row r="208" spans="1:21" ht="13">
      <c r="A208" s="2165"/>
      <c r="B208" s="997">
        <v>6</v>
      </c>
      <c r="C208" s="1010">
        <v>37</v>
      </c>
      <c r="D208" s="1007">
        <v>0</v>
      </c>
      <c r="E208" s="1009" t="s">
        <v>10</v>
      </c>
      <c r="F208" s="1000">
        <f t="shared" si="57"/>
        <v>0</v>
      </c>
      <c r="H208" s="997">
        <v>6</v>
      </c>
      <c r="I208" s="1010">
        <v>80</v>
      </c>
      <c r="J208" s="1007">
        <v>-0.9</v>
      </c>
      <c r="K208" s="1009" t="s">
        <v>10</v>
      </c>
      <c r="L208" s="1000">
        <f t="shared" si="58"/>
        <v>0</v>
      </c>
      <c r="N208" s="997">
        <v>6</v>
      </c>
      <c r="O208" s="1010">
        <v>1005</v>
      </c>
      <c r="P208" s="1008">
        <v>2.2000000000000002</v>
      </c>
      <c r="Q208" s="1009" t="s">
        <v>10</v>
      </c>
      <c r="R208" s="1000">
        <f t="shared" si="59"/>
        <v>0</v>
      </c>
    </row>
    <row r="209" spans="1:23" ht="13.5" thickBot="1">
      <c r="A209" s="2166"/>
      <c r="B209" s="1011">
        <v>7</v>
      </c>
      <c r="C209" s="1042">
        <v>40</v>
      </c>
      <c r="D209" s="1012">
        <v>0.2</v>
      </c>
      <c r="E209" s="1013" t="s">
        <v>10</v>
      </c>
      <c r="F209" s="1014">
        <f t="shared" si="57"/>
        <v>0</v>
      </c>
      <c r="G209" s="1015"/>
      <c r="H209" s="1011">
        <v>7</v>
      </c>
      <c r="I209" s="1042">
        <v>90</v>
      </c>
      <c r="J209" s="1012">
        <v>-0.6</v>
      </c>
      <c r="K209" s="1013" t="s">
        <v>10</v>
      </c>
      <c r="L209" s="1014">
        <f t="shared" si="58"/>
        <v>0</v>
      </c>
      <c r="M209" s="1015"/>
      <c r="N209" s="1011">
        <v>7</v>
      </c>
      <c r="O209" s="1016">
        <v>1020</v>
      </c>
      <c r="P209" s="1017">
        <v>2.2999999999999998</v>
      </c>
      <c r="Q209" s="1013" t="s">
        <v>10</v>
      </c>
      <c r="R209" s="1014">
        <f t="shared" si="59"/>
        <v>0</v>
      </c>
    </row>
    <row r="210" spans="1:23" ht="13" thickBot="1">
      <c r="A210" s="1044"/>
      <c r="C210" s="1045"/>
      <c r="D210" s="1046"/>
      <c r="E210" s="1047"/>
      <c r="F210" s="959"/>
      <c r="I210" s="1045"/>
      <c r="J210" s="1046"/>
      <c r="K210" s="1047"/>
      <c r="L210" s="959"/>
      <c r="O210" s="1046"/>
      <c r="P210" s="1048"/>
      <c r="Q210" s="1047"/>
      <c r="R210" s="959"/>
    </row>
    <row r="211" spans="1:23" ht="13" thickBot="1">
      <c r="A211" s="2164">
        <v>20</v>
      </c>
      <c r="B211" s="2167">
        <v>20</v>
      </c>
      <c r="C211" s="2168"/>
      <c r="D211" s="2168"/>
      <c r="E211" s="2168"/>
      <c r="F211" s="2169"/>
      <c r="G211" s="791"/>
      <c r="H211" s="2167">
        <f>B211</f>
        <v>20</v>
      </c>
      <c r="I211" s="2168"/>
      <c r="J211" s="2168"/>
      <c r="K211" s="2168"/>
      <c r="L211" s="2169"/>
      <c r="M211" s="791"/>
      <c r="N211" s="2167">
        <f>H211</f>
        <v>20</v>
      </c>
      <c r="O211" s="2168"/>
      <c r="P211" s="2168"/>
      <c r="Q211" s="2168"/>
      <c r="R211" s="2169"/>
      <c r="T211" s="2141" t="s">
        <v>81</v>
      </c>
      <c r="U211" s="2142"/>
    </row>
    <row r="212" spans="1:23" ht="13.5" thickBot="1">
      <c r="A212" s="2165"/>
      <c r="B212" s="2143" t="s">
        <v>74</v>
      </c>
      <c r="C212" s="2144"/>
      <c r="D212" s="2145" t="s">
        <v>7</v>
      </c>
      <c r="E212" s="2146"/>
      <c r="F212" s="2147" t="s">
        <v>2</v>
      </c>
      <c r="H212" s="2143" t="s">
        <v>75</v>
      </c>
      <c r="I212" s="2144"/>
      <c r="J212" s="2145" t="s">
        <v>7</v>
      </c>
      <c r="K212" s="2146"/>
      <c r="L212" s="2147" t="s">
        <v>2</v>
      </c>
      <c r="N212" s="2143" t="s">
        <v>76</v>
      </c>
      <c r="O212" s="2144"/>
      <c r="P212" s="2145" t="s">
        <v>7</v>
      </c>
      <c r="Q212" s="2146"/>
      <c r="R212" s="2147" t="s">
        <v>2</v>
      </c>
      <c r="T212" s="996" t="s">
        <v>74</v>
      </c>
      <c r="U212" s="994">
        <v>0</v>
      </c>
    </row>
    <row r="213" spans="1:23" ht="15" thickBot="1">
      <c r="A213" s="2165"/>
      <c r="B213" s="2152" t="s">
        <v>77</v>
      </c>
      <c r="C213" s="2153"/>
      <c r="D213" s="1020">
        <v>2017</v>
      </c>
      <c r="E213" s="1035" t="s">
        <v>10</v>
      </c>
      <c r="F213" s="2148"/>
      <c r="H213" s="2154" t="s">
        <v>78</v>
      </c>
      <c r="I213" s="2155"/>
      <c r="J213" s="1021">
        <f>D213</f>
        <v>2017</v>
      </c>
      <c r="K213" s="1021" t="str">
        <f>E213</f>
        <v>-</v>
      </c>
      <c r="L213" s="2148"/>
      <c r="N213" s="2154" t="s">
        <v>79</v>
      </c>
      <c r="O213" s="2155"/>
      <c r="P213" s="1021">
        <f>J213</f>
        <v>2017</v>
      </c>
      <c r="Q213" s="1021" t="str">
        <f>K213</f>
        <v>-</v>
      </c>
      <c r="R213" s="2148"/>
      <c r="T213" s="996" t="s">
        <v>78</v>
      </c>
      <c r="U213" s="994">
        <v>0</v>
      </c>
    </row>
    <row r="214" spans="1:23" ht="13.5" thickBot="1">
      <c r="A214" s="2165"/>
      <c r="B214" s="997">
        <v>1</v>
      </c>
      <c r="C214" s="1001">
        <v>14.8</v>
      </c>
      <c r="D214" s="1028">
        <v>0</v>
      </c>
      <c r="E214" s="1036" t="s">
        <v>10</v>
      </c>
      <c r="F214" s="1023">
        <f t="shared" ref="F214:F220" si="60">0.5*(MAX(D214:E214)-MIN(D214:E214))</f>
        <v>0</v>
      </c>
      <c r="H214" s="997">
        <v>1</v>
      </c>
      <c r="I214" s="1001">
        <v>45.7</v>
      </c>
      <c r="J214" s="1028">
        <v>0</v>
      </c>
      <c r="K214" s="1036" t="s">
        <v>10</v>
      </c>
      <c r="L214" s="1023">
        <f t="shared" ref="L214:L220" si="61">0.5*(MAX(J214:K214)-MIN(J214:K214))</f>
        <v>0</v>
      </c>
      <c r="N214" s="997">
        <v>1</v>
      </c>
      <c r="O214" s="1001">
        <v>750</v>
      </c>
      <c r="P214" s="1002" t="s">
        <v>10</v>
      </c>
      <c r="Q214" s="1036" t="s">
        <v>10</v>
      </c>
      <c r="R214" s="1023">
        <f t="shared" ref="R214:R220" si="62">0.5*(MAX(P214:Q214)-MIN(P214:Q214))</f>
        <v>0</v>
      </c>
      <c r="T214" s="1003" t="s">
        <v>79</v>
      </c>
      <c r="U214" s="1004">
        <v>0</v>
      </c>
    </row>
    <row r="215" spans="1:23" ht="13">
      <c r="A215" s="2165"/>
      <c r="B215" s="997">
        <v>2</v>
      </c>
      <c r="C215" s="1005">
        <v>19.7</v>
      </c>
      <c r="D215" s="998">
        <v>0</v>
      </c>
      <c r="E215" s="811" t="s">
        <v>10</v>
      </c>
      <c r="F215" s="1000">
        <f t="shared" si="60"/>
        <v>0</v>
      </c>
      <c r="H215" s="997">
        <v>2</v>
      </c>
      <c r="I215" s="1005">
        <v>54.3</v>
      </c>
      <c r="J215" s="998">
        <v>0</v>
      </c>
      <c r="K215" s="811" t="s">
        <v>10</v>
      </c>
      <c r="L215" s="1000">
        <f t="shared" si="61"/>
        <v>0</v>
      </c>
      <c r="N215" s="997">
        <v>2</v>
      </c>
      <c r="O215" s="1005">
        <v>800</v>
      </c>
      <c r="P215" s="1006" t="s">
        <v>10</v>
      </c>
      <c r="Q215" s="811" t="s">
        <v>10</v>
      </c>
      <c r="R215" s="1000">
        <f t="shared" si="62"/>
        <v>0</v>
      </c>
    </row>
    <row r="216" spans="1:23" ht="13">
      <c r="A216" s="2165"/>
      <c r="B216" s="997">
        <v>3</v>
      </c>
      <c r="C216" s="1005">
        <v>24.6</v>
      </c>
      <c r="D216" s="998">
        <v>0</v>
      </c>
      <c r="E216" s="811" t="s">
        <v>10</v>
      </c>
      <c r="F216" s="1000">
        <f t="shared" si="60"/>
        <v>0</v>
      </c>
      <c r="H216" s="997">
        <v>3</v>
      </c>
      <c r="I216" s="1005">
        <v>62.5</v>
      </c>
      <c r="J216" s="998">
        <v>0</v>
      </c>
      <c r="K216" s="811" t="s">
        <v>10</v>
      </c>
      <c r="L216" s="1000">
        <f t="shared" si="61"/>
        <v>0</v>
      </c>
      <c r="N216" s="997">
        <v>3</v>
      </c>
      <c r="O216" s="1005">
        <v>850</v>
      </c>
      <c r="P216" s="1006" t="s">
        <v>10</v>
      </c>
      <c r="Q216" s="811" t="s">
        <v>10</v>
      </c>
      <c r="R216" s="1000">
        <f t="shared" si="62"/>
        <v>0</v>
      </c>
    </row>
    <row r="217" spans="1:23" ht="13">
      <c r="A217" s="2165"/>
      <c r="B217" s="997">
        <v>4</v>
      </c>
      <c r="C217" s="1010">
        <v>29.5</v>
      </c>
      <c r="D217" s="1007">
        <v>0</v>
      </c>
      <c r="E217" s="1009" t="s">
        <v>10</v>
      </c>
      <c r="F217" s="1000">
        <f t="shared" si="60"/>
        <v>0</v>
      </c>
      <c r="H217" s="997">
        <v>4</v>
      </c>
      <c r="I217" s="1010">
        <v>71.5</v>
      </c>
      <c r="J217" s="1007">
        <v>0</v>
      </c>
      <c r="K217" s="1009" t="s">
        <v>10</v>
      </c>
      <c r="L217" s="1000">
        <f t="shared" si="61"/>
        <v>0</v>
      </c>
      <c r="N217" s="997">
        <v>4</v>
      </c>
      <c r="O217" s="1010">
        <v>900</v>
      </c>
      <c r="P217" s="1008" t="s">
        <v>10</v>
      </c>
      <c r="Q217" s="1009" t="s">
        <v>10</v>
      </c>
      <c r="R217" s="1000">
        <f t="shared" si="62"/>
        <v>0</v>
      </c>
    </row>
    <row r="218" spans="1:23" ht="13">
      <c r="A218" s="2165"/>
      <c r="B218" s="997">
        <v>5</v>
      </c>
      <c r="C218" s="1010">
        <v>34.5</v>
      </c>
      <c r="D218" s="1007">
        <v>0</v>
      </c>
      <c r="E218" s="1009" t="s">
        <v>10</v>
      </c>
      <c r="F218" s="1000">
        <f t="shared" si="60"/>
        <v>0</v>
      </c>
      <c r="H218" s="997">
        <v>5</v>
      </c>
      <c r="I218" s="1010">
        <v>80.8</v>
      </c>
      <c r="J218" s="1007">
        <v>0</v>
      </c>
      <c r="K218" s="1009" t="s">
        <v>10</v>
      </c>
      <c r="L218" s="1000">
        <f t="shared" si="61"/>
        <v>0</v>
      </c>
      <c r="N218" s="997">
        <v>5</v>
      </c>
      <c r="O218" s="1010">
        <v>1000</v>
      </c>
      <c r="P218" s="1008" t="s">
        <v>10</v>
      </c>
      <c r="Q218" s="1009" t="s">
        <v>10</v>
      </c>
      <c r="R218" s="1000">
        <f t="shared" si="62"/>
        <v>0</v>
      </c>
    </row>
    <row r="219" spans="1:23" ht="13">
      <c r="A219" s="2165"/>
      <c r="B219" s="997">
        <v>6</v>
      </c>
      <c r="C219" s="1010">
        <v>39.5</v>
      </c>
      <c r="D219" s="1007">
        <v>0</v>
      </c>
      <c r="E219" s="1009" t="s">
        <v>10</v>
      </c>
      <c r="F219" s="1000">
        <f t="shared" si="60"/>
        <v>0</v>
      </c>
      <c r="H219" s="997">
        <v>6</v>
      </c>
      <c r="I219" s="1010">
        <v>88.7</v>
      </c>
      <c r="J219" s="1007">
        <v>0</v>
      </c>
      <c r="K219" s="1009" t="s">
        <v>10</v>
      </c>
      <c r="L219" s="1000">
        <f t="shared" si="61"/>
        <v>0</v>
      </c>
      <c r="N219" s="997">
        <v>6</v>
      </c>
      <c r="O219" s="1010">
        <v>1005</v>
      </c>
      <c r="P219" s="1008" t="s">
        <v>10</v>
      </c>
      <c r="Q219" s="1009" t="s">
        <v>10</v>
      </c>
      <c r="R219" s="1000">
        <f t="shared" si="62"/>
        <v>0</v>
      </c>
    </row>
    <row r="220" spans="1:23" ht="13.5" thickBot="1">
      <c r="A220" s="2166"/>
      <c r="B220" s="1011">
        <v>7</v>
      </c>
      <c r="C220" s="1042">
        <v>40</v>
      </c>
      <c r="D220" s="1012">
        <v>0</v>
      </c>
      <c r="E220" s="1013" t="s">
        <v>10</v>
      </c>
      <c r="F220" s="1014">
        <f t="shared" si="60"/>
        <v>0</v>
      </c>
      <c r="G220" s="1015"/>
      <c r="H220" s="1011">
        <v>7</v>
      </c>
      <c r="I220" s="1042">
        <v>90</v>
      </c>
      <c r="J220" s="1012">
        <v>0</v>
      </c>
      <c r="K220" s="1013" t="s">
        <v>10</v>
      </c>
      <c r="L220" s="1014">
        <f t="shared" si="61"/>
        <v>0</v>
      </c>
      <c r="M220" s="1015"/>
      <c r="N220" s="1011">
        <v>7</v>
      </c>
      <c r="O220" s="1016">
        <v>1020</v>
      </c>
      <c r="P220" s="1017" t="s">
        <v>10</v>
      </c>
      <c r="Q220" s="1013" t="s">
        <v>10</v>
      </c>
      <c r="R220" s="1014">
        <f t="shared" si="62"/>
        <v>0</v>
      </c>
    </row>
    <row r="221" spans="1:23" ht="13.5" thickBot="1">
      <c r="A221" s="1049"/>
      <c r="B221" s="2151"/>
      <c r="C221" s="2151"/>
      <c r="D221" s="2151"/>
      <c r="E221" s="2151"/>
      <c r="F221" s="2151"/>
      <c r="G221" s="2151"/>
      <c r="H221" s="2151"/>
      <c r="I221" s="2151"/>
      <c r="J221" s="2151"/>
      <c r="K221" s="2151"/>
      <c r="L221" s="2151"/>
      <c r="M221" s="2151"/>
      <c r="N221" s="2151"/>
      <c r="O221" s="2151"/>
      <c r="P221" s="2151"/>
      <c r="Q221" s="2151"/>
      <c r="R221" s="2151"/>
      <c r="S221" s="2151"/>
      <c r="T221" s="2151"/>
      <c r="U221" s="2151"/>
    </row>
    <row r="222" spans="1:23" ht="13">
      <c r="A222" s="828"/>
      <c r="B222" s="828"/>
      <c r="C222" s="828"/>
      <c r="D222" s="828"/>
      <c r="E222" s="828"/>
      <c r="F222" s="828"/>
      <c r="G222" s="828"/>
      <c r="H222" s="828"/>
      <c r="I222" s="828"/>
      <c r="J222" s="828"/>
      <c r="K222" s="828"/>
      <c r="L222" s="828"/>
      <c r="M222" s="828"/>
      <c r="N222" s="828"/>
      <c r="O222" s="828"/>
      <c r="P222" s="828"/>
    </row>
    <row r="223" spans="1:23" ht="12.75" hidden="1" customHeight="1">
      <c r="A223" s="2156" t="s">
        <v>99</v>
      </c>
      <c r="B223" s="2158" t="s">
        <v>100</v>
      </c>
      <c r="C223" s="2160" t="s">
        <v>101</v>
      </c>
      <c r="D223" s="2160"/>
      <c r="E223" s="2160"/>
      <c r="F223" s="2160"/>
      <c r="G223" s="266"/>
      <c r="H223" s="2161" t="s">
        <v>99</v>
      </c>
      <c r="I223" s="2158" t="s">
        <v>100</v>
      </c>
      <c r="J223" s="2160" t="s">
        <v>101</v>
      </c>
      <c r="K223" s="2160"/>
      <c r="L223" s="2160"/>
      <c r="M223" s="2160"/>
      <c r="N223" s="265"/>
      <c r="O223" s="2161" t="s">
        <v>99</v>
      </c>
      <c r="P223" s="2158" t="s">
        <v>100</v>
      </c>
      <c r="Q223" s="2160" t="s">
        <v>101</v>
      </c>
      <c r="R223" s="2160"/>
      <c r="S223" s="2160"/>
      <c r="T223" s="2163"/>
      <c r="V223" s="2135" t="s">
        <v>81</v>
      </c>
      <c r="W223" s="2136"/>
    </row>
    <row r="224" spans="1:23" ht="13.5" hidden="1">
      <c r="A224" s="2157"/>
      <c r="B224" s="2159"/>
      <c r="C224" s="1050" t="s">
        <v>74</v>
      </c>
      <c r="D224" s="2149" t="s">
        <v>7</v>
      </c>
      <c r="E224" s="2149"/>
      <c r="F224" s="2149" t="s">
        <v>2</v>
      </c>
      <c r="G224" s="828"/>
      <c r="H224" s="2162"/>
      <c r="I224" s="2159"/>
      <c r="J224" s="1050" t="s">
        <v>75</v>
      </c>
      <c r="K224" s="2149" t="s">
        <v>7</v>
      </c>
      <c r="L224" s="2149"/>
      <c r="M224" s="2149" t="s">
        <v>2</v>
      </c>
      <c r="N224" s="828"/>
      <c r="O224" s="2162"/>
      <c r="P224" s="2159"/>
      <c r="Q224" s="1050" t="s">
        <v>76</v>
      </c>
      <c r="R224" s="2149" t="s">
        <v>7</v>
      </c>
      <c r="S224" s="2149"/>
      <c r="T224" s="2150" t="s">
        <v>2</v>
      </c>
      <c r="V224" s="2137" t="s">
        <v>74</v>
      </c>
      <c r="W224" s="2138"/>
    </row>
    <row r="225" spans="1:23" ht="14" hidden="1">
      <c r="A225" s="2157"/>
      <c r="B225" s="2159"/>
      <c r="C225" s="1051" t="s">
        <v>102</v>
      </c>
      <c r="D225" s="1050"/>
      <c r="E225" s="1050"/>
      <c r="F225" s="2149"/>
      <c r="G225" s="828"/>
      <c r="H225" s="2162"/>
      <c r="I225" s="2159"/>
      <c r="J225" s="1051" t="s">
        <v>78</v>
      </c>
      <c r="K225" s="1050"/>
      <c r="L225" s="1050"/>
      <c r="M225" s="2149"/>
      <c r="N225" s="828"/>
      <c r="O225" s="2162"/>
      <c r="P225" s="2159"/>
      <c r="Q225" s="1051" t="s">
        <v>79</v>
      </c>
      <c r="R225" s="1050"/>
      <c r="S225" s="1050"/>
      <c r="T225" s="2150"/>
      <c r="V225" s="1052">
        <v>1</v>
      </c>
      <c r="W225" s="1053">
        <f>U3</f>
        <v>3.1</v>
      </c>
    </row>
    <row r="226" spans="1:23" ht="13" hidden="1">
      <c r="A226" s="2139">
        <v>1</v>
      </c>
      <c r="B226" s="1054">
        <v>1</v>
      </c>
      <c r="C226" s="1055">
        <f>C5</f>
        <v>15</v>
      </c>
      <c r="D226" s="1055">
        <f t="shared" ref="D226:F226" si="63">D5</f>
        <v>-0.5</v>
      </c>
      <c r="E226" s="1055">
        <f t="shared" si="63"/>
        <v>0.3</v>
      </c>
      <c r="F226" s="1055">
        <f t="shared" si="63"/>
        <v>0.4</v>
      </c>
      <c r="G226" s="828"/>
      <c r="H226" s="2140">
        <v>1</v>
      </c>
      <c r="I226" s="1054">
        <v>1</v>
      </c>
      <c r="J226" s="1055">
        <f>I5</f>
        <v>35</v>
      </c>
      <c r="K226" s="1055">
        <f t="shared" ref="K226:M226" si="64">J5</f>
        <v>-6</v>
      </c>
      <c r="L226" s="1055">
        <f t="shared" si="64"/>
        <v>-9.4</v>
      </c>
      <c r="M226" s="1055">
        <f t="shared" si="64"/>
        <v>1.7000000000000002</v>
      </c>
      <c r="N226" s="828"/>
      <c r="O226" s="2140">
        <v>1</v>
      </c>
      <c r="P226" s="1054">
        <v>1</v>
      </c>
      <c r="Q226" s="1055">
        <f>O5</f>
        <v>750</v>
      </c>
      <c r="R226" s="1055" t="str">
        <f t="shared" ref="R226:T226" si="65">P5</f>
        <v>-</v>
      </c>
      <c r="S226" s="1055" t="str">
        <f t="shared" si="65"/>
        <v>-</v>
      </c>
      <c r="T226" s="1056">
        <f t="shared" si="65"/>
        <v>0</v>
      </c>
      <c r="V226" s="1057">
        <v>2</v>
      </c>
      <c r="W226" s="1058">
        <f>U14</f>
        <v>0.8</v>
      </c>
    </row>
    <row r="227" spans="1:23" ht="13" hidden="1">
      <c r="A227" s="2130"/>
      <c r="B227" s="1054">
        <v>2</v>
      </c>
      <c r="C227" s="1055">
        <f>C16</f>
        <v>15</v>
      </c>
      <c r="D227" s="1055">
        <f t="shared" ref="D227:F227" si="66">D16</f>
        <v>0.4</v>
      </c>
      <c r="E227" s="1055">
        <f t="shared" si="66"/>
        <v>0</v>
      </c>
      <c r="F227" s="1055">
        <f t="shared" si="66"/>
        <v>0.2</v>
      </c>
      <c r="G227" s="828"/>
      <c r="H227" s="2133"/>
      <c r="I227" s="1054">
        <v>2</v>
      </c>
      <c r="J227" s="1055">
        <f>I16</f>
        <v>35</v>
      </c>
      <c r="K227" s="1055">
        <f t="shared" ref="K227:M227" si="67">J16</f>
        <v>-6.9</v>
      </c>
      <c r="L227" s="1055">
        <f t="shared" si="67"/>
        <v>-1.6</v>
      </c>
      <c r="M227" s="1055">
        <f t="shared" si="67"/>
        <v>2.6500000000000004</v>
      </c>
      <c r="N227" s="828"/>
      <c r="O227" s="2133"/>
      <c r="P227" s="1054">
        <v>2</v>
      </c>
      <c r="Q227" s="1055">
        <f>O16</f>
        <v>750</v>
      </c>
      <c r="R227" s="1055" t="str">
        <f t="shared" ref="R227:T227" si="68">P16</f>
        <v>-</v>
      </c>
      <c r="S227" s="1055" t="str">
        <f t="shared" si="68"/>
        <v>-</v>
      </c>
      <c r="T227" s="1056">
        <f t="shared" si="68"/>
        <v>0</v>
      </c>
      <c r="V227" s="1057">
        <v>3</v>
      </c>
      <c r="W227" s="1059">
        <f>U25</f>
        <v>0.5</v>
      </c>
    </row>
    <row r="228" spans="1:23" ht="13" hidden="1">
      <c r="A228" s="2130"/>
      <c r="B228" s="1054">
        <v>3</v>
      </c>
      <c r="C228" s="1055">
        <f>C27</f>
        <v>15</v>
      </c>
      <c r="D228" s="1055">
        <f t="shared" ref="D228:F228" si="69">D27</f>
        <v>0.4</v>
      </c>
      <c r="E228" s="1055">
        <f t="shared" si="69"/>
        <v>0</v>
      </c>
      <c r="F228" s="1055">
        <f t="shared" si="69"/>
        <v>0.2</v>
      </c>
      <c r="G228" s="828"/>
      <c r="H228" s="2133"/>
      <c r="I228" s="1054">
        <v>3</v>
      </c>
      <c r="J228" s="1055">
        <f>I27</f>
        <v>30</v>
      </c>
      <c r="K228" s="1055">
        <f t="shared" ref="K228:M228" si="70">J27</f>
        <v>-7.3</v>
      </c>
      <c r="L228" s="1055">
        <f t="shared" si="70"/>
        <v>-5.7</v>
      </c>
      <c r="M228" s="1055">
        <f t="shared" si="70"/>
        <v>0.79999999999999982</v>
      </c>
      <c r="N228" s="828"/>
      <c r="O228" s="2133"/>
      <c r="P228" s="1054">
        <v>3</v>
      </c>
      <c r="Q228" s="1055">
        <f>O27</f>
        <v>750</v>
      </c>
      <c r="R228" s="1055" t="str">
        <f t="shared" ref="R228:T228" si="71">P27</f>
        <v>-</v>
      </c>
      <c r="S228" s="1055" t="str">
        <f t="shared" si="71"/>
        <v>-</v>
      </c>
      <c r="T228" s="1056">
        <f t="shared" si="71"/>
        <v>0</v>
      </c>
      <c r="V228" s="1057">
        <v>4</v>
      </c>
      <c r="W228" s="1059">
        <f>U37</f>
        <v>0.3</v>
      </c>
    </row>
    <row r="229" spans="1:23" ht="13" hidden="1">
      <c r="A229" s="2130"/>
      <c r="B229" s="1054">
        <v>4</v>
      </c>
      <c r="C229" s="1060">
        <f>C38</f>
        <v>15</v>
      </c>
      <c r="D229" s="1060">
        <f t="shared" ref="D229:F229" si="72">D38</f>
        <v>-0.2</v>
      </c>
      <c r="E229" s="1060">
        <f t="shared" si="72"/>
        <v>-0.1</v>
      </c>
      <c r="F229" s="1060">
        <f t="shared" si="72"/>
        <v>0.05</v>
      </c>
      <c r="G229" s="828"/>
      <c r="H229" s="2133"/>
      <c r="I229" s="1054">
        <v>4</v>
      </c>
      <c r="J229" s="1060">
        <f>I38</f>
        <v>35</v>
      </c>
      <c r="K229" s="1060">
        <f t="shared" ref="K229:M229" si="73">J38</f>
        <v>-4.5</v>
      </c>
      <c r="L229" s="1060">
        <f t="shared" si="73"/>
        <v>-1.7</v>
      </c>
      <c r="M229" s="1060">
        <f t="shared" si="73"/>
        <v>1.4</v>
      </c>
      <c r="N229" s="828"/>
      <c r="O229" s="2133"/>
      <c r="P229" s="1054">
        <v>4</v>
      </c>
      <c r="Q229" s="1060">
        <f>O38</f>
        <v>750</v>
      </c>
      <c r="R229" s="1060" t="str">
        <f t="shared" ref="R229:T229" si="74">P38</f>
        <v>-</v>
      </c>
      <c r="S229" s="1060" t="str">
        <f t="shared" si="74"/>
        <v>-</v>
      </c>
      <c r="T229" s="1061">
        <f t="shared" si="74"/>
        <v>0</v>
      </c>
      <c r="V229" s="1057">
        <v>5</v>
      </c>
      <c r="W229" s="1059">
        <f>U47</f>
        <v>0.4</v>
      </c>
    </row>
    <row r="230" spans="1:23" ht="13" hidden="1">
      <c r="A230" s="2130"/>
      <c r="B230" s="1054">
        <v>5</v>
      </c>
      <c r="C230" s="1060">
        <f>C49</f>
        <v>15</v>
      </c>
      <c r="D230" s="1060">
        <f t="shared" ref="D230:F230" si="75">D49</f>
        <v>-0.3</v>
      </c>
      <c r="E230" s="1060">
        <f t="shared" si="75"/>
        <v>0.3</v>
      </c>
      <c r="F230" s="1060">
        <f t="shared" si="75"/>
        <v>0.3</v>
      </c>
      <c r="G230" s="828"/>
      <c r="H230" s="2133"/>
      <c r="I230" s="1054">
        <v>5</v>
      </c>
      <c r="J230" s="1060">
        <f>I49</f>
        <v>35</v>
      </c>
      <c r="K230" s="1060">
        <f t="shared" ref="K230:M230" si="76">J49</f>
        <v>-7.7</v>
      </c>
      <c r="L230" s="1060">
        <f t="shared" si="76"/>
        <v>-9.6</v>
      </c>
      <c r="M230" s="1060">
        <f t="shared" si="76"/>
        <v>0.94999999999999973</v>
      </c>
      <c r="N230" s="828"/>
      <c r="O230" s="2133"/>
      <c r="P230" s="1054">
        <v>5</v>
      </c>
      <c r="Q230" s="1060">
        <f>O49</f>
        <v>750</v>
      </c>
      <c r="R230" s="1060" t="str">
        <f t="shared" ref="R230:T230" si="77">P49</f>
        <v>-</v>
      </c>
      <c r="S230" s="1060" t="str">
        <f t="shared" si="77"/>
        <v>-</v>
      </c>
      <c r="T230" s="1061">
        <f t="shared" si="77"/>
        <v>0</v>
      </c>
      <c r="V230" s="1052">
        <v>6</v>
      </c>
      <c r="W230" s="1053">
        <f>U58</f>
        <v>0.8</v>
      </c>
    </row>
    <row r="231" spans="1:23" ht="13" hidden="1">
      <c r="A231" s="2130"/>
      <c r="B231" s="1054">
        <v>6</v>
      </c>
      <c r="C231" s="1060">
        <f>C60</f>
        <v>15</v>
      </c>
      <c r="D231" s="1060">
        <f t="shared" ref="D231:F231" si="78">D60</f>
        <v>0.4</v>
      </c>
      <c r="E231" s="1060">
        <f t="shared" si="78"/>
        <v>0.4</v>
      </c>
      <c r="F231" s="1060">
        <f t="shared" si="78"/>
        <v>0</v>
      </c>
      <c r="G231" s="828"/>
      <c r="H231" s="2133"/>
      <c r="I231" s="1054">
        <v>6</v>
      </c>
      <c r="J231" s="1060">
        <f>I60</f>
        <v>30</v>
      </c>
      <c r="K231" s="1060">
        <f t="shared" ref="K231:M231" si="79">J60</f>
        <v>-1.5</v>
      </c>
      <c r="L231" s="1060">
        <f t="shared" si="79"/>
        <v>1.7</v>
      </c>
      <c r="M231" s="1060">
        <f t="shared" si="79"/>
        <v>1.6</v>
      </c>
      <c r="N231" s="828"/>
      <c r="O231" s="2133"/>
      <c r="P231" s="1054">
        <v>6</v>
      </c>
      <c r="Q231" s="1060">
        <f>O60</f>
        <v>750</v>
      </c>
      <c r="R231" s="1060">
        <f t="shared" ref="R231:T231" si="80">P60</f>
        <v>0.9</v>
      </c>
      <c r="S231" s="1060">
        <f t="shared" si="80"/>
        <v>2.1</v>
      </c>
      <c r="T231" s="1061">
        <f t="shared" si="80"/>
        <v>0.60000000000000009</v>
      </c>
      <c r="V231" s="1052">
        <v>7</v>
      </c>
      <c r="W231" s="1053">
        <f>U69</f>
        <v>0.2</v>
      </c>
    </row>
    <row r="232" spans="1:23" ht="13" hidden="1">
      <c r="A232" s="2130"/>
      <c r="B232" s="1054">
        <v>7</v>
      </c>
      <c r="C232" s="1060">
        <f>C71</f>
        <v>15</v>
      </c>
      <c r="D232" s="1060">
        <f t="shared" ref="D232:F232" si="81">D71</f>
        <v>0.1</v>
      </c>
      <c r="E232" s="1060">
        <f t="shared" si="81"/>
        <v>0.3</v>
      </c>
      <c r="F232" s="1060">
        <f t="shared" si="81"/>
        <v>9.9999999999999992E-2</v>
      </c>
      <c r="G232" s="828"/>
      <c r="H232" s="2133"/>
      <c r="I232" s="1054">
        <v>7</v>
      </c>
      <c r="J232" s="1060">
        <f>I71</f>
        <v>30</v>
      </c>
      <c r="K232" s="1060">
        <f t="shared" ref="K232:M232" si="82">J71</f>
        <v>-1.9</v>
      </c>
      <c r="L232" s="1060">
        <f t="shared" si="82"/>
        <v>1.8</v>
      </c>
      <c r="M232" s="1060">
        <f t="shared" si="82"/>
        <v>1.85</v>
      </c>
      <c r="N232" s="828"/>
      <c r="O232" s="2133"/>
      <c r="P232" s="1054">
        <v>7</v>
      </c>
      <c r="Q232" s="1060">
        <f>O71</f>
        <v>750</v>
      </c>
      <c r="R232" s="1060">
        <f t="shared" ref="R232:T232" si="83">P71</f>
        <v>0</v>
      </c>
      <c r="S232" s="1060">
        <f t="shared" si="83"/>
        <v>3.2</v>
      </c>
      <c r="T232" s="1061">
        <f t="shared" si="83"/>
        <v>1.6</v>
      </c>
      <c r="V232" s="1052">
        <v>8</v>
      </c>
      <c r="W232" s="1053">
        <f>U80</f>
        <v>0.3</v>
      </c>
    </row>
    <row r="233" spans="1:23" ht="13" hidden="1">
      <c r="A233" s="2130"/>
      <c r="B233" s="1054">
        <v>8</v>
      </c>
      <c r="C233" s="1060">
        <f>C82</f>
        <v>15</v>
      </c>
      <c r="D233" s="1060">
        <f t="shared" ref="D233:F233" si="84">D82</f>
        <v>0.1</v>
      </c>
      <c r="E233" s="1060">
        <f t="shared" si="84"/>
        <v>0</v>
      </c>
      <c r="F233" s="1060">
        <f t="shared" si="84"/>
        <v>0.05</v>
      </c>
      <c r="G233" s="828"/>
      <c r="H233" s="2133"/>
      <c r="I233" s="1054">
        <v>8</v>
      </c>
      <c r="J233" s="1060">
        <f>I82</f>
        <v>30</v>
      </c>
      <c r="K233" s="1060">
        <f t="shared" ref="K233:M233" si="85">J82</f>
        <v>-4</v>
      </c>
      <c r="L233" s="1060">
        <f t="shared" si="85"/>
        <v>-1.4</v>
      </c>
      <c r="M233" s="1060">
        <f t="shared" si="85"/>
        <v>1.3</v>
      </c>
      <c r="N233" s="828"/>
      <c r="O233" s="2133"/>
      <c r="P233" s="1054">
        <v>8</v>
      </c>
      <c r="Q233" s="1060">
        <f>O82</f>
        <v>750</v>
      </c>
      <c r="R233" s="1060">
        <f t="shared" ref="R233:T233" si="86">P82</f>
        <v>0</v>
      </c>
      <c r="S233" s="1060">
        <f t="shared" si="86"/>
        <v>0</v>
      </c>
      <c r="T233" s="1061">
        <f t="shared" si="86"/>
        <v>0</v>
      </c>
      <c r="V233" s="1052">
        <v>9</v>
      </c>
      <c r="W233" s="1053">
        <f>U91</f>
        <v>0.3</v>
      </c>
    </row>
    <row r="234" spans="1:23" ht="13" hidden="1">
      <c r="A234" s="2130"/>
      <c r="B234" s="1054">
        <v>9</v>
      </c>
      <c r="C234" s="1060">
        <f>C93</f>
        <v>15</v>
      </c>
      <c r="D234" s="1060">
        <f t="shared" ref="D234:F234" si="87">D93</f>
        <v>0</v>
      </c>
      <c r="E234" s="1060" t="str">
        <f t="shared" si="87"/>
        <v>-</v>
      </c>
      <c r="F234" s="1060">
        <f t="shared" si="87"/>
        <v>0</v>
      </c>
      <c r="G234" s="828"/>
      <c r="H234" s="2133"/>
      <c r="I234" s="1054">
        <v>9</v>
      </c>
      <c r="J234" s="1060">
        <f>I93</f>
        <v>30</v>
      </c>
      <c r="K234" s="1060">
        <f t="shared" ref="K234:M234" si="88">J93</f>
        <v>-1.2</v>
      </c>
      <c r="L234" s="1060" t="str">
        <f t="shared" si="88"/>
        <v>-</v>
      </c>
      <c r="M234" s="1060">
        <f t="shared" si="88"/>
        <v>0</v>
      </c>
      <c r="N234" s="828"/>
      <c r="O234" s="2133"/>
      <c r="P234" s="1054">
        <v>9</v>
      </c>
      <c r="Q234" s="1060">
        <f>O93</f>
        <v>750</v>
      </c>
      <c r="R234" s="1060">
        <f t="shared" ref="R234:T234" si="89">P93</f>
        <v>0</v>
      </c>
      <c r="S234" s="1060" t="str">
        <f t="shared" si="89"/>
        <v>-</v>
      </c>
      <c r="T234" s="1061">
        <f t="shared" si="89"/>
        <v>0</v>
      </c>
      <c r="V234" s="1052">
        <v>10</v>
      </c>
      <c r="W234" s="1053">
        <f>U102</f>
        <v>0.3</v>
      </c>
    </row>
    <row r="235" spans="1:23" ht="13" hidden="1">
      <c r="A235" s="2130"/>
      <c r="B235" s="1054">
        <v>10</v>
      </c>
      <c r="C235" s="1060">
        <f>C104</f>
        <v>15</v>
      </c>
      <c r="D235" s="1060">
        <f t="shared" ref="D235:F235" si="90">D104</f>
        <v>0.2</v>
      </c>
      <c r="E235" s="1060">
        <f t="shared" si="90"/>
        <v>0.2</v>
      </c>
      <c r="F235" s="1060">
        <f t="shared" si="90"/>
        <v>0</v>
      </c>
      <c r="G235" s="828"/>
      <c r="H235" s="2133"/>
      <c r="I235" s="1054">
        <v>10</v>
      </c>
      <c r="J235" s="1060">
        <f>I104</f>
        <v>30</v>
      </c>
      <c r="K235" s="1060">
        <f t="shared" ref="K235:M235" si="91">J104</f>
        <v>-2.9</v>
      </c>
      <c r="L235" s="1060">
        <f t="shared" si="91"/>
        <v>-5.8</v>
      </c>
      <c r="M235" s="1060">
        <f t="shared" si="91"/>
        <v>1.45</v>
      </c>
      <c r="N235" s="828"/>
      <c r="O235" s="2133"/>
      <c r="P235" s="1054">
        <v>10</v>
      </c>
      <c r="Q235" s="1060">
        <f>O104</f>
        <v>750</v>
      </c>
      <c r="R235" s="1060" t="str">
        <f t="shared" ref="R235:T235" si="92">P104</f>
        <v>-</v>
      </c>
      <c r="S235" s="1060" t="str">
        <f t="shared" si="92"/>
        <v>-</v>
      </c>
      <c r="T235" s="1061">
        <f t="shared" si="92"/>
        <v>0</v>
      </c>
      <c r="V235" s="1052">
        <v>11</v>
      </c>
      <c r="W235" s="1053">
        <f>U113</f>
        <v>0.3</v>
      </c>
    </row>
    <row r="236" spans="1:23" ht="13" hidden="1">
      <c r="A236" s="2130"/>
      <c r="B236" s="1054">
        <v>11</v>
      </c>
      <c r="C236" s="1060">
        <f>C115</f>
        <v>15</v>
      </c>
      <c r="D236" s="1060">
        <f t="shared" ref="D236:F236" si="93">D115</f>
        <v>0.3</v>
      </c>
      <c r="E236" s="1060">
        <f t="shared" si="93"/>
        <v>0.3</v>
      </c>
      <c r="F236" s="1060">
        <f t="shared" si="93"/>
        <v>0</v>
      </c>
      <c r="G236" s="828"/>
      <c r="H236" s="2133"/>
      <c r="I236" s="1054">
        <v>11</v>
      </c>
      <c r="J236" s="1060">
        <f>I115</f>
        <v>30</v>
      </c>
      <c r="K236" s="1060">
        <f t="shared" ref="K236:M236" si="94">J115</f>
        <v>-5.2</v>
      </c>
      <c r="L236" s="1060">
        <f t="shared" si="94"/>
        <v>-6.4</v>
      </c>
      <c r="M236" s="1060">
        <f t="shared" si="94"/>
        <v>0.60000000000000009</v>
      </c>
      <c r="N236" s="828"/>
      <c r="O236" s="2133"/>
      <c r="P236" s="1054">
        <v>11</v>
      </c>
      <c r="Q236" s="1060">
        <f>O115</f>
        <v>750</v>
      </c>
      <c r="R236" s="1060" t="str">
        <f t="shared" ref="R236:T236" si="95">P115</f>
        <v>-</v>
      </c>
      <c r="S236" s="1060" t="str">
        <f t="shared" si="95"/>
        <v>-</v>
      </c>
      <c r="T236" s="1061">
        <f t="shared" si="95"/>
        <v>0</v>
      </c>
      <c r="V236" s="1052">
        <v>12</v>
      </c>
      <c r="W236" s="1053">
        <f>U124</f>
        <v>0.3</v>
      </c>
    </row>
    <row r="237" spans="1:23" ht="13" hidden="1">
      <c r="A237" s="2130"/>
      <c r="B237" s="1054">
        <v>12</v>
      </c>
      <c r="C237" s="1060">
        <f>C126</f>
        <v>15</v>
      </c>
      <c r="D237" s="1060">
        <f t="shared" ref="D237:F237" si="96">D126</f>
        <v>0</v>
      </c>
      <c r="E237" s="1060" t="str">
        <f t="shared" si="96"/>
        <v>-</v>
      </c>
      <c r="F237" s="1060">
        <f t="shared" si="96"/>
        <v>0</v>
      </c>
      <c r="G237" s="828"/>
      <c r="H237" s="2133"/>
      <c r="I237" s="1054">
        <v>12</v>
      </c>
      <c r="J237" s="1060">
        <f>I126</f>
        <v>30</v>
      </c>
      <c r="K237" s="1060">
        <f t="shared" ref="K237:M237" si="97">J126</f>
        <v>-0.4</v>
      </c>
      <c r="L237" s="1060" t="str">
        <f t="shared" si="97"/>
        <v>-</v>
      </c>
      <c r="M237" s="1060">
        <f t="shared" si="97"/>
        <v>0</v>
      </c>
      <c r="N237" s="828"/>
      <c r="O237" s="2133"/>
      <c r="P237" s="1054">
        <v>12</v>
      </c>
      <c r="Q237" s="1060">
        <f>O126</f>
        <v>800</v>
      </c>
      <c r="R237" s="1060">
        <f t="shared" ref="R237:T237" si="98">P126</f>
        <v>-0.4</v>
      </c>
      <c r="S237" s="1060" t="str">
        <f t="shared" si="98"/>
        <v>-</v>
      </c>
      <c r="T237" s="1061">
        <f t="shared" si="98"/>
        <v>0</v>
      </c>
      <c r="U237" s="828"/>
      <c r="V237" s="1052">
        <v>13</v>
      </c>
      <c r="W237" s="1062">
        <f>U135</f>
        <v>0.3</v>
      </c>
    </row>
    <row r="238" spans="1:23" ht="13" hidden="1">
      <c r="A238" s="2130"/>
      <c r="B238" s="1054">
        <v>13</v>
      </c>
      <c r="C238" s="1060">
        <f>C137</f>
        <v>15</v>
      </c>
      <c r="D238" s="1060">
        <f t="shared" ref="D238:F238" si="99">D137</f>
        <v>-0.7</v>
      </c>
      <c r="E238" s="1060" t="str">
        <f t="shared" si="99"/>
        <v>-</v>
      </c>
      <c r="F238" s="1060">
        <f t="shared" si="99"/>
        <v>0</v>
      </c>
      <c r="G238" s="828"/>
      <c r="H238" s="2133"/>
      <c r="I238" s="1054">
        <v>13</v>
      </c>
      <c r="J238" s="1060">
        <f>I137</f>
        <v>35</v>
      </c>
      <c r="K238" s="1060">
        <f t="shared" ref="K238:M238" si="100">J137</f>
        <v>-1.4</v>
      </c>
      <c r="L238" s="1060" t="str">
        <f t="shared" si="100"/>
        <v>-</v>
      </c>
      <c r="M238" s="1060">
        <f t="shared" si="100"/>
        <v>0</v>
      </c>
      <c r="N238" s="828"/>
      <c r="O238" s="2133"/>
      <c r="P238" s="1054">
        <v>13</v>
      </c>
      <c r="Q238" s="1060">
        <f>O137</f>
        <v>960</v>
      </c>
      <c r="R238" s="1060">
        <f t="shared" ref="R238:T238" si="101">P137</f>
        <v>0.9</v>
      </c>
      <c r="S238" s="1060" t="str">
        <f t="shared" si="101"/>
        <v>-</v>
      </c>
      <c r="T238" s="1061">
        <f t="shared" si="101"/>
        <v>0</v>
      </c>
      <c r="U238" s="828"/>
      <c r="V238" s="1052">
        <v>14</v>
      </c>
      <c r="W238" s="1062">
        <f>U146</f>
        <v>0.4</v>
      </c>
    </row>
    <row r="239" spans="1:23" ht="13" hidden="1">
      <c r="A239" s="2130"/>
      <c r="B239" s="1054">
        <v>14</v>
      </c>
      <c r="C239" s="1060">
        <f>C148</f>
        <v>15</v>
      </c>
      <c r="D239" s="1060">
        <f t="shared" ref="D239:F239" si="102">D148</f>
        <v>-0.2</v>
      </c>
      <c r="E239" s="1060" t="str">
        <f t="shared" si="102"/>
        <v>-</v>
      </c>
      <c r="F239" s="1060">
        <f t="shared" si="102"/>
        <v>0</v>
      </c>
      <c r="G239" s="828"/>
      <c r="H239" s="2133"/>
      <c r="I239" s="1054">
        <v>14</v>
      </c>
      <c r="J239" s="1060">
        <f>I148</f>
        <v>35</v>
      </c>
      <c r="K239" s="1060">
        <f t="shared" ref="K239:M239" si="103">J148</f>
        <v>0.6</v>
      </c>
      <c r="L239" s="1060" t="str">
        <f t="shared" si="103"/>
        <v>-</v>
      </c>
      <c r="M239" s="1060">
        <f t="shared" si="103"/>
        <v>0</v>
      </c>
      <c r="N239" s="828"/>
      <c r="O239" s="2133"/>
      <c r="P239" s="1054">
        <v>14</v>
      </c>
      <c r="Q239" s="1060">
        <f>O148</f>
        <v>960</v>
      </c>
      <c r="R239" s="1060">
        <f t="shared" ref="R239:T239" si="104">P148</f>
        <v>0.9</v>
      </c>
      <c r="S239" s="1060" t="str">
        <f t="shared" si="104"/>
        <v>-</v>
      </c>
      <c r="T239" s="1061">
        <f t="shared" si="104"/>
        <v>0</v>
      </c>
      <c r="U239" s="828"/>
      <c r="V239" s="1052">
        <v>15</v>
      </c>
      <c r="W239" s="1062">
        <f>U157</f>
        <v>0.3</v>
      </c>
    </row>
    <row r="240" spans="1:23" ht="13" hidden="1">
      <c r="A240" s="2130"/>
      <c r="B240" s="1054">
        <v>15</v>
      </c>
      <c r="C240" s="1060">
        <f>C159</f>
        <v>15</v>
      </c>
      <c r="D240" s="1060">
        <f t="shared" ref="D240:F240" si="105">D159</f>
        <v>-0.6</v>
      </c>
      <c r="E240" s="1060" t="str">
        <f t="shared" si="105"/>
        <v>-</v>
      </c>
      <c r="F240" s="1060">
        <f t="shared" si="105"/>
        <v>0</v>
      </c>
      <c r="G240" s="828"/>
      <c r="H240" s="2133"/>
      <c r="I240" s="1054">
        <v>15</v>
      </c>
      <c r="J240" s="1060">
        <f>I159</f>
        <v>35</v>
      </c>
      <c r="K240" s="1060">
        <f t="shared" ref="K240:M240" si="106">J159</f>
        <v>-0.4</v>
      </c>
      <c r="L240" s="1060" t="str">
        <f t="shared" si="106"/>
        <v>-</v>
      </c>
      <c r="M240" s="1060">
        <f t="shared" si="106"/>
        <v>0</v>
      </c>
      <c r="N240" s="828"/>
      <c r="O240" s="2133"/>
      <c r="P240" s="1054">
        <v>15</v>
      </c>
      <c r="Q240" s="1060">
        <f>O159</f>
        <v>960</v>
      </c>
      <c r="R240" s="1060">
        <f t="shared" ref="R240:T240" si="107">P159</f>
        <v>0.9</v>
      </c>
      <c r="S240" s="1060" t="str">
        <f t="shared" si="107"/>
        <v>-</v>
      </c>
      <c r="T240" s="1061">
        <f t="shared" si="107"/>
        <v>0</v>
      </c>
      <c r="U240" s="828"/>
      <c r="V240" s="1052">
        <v>16</v>
      </c>
      <c r="W240" s="1062">
        <f>U168</f>
        <v>0.4</v>
      </c>
    </row>
    <row r="241" spans="1:23" ht="13" hidden="1">
      <c r="A241" s="2130"/>
      <c r="B241" s="1054">
        <v>16</v>
      </c>
      <c r="C241" s="1060">
        <f>C170</f>
        <v>15</v>
      </c>
      <c r="D241" s="1060">
        <f t="shared" ref="D241:F241" si="108">D170</f>
        <v>0.1</v>
      </c>
      <c r="E241" s="1060" t="str">
        <f t="shared" si="108"/>
        <v>-</v>
      </c>
      <c r="F241" s="1060">
        <f t="shared" si="108"/>
        <v>0</v>
      </c>
      <c r="G241" s="828"/>
      <c r="H241" s="2133"/>
      <c r="I241" s="1054">
        <v>16</v>
      </c>
      <c r="J241" s="1060">
        <f>I170</f>
        <v>30</v>
      </c>
      <c r="K241" s="1060">
        <f t="shared" ref="K241:M241" si="109">J170</f>
        <v>-1.6</v>
      </c>
      <c r="L241" s="1060" t="str">
        <f t="shared" si="109"/>
        <v>-</v>
      </c>
      <c r="M241" s="1060">
        <f t="shared" si="109"/>
        <v>0</v>
      </c>
      <c r="N241" s="828"/>
      <c r="O241" s="2133"/>
      <c r="P241" s="1054">
        <v>16</v>
      </c>
      <c r="Q241" s="1060">
        <f>O170</f>
        <v>800</v>
      </c>
      <c r="R241" s="1060">
        <f t="shared" ref="R241:T241" si="110">P170</f>
        <v>-2.9</v>
      </c>
      <c r="S241" s="1060" t="str">
        <f t="shared" si="110"/>
        <v>-</v>
      </c>
      <c r="T241" s="1061">
        <f t="shared" si="110"/>
        <v>0</v>
      </c>
      <c r="U241" s="828"/>
      <c r="V241" s="1052">
        <v>17</v>
      </c>
      <c r="W241" s="1062">
        <f>U179</f>
        <v>0.3</v>
      </c>
    </row>
    <row r="242" spans="1:23" ht="13" hidden="1">
      <c r="A242" s="2130"/>
      <c r="B242" s="1054">
        <v>17</v>
      </c>
      <c r="C242" s="1060">
        <f>C181</f>
        <v>15</v>
      </c>
      <c r="D242" s="1060">
        <f t="shared" ref="D242:F242" si="111">D181</f>
        <v>0.1</v>
      </c>
      <c r="E242" s="1060" t="str">
        <f t="shared" si="111"/>
        <v>-</v>
      </c>
      <c r="F242" s="1060">
        <f t="shared" si="111"/>
        <v>0</v>
      </c>
      <c r="G242" s="828"/>
      <c r="H242" s="2133"/>
      <c r="I242" s="1054">
        <v>17</v>
      </c>
      <c r="J242" s="1060">
        <f>I181</f>
        <v>30</v>
      </c>
      <c r="K242" s="1060">
        <f t="shared" ref="K242:M242" si="112">J181</f>
        <v>0.1</v>
      </c>
      <c r="L242" s="1060" t="str">
        <f t="shared" si="112"/>
        <v>-</v>
      </c>
      <c r="M242" s="1060">
        <f t="shared" si="112"/>
        <v>0</v>
      </c>
      <c r="N242" s="828"/>
      <c r="O242" s="2133"/>
      <c r="P242" s="1054">
        <v>17</v>
      </c>
      <c r="Q242" s="1060">
        <f>O181</f>
        <v>960</v>
      </c>
      <c r="R242" s="1060">
        <f t="shared" ref="R242:T242" si="113">P181</f>
        <v>-0.6</v>
      </c>
      <c r="S242" s="1060" t="str">
        <f t="shared" si="113"/>
        <v>-</v>
      </c>
      <c r="T242" s="1061">
        <f t="shared" si="113"/>
        <v>0</v>
      </c>
      <c r="U242" s="828"/>
      <c r="V242" s="1052">
        <v>18</v>
      </c>
      <c r="W242" s="1062">
        <f>U190</f>
        <v>0.3</v>
      </c>
    </row>
    <row r="243" spans="1:23" ht="13" hidden="1">
      <c r="A243" s="2130"/>
      <c r="B243" s="1054">
        <v>18</v>
      </c>
      <c r="C243" s="1060">
        <f>C192</f>
        <v>15</v>
      </c>
      <c r="D243" s="1060">
        <f t="shared" ref="D243:F243" si="114">D192</f>
        <v>0</v>
      </c>
      <c r="E243" s="1060" t="str">
        <f t="shared" si="114"/>
        <v>-</v>
      </c>
      <c r="F243" s="1060">
        <f t="shared" si="114"/>
        <v>0</v>
      </c>
      <c r="G243" s="828"/>
      <c r="H243" s="2133"/>
      <c r="I243" s="1054">
        <v>18</v>
      </c>
      <c r="J243" s="1060">
        <f>I192</f>
        <v>30</v>
      </c>
      <c r="K243" s="1060">
        <f t="shared" ref="K243:M243" si="115">J192</f>
        <v>-0.4</v>
      </c>
      <c r="L243" s="1060" t="str">
        <f t="shared" si="115"/>
        <v>-</v>
      </c>
      <c r="M243" s="1060">
        <f t="shared" si="115"/>
        <v>0</v>
      </c>
      <c r="N243" s="828"/>
      <c r="O243" s="2133"/>
      <c r="P243" s="1054">
        <v>18</v>
      </c>
      <c r="Q243" s="1060">
        <f>O192</f>
        <v>800</v>
      </c>
      <c r="R243" s="1060">
        <f t="shared" ref="R243:T243" si="116">P192</f>
        <v>-1.5</v>
      </c>
      <c r="S243" s="1060" t="str">
        <f t="shared" si="116"/>
        <v>-</v>
      </c>
      <c r="T243" s="1061">
        <f t="shared" si="116"/>
        <v>0</v>
      </c>
      <c r="U243" s="828"/>
      <c r="V243" s="1052">
        <v>19</v>
      </c>
      <c r="W243" s="1062">
        <f>U201</f>
        <v>0.1</v>
      </c>
    </row>
    <row r="244" spans="1:23" ht="13.5" hidden="1" thickBot="1">
      <c r="A244" s="2130"/>
      <c r="B244" s="1054">
        <v>19</v>
      </c>
      <c r="C244" s="1060">
        <f>C203</f>
        <v>15</v>
      </c>
      <c r="D244" s="1060">
        <f t="shared" ref="D244:F244" si="117">D203</f>
        <v>0</v>
      </c>
      <c r="E244" s="1060" t="str">
        <f t="shared" si="117"/>
        <v>-</v>
      </c>
      <c r="F244" s="1060">
        <f t="shared" si="117"/>
        <v>0</v>
      </c>
      <c r="G244" s="828"/>
      <c r="H244" s="2133"/>
      <c r="I244" s="1054">
        <v>19</v>
      </c>
      <c r="J244" s="1060">
        <f>I203</f>
        <v>30</v>
      </c>
      <c r="K244" s="1060">
        <f t="shared" ref="K244:M244" si="118">J203</f>
        <v>-1.5</v>
      </c>
      <c r="L244" s="1060" t="str">
        <f t="shared" si="118"/>
        <v>-</v>
      </c>
      <c r="M244" s="1060">
        <f t="shared" si="118"/>
        <v>0</v>
      </c>
      <c r="N244" s="828"/>
      <c r="O244" s="2133"/>
      <c r="P244" s="1054">
        <v>19</v>
      </c>
      <c r="Q244" s="1060">
        <f>O203</f>
        <v>750</v>
      </c>
      <c r="R244" s="1060">
        <f t="shared" ref="R244:T244" si="119">P203</f>
        <v>2.5</v>
      </c>
      <c r="S244" s="1060" t="str">
        <f t="shared" si="119"/>
        <v>-</v>
      </c>
      <c r="T244" s="1061">
        <f t="shared" si="119"/>
        <v>0</v>
      </c>
      <c r="U244" s="828"/>
      <c r="V244" s="1063">
        <v>20</v>
      </c>
      <c r="W244" s="1064">
        <f>U212</f>
        <v>0</v>
      </c>
    </row>
    <row r="245" spans="1:23" ht="13.5" hidden="1" thickBot="1">
      <c r="A245" s="2131"/>
      <c r="B245" s="1065">
        <v>20</v>
      </c>
      <c r="C245" s="1066">
        <f>C214</f>
        <v>14.8</v>
      </c>
      <c r="D245" s="1066">
        <f t="shared" ref="D245:F245" si="120">D214</f>
        <v>0</v>
      </c>
      <c r="E245" s="1066" t="str">
        <f t="shared" si="120"/>
        <v>-</v>
      </c>
      <c r="F245" s="1066">
        <f t="shared" si="120"/>
        <v>0</v>
      </c>
      <c r="G245" s="1067"/>
      <c r="H245" s="2134"/>
      <c r="I245" s="1065">
        <v>20</v>
      </c>
      <c r="J245" s="1066">
        <f>I214</f>
        <v>45.7</v>
      </c>
      <c r="K245" s="1066">
        <f t="shared" ref="K245:M245" si="121">J214</f>
        <v>0</v>
      </c>
      <c r="L245" s="1066" t="str">
        <f t="shared" si="121"/>
        <v>-</v>
      </c>
      <c r="M245" s="1066">
        <f t="shared" si="121"/>
        <v>0</v>
      </c>
      <c r="N245" s="1067"/>
      <c r="O245" s="2134"/>
      <c r="P245" s="1065">
        <v>20</v>
      </c>
      <c r="Q245" s="1066">
        <f>O214</f>
        <v>750</v>
      </c>
      <c r="R245" s="1066" t="str">
        <f t="shared" ref="R245:T245" si="122">P214</f>
        <v>-</v>
      </c>
      <c r="S245" s="1066" t="str">
        <f t="shared" si="122"/>
        <v>-</v>
      </c>
      <c r="T245" s="1068">
        <f t="shared" si="122"/>
        <v>0</v>
      </c>
      <c r="U245" s="828"/>
      <c r="V245" s="1069"/>
    </row>
    <row r="246" spans="1:23" ht="13" hidden="1">
      <c r="A246" s="1070"/>
      <c r="B246" s="1071"/>
      <c r="C246" s="1072"/>
      <c r="D246" s="1072"/>
      <c r="E246" s="1072"/>
      <c r="F246" s="1073"/>
      <c r="G246" s="789"/>
      <c r="H246" s="1071"/>
      <c r="I246" s="1071"/>
      <c r="J246" s="1074"/>
      <c r="K246" s="1074"/>
      <c r="L246" s="1074"/>
      <c r="M246" s="1074"/>
      <c r="N246" s="789"/>
      <c r="O246" s="1071"/>
      <c r="P246" s="1071"/>
      <c r="Q246" s="1074"/>
      <c r="R246" s="1074"/>
      <c r="S246" s="1074"/>
      <c r="T246" s="1075"/>
      <c r="U246" s="789"/>
      <c r="V246" s="789"/>
    </row>
    <row r="247" spans="1:23" ht="13" hidden="1">
      <c r="A247" s="2129">
        <v>2</v>
      </c>
      <c r="B247" s="1076">
        <v>1</v>
      </c>
      <c r="C247" s="1077">
        <f>C6</f>
        <v>20</v>
      </c>
      <c r="D247" s="1077">
        <f t="shared" ref="D247:F247" si="123">D6</f>
        <v>-0.2</v>
      </c>
      <c r="E247" s="1077">
        <f t="shared" si="123"/>
        <v>0.2</v>
      </c>
      <c r="F247" s="1077">
        <f t="shared" si="123"/>
        <v>0.2</v>
      </c>
      <c r="G247" s="1078"/>
      <c r="H247" s="2126">
        <v>2</v>
      </c>
      <c r="I247" s="1076">
        <v>1</v>
      </c>
      <c r="J247" s="1077">
        <f>I6</f>
        <v>40</v>
      </c>
      <c r="K247" s="1077">
        <f t="shared" ref="K247:M247" si="124">J6</f>
        <v>-6</v>
      </c>
      <c r="L247" s="1077">
        <f t="shared" si="124"/>
        <v>-8.6</v>
      </c>
      <c r="M247" s="1077">
        <f t="shared" si="124"/>
        <v>1.2999999999999998</v>
      </c>
      <c r="N247" s="1078"/>
      <c r="O247" s="2126">
        <v>2</v>
      </c>
      <c r="P247" s="1076">
        <v>1</v>
      </c>
      <c r="Q247" s="1077">
        <f>O6</f>
        <v>800</v>
      </c>
      <c r="R247" s="1077" t="str">
        <f t="shared" ref="R247:T247" si="125">P6</f>
        <v>-</v>
      </c>
      <c r="S247" s="1077" t="str">
        <f t="shared" si="125"/>
        <v>-</v>
      </c>
      <c r="T247" s="1079">
        <f t="shared" si="125"/>
        <v>0</v>
      </c>
      <c r="V247" s="2135" t="s">
        <v>81</v>
      </c>
      <c r="W247" s="2136"/>
    </row>
    <row r="248" spans="1:23" ht="13" hidden="1">
      <c r="A248" s="2130"/>
      <c r="B248" s="1054">
        <v>2</v>
      </c>
      <c r="C248" s="1060">
        <f>C17</f>
        <v>20</v>
      </c>
      <c r="D248" s="1060">
        <f t="shared" ref="D248:F248" si="126">D17</f>
        <v>0.7</v>
      </c>
      <c r="E248" s="1060">
        <f t="shared" si="126"/>
        <v>-0.1</v>
      </c>
      <c r="F248" s="1060">
        <f t="shared" si="126"/>
        <v>0.39999999999999997</v>
      </c>
      <c r="G248" s="828"/>
      <c r="H248" s="2127"/>
      <c r="I248" s="1054">
        <v>2</v>
      </c>
      <c r="J248" s="1060">
        <f>I17</f>
        <v>40</v>
      </c>
      <c r="K248" s="1060">
        <f t="shared" ref="K248:M248" si="127">J17</f>
        <v>-6.2</v>
      </c>
      <c r="L248" s="1060">
        <f t="shared" si="127"/>
        <v>-1.6</v>
      </c>
      <c r="M248" s="1060">
        <f t="shared" si="127"/>
        <v>2.2999999999999998</v>
      </c>
      <c r="N248" s="828"/>
      <c r="O248" s="2127"/>
      <c r="P248" s="1054">
        <v>2</v>
      </c>
      <c r="Q248" s="1060">
        <f>O17</f>
        <v>800</v>
      </c>
      <c r="R248" s="1060" t="str">
        <f t="shared" ref="R248:T248" si="128">P17</f>
        <v>-</v>
      </c>
      <c r="S248" s="1060" t="str">
        <f t="shared" si="128"/>
        <v>-</v>
      </c>
      <c r="T248" s="1061">
        <f t="shared" si="128"/>
        <v>0</v>
      </c>
      <c r="V248" s="2137" t="s">
        <v>75</v>
      </c>
      <c r="W248" s="2138"/>
    </row>
    <row r="249" spans="1:23" ht="13" hidden="1">
      <c r="A249" s="2130"/>
      <c r="B249" s="1054">
        <v>3</v>
      </c>
      <c r="C249" s="1055">
        <f>C28</f>
        <v>20</v>
      </c>
      <c r="D249" s="1055">
        <f t="shared" ref="D249:F249" si="129">D28</f>
        <v>1</v>
      </c>
      <c r="E249" s="1055">
        <f t="shared" si="129"/>
        <v>0</v>
      </c>
      <c r="F249" s="1055">
        <f t="shared" si="129"/>
        <v>0.5</v>
      </c>
      <c r="G249" s="828"/>
      <c r="H249" s="2127"/>
      <c r="I249" s="1054">
        <v>3</v>
      </c>
      <c r="J249" s="1055">
        <f>I28</f>
        <v>40</v>
      </c>
      <c r="K249" s="1055">
        <f t="shared" ref="K249:M249" si="130">J28</f>
        <v>-5.9</v>
      </c>
      <c r="L249" s="1055">
        <f t="shared" si="130"/>
        <v>-5.3</v>
      </c>
      <c r="M249" s="1055">
        <f t="shared" si="130"/>
        <v>0.30000000000000027</v>
      </c>
      <c r="N249" s="828"/>
      <c r="O249" s="2127"/>
      <c r="P249" s="1054">
        <v>3</v>
      </c>
      <c r="Q249" s="1055">
        <f>O28</f>
        <v>800</v>
      </c>
      <c r="R249" s="1055" t="str">
        <f t="shared" ref="R249:T249" si="131">P28</f>
        <v>-</v>
      </c>
      <c r="S249" s="1055" t="str">
        <f t="shared" si="131"/>
        <v>-</v>
      </c>
      <c r="T249" s="1056">
        <f t="shared" si="131"/>
        <v>0</v>
      </c>
      <c r="V249" s="1052">
        <v>1</v>
      </c>
      <c r="W249" s="1053">
        <f>U4</f>
        <v>3.3</v>
      </c>
    </row>
    <row r="250" spans="1:23" ht="13" hidden="1">
      <c r="A250" s="2130"/>
      <c r="B250" s="1054">
        <v>4</v>
      </c>
      <c r="C250" s="1055">
        <f>C39</f>
        <v>20</v>
      </c>
      <c r="D250" s="1055">
        <f t="shared" ref="D250:F250" si="132">D39</f>
        <v>-0.1</v>
      </c>
      <c r="E250" s="1055">
        <f t="shared" si="132"/>
        <v>-0.3</v>
      </c>
      <c r="F250" s="1055">
        <f t="shared" si="132"/>
        <v>9.9999999999999992E-2</v>
      </c>
      <c r="G250" s="828"/>
      <c r="H250" s="2127"/>
      <c r="I250" s="1054">
        <v>4</v>
      </c>
      <c r="J250" s="1055">
        <f>I39</f>
        <v>40</v>
      </c>
      <c r="K250" s="1055">
        <f t="shared" ref="K250:M250" si="133">J39</f>
        <v>-4.4000000000000004</v>
      </c>
      <c r="L250" s="1055">
        <f t="shared" si="133"/>
        <v>-1.5</v>
      </c>
      <c r="M250" s="1055">
        <f t="shared" si="133"/>
        <v>1.4500000000000002</v>
      </c>
      <c r="N250" s="828"/>
      <c r="O250" s="2127"/>
      <c r="P250" s="1054">
        <v>4</v>
      </c>
      <c r="Q250" s="1055">
        <f>O39</f>
        <v>800</v>
      </c>
      <c r="R250" s="1055" t="str">
        <f t="shared" ref="R250:T250" si="134">P39</f>
        <v>-</v>
      </c>
      <c r="S250" s="1055" t="str">
        <f t="shared" si="134"/>
        <v>-</v>
      </c>
      <c r="T250" s="1056">
        <f t="shared" si="134"/>
        <v>0</v>
      </c>
      <c r="V250" s="1057">
        <v>2</v>
      </c>
      <c r="W250" s="1058">
        <f>U15</f>
        <v>2.2000000000000002</v>
      </c>
    </row>
    <row r="251" spans="1:23" ht="13" hidden="1">
      <c r="A251" s="2130"/>
      <c r="B251" s="1054">
        <v>5</v>
      </c>
      <c r="C251" s="1055">
        <f>C50</f>
        <v>20</v>
      </c>
      <c r="D251" s="1055">
        <f t="shared" ref="D251:F251" si="135">D50</f>
        <v>0.1</v>
      </c>
      <c r="E251" s="1055">
        <f t="shared" si="135"/>
        <v>0.3</v>
      </c>
      <c r="F251" s="1055">
        <f t="shared" si="135"/>
        <v>9.9999999999999992E-2</v>
      </c>
      <c r="G251" s="828"/>
      <c r="H251" s="2127"/>
      <c r="I251" s="1054">
        <v>5</v>
      </c>
      <c r="J251" s="1055">
        <f>I50</f>
        <v>40</v>
      </c>
      <c r="K251" s="1055">
        <f t="shared" ref="K251:M251" si="136">J50</f>
        <v>-7.2</v>
      </c>
      <c r="L251" s="1055">
        <f t="shared" si="136"/>
        <v>-8</v>
      </c>
      <c r="M251" s="1055">
        <f t="shared" si="136"/>
        <v>0.39999999999999991</v>
      </c>
      <c r="N251" s="828"/>
      <c r="O251" s="2127"/>
      <c r="P251" s="1054">
        <v>5</v>
      </c>
      <c r="Q251" s="1055">
        <f>O50</f>
        <v>800</v>
      </c>
      <c r="R251" s="1055" t="str">
        <f t="shared" ref="R251:T251" si="137">P50</f>
        <v>-</v>
      </c>
      <c r="S251" s="1055" t="str">
        <f t="shared" si="137"/>
        <v>-</v>
      </c>
      <c r="T251" s="1056">
        <f t="shared" si="137"/>
        <v>0</v>
      </c>
      <c r="V251" s="1057">
        <v>3</v>
      </c>
      <c r="W251" s="1059">
        <f>U26</f>
        <v>3.1</v>
      </c>
    </row>
    <row r="252" spans="1:23" ht="13" hidden="1">
      <c r="A252" s="2130"/>
      <c r="B252" s="1054">
        <v>6</v>
      </c>
      <c r="C252" s="1055">
        <f>C61</f>
        <v>20</v>
      </c>
      <c r="D252" s="1055">
        <f t="shared" ref="D252:F252" si="138">D61</f>
        <v>0.3</v>
      </c>
      <c r="E252" s="1055">
        <f t="shared" si="138"/>
        <v>0.2</v>
      </c>
      <c r="F252" s="1055">
        <f t="shared" si="138"/>
        <v>4.9999999999999989E-2</v>
      </c>
      <c r="G252" s="828"/>
      <c r="H252" s="2127"/>
      <c r="I252" s="1054">
        <v>6</v>
      </c>
      <c r="J252" s="1055">
        <f>I61</f>
        <v>40</v>
      </c>
      <c r="K252" s="1055">
        <f t="shared" ref="K252:M252" si="139">J61</f>
        <v>-3.8</v>
      </c>
      <c r="L252" s="1055">
        <f t="shared" si="139"/>
        <v>1.5</v>
      </c>
      <c r="M252" s="1055">
        <f t="shared" si="139"/>
        <v>2.65</v>
      </c>
      <c r="N252" s="828"/>
      <c r="O252" s="2127"/>
      <c r="P252" s="1054">
        <v>6</v>
      </c>
      <c r="Q252" s="1055">
        <f>O61</f>
        <v>800</v>
      </c>
      <c r="R252" s="1055">
        <f t="shared" ref="R252:T252" si="140">P61</f>
        <v>0.9</v>
      </c>
      <c r="S252" s="1055">
        <f t="shared" si="140"/>
        <v>1.6</v>
      </c>
      <c r="T252" s="1056">
        <f t="shared" si="140"/>
        <v>0.35000000000000003</v>
      </c>
      <c r="V252" s="1057">
        <v>4</v>
      </c>
      <c r="W252" s="1059">
        <f>U38</f>
        <v>1.3</v>
      </c>
    </row>
    <row r="253" spans="1:23" ht="13" hidden="1">
      <c r="A253" s="2130"/>
      <c r="B253" s="1054">
        <v>7</v>
      </c>
      <c r="C253" s="1055">
        <f>C72</f>
        <v>20</v>
      </c>
      <c r="D253" s="1055">
        <f t="shared" ref="D253:F253" si="141">D72</f>
        <v>0</v>
      </c>
      <c r="E253" s="1055">
        <f t="shared" si="141"/>
        <v>0.1</v>
      </c>
      <c r="F253" s="1055">
        <f t="shared" si="141"/>
        <v>0.05</v>
      </c>
      <c r="G253" s="828"/>
      <c r="H253" s="2127"/>
      <c r="I253" s="1054">
        <v>7</v>
      </c>
      <c r="J253" s="1055">
        <f>I72</f>
        <v>40</v>
      </c>
      <c r="K253" s="1055">
        <f t="shared" ref="K253:M253" si="142">J72</f>
        <v>-1.9</v>
      </c>
      <c r="L253" s="1055">
        <f t="shared" si="142"/>
        <v>1.2</v>
      </c>
      <c r="M253" s="1055">
        <f t="shared" si="142"/>
        <v>1.5499999999999998</v>
      </c>
      <c r="N253" s="828"/>
      <c r="O253" s="2127"/>
      <c r="P253" s="1054">
        <v>7</v>
      </c>
      <c r="Q253" s="1055">
        <f>O72</f>
        <v>800</v>
      </c>
      <c r="R253" s="1055">
        <f t="shared" ref="R253:T253" si="143">P72</f>
        <v>0</v>
      </c>
      <c r="S253" s="1055">
        <f t="shared" si="143"/>
        <v>2.5</v>
      </c>
      <c r="T253" s="1056">
        <f t="shared" si="143"/>
        <v>1.25</v>
      </c>
      <c r="V253" s="1057">
        <v>5</v>
      </c>
      <c r="W253" s="1059">
        <f>U48</f>
        <v>2.8</v>
      </c>
    </row>
    <row r="254" spans="1:23" ht="13" hidden="1">
      <c r="A254" s="2130"/>
      <c r="B254" s="1054">
        <v>8</v>
      </c>
      <c r="C254" s="1055">
        <f>C83</f>
        <v>20</v>
      </c>
      <c r="D254" s="1055">
        <f t="shared" ref="D254:F254" si="144">D83</f>
        <v>0</v>
      </c>
      <c r="E254" s="1055">
        <f t="shared" si="144"/>
        <v>-0.2</v>
      </c>
      <c r="F254" s="1055">
        <f t="shared" si="144"/>
        <v>0.1</v>
      </c>
      <c r="G254" s="828"/>
      <c r="H254" s="2127"/>
      <c r="I254" s="1054">
        <v>8</v>
      </c>
      <c r="J254" s="1055">
        <f>I83</f>
        <v>40</v>
      </c>
      <c r="K254" s="1055">
        <f t="shared" ref="K254:M254" si="145">J83</f>
        <v>-3.8</v>
      </c>
      <c r="L254" s="1055">
        <f t="shared" si="145"/>
        <v>-1.2</v>
      </c>
      <c r="M254" s="1055">
        <f t="shared" si="145"/>
        <v>1.2999999999999998</v>
      </c>
      <c r="N254" s="828"/>
      <c r="O254" s="2127"/>
      <c r="P254" s="1054">
        <v>8</v>
      </c>
      <c r="Q254" s="1055">
        <f>O83</f>
        <v>800</v>
      </c>
      <c r="R254" s="1055">
        <f t="shared" ref="R254:T254" si="146">P83</f>
        <v>0</v>
      </c>
      <c r="S254" s="1055">
        <f t="shared" si="146"/>
        <v>0</v>
      </c>
      <c r="T254" s="1056">
        <f t="shared" si="146"/>
        <v>0</v>
      </c>
      <c r="V254" s="1052">
        <v>6</v>
      </c>
      <c r="W254" s="1053">
        <f>U59</f>
        <v>2.6</v>
      </c>
    </row>
    <row r="255" spans="1:23" ht="13" hidden="1">
      <c r="A255" s="2130"/>
      <c r="B255" s="1054">
        <v>9</v>
      </c>
      <c r="C255" s="1055">
        <f>C94</f>
        <v>20</v>
      </c>
      <c r="D255" s="1055">
        <f t="shared" ref="D255:F255" si="147">D94</f>
        <v>-0.2</v>
      </c>
      <c r="E255" s="1055" t="str">
        <f t="shared" si="147"/>
        <v>-</v>
      </c>
      <c r="F255" s="1055">
        <f t="shared" si="147"/>
        <v>0</v>
      </c>
      <c r="G255" s="828"/>
      <c r="H255" s="2127"/>
      <c r="I255" s="1054">
        <v>9</v>
      </c>
      <c r="J255" s="1055">
        <f>I94</f>
        <v>40</v>
      </c>
      <c r="K255" s="1055">
        <f t="shared" ref="K255:M255" si="148">J94</f>
        <v>-1</v>
      </c>
      <c r="L255" s="1055" t="str">
        <f t="shared" si="148"/>
        <v>-</v>
      </c>
      <c r="M255" s="1055">
        <f t="shared" si="148"/>
        <v>0</v>
      </c>
      <c r="N255" s="828"/>
      <c r="O255" s="2127"/>
      <c r="P255" s="1054">
        <v>9</v>
      </c>
      <c r="Q255" s="1055">
        <f>O94</f>
        <v>800</v>
      </c>
      <c r="R255" s="1055">
        <f t="shared" ref="R255:T255" si="149">P94</f>
        <v>0</v>
      </c>
      <c r="S255" s="1055" t="str">
        <f t="shared" si="149"/>
        <v>-</v>
      </c>
      <c r="T255" s="1056">
        <f t="shared" si="149"/>
        <v>0</v>
      </c>
      <c r="V255" s="1052">
        <v>7</v>
      </c>
      <c r="W255" s="1053">
        <f>U70</f>
        <v>2.4</v>
      </c>
    </row>
    <row r="256" spans="1:23" ht="13" hidden="1">
      <c r="A256" s="2130"/>
      <c r="B256" s="1054">
        <v>10</v>
      </c>
      <c r="C256" s="1055">
        <f>C105</f>
        <v>20</v>
      </c>
      <c r="D256" s="1055">
        <f t="shared" ref="D256:F256" si="150">D105</f>
        <v>0.2</v>
      </c>
      <c r="E256" s="1055">
        <f t="shared" si="150"/>
        <v>-0.7</v>
      </c>
      <c r="F256" s="1055">
        <f t="shared" si="150"/>
        <v>0.44999999999999996</v>
      </c>
      <c r="G256" s="828"/>
      <c r="H256" s="2127"/>
      <c r="I256" s="1054">
        <v>10</v>
      </c>
      <c r="J256" s="1055">
        <f>I105</f>
        <v>40</v>
      </c>
      <c r="K256" s="1055">
        <f t="shared" ref="K256:M256" si="151">J105</f>
        <v>-3.3</v>
      </c>
      <c r="L256" s="1055">
        <f t="shared" si="151"/>
        <v>-6.4</v>
      </c>
      <c r="M256" s="1055">
        <f t="shared" si="151"/>
        <v>1.5500000000000003</v>
      </c>
      <c r="N256" s="828"/>
      <c r="O256" s="2127"/>
      <c r="P256" s="1054">
        <v>10</v>
      </c>
      <c r="Q256" s="1055">
        <f>O105</f>
        <v>800</v>
      </c>
      <c r="R256" s="1055" t="str">
        <f t="shared" ref="R256:T256" si="152">P105</f>
        <v>-</v>
      </c>
      <c r="S256" s="1055" t="str">
        <f t="shared" si="152"/>
        <v>-</v>
      </c>
      <c r="T256" s="1056">
        <f t="shared" si="152"/>
        <v>0</v>
      </c>
      <c r="V256" s="1052">
        <v>8</v>
      </c>
      <c r="W256" s="1053">
        <f>U81</f>
        <v>2.5</v>
      </c>
    </row>
    <row r="257" spans="1:23" ht="13" hidden="1">
      <c r="A257" s="2130"/>
      <c r="B257" s="1054">
        <v>11</v>
      </c>
      <c r="C257" s="1055">
        <f>C116</f>
        <v>20</v>
      </c>
      <c r="D257" s="1055">
        <f t="shared" ref="D257:F257" si="153">D116</f>
        <v>0.4</v>
      </c>
      <c r="E257" s="1055">
        <f t="shared" si="153"/>
        <v>0.5</v>
      </c>
      <c r="F257" s="1055">
        <f t="shared" si="153"/>
        <v>4.9999999999999989E-2</v>
      </c>
      <c r="G257" s="828"/>
      <c r="H257" s="2127"/>
      <c r="I257" s="1054">
        <v>11</v>
      </c>
      <c r="J257" s="1055">
        <f>I116</f>
        <v>40</v>
      </c>
      <c r="K257" s="1055">
        <f t="shared" ref="K257:M257" si="154">J116</f>
        <v>-5.5</v>
      </c>
      <c r="L257" s="1055">
        <f t="shared" si="154"/>
        <v>-5.9</v>
      </c>
      <c r="M257" s="1055">
        <f t="shared" si="154"/>
        <v>0.20000000000000018</v>
      </c>
      <c r="N257" s="828"/>
      <c r="O257" s="2127"/>
      <c r="P257" s="1054">
        <v>11</v>
      </c>
      <c r="Q257" s="1055">
        <f>O116</f>
        <v>800</v>
      </c>
      <c r="R257" s="1055" t="str">
        <f t="shared" ref="R257:T257" si="155">P116</f>
        <v>-</v>
      </c>
      <c r="S257" s="1055" t="str">
        <f t="shared" si="155"/>
        <v>-</v>
      </c>
      <c r="T257" s="1056">
        <f t="shared" si="155"/>
        <v>0</v>
      </c>
      <c r="V257" s="1052">
        <v>9</v>
      </c>
      <c r="W257" s="1053">
        <f>U92</f>
        <v>2.4</v>
      </c>
    </row>
    <row r="258" spans="1:23" ht="13" hidden="1">
      <c r="A258" s="2130"/>
      <c r="B258" s="1054">
        <v>12</v>
      </c>
      <c r="C258" s="1055">
        <f>C127</f>
        <v>20</v>
      </c>
      <c r="D258" s="1055">
        <f t="shared" ref="D258:F258" si="156">D127</f>
        <v>0</v>
      </c>
      <c r="E258" s="1055" t="str">
        <f t="shared" si="156"/>
        <v>-</v>
      </c>
      <c r="F258" s="1055">
        <f t="shared" si="156"/>
        <v>0</v>
      </c>
      <c r="G258" s="828"/>
      <c r="H258" s="2127"/>
      <c r="I258" s="1054">
        <v>12</v>
      </c>
      <c r="J258" s="1055">
        <f>I127</f>
        <v>40</v>
      </c>
      <c r="K258" s="1055">
        <f t="shared" ref="K258:M258" si="157">J127</f>
        <v>-0.1</v>
      </c>
      <c r="L258" s="1055" t="str">
        <f t="shared" si="157"/>
        <v>-</v>
      </c>
      <c r="M258" s="1055">
        <f t="shared" si="157"/>
        <v>0</v>
      </c>
      <c r="N258" s="828"/>
      <c r="O258" s="2127"/>
      <c r="P258" s="1054">
        <v>12</v>
      </c>
      <c r="Q258" s="1055">
        <f>O127</f>
        <v>850</v>
      </c>
      <c r="R258" s="1055">
        <f t="shared" ref="R258:T258" si="158">P127</f>
        <v>-0.5</v>
      </c>
      <c r="S258" s="1055" t="str">
        <f t="shared" si="158"/>
        <v>-</v>
      </c>
      <c r="T258" s="1056">
        <f t="shared" si="158"/>
        <v>0</v>
      </c>
      <c r="V258" s="1052">
        <v>10</v>
      </c>
      <c r="W258" s="1053">
        <f>U103</f>
        <v>1.5</v>
      </c>
    </row>
    <row r="259" spans="1:23" ht="13" hidden="1">
      <c r="A259" s="2130"/>
      <c r="B259" s="1054">
        <v>13</v>
      </c>
      <c r="C259" s="1055">
        <f>C138</f>
        <v>20</v>
      </c>
      <c r="D259" s="1055">
        <f t="shared" ref="D259:F259" si="159">D138</f>
        <v>-0.4</v>
      </c>
      <c r="E259" s="1055" t="str">
        <f t="shared" si="159"/>
        <v>-</v>
      </c>
      <c r="F259" s="1055">
        <f t="shared" si="159"/>
        <v>0</v>
      </c>
      <c r="G259" s="828"/>
      <c r="H259" s="2127"/>
      <c r="I259" s="1054">
        <v>13</v>
      </c>
      <c r="J259" s="1055">
        <f>I138</f>
        <v>40</v>
      </c>
      <c r="K259" s="1055">
        <f t="shared" ref="K259:M259" si="160">J138</f>
        <v>-1.3</v>
      </c>
      <c r="L259" s="1055" t="str">
        <f t="shared" si="160"/>
        <v>-</v>
      </c>
      <c r="M259" s="1055">
        <f t="shared" si="160"/>
        <v>0</v>
      </c>
      <c r="N259" s="828"/>
      <c r="O259" s="2127"/>
      <c r="P259" s="1054">
        <v>13</v>
      </c>
      <c r="Q259" s="1055">
        <f>O138</f>
        <v>970</v>
      </c>
      <c r="R259" s="1055">
        <f t="shared" ref="R259:T259" si="161">P138</f>
        <v>1</v>
      </c>
      <c r="S259" s="1055" t="str">
        <f t="shared" si="161"/>
        <v>-</v>
      </c>
      <c r="T259" s="1056">
        <f t="shared" si="161"/>
        <v>0</v>
      </c>
      <c r="V259" s="1052">
        <v>11</v>
      </c>
      <c r="W259" s="1053">
        <f>U114</f>
        <v>1.8</v>
      </c>
    </row>
    <row r="260" spans="1:23" ht="13" hidden="1">
      <c r="A260" s="2130"/>
      <c r="B260" s="1054">
        <v>14</v>
      </c>
      <c r="C260" s="1055">
        <f>C149</f>
        <v>20</v>
      </c>
      <c r="D260" s="1055">
        <f t="shared" ref="D260:F260" si="162">D149</f>
        <v>-0.1</v>
      </c>
      <c r="E260" s="1055" t="str">
        <f t="shared" si="162"/>
        <v>-</v>
      </c>
      <c r="F260" s="1055">
        <f t="shared" si="162"/>
        <v>0</v>
      </c>
      <c r="G260" s="828"/>
      <c r="H260" s="2127"/>
      <c r="I260" s="1054">
        <v>14</v>
      </c>
      <c r="J260" s="1055">
        <f>I149</f>
        <v>40</v>
      </c>
      <c r="K260" s="1055">
        <f t="shared" ref="K260:M260" si="163">J149</f>
        <v>0.3</v>
      </c>
      <c r="L260" s="1055" t="str">
        <f t="shared" si="163"/>
        <v>-</v>
      </c>
      <c r="M260" s="1055">
        <f t="shared" si="163"/>
        <v>0</v>
      </c>
      <c r="N260" s="828"/>
      <c r="O260" s="2127"/>
      <c r="P260" s="1054">
        <v>14</v>
      </c>
      <c r="Q260" s="1055">
        <f>O149</f>
        <v>970</v>
      </c>
      <c r="R260" s="1055">
        <f t="shared" ref="R260:T260" si="164">P149</f>
        <v>1</v>
      </c>
      <c r="S260" s="1055" t="str">
        <f t="shared" si="164"/>
        <v>-</v>
      </c>
      <c r="T260" s="1056">
        <f t="shared" si="164"/>
        <v>0</v>
      </c>
      <c r="V260" s="1052">
        <v>12</v>
      </c>
      <c r="W260" s="1080">
        <f>U125</f>
        <v>2</v>
      </c>
    </row>
    <row r="261" spans="1:23" ht="13" hidden="1">
      <c r="A261" s="2130"/>
      <c r="B261" s="1054">
        <v>15</v>
      </c>
      <c r="C261" s="1055">
        <f>C160</f>
        <v>20</v>
      </c>
      <c r="D261" s="1055">
        <f t="shared" ref="D261:F261" si="165">D160</f>
        <v>-0.5</v>
      </c>
      <c r="E261" s="1055" t="str">
        <f t="shared" si="165"/>
        <v>-</v>
      </c>
      <c r="F261" s="1055">
        <f t="shared" si="165"/>
        <v>0</v>
      </c>
      <c r="G261" s="828"/>
      <c r="H261" s="2127"/>
      <c r="I261" s="1054">
        <v>15</v>
      </c>
      <c r="J261" s="1055">
        <f>I160</f>
        <v>40</v>
      </c>
      <c r="K261" s="1055">
        <f t="shared" ref="K261:M261" si="166">J160</f>
        <v>-0.3</v>
      </c>
      <c r="L261" s="1055" t="str">
        <f t="shared" si="166"/>
        <v>-</v>
      </c>
      <c r="M261" s="1055">
        <f t="shared" si="166"/>
        <v>0</v>
      </c>
      <c r="N261" s="828"/>
      <c r="O261" s="2127"/>
      <c r="P261" s="1054">
        <v>15</v>
      </c>
      <c r="Q261" s="1055">
        <f>O160</f>
        <v>970</v>
      </c>
      <c r="R261" s="1055">
        <f t="shared" ref="R261:T261" si="167">P160</f>
        <v>1</v>
      </c>
      <c r="S261" s="1055" t="str">
        <f t="shared" si="167"/>
        <v>-</v>
      </c>
      <c r="T261" s="1056">
        <f t="shared" si="167"/>
        <v>0</v>
      </c>
      <c r="V261" s="1052">
        <v>13</v>
      </c>
      <c r="W261" s="1053">
        <f>U136</f>
        <v>2.7</v>
      </c>
    </row>
    <row r="262" spans="1:23" ht="13" hidden="1">
      <c r="A262" s="2130"/>
      <c r="B262" s="1054">
        <v>16</v>
      </c>
      <c r="C262" s="1055">
        <f>C171</f>
        <v>20</v>
      </c>
      <c r="D262" s="1055">
        <f t="shared" ref="D262:F262" si="168">D171</f>
        <v>0.2</v>
      </c>
      <c r="E262" s="1055" t="str">
        <f t="shared" si="168"/>
        <v>-</v>
      </c>
      <c r="F262" s="1055">
        <f t="shared" si="168"/>
        <v>0</v>
      </c>
      <c r="G262" s="828"/>
      <c r="H262" s="2127"/>
      <c r="I262" s="1054">
        <v>16</v>
      </c>
      <c r="J262" s="1055">
        <f>I171</f>
        <v>40</v>
      </c>
      <c r="K262" s="1055">
        <f t="shared" ref="K262:M262" si="169">J171</f>
        <v>-1.4</v>
      </c>
      <c r="L262" s="1055" t="str">
        <f t="shared" si="169"/>
        <v>-</v>
      </c>
      <c r="M262" s="1055">
        <f t="shared" si="169"/>
        <v>0</v>
      </c>
      <c r="N262" s="828"/>
      <c r="O262" s="2127"/>
      <c r="P262" s="1054">
        <v>16</v>
      </c>
      <c r="Q262" s="1055">
        <f>O171</f>
        <v>850</v>
      </c>
      <c r="R262" s="1055">
        <f t="shared" ref="R262:T262" si="170">P171</f>
        <v>-2.2999999999999998</v>
      </c>
      <c r="S262" s="1055" t="str">
        <f t="shared" si="170"/>
        <v>-</v>
      </c>
      <c r="T262" s="1056">
        <f t="shared" si="170"/>
        <v>0</v>
      </c>
      <c r="V262" s="1052">
        <v>14</v>
      </c>
      <c r="W262" s="1053">
        <f>U147</f>
        <v>2.2000000000000002</v>
      </c>
    </row>
    <row r="263" spans="1:23" ht="13" hidden="1">
      <c r="A263" s="2130"/>
      <c r="B263" s="1054">
        <v>17</v>
      </c>
      <c r="C263" s="1055">
        <f>C182</f>
        <v>20</v>
      </c>
      <c r="D263" s="1055">
        <f t="shared" ref="D263:F263" si="171">D182</f>
        <v>0.1</v>
      </c>
      <c r="E263" s="1055" t="str">
        <f t="shared" si="171"/>
        <v>-</v>
      </c>
      <c r="F263" s="1055">
        <f t="shared" si="171"/>
        <v>0</v>
      </c>
      <c r="G263" s="828"/>
      <c r="H263" s="2127"/>
      <c r="I263" s="1054">
        <v>17</v>
      </c>
      <c r="J263" s="1055">
        <f>I182</f>
        <v>40</v>
      </c>
      <c r="K263" s="1055">
        <f t="shared" ref="K263:M263" si="172">J182</f>
        <v>0.2</v>
      </c>
      <c r="L263" s="1055" t="str">
        <f t="shared" si="172"/>
        <v>-</v>
      </c>
      <c r="M263" s="1055">
        <f t="shared" si="172"/>
        <v>0</v>
      </c>
      <c r="N263" s="828"/>
      <c r="O263" s="2127"/>
      <c r="P263" s="1054">
        <v>17</v>
      </c>
      <c r="Q263" s="1055">
        <f>O182</f>
        <v>970</v>
      </c>
      <c r="R263" s="1055">
        <f t="shared" ref="R263:T263" si="173">P182</f>
        <v>-0.6</v>
      </c>
      <c r="S263" s="1055" t="str">
        <f t="shared" si="173"/>
        <v>-</v>
      </c>
      <c r="T263" s="1056">
        <f t="shared" si="173"/>
        <v>0</v>
      </c>
      <c r="V263" s="1052">
        <v>15</v>
      </c>
      <c r="W263" s="1053">
        <f>U158</f>
        <v>2.7</v>
      </c>
    </row>
    <row r="264" spans="1:23" ht="13" hidden="1">
      <c r="A264" s="2130"/>
      <c r="B264" s="1054">
        <v>18</v>
      </c>
      <c r="C264" s="1055">
        <f>C193</f>
        <v>20</v>
      </c>
      <c r="D264" s="1055">
        <f t="shared" ref="D264:F264" si="174">D193</f>
        <v>-0.1</v>
      </c>
      <c r="E264" s="1055" t="str">
        <f t="shared" si="174"/>
        <v>-</v>
      </c>
      <c r="F264" s="1055">
        <f t="shared" si="174"/>
        <v>0</v>
      </c>
      <c r="G264" s="828"/>
      <c r="H264" s="2127"/>
      <c r="I264" s="1054">
        <v>18</v>
      </c>
      <c r="J264" s="1055">
        <f>I193</f>
        <v>40</v>
      </c>
      <c r="K264" s="1055">
        <f t="shared" ref="K264:M264" si="175">J193</f>
        <v>-0.2</v>
      </c>
      <c r="L264" s="1055" t="str">
        <f t="shared" si="175"/>
        <v>-</v>
      </c>
      <c r="M264" s="1055">
        <f t="shared" si="175"/>
        <v>0</v>
      </c>
      <c r="N264" s="828"/>
      <c r="O264" s="2127"/>
      <c r="P264" s="1054">
        <v>18</v>
      </c>
      <c r="Q264" s="1055">
        <f>O193</f>
        <v>850</v>
      </c>
      <c r="R264" s="1055">
        <f t="shared" ref="R264:T264" si="176">P193</f>
        <v>-1.3</v>
      </c>
      <c r="S264" s="1055" t="str">
        <f t="shared" si="176"/>
        <v>-</v>
      </c>
      <c r="T264" s="1056">
        <f t="shared" si="176"/>
        <v>0</v>
      </c>
      <c r="V264" s="1052">
        <v>16</v>
      </c>
      <c r="W264" s="1053">
        <f>U169</f>
        <v>2.2000000000000002</v>
      </c>
    </row>
    <row r="265" spans="1:23" ht="13" hidden="1">
      <c r="A265" s="2130"/>
      <c r="B265" s="1054">
        <v>19</v>
      </c>
      <c r="C265" s="1055">
        <f>C204</f>
        <v>20</v>
      </c>
      <c r="D265" s="1055">
        <f t="shared" ref="D265:F265" si="177">D204</f>
        <v>0.1</v>
      </c>
      <c r="E265" s="1055" t="str">
        <f t="shared" si="177"/>
        <v>-</v>
      </c>
      <c r="F265" s="1055">
        <f t="shared" si="177"/>
        <v>0</v>
      </c>
      <c r="G265" s="828"/>
      <c r="H265" s="2127"/>
      <c r="I265" s="1054">
        <v>19</v>
      </c>
      <c r="J265" s="1055">
        <f>I204</f>
        <v>40</v>
      </c>
      <c r="K265" s="1055">
        <f t="shared" ref="K265:M265" si="178">J204</f>
        <v>-0.8</v>
      </c>
      <c r="L265" s="1055" t="str">
        <f t="shared" si="178"/>
        <v>-</v>
      </c>
      <c r="M265" s="1055">
        <f t="shared" si="178"/>
        <v>0</v>
      </c>
      <c r="N265" s="828"/>
      <c r="O265" s="2127"/>
      <c r="P265" s="1054">
        <v>19</v>
      </c>
      <c r="Q265" s="1055">
        <f>O204</f>
        <v>800</v>
      </c>
      <c r="R265" s="1055">
        <f t="shared" ref="R265:T265" si="179">P204</f>
        <v>2.5</v>
      </c>
      <c r="S265" s="1055" t="str">
        <f t="shared" si="179"/>
        <v>-</v>
      </c>
      <c r="T265" s="1056">
        <f t="shared" si="179"/>
        <v>0</v>
      </c>
      <c r="V265" s="1052">
        <v>17</v>
      </c>
      <c r="W265" s="1053">
        <f>U180</f>
        <v>2.8</v>
      </c>
    </row>
    <row r="266" spans="1:23" ht="13.5" hidden="1" thickBot="1">
      <c r="A266" s="2131"/>
      <c r="B266" s="1065">
        <v>20</v>
      </c>
      <c r="C266" s="1081">
        <f>C215</f>
        <v>19.7</v>
      </c>
      <c r="D266" s="1081">
        <f t="shared" ref="D266:F266" si="180">D215</f>
        <v>0</v>
      </c>
      <c r="E266" s="1081" t="str">
        <f t="shared" si="180"/>
        <v>-</v>
      </c>
      <c r="F266" s="1081">
        <f t="shared" si="180"/>
        <v>0</v>
      </c>
      <c r="G266" s="1067"/>
      <c r="H266" s="2128"/>
      <c r="I266" s="1065">
        <v>20</v>
      </c>
      <c r="J266" s="1081">
        <f>I215</f>
        <v>54.3</v>
      </c>
      <c r="K266" s="1081">
        <f t="shared" ref="K266:M266" si="181">J215</f>
        <v>0</v>
      </c>
      <c r="L266" s="1081" t="str">
        <f t="shared" si="181"/>
        <v>-</v>
      </c>
      <c r="M266" s="1081">
        <f t="shared" si="181"/>
        <v>0</v>
      </c>
      <c r="N266" s="1067"/>
      <c r="O266" s="2128"/>
      <c r="P266" s="1065">
        <v>20</v>
      </c>
      <c r="Q266" s="1081">
        <f>O215</f>
        <v>800</v>
      </c>
      <c r="R266" s="1081" t="str">
        <f t="shared" ref="R266:T266" si="182">P215</f>
        <v>-</v>
      </c>
      <c r="S266" s="1081" t="str">
        <f t="shared" si="182"/>
        <v>-</v>
      </c>
      <c r="T266" s="1082">
        <f t="shared" si="182"/>
        <v>0</v>
      </c>
      <c r="V266" s="1052">
        <v>18</v>
      </c>
      <c r="W266" s="1053">
        <f>U191</f>
        <v>1.6</v>
      </c>
    </row>
    <row r="267" spans="1:23" ht="13" hidden="1">
      <c r="A267" s="1070"/>
      <c r="B267" s="1071"/>
      <c r="C267" s="1083"/>
      <c r="D267" s="1083"/>
      <c r="E267" s="1083"/>
      <c r="F267" s="1084"/>
      <c r="G267" s="789"/>
      <c r="H267" s="1070"/>
      <c r="I267" s="1071"/>
      <c r="J267" s="1083"/>
      <c r="K267" s="1083"/>
      <c r="L267" s="1083"/>
      <c r="M267" s="1084"/>
      <c r="N267" s="828"/>
      <c r="O267" s="1070"/>
      <c r="P267" s="1071"/>
      <c r="Q267" s="1083"/>
      <c r="R267" s="1083"/>
      <c r="S267" s="1083"/>
      <c r="T267" s="1084"/>
      <c r="V267" s="1052">
        <v>19</v>
      </c>
      <c r="W267" s="1062">
        <f>U202</f>
        <v>1.5</v>
      </c>
    </row>
    <row r="268" spans="1:23" ht="13.5" hidden="1" thickBot="1">
      <c r="A268" s="2123">
        <v>3</v>
      </c>
      <c r="B268" s="1076">
        <v>1</v>
      </c>
      <c r="C268" s="1085">
        <f>C7</f>
        <v>25</v>
      </c>
      <c r="D268" s="1085">
        <f t="shared" ref="D268:F268" si="183">D7</f>
        <v>0</v>
      </c>
      <c r="E268" s="1085">
        <f t="shared" si="183"/>
        <v>0.1</v>
      </c>
      <c r="F268" s="1085">
        <f t="shared" si="183"/>
        <v>0.05</v>
      </c>
      <c r="G268" s="1078"/>
      <c r="H268" s="2126">
        <v>3</v>
      </c>
      <c r="I268" s="1076">
        <v>1</v>
      </c>
      <c r="J268" s="1085">
        <f>I7</f>
        <v>50</v>
      </c>
      <c r="K268" s="1085">
        <f t="shared" ref="K268:M268" si="184">J7</f>
        <v>-5.8</v>
      </c>
      <c r="L268" s="1085">
        <f t="shared" si="184"/>
        <v>-7.2</v>
      </c>
      <c r="M268" s="1085">
        <f t="shared" si="184"/>
        <v>0.70000000000000018</v>
      </c>
      <c r="N268" s="1078"/>
      <c r="O268" s="2126">
        <v>3</v>
      </c>
      <c r="P268" s="1076">
        <v>1</v>
      </c>
      <c r="Q268" s="1085">
        <f>O7</f>
        <v>850</v>
      </c>
      <c r="R268" s="1085" t="str">
        <f t="shared" ref="R268:T268" si="185">P7</f>
        <v>-</v>
      </c>
      <c r="S268" s="1085" t="str">
        <f t="shared" si="185"/>
        <v>-</v>
      </c>
      <c r="T268" s="1086">
        <f t="shared" si="185"/>
        <v>0</v>
      </c>
      <c r="V268" s="1063">
        <v>20</v>
      </c>
      <c r="W268" s="1064">
        <f>U213</f>
        <v>0</v>
      </c>
    </row>
    <row r="269" spans="1:23" ht="13" hidden="1">
      <c r="A269" s="2124"/>
      <c r="B269" s="1054">
        <v>2</v>
      </c>
      <c r="C269" s="1055">
        <f>C18</f>
        <v>25</v>
      </c>
      <c r="D269" s="1055">
        <f t="shared" ref="D269:F269" si="186">D18</f>
        <v>0.5</v>
      </c>
      <c r="E269" s="1055">
        <f t="shared" si="186"/>
        <v>-0.2</v>
      </c>
      <c r="F269" s="1055">
        <f t="shared" si="186"/>
        <v>0.35</v>
      </c>
      <c r="G269" s="828"/>
      <c r="H269" s="2127"/>
      <c r="I269" s="1054">
        <v>2</v>
      </c>
      <c r="J269" s="1055">
        <f>I18</f>
        <v>50</v>
      </c>
      <c r="K269" s="1055">
        <f t="shared" ref="K269:M269" si="187">J18</f>
        <v>-5.3</v>
      </c>
      <c r="L269" s="1055">
        <f t="shared" si="187"/>
        <v>-1.5</v>
      </c>
      <c r="M269" s="1055">
        <f t="shared" si="187"/>
        <v>1.9</v>
      </c>
      <c r="N269" s="828"/>
      <c r="O269" s="2127"/>
      <c r="P269" s="1054">
        <v>2</v>
      </c>
      <c r="Q269" s="1055">
        <f>O18</f>
        <v>850</v>
      </c>
      <c r="R269" s="1055" t="str">
        <f t="shared" ref="R269:T269" si="188">P18</f>
        <v>-</v>
      </c>
      <c r="S269" s="1055" t="str">
        <f t="shared" si="188"/>
        <v>-</v>
      </c>
      <c r="T269" s="1056">
        <f t="shared" si="188"/>
        <v>0</v>
      </c>
    </row>
    <row r="270" spans="1:23" ht="13" hidden="1">
      <c r="A270" s="2124"/>
      <c r="B270" s="1054">
        <v>3</v>
      </c>
      <c r="C270" s="1055">
        <f>C29</f>
        <v>25</v>
      </c>
      <c r="D270" s="1055">
        <f t="shared" ref="D270:F270" si="189">D29</f>
        <v>0.7</v>
      </c>
      <c r="E270" s="1055">
        <f t="shared" si="189"/>
        <v>-0.1</v>
      </c>
      <c r="F270" s="1055">
        <f t="shared" si="189"/>
        <v>0.39999999999999997</v>
      </c>
      <c r="G270" s="828"/>
      <c r="H270" s="2127"/>
      <c r="I270" s="1054">
        <v>3</v>
      </c>
      <c r="J270" s="1055">
        <f>I29</f>
        <v>50</v>
      </c>
      <c r="K270" s="1055">
        <f t="shared" ref="K270:M270" si="190">J29</f>
        <v>-4.5</v>
      </c>
      <c r="L270" s="1055">
        <f t="shared" si="190"/>
        <v>-4.9000000000000004</v>
      </c>
      <c r="M270" s="1055">
        <f t="shared" si="190"/>
        <v>0.20000000000000018</v>
      </c>
      <c r="N270" s="828"/>
      <c r="O270" s="2127"/>
      <c r="P270" s="1054">
        <v>3</v>
      </c>
      <c r="Q270" s="1055">
        <f>O29</f>
        <v>850</v>
      </c>
      <c r="R270" s="1055" t="str">
        <f t="shared" ref="R270:T270" si="191">P29</f>
        <v>-</v>
      </c>
      <c r="S270" s="1055" t="str">
        <f t="shared" si="191"/>
        <v>-</v>
      </c>
      <c r="T270" s="1056">
        <f t="shared" si="191"/>
        <v>0</v>
      </c>
    </row>
    <row r="271" spans="1:23" ht="13" hidden="1">
      <c r="A271" s="2124"/>
      <c r="B271" s="1054">
        <v>4</v>
      </c>
      <c r="C271" s="1055">
        <f>C40</f>
        <v>25</v>
      </c>
      <c r="D271" s="1055">
        <f t="shared" ref="D271:F271" si="192">D40</f>
        <v>-0.1</v>
      </c>
      <c r="E271" s="1055">
        <f t="shared" si="192"/>
        <v>-0.5</v>
      </c>
      <c r="F271" s="1055">
        <f t="shared" si="192"/>
        <v>0.2</v>
      </c>
      <c r="G271" s="828"/>
      <c r="H271" s="2127"/>
      <c r="I271" s="1054">
        <v>4</v>
      </c>
      <c r="J271" s="1055">
        <f>I40</f>
        <v>50</v>
      </c>
      <c r="K271" s="1055">
        <f t="shared" ref="K271:M271" si="193">J40</f>
        <v>-4.3</v>
      </c>
      <c r="L271" s="1055">
        <f t="shared" si="193"/>
        <v>-1</v>
      </c>
      <c r="M271" s="1055">
        <f t="shared" si="193"/>
        <v>1.65</v>
      </c>
      <c r="N271" s="828"/>
      <c r="O271" s="2127"/>
      <c r="P271" s="1054">
        <v>4</v>
      </c>
      <c r="Q271" s="1055">
        <f>O40</f>
        <v>850</v>
      </c>
      <c r="R271" s="1055" t="str">
        <f t="shared" ref="R271:T271" si="194">P40</f>
        <v>-</v>
      </c>
      <c r="S271" s="1055" t="str">
        <f t="shared" si="194"/>
        <v>-</v>
      </c>
      <c r="T271" s="1056">
        <f t="shared" si="194"/>
        <v>0</v>
      </c>
      <c r="V271" s="2135" t="s">
        <v>81</v>
      </c>
      <c r="W271" s="2136"/>
    </row>
    <row r="272" spans="1:23" ht="13" hidden="1">
      <c r="A272" s="2124"/>
      <c r="B272" s="1054">
        <v>5</v>
      </c>
      <c r="C272" s="1055">
        <f>C51</f>
        <v>25</v>
      </c>
      <c r="D272" s="1055">
        <f t="shared" ref="D272:F272" si="195">D51</f>
        <v>0.4</v>
      </c>
      <c r="E272" s="1055">
        <f t="shared" si="195"/>
        <v>0.2</v>
      </c>
      <c r="F272" s="1055">
        <f t="shared" si="195"/>
        <v>0.1</v>
      </c>
      <c r="G272" s="828"/>
      <c r="H272" s="2127"/>
      <c r="I272" s="1054">
        <v>5</v>
      </c>
      <c r="J272" s="1055">
        <f>I51</f>
        <v>50</v>
      </c>
      <c r="K272" s="1055">
        <f t="shared" ref="K272:M272" si="196">J51</f>
        <v>-6.2</v>
      </c>
      <c r="L272" s="1055">
        <f t="shared" si="196"/>
        <v>-6.2</v>
      </c>
      <c r="M272" s="1055">
        <f t="shared" si="196"/>
        <v>0</v>
      </c>
      <c r="N272" s="828"/>
      <c r="O272" s="2127"/>
      <c r="P272" s="1054">
        <v>5</v>
      </c>
      <c r="Q272" s="1055">
        <f>O51</f>
        <v>850</v>
      </c>
      <c r="R272" s="1055" t="str">
        <f t="shared" ref="R272:T272" si="197">P51</f>
        <v>-</v>
      </c>
      <c r="S272" s="1055" t="str">
        <f t="shared" si="197"/>
        <v>-</v>
      </c>
      <c r="T272" s="1056">
        <f t="shared" si="197"/>
        <v>0</v>
      </c>
      <c r="V272" s="2137" t="s">
        <v>76</v>
      </c>
      <c r="W272" s="2138"/>
    </row>
    <row r="273" spans="1:23" ht="13" hidden="1">
      <c r="A273" s="2124"/>
      <c r="B273" s="1054">
        <v>6</v>
      </c>
      <c r="C273" s="1055">
        <f>C62</f>
        <v>25</v>
      </c>
      <c r="D273" s="1055">
        <f t="shared" ref="D273:F273" si="198">D62</f>
        <v>0.2</v>
      </c>
      <c r="E273" s="1055">
        <f t="shared" si="198"/>
        <v>-0.1</v>
      </c>
      <c r="F273" s="1055">
        <f t="shared" si="198"/>
        <v>0.15000000000000002</v>
      </c>
      <c r="G273" s="828"/>
      <c r="H273" s="2127"/>
      <c r="I273" s="1054">
        <v>6</v>
      </c>
      <c r="J273" s="1055">
        <f>I62</f>
        <v>50</v>
      </c>
      <c r="K273" s="1055">
        <f t="shared" ref="K273:M273" si="199">J62</f>
        <v>-5.4</v>
      </c>
      <c r="L273" s="1055">
        <f t="shared" si="199"/>
        <v>1.2</v>
      </c>
      <c r="M273" s="1055">
        <f t="shared" si="199"/>
        <v>3.3000000000000003</v>
      </c>
      <c r="N273" s="828"/>
      <c r="O273" s="2127"/>
      <c r="P273" s="1054">
        <v>6</v>
      </c>
      <c r="Q273" s="1055">
        <f>O62</f>
        <v>850</v>
      </c>
      <c r="R273" s="1055">
        <f t="shared" ref="R273:T273" si="200">P62</f>
        <v>0.9</v>
      </c>
      <c r="S273" s="1055">
        <f t="shared" si="200"/>
        <v>1.1000000000000001</v>
      </c>
      <c r="T273" s="1056">
        <f t="shared" si="200"/>
        <v>0.10000000000000003</v>
      </c>
      <c r="V273" s="1052">
        <v>1</v>
      </c>
      <c r="W273" s="1053">
        <f>U5</f>
        <v>0</v>
      </c>
    </row>
    <row r="274" spans="1:23" ht="13" hidden="1">
      <c r="A274" s="2124"/>
      <c r="B274" s="1054">
        <v>7</v>
      </c>
      <c r="C274" s="1055">
        <f>C73</f>
        <v>25</v>
      </c>
      <c r="D274" s="1055">
        <f t="shared" ref="D274:F274" si="201">D73</f>
        <v>0</v>
      </c>
      <c r="E274" s="1055">
        <f t="shared" si="201"/>
        <v>-0.2</v>
      </c>
      <c r="F274" s="1055">
        <f t="shared" si="201"/>
        <v>0.1</v>
      </c>
      <c r="G274" s="828"/>
      <c r="H274" s="2127"/>
      <c r="I274" s="1054">
        <v>7</v>
      </c>
      <c r="J274" s="1055">
        <f>I73</f>
        <v>50</v>
      </c>
      <c r="K274" s="1055">
        <f t="shared" ref="K274:M274" si="202">J73</f>
        <v>-1.9</v>
      </c>
      <c r="L274" s="1055">
        <f t="shared" si="202"/>
        <v>0.8</v>
      </c>
      <c r="M274" s="1055">
        <f t="shared" si="202"/>
        <v>1.35</v>
      </c>
      <c r="N274" s="828"/>
      <c r="O274" s="2127"/>
      <c r="P274" s="1054">
        <v>7</v>
      </c>
      <c r="Q274" s="1055">
        <f>O73</f>
        <v>850</v>
      </c>
      <c r="R274" s="1055">
        <f t="shared" ref="R274:T274" si="203">P73</f>
        <v>0</v>
      </c>
      <c r="S274" s="1055">
        <f t="shared" si="203"/>
        <v>1.7</v>
      </c>
      <c r="T274" s="1056">
        <f t="shared" si="203"/>
        <v>0.85</v>
      </c>
      <c r="V274" s="1057">
        <v>2</v>
      </c>
      <c r="W274" s="1053">
        <f>U16</f>
        <v>0</v>
      </c>
    </row>
    <row r="275" spans="1:23" ht="13" hidden="1">
      <c r="A275" s="2124"/>
      <c r="B275" s="1054">
        <v>8</v>
      </c>
      <c r="C275" s="1055">
        <f>C84</f>
        <v>25</v>
      </c>
      <c r="D275" s="1055">
        <f t="shared" ref="D275:F275" si="204">D84</f>
        <v>-0.1</v>
      </c>
      <c r="E275" s="1055">
        <f t="shared" si="204"/>
        <v>-0.4</v>
      </c>
      <c r="F275" s="1055">
        <f t="shared" si="204"/>
        <v>0.15000000000000002</v>
      </c>
      <c r="G275" s="828"/>
      <c r="H275" s="2127"/>
      <c r="I275" s="1054">
        <v>8</v>
      </c>
      <c r="J275" s="1055">
        <f>I84</f>
        <v>50</v>
      </c>
      <c r="K275" s="1055">
        <f t="shared" ref="K275:M275" si="205">J84</f>
        <v>-3.8</v>
      </c>
      <c r="L275" s="1055">
        <f t="shared" si="205"/>
        <v>-1.2</v>
      </c>
      <c r="M275" s="1055">
        <f t="shared" si="205"/>
        <v>1.2999999999999998</v>
      </c>
      <c r="N275" s="828"/>
      <c r="O275" s="2127"/>
      <c r="P275" s="1054">
        <v>8</v>
      </c>
      <c r="Q275" s="1055">
        <f>O84</f>
        <v>850</v>
      </c>
      <c r="R275" s="1055">
        <f t="shared" ref="R275:T275" si="206">P84</f>
        <v>0</v>
      </c>
      <c r="S275" s="1055">
        <f t="shared" si="206"/>
        <v>0</v>
      </c>
      <c r="T275" s="1056">
        <f t="shared" si="206"/>
        <v>0</v>
      </c>
      <c r="V275" s="1057">
        <v>3</v>
      </c>
      <c r="W275" s="1087">
        <f>U27</f>
        <v>0</v>
      </c>
    </row>
    <row r="276" spans="1:23" ht="13" hidden="1">
      <c r="A276" s="2124"/>
      <c r="B276" s="1054">
        <v>9</v>
      </c>
      <c r="C276" s="1055">
        <f>C95</f>
        <v>25</v>
      </c>
      <c r="D276" s="1055">
        <f t="shared" ref="D276:F276" si="207">D95</f>
        <v>-0.4</v>
      </c>
      <c r="E276" s="1055" t="str">
        <f t="shared" si="207"/>
        <v>-</v>
      </c>
      <c r="F276" s="1055">
        <f t="shared" si="207"/>
        <v>0</v>
      </c>
      <c r="G276" s="828"/>
      <c r="H276" s="2127"/>
      <c r="I276" s="1054">
        <v>9</v>
      </c>
      <c r="J276" s="1055">
        <f>I95</f>
        <v>50</v>
      </c>
      <c r="K276" s="1055">
        <f t="shared" ref="K276:M276" si="208">J95</f>
        <v>-0.9</v>
      </c>
      <c r="L276" s="1055" t="str">
        <f t="shared" si="208"/>
        <v>-</v>
      </c>
      <c r="M276" s="1055">
        <f t="shared" si="208"/>
        <v>0</v>
      </c>
      <c r="N276" s="828"/>
      <c r="O276" s="2127"/>
      <c r="P276" s="1054">
        <v>9</v>
      </c>
      <c r="Q276" s="1055">
        <f>O95</f>
        <v>850</v>
      </c>
      <c r="R276" s="1055">
        <f t="shared" ref="R276:T276" si="209">P95</f>
        <v>0</v>
      </c>
      <c r="S276" s="1055" t="str">
        <f t="shared" si="209"/>
        <v>-</v>
      </c>
      <c r="T276" s="1056">
        <f t="shared" si="209"/>
        <v>0</v>
      </c>
      <c r="V276" s="1057">
        <v>4</v>
      </c>
      <c r="W276" s="1087">
        <f>U39</f>
        <v>0</v>
      </c>
    </row>
    <row r="277" spans="1:23" ht="13" hidden="1">
      <c r="A277" s="2124"/>
      <c r="B277" s="1054">
        <v>10</v>
      </c>
      <c r="C277" s="1055">
        <f>C106</f>
        <v>25</v>
      </c>
      <c r="D277" s="1055">
        <f t="shared" ref="D277:F277" si="210">D106</f>
        <v>0.1</v>
      </c>
      <c r="E277" s="1055">
        <f t="shared" si="210"/>
        <v>-0.5</v>
      </c>
      <c r="F277" s="1055">
        <f t="shared" si="210"/>
        <v>0.3</v>
      </c>
      <c r="G277" s="828"/>
      <c r="H277" s="2127"/>
      <c r="I277" s="1054">
        <v>10</v>
      </c>
      <c r="J277" s="1055">
        <f>I106</f>
        <v>50</v>
      </c>
      <c r="K277" s="1055">
        <f t="shared" ref="K277:M277" si="211">J106</f>
        <v>-3.1</v>
      </c>
      <c r="L277" s="1055">
        <f t="shared" si="211"/>
        <v>-6.1</v>
      </c>
      <c r="M277" s="1055">
        <f t="shared" si="211"/>
        <v>1.4999999999999998</v>
      </c>
      <c r="N277" s="828"/>
      <c r="O277" s="2127"/>
      <c r="P277" s="1054">
        <v>10</v>
      </c>
      <c r="Q277" s="1055">
        <f>O106</f>
        <v>850</v>
      </c>
      <c r="R277" s="1055" t="str">
        <f t="shared" ref="R277:T277" si="212">P106</f>
        <v>-</v>
      </c>
      <c r="S277" s="1055" t="str">
        <f t="shared" si="212"/>
        <v>-</v>
      </c>
      <c r="T277" s="1056">
        <f t="shared" si="212"/>
        <v>0</v>
      </c>
      <c r="V277" s="1057">
        <v>5</v>
      </c>
      <c r="W277" s="1087">
        <f>U49</f>
        <v>0</v>
      </c>
    </row>
    <row r="278" spans="1:23" ht="13" hidden="1">
      <c r="A278" s="2124"/>
      <c r="B278" s="1054">
        <v>11</v>
      </c>
      <c r="C278" s="1055">
        <f>C117</f>
        <v>25</v>
      </c>
      <c r="D278" s="1055">
        <f t="shared" ref="D278:F278" si="213">D117</f>
        <v>0.4</v>
      </c>
      <c r="E278" s="1055">
        <f t="shared" si="213"/>
        <v>0.5</v>
      </c>
      <c r="F278" s="1055">
        <f t="shared" si="213"/>
        <v>4.9999999999999989E-2</v>
      </c>
      <c r="G278" s="828"/>
      <c r="H278" s="2127"/>
      <c r="I278" s="1054">
        <v>11</v>
      </c>
      <c r="J278" s="1055">
        <f>I117</f>
        <v>50</v>
      </c>
      <c r="K278" s="1055">
        <f t="shared" ref="K278:M278" si="214">J117</f>
        <v>-5.5</v>
      </c>
      <c r="L278" s="1055">
        <f t="shared" si="214"/>
        <v>-5.6</v>
      </c>
      <c r="M278" s="1055">
        <f t="shared" si="214"/>
        <v>4.9999999999999822E-2</v>
      </c>
      <c r="N278" s="828"/>
      <c r="O278" s="2127"/>
      <c r="P278" s="1054">
        <v>11</v>
      </c>
      <c r="Q278" s="1055">
        <f>O117</f>
        <v>850</v>
      </c>
      <c r="R278" s="1055" t="str">
        <f t="shared" ref="R278:T278" si="215">P117</f>
        <v>-</v>
      </c>
      <c r="S278" s="1055" t="str">
        <f t="shared" si="215"/>
        <v>-</v>
      </c>
      <c r="T278" s="1056">
        <f t="shared" si="215"/>
        <v>0</v>
      </c>
      <c r="V278" s="1052">
        <v>6</v>
      </c>
      <c r="W278" s="1053">
        <f>U60</f>
        <v>1.6</v>
      </c>
    </row>
    <row r="279" spans="1:23" ht="13" hidden="1">
      <c r="A279" s="2124"/>
      <c r="B279" s="1054">
        <v>12</v>
      </c>
      <c r="C279" s="1055">
        <f>C128</f>
        <v>25</v>
      </c>
      <c r="D279" s="1055">
        <f t="shared" ref="D279:F279" si="216">D128</f>
        <v>0</v>
      </c>
      <c r="E279" s="1055" t="str">
        <f t="shared" si="216"/>
        <v>-</v>
      </c>
      <c r="F279" s="1055">
        <f t="shared" si="216"/>
        <v>0</v>
      </c>
      <c r="G279" s="828"/>
      <c r="H279" s="2127"/>
      <c r="I279" s="1054">
        <v>12</v>
      </c>
      <c r="J279" s="1055">
        <f>I128</f>
        <v>50</v>
      </c>
      <c r="K279" s="1055">
        <f t="shared" ref="K279:M279" si="217">J128</f>
        <v>0</v>
      </c>
      <c r="L279" s="1055" t="str">
        <f t="shared" si="217"/>
        <v>-</v>
      </c>
      <c r="M279" s="1055">
        <f t="shared" si="217"/>
        <v>0</v>
      </c>
      <c r="N279" s="828"/>
      <c r="O279" s="2127"/>
      <c r="P279" s="1054">
        <v>12</v>
      </c>
      <c r="Q279" s="1055">
        <f>O128</f>
        <v>900</v>
      </c>
      <c r="R279" s="1055">
        <f t="shared" ref="R279:T279" si="218">P128</f>
        <v>-0.6</v>
      </c>
      <c r="S279" s="1055" t="str">
        <f t="shared" si="218"/>
        <v>-</v>
      </c>
      <c r="T279" s="1056">
        <f t="shared" si="218"/>
        <v>0</v>
      </c>
      <c r="V279" s="1052">
        <v>7</v>
      </c>
      <c r="W279" s="1053">
        <f>U71</f>
        <v>2.4</v>
      </c>
    </row>
    <row r="280" spans="1:23" ht="13" hidden="1">
      <c r="A280" s="2124"/>
      <c r="B280" s="1054">
        <v>13</v>
      </c>
      <c r="C280" s="1055">
        <f>C139</f>
        <v>25</v>
      </c>
      <c r="D280" s="1055">
        <f t="shared" ref="D280:F280" si="219">D139</f>
        <v>-0.2</v>
      </c>
      <c r="E280" s="1055" t="str">
        <f t="shared" si="219"/>
        <v>-</v>
      </c>
      <c r="F280" s="1055">
        <f t="shared" si="219"/>
        <v>0</v>
      </c>
      <c r="G280" s="828"/>
      <c r="H280" s="2127"/>
      <c r="I280" s="1054">
        <v>13</v>
      </c>
      <c r="J280" s="1055">
        <f>I139</f>
        <v>50</v>
      </c>
      <c r="K280" s="1055">
        <f t="shared" ref="K280:M280" si="220">J139</f>
        <v>-1.3</v>
      </c>
      <c r="L280" s="1055" t="str">
        <f t="shared" si="220"/>
        <v>-</v>
      </c>
      <c r="M280" s="1055">
        <f t="shared" si="220"/>
        <v>0</v>
      </c>
      <c r="N280" s="828"/>
      <c r="O280" s="2127"/>
      <c r="P280" s="1054">
        <v>13</v>
      </c>
      <c r="Q280" s="1055">
        <f>O139</f>
        <v>980</v>
      </c>
      <c r="R280" s="1055">
        <f t="shared" ref="R280:T280" si="221">P139</f>
        <v>1</v>
      </c>
      <c r="S280" s="1055" t="str">
        <f t="shared" si="221"/>
        <v>-</v>
      </c>
      <c r="T280" s="1056">
        <f t="shared" si="221"/>
        <v>0</v>
      </c>
      <c r="V280" s="1052">
        <v>8</v>
      </c>
      <c r="W280" s="1053">
        <f>U82</f>
        <v>2.1</v>
      </c>
    </row>
    <row r="281" spans="1:23" ht="13" hidden="1">
      <c r="A281" s="2124"/>
      <c r="B281" s="1054">
        <v>14</v>
      </c>
      <c r="C281" s="1055">
        <f>C150</f>
        <v>25</v>
      </c>
      <c r="D281" s="1055">
        <f t="shared" ref="D281:F281" si="222">D150</f>
        <v>-0.1</v>
      </c>
      <c r="E281" s="1055" t="str">
        <f t="shared" si="222"/>
        <v>-</v>
      </c>
      <c r="F281" s="1055">
        <f t="shared" si="222"/>
        <v>0</v>
      </c>
      <c r="G281" s="828"/>
      <c r="H281" s="2127"/>
      <c r="I281" s="1054">
        <v>14</v>
      </c>
      <c r="J281" s="1055">
        <f>I151</f>
        <v>60</v>
      </c>
      <c r="K281" s="1055">
        <f t="shared" ref="K281:M281" si="223">J151</f>
        <v>-0.6</v>
      </c>
      <c r="L281" s="1055" t="str">
        <f t="shared" si="223"/>
        <v>-</v>
      </c>
      <c r="M281" s="1055">
        <f t="shared" si="223"/>
        <v>0</v>
      </c>
      <c r="N281" s="828"/>
      <c r="O281" s="2127"/>
      <c r="P281" s="1054">
        <v>14</v>
      </c>
      <c r="Q281" s="1055">
        <f>O150</f>
        <v>980</v>
      </c>
      <c r="R281" s="1055">
        <f t="shared" ref="R281:T281" si="224">P150</f>
        <v>1</v>
      </c>
      <c r="S281" s="1055" t="str">
        <f t="shared" si="224"/>
        <v>-</v>
      </c>
      <c r="T281" s="1056">
        <f t="shared" si="224"/>
        <v>0</v>
      </c>
      <c r="V281" s="1052">
        <v>9</v>
      </c>
      <c r="W281" s="1053">
        <f>U93</f>
        <v>2.2000000000000002</v>
      </c>
    </row>
    <row r="282" spans="1:23" ht="13" hidden="1">
      <c r="A282" s="2124"/>
      <c r="B282" s="1054">
        <v>15</v>
      </c>
      <c r="C282" s="1055">
        <f>C161</f>
        <v>25</v>
      </c>
      <c r="D282" s="1055">
        <f t="shared" ref="D282:F282" si="225">D161</f>
        <v>-0.4</v>
      </c>
      <c r="E282" s="1055" t="str">
        <f t="shared" si="225"/>
        <v>-</v>
      </c>
      <c r="F282" s="1055">
        <f t="shared" si="225"/>
        <v>0</v>
      </c>
      <c r="G282" s="828"/>
      <c r="H282" s="2127"/>
      <c r="I282" s="1054">
        <v>15</v>
      </c>
      <c r="J282" s="1055">
        <f>I161</f>
        <v>50</v>
      </c>
      <c r="K282" s="1055">
        <f t="shared" ref="K282:M282" si="226">J161</f>
        <v>-0.3</v>
      </c>
      <c r="L282" s="1055" t="str">
        <f t="shared" si="226"/>
        <v>-</v>
      </c>
      <c r="M282" s="1055">
        <f t="shared" si="226"/>
        <v>0</v>
      </c>
      <c r="N282" s="828"/>
      <c r="O282" s="2127"/>
      <c r="P282" s="1054">
        <v>15</v>
      </c>
      <c r="Q282" s="1055">
        <f>O161</f>
        <v>980</v>
      </c>
      <c r="R282" s="1055">
        <f t="shared" ref="R282:T282" si="227">P161</f>
        <v>1</v>
      </c>
      <c r="S282" s="1055" t="str">
        <f t="shared" si="227"/>
        <v>-</v>
      </c>
      <c r="T282" s="1056">
        <f t="shared" si="227"/>
        <v>0</v>
      </c>
      <c r="V282" s="1052">
        <v>10</v>
      </c>
      <c r="W282" s="1053">
        <f>U104</f>
        <v>0</v>
      </c>
    </row>
    <row r="283" spans="1:23" ht="13" hidden="1">
      <c r="A283" s="2124"/>
      <c r="B283" s="1054">
        <v>16</v>
      </c>
      <c r="C283" s="1055">
        <f>C172</f>
        <v>25</v>
      </c>
      <c r="D283" s="1055">
        <f t="shared" ref="D283:F283" si="228">D172</f>
        <v>0.2</v>
      </c>
      <c r="E283" s="1055" t="str">
        <f t="shared" si="228"/>
        <v>-</v>
      </c>
      <c r="F283" s="1055">
        <f t="shared" si="228"/>
        <v>0</v>
      </c>
      <c r="G283" s="828"/>
      <c r="H283" s="2127"/>
      <c r="I283" s="1054">
        <v>16</v>
      </c>
      <c r="J283" s="1055">
        <f>I172</f>
        <v>50</v>
      </c>
      <c r="K283" s="1055">
        <f t="shared" ref="K283:M283" si="229">J172</f>
        <v>-1.4</v>
      </c>
      <c r="L283" s="1055" t="str">
        <f t="shared" si="229"/>
        <v>-</v>
      </c>
      <c r="M283" s="1055">
        <f t="shared" si="229"/>
        <v>0</v>
      </c>
      <c r="N283" s="828"/>
      <c r="O283" s="2127"/>
      <c r="P283" s="1054">
        <v>16</v>
      </c>
      <c r="Q283" s="1055">
        <f>O172</f>
        <v>900</v>
      </c>
      <c r="R283" s="1055">
        <f t="shared" ref="R283:T283" si="230">P172</f>
        <v>-1.7</v>
      </c>
      <c r="S283" s="1055" t="str">
        <f t="shared" si="230"/>
        <v>-</v>
      </c>
      <c r="T283" s="1056">
        <f t="shared" si="230"/>
        <v>0</v>
      </c>
      <c r="V283" s="1052">
        <v>11</v>
      </c>
      <c r="W283" s="1053">
        <f>U115</f>
        <v>0</v>
      </c>
    </row>
    <row r="284" spans="1:23" ht="13" hidden="1">
      <c r="A284" s="2124"/>
      <c r="B284" s="1054">
        <v>17</v>
      </c>
      <c r="C284" s="1055">
        <f>C183</f>
        <v>25</v>
      </c>
      <c r="D284" s="1055">
        <f t="shared" ref="D284:F284" si="231">D183</f>
        <v>0</v>
      </c>
      <c r="E284" s="1055" t="str">
        <f t="shared" si="231"/>
        <v>-</v>
      </c>
      <c r="F284" s="1055">
        <f t="shared" si="231"/>
        <v>0</v>
      </c>
      <c r="G284" s="828"/>
      <c r="H284" s="2127"/>
      <c r="I284" s="1054">
        <v>17</v>
      </c>
      <c r="J284" s="1055">
        <f>I183</f>
        <v>50</v>
      </c>
      <c r="K284" s="1055">
        <f t="shared" ref="K284:M284" si="232">J183</f>
        <v>0.2</v>
      </c>
      <c r="L284" s="1055" t="str">
        <f t="shared" si="232"/>
        <v>-</v>
      </c>
      <c r="M284" s="1055">
        <f t="shared" si="232"/>
        <v>0</v>
      </c>
      <c r="N284" s="828"/>
      <c r="O284" s="2127"/>
      <c r="P284" s="1054">
        <v>17</v>
      </c>
      <c r="Q284" s="1055">
        <f>O183</f>
        <v>980</v>
      </c>
      <c r="R284" s="1055">
        <f t="shared" ref="R284:T284" si="233">P183</f>
        <v>-0.6</v>
      </c>
      <c r="S284" s="1055" t="str">
        <f t="shared" si="233"/>
        <v>-</v>
      </c>
      <c r="T284" s="1056">
        <f t="shared" si="233"/>
        <v>0</v>
      </c>
      <c r="V284" s="1052">
        <v>12</v>
      </c>
      <c r="W284" s="1080">
        <f>U126</f>
        <v>2.4</v>
      </c>
    </row>
    <row r="285" spans="1:23" ht="13" hidden="1">
      <c r="A285" s="2124"/>
      <c r="B285" s="1054">
        <v>18</v>
      </c>
      <c r="C285" s="1055">
        <f>C194</f>
        <v>25</v>
      </c>
      <c r="D285" s="1055">
        <f t="shared" ref="D285:F285" si="234">D194</f>
        <v>-0.2</v>
      </c>
      <c r="E285" s="1055" t="str">
        <f t="shared" si="234"/>
        <v>-</v>
      </c>
      <c r="F285" s="1055">
        <f t="shared" si="234"/>
        <v>0</v>
      </c>
      <c r="G285" s="828"/>
      <c r="H285" s="2127"/>
      <c r="I285" s="1054">
        <v>18</v>
      </c>
      <c r="J285" s="1055">
        <f>I194</f>
        <v>50</v>
      </c>
      <c r="K285" s="1055">
        <f t="shared" ref="K285:M285" si="235">J194</f>
        <v>-0.2</v>
      </c>
      <c r="L285" s="1055" t="str">
        <f t="shared" si="235"/>
        <v>-</v>
      </c>
      <c r="M285" s="1055">
        <f t="shared" si="235"/>
        <v>0</v>
      </c>
      <c r="N285" s="828"/>
      <c r="O285" s="2127"/>
      <c r="P285" s="1054">
        <v>18</v>
      </c>
      <c r="Q285" s="1055">
        <f>O194</f>
        <v>900</v>
      </c>
      <c r="R285" s="1055">
        <f t="shared" ref="R285:T285" si="236">P194</f>
        <v>-1.1000000000000001</v>
      </c>
      <c r="S285" s="1055" t="str">
        <f t="shared" si="236"/>
        <v>-</v>
      </c>
      <c r="T285" s="1056">
        <f t="shared" si="236"/>
        <v>0</v>
      </c>
      <c r="V285" s="1052">
        <v>13</v>
      </c>
      <c r="W285" s="1053">
        <f>U137</f>
        <v>1.5</v>
      </c>
    </row>
    <row r="286" spans="1:23" ht="13" hidden="1">
      <c r="A286" s="2124"/>
      <c r="B286" s="1054">
        <v>19</v>
      </c>
      <c r="C286" s="1055">
        <f>C194</f>
        <v>25</v>
      </c>
      <c r="D286" s="1055">
        <f t="shared" ref="D286:F286" si="237">D194</f>
        <v>-0.2</v>
      </c>
      <c r="E286" s="1055" t="str">
        <f t="shared" si="237"/>
        <v>-</v>
      </c>
      <c r="F286" s="1055">
        <f t="shared" si="237"/>
        <v>0</v>
      </c>
      <c r="G286" s="828"/>
      <c r="H286" s="2127"/>
      <c r="I286" s="1054">
        <v>19</v>
      </c>
      <c r="J286" s="1055">
        <f>I205</f>
        <v>50</v>
      </c>
      <c r="K286" s="1055">
        <f t="shared" ref="K286:M286" si="238">J205</f>
        <v>-0.2</v>
      </c>
      <c r="L286" s="1055" t="str">
        <f t="shared" si="238"/>
        <v>-</v>
      </c>
      <c r="M286" s="1055">
        <f t="shared" si="238"/>
        <v>0</v>
      </c>
      <c r="N286" s="828"/>
      <c r="O286" s="2127"/>
      <c r="P286" s="1054">
        <v>19</v>
      </c>
      <c r="Q286" s="1055">
        <f>O205</f>
        <v>850</v>
      </c>
      <c r="R286" s="1055">
        <f t="shared" ref="R286:T286" si="239">P205</f>
        <v>2.4</v>
      </c>
      <c r="S286" s="1055" t="str">
        <f t="shared" si="239"/>
        <v>-</v>
      </c>
      <c r="T286" s="1056">
        <f t="shared" si="239"/>
        <v>0</v>
      </c>
      <c r="V286" s="1052">
        <v>14</v>
      </c>
      <c r="W286" s="1053">
        <f>U148</f>
        <v>1.5</v>
      </c>
    </row>
    <row r="287" spans="1:23" ht="13.5" hidden="1" thickBot="1">
      <c r="A287" s="2125"/>
      <c r="B287" s="1065">
        <v>20</v>
      </c>
      <c r="C287" s="1081">
        <f>C216</f>
        <v>24.6</v>
      </c>
      <c r="D287" s="1081">
        <f t="shared" ref="D287:F287" si="240">D216</f>
        <v>0</v>
      </c>
      <c r="E287" s="1081" t="str">
        <f t="shared" si="240"/>
        <v>-</v>
      </c>
      <c r="F287" s="1081">
        <f t="shared" si="240"/>
        <v>0</v>
      </c>
      <c r="G287" s="1067"/>
      <c r="H287" s="2128"/>
      <c r="I287" s="1065">
        <v>20</v>
      </c>
      <c r="J287" s="1081">
        <f>I216</f>
        <v>62.5</v>
      </c>
      <c r="K287" s="1081">
        <f t="shared" ref="K287:M287" si="241">J216</f>
        <v>0</v>
      </c>
      <c r="L287" s="1081" t="str">
        <f t="shared" si="241"/>
        <v>-</v>
      </c>
      <c r="M287" s="1081">
        <f t="shared" si="241"/>
        <v>0</v>
      </c>
      <c r="N287" s="1067"/>
      <c r="O287" s="2128"/>
      <c r="P287" s="1065">
        <v>20</v>
      </c>
      <c r="Q287" s="1081">
        <f>O216</f>
        <v>850</v>
      </c>
      <c r="R287" s="1081" t="str">
        <f t="shared" ref="R287:T287" si="242">P216</f>
        <v>-</v>
      </c>
      <c r="S287" s="1081" t="str">
        <f t="shared" si="242"/>
        <v>-</v>
      </c>
      <c r="T287" s="1082">
        <f t="shared" si="242"/>
        <v>0</v>
      </c>
      <c r="V287" s="1052">
        <v>15</v>
      </c>
      <c r="W287" s="1053">
        <f>U159</f>
        <v>1.5</v>
      </c>
    </row>
    <row r="288" spans="1:23" ht="13" hidden="1">
      <c r="A288" s="1070"/>
      <c r="B288" s="1071"/>
      <c r="C288" s="1083"/>
      <c r="D288" s="1083"/>
      <c r="E288" s="1083"/>
      <c r="F288" s="1084"/>
      <c r="G288" s="789"/>
      <c r="H288" s="1070"/>
      <c r="I288" s="1088"/>
      <c r="J288" s="1083"/>
      <c r="K288" s="1083"/>
      <c r="L288" s="1083"/>
      <c r="M288" s="1084"/>
      <c r="N288" s="828"/>
      <c r="O288" s="1070"/>
      <c r="P288" s="1088"/>
      <c r="Q288" s="1083"/>
      <c r="R288" s="1083"/>
      <c r="S288" s="1083"/>
      <c r="T288" s="1084"/>
      <c r="V288" s="1052">
        <v>16</v>
      </c>
      <c r="W288" s="1062">
        <f>U170</f>
        <v>2.2999999999999998</v>
      </c>
    </row>
    <row r="289" spans="1:23" ht="13" hidden="1">
      <c r="A289" s="2123">
        <v>4</v>
      </c>
      <c r="B289" s="1076">
        <v>1</v>
      </c>
      <c r="C289" s="1085">
        <f>C8</f>
        <v>30</v>
      </c>
      <c r="D289" s="1085">
        <f t="shared" ref="D289:F289" si="243">D8</f>
        <v>0</v>
      </c>
      <c r="E289" s="1085">
        <f t="shared" si="243"/>
        <v>-0.2</v>
      </c>
      <c r="F289" s="1085">
        <f t="shared" si="243"/>
        <v>0.1</v>
      </c>
      <c r="G289" s="1078"/>
      <c r="H289" s="2126">
        <v>4</v>
      </c>
      <c r="I289" s="1076">
        <v>1</v>
      </c>
      <c r="J289" s="1085">
        <f>I8</f>
        <v>60</v>
      </c>
      <c r="K289" s="1085">
        <f t="shared" ref="K289:M289" si="244">J8</f>
        <v>-5.3</v>
      </c>
      <c r="L289" s="1085">
        <f t="shared" si="244"/>
        <v>-5.2</v>
      </c>
      <c r="M289" s="1085">
        <f t="shared" si="244"/>
        <v>4.9999999999999822E-2</v>
      </c>
      <c r="N289" s="1078"/>
      <c r="O289" s="2126">
        <v>4</v>
      </c>
      <c r="P289" s="1076">
        <v>1</v>
      </c>
      <c r="Q289" s="1085">
        <f>O8</f>
        <v>900</v>
      </c>
      <c r="R289" s="1085" t="str">
        <f t="shared" ref="R289:T289" si="245">P8</f>
        <v>-</v>
      </c>
      <c r="S289" s="1085" t="str">
        <f t="shared" si="245"/>
        <v>-</v>
      </c>
      <c r="T289" s="1086">
        <f t="shared" si="245"/>
        <v>0</v>
      </c>
      <c r="V289" s="1052">
        <v>17</v>
      </c>
      <c r="W289" s="1062">
        <f>U181</f>
        <v>2.1</v>
      </c>
    </row>
    <row r="290" spans="1:23" ht="13" hidden="1">
      <c r="A290" s="2124"/>
      <c r="B290" s="1054">
        <v>2</v>
      </c>
      <c r="C290" s="1055">
        <f>C19</f>
        <v>30</v>
      </c>
      <c r="D290" s="1055">
        <f t="shared" ref="D290:F290" si="246">D19</f>
        <v>0.2</v>
      </c>
      <c r="E290" s="1055">
        <f t="shared" si="246"/>
        <v>-0.3</v>
      </c>
      <c r="F290" s="1055">
        <f t="shared" si="246"/>
        <v>0.25</v>
      </c>
      <c r="G290" s="828"/>
      <c r="H290" s="2127"/>
      <c r="I290" s="1054">
        <v>2</v>
      </c>
      <c r="J290" s="1055">
        <f>I19</f>
        <v>60</v>
      </c>
      <c r="K290" s="1055">
        <f t="shared" ref="K290:M290" si="247">J19</f>
        <v>-4</v>
      </c>
      <c r="L290" s="1055">
        <f t="shared" si="247"/>
        <v>-1.3</v>
      </c>
      <c r="M290" s="1055">
        <f t="shared" si="247"/>
        <v>1.35</v>
      </c>
      <c r="N290" s="828"/>
      <c r="O290" s="2127"/>
      <c r="P290" s="1054">
        <v>2</v>
      </c>
      <c r="Q290" s="1055">
        <f>O19</f>
        <v>900</v>
      </c>
      <c r="R290" s="1055" t="str">
        <f t="shared" ref="R290:T290" si="248">P19</f>
        <v>-</v>
      </c>
      <c r="S290" s="1055" t="str">
        <f t="shared" si="248"/>
        <v>-</v>
      </c>
      <c r="T290" s="1056">
        <f t="shared" si="248"/>
        <v>0</v>
      </c>
      <c r="V290" s="1052">
        <v>18</v>
      </c>
      <c r="W290" s="1062">
        <f>U192</f>
        <v>2.4</v>
      </c>
    </row>
    <row r="291" spans="1:23" ht="13" hidden="1">
      <c r="A291" s="2124"/>
      <c r="B291" s="1054">
        <v>3</v>
      </c>
      <c r="C291" s="1055">
        <f>C30</f>
        <v>30</v>
      </c>
      <c r="D291" s="1055">
        <f t="shared" ref="D291:F291" si="249">D30</f>
        <v>0</v>
      </c>
      <c r="E291" s="1055">
        <f t="shared" si="249"/>
        <v>-0.3</v>
      </c>
      <c r="F291" s="1055">
        <f t="shared" si="249"/>
        <v>0.15</v>
      </c>
      <c r="G291" s="828"/>
      <c r="H291" s="2127"/>
      <c r="I291" s="1054">
        <v>3</v>
      </c>
      <c r="J291" s="1055">
        <f>I30</f>
        <v>60</v>
      </c>
      <c r="K291" s="1055">
        <f t="shared" ref="K291:M291" si="250">J30</f>
        <v>-3.2</v>
      </c>
      <c r="L291" s="1055">
        <f t="shared" si="250"/>
        <v>-4.3</v>
      </c>
      <c r="M291" s="1055">
        <f t="shared" si="250"/>
        <v>0.54999999999999982</v>
      </c>
      <c r="N291" s="828"/>
      <c r="O291" s="2127"/>
      <c r="P291" s="1054">
        <v>3</v>
      </c>
      <c r="Q291" s="1055">
        <f>O30</f>
        <v>900</v>
      </c>
      <c r="R291" s="1055" t="str">
        <f t="shared" ref="R291:T291" si="251">P30</f>
        <v>-</v>
      </c>
      <c r="S291" s="1055" t="str">
        <f t="shared" si="251"/>
        <v>-</v>
      </c>
      <c r="T291" s="1056">
        <f t="shared" si="251"/>
        <v>0</v>
      </c>
      <c r="V291" s="1052">
        <v>19</v>
      </c>
      <c r="W291" s="1062">
        <f>U203</f>
        <v>0.4</v>
      </c>
    </row>
    <row r="292" spans="1:23" ht="13.5" hidden="1" thickBot="1">
      <c r="A292" s="2124"/>
      <c r="B292" s="1054">
        <v>4</v>
      </c>
      <c r="C292" s="1055">
        <f>C41</f>
        <v>30</v>
      </c>
      <c r="D292" s="1055">
        <f t="shared" ref="D292:F292" si="252">D41</f>
        <v>-0.1</v>
      </c>
      <c r="E292" s="1055">
        <f t="shared" si="252"/>
        <v>-0.6</v>
      </c>
      <c r="F292" s="1055">
        <f t="shared" si="252"/>
        <v>0.25</v>
      </c>
      <c r="G292" s="828"/>
      <c r="H292" s="2127"/>
      <c r="I292" s="1054">
        <v>4</v>
      </c>
      <c r="J292" s="1055">
        <f>I41</f>
        <v>60</v>
      </c>
      <c r="K292" s="1055">
        <f t="shared" ref="K292:M292" si="253">J41</f>
        <v>-4.2</v>
      </c>
      <c r="L292" s="1055">
        <f t="shared" si="253"/>
        <v>-0.3</v>
      </c>
      <c r="M292" s="1055">
        <f t="shared" si="253"/>
        <v>1.9500000000000002</v>
      </c>
      <c r="N292" s="828"/>
      <c r="O292" s="2127"/>
      <c r="P292" s="1054">
        <v>4</v>
      </c>
      <c r="Q292" s="1055">
        <f>O41</f>
        <v>900</v>
      </c>
      <c r="R292" s="1055" t="str">
        <f t="shared" ref="R292:T292" si="254">P41</f>
        <v>-</v>
      </c>
      <c r="S292" s="1055" t="str">
        <f t="shared" si="254"/>
        <v>-</v>
      </c>
      <c r="T292" s="1056">
        <f t="shared" si="254"/>
        <v>0</v>
      </c>
      <c r="V292" s="1063">
        <v>20</v>
      </c>
      <c r="W292" s="1064">
        <f>U214</f>
        <v>0</v>
      </c>
    </row>
    <row r="293" spans="1:23" ht="13" hidden="1">
      <c r="A293" s="2124"/>
      <c r="B293" s="1054">
        <v>5</v>
      </c>
      <c r="C293" s="1055">
        <f>C52</f>
        <v>30</v>
      </c>
      <c r="D293" s="1055">
        <f t="shared" ref="D293:F293" si="255">D52</f>
        <v>0.6</v>
      </c>
      <c r="E293" s="1055">
        <f t="shared" si="255"/>
        <v>0.1</v>
      </c>
      <c r="F293" s="1055">
        <f t="shared" si="255"/>
        <v>0.25</v>
      </c>
      <c r="G293" s="828"/>
      <c r="H293" s="2127"/>
      <c r="I293" s="1054">
        <v>5</v>
      </c>
      <c r="J293" s="1055">
        <f>I52</f>
        <v>60</v>
      </c>
      <c r="K293" s="1055">
        <f t="shared" ref="K293:M293" si="256">J52</f>
        <v>-5.2</v>
      </c>
      <c r="L293" s="1055">
        <f t="shared" si="256"/>
        <v>-4.2</v>
      </c>
      <c r="M293" s="1055">
        <f t="shared" si="256"/>
        <v>0.5</v>
      </c>
      <c r="N293" s="828"/>
      <c r="O293" s="2127"/>
      <c r="P293" s="1054">
        <v>5</v>
      </c>
      <c r="Q293" s="1055">
        <f>O52</f>
        <v>900</v>
      </c>
      <c r="R293" s="1055" t="str">
        <f t="shared" ref="R293:T293" si="257">P52</f>
        <v>-</v>
      </c>
      <c r="S293" s="1055" t="str">
        <f t="shared" si="257"/>
        <v>-</v>
      </c>
      <c r="T293" s="1056">
        <f t="shared" si="257"/>
        <v>0</v>
      </c>
    </row>
    <row r="294" spans="1:23" ht="13" hidden="1">
      <c r="A294" s="2124"/>
      <c r="B294" s="1054">
        <v>6</v>
      </c>
      <c r="C294" s="1055">
        <f>C63</f>
        <v>30</v>
      </c>
      <c r="D294" s="1055">
        <f t="shared" ref="D294:F294" si="258">D63</f>
        <v>0.1</v>
      </c>
      <c r="E294" s="1055">
        <f t="shared" si="258"/>
        <v>-0.5</v>
      </c>
      <c r="F294" s="1055">
        <f t="shared" si="258"/>
        <v>0.3</v>
      </c>
      <c r="G294" s="828"/>
      <c r="H294" s="2127"/>
      <c r="I294" s="1054">
        <v>6</v>
      </c>
      <c r="J294" s="1055">
        <f>I63</f>
        <v>60</v>
      </c>
      <c r="K294" s="1055">
        <f t="shared" ref="K294:M294" si="259">J63</f>
        <v>-6.4</v>
      </c>
      <c r="L294" s="1055">
        <f t="shared" si="259"/>
        <v>1.1000000000000001</v>
      </c>
      <c r="M294" s="1055">
        <f t="shared" si="259"/>
        <v>3.75</v>
      </c>
      <c r="N294" s="828"/>
      <c r="O294" s="2127"/>
      <c r="P294" s="1054">
        <v>6</v>
      </c>
      <c r="Q294" s="1055">
        <f>O63</f>
        <v>900</v>
      </c>
      <c r="R294" s="1055">
        <f t="shared" ref="R294:T294" si="260">P63</f>
        <v>0.9</v>
      </c>
      <c r="S294" s="1055">
        <f t="shared" si="260"/>
        <v>0.7</v>
      </c>
      <c r="T294" s="1056">
        <f t="shared" si="260"/>
        <v>0.10000000000000003</v>
      </c>
    </row>
    <row r="295" spans="1:23" ht="13" hidden="1">
      <c r="A295" s="2124"/>
      <c r="B295" s="1054">
        <v>7</v>
      </c>
      <c r="C295" s="1055">
        <f>C74</f>
        <v>30</v>
      </c>
      <c r="D295" s="1055">
        <f t="shared" ref="D295:F295" si="261">D74</f>
        <v>0</v>
      </c>
      <c r="E295" s="1055">
        <f t="shared" si="261"/>
        <v>-0.6</v>
      </c>
      <c r="F295" s="1055">
        <f t="shared" si="261"/>
        <v>0.3</v>
      </c>
      <c r="G295" s="828"/>
      <c r="H295" s="2127"/>
      <c r="I295" s="1054">
        <v>7</v>
      </c>
      <c r="J295" s="1055">
        <f>I74</f>
        <v>60</v>
      </c>
      <c r="K295" s="1055">
        <f t="shared" ref="K295:M295" si="262">J74</f>
        <v>-2.1</v>
      </c>
      <c r="L295" s="1055">
        <f t="shared" si="262"/>
        <v>0.7</v>
      </c>
      <c r="M295" s="1055">
        <f t="shared" si="262"/>
        <v>1.4</v>
      </c>
      <c r="N295" s="828"/>
      <c r="O295" s="2127"/>
      <c r="P295" s="1054">
        <v>7</v>
      </c>
      <c r="Q295" s="1055">
        <f>O74</f>
        <v>900</v>
      </c>
      <c r="R295" s="1055">
        <f t="shared" ref="R295:T295" si="263">P74</f>
        <v>0</v>
      </c>
      <c r="S295" s="1055">
        <f t="shared" si="263"/>
        <v>1</v>
      </c>
      <c r="T295" s="1056">
        <f t="shared" si="263"/>
        <v>0.5</v>
      </c>
    </row>
    <row r="296" spans="1:23" ht="13" hidden="1">
      <c r="A296" s="2124"/>
      <c r="B296" s="1054">
        <v>8</v>
      </c>
      <c r="C296" s="1055">
        <f>C85</f>
        <v>30</v>
      </c>
      <c r="D296" s="1055">
        <f t="shared" ref="D296:F296" si="264">D85</f>
        <v>-0.2</v>
      </c>
      <c r="E296" s="1055">
        <f t="shared" si="264"/>
        <v>-0.4</v>
      </c>
      <c r="F296" s="1055">
        <f t="shared" si="264"/>
        <v>0.1</v>
      </c>
      <c r="G296" s="828"/>
      <c r="H296" s="2127"/>
      <c r="I296" s="1054">
        <v>8</v>
      </c>
      <c r="J296" s="1055">
        <f>I85</f>
        <v>60</v>
      </c>
      <c r="K296" s="1055">
        <f t="shared" ref="K296:M296" si="265">J85</f>
        <v>-3.9</v>
      </c>
      <c r="L296" s="1055">
        <f t="shared" si="265"/>
        <v>-1.1000000000000001</v>
      </c>
      <c r="M296" s="1055">
        <f t="shared" si="265"/>
        <v>1.4</v>
      </c>
      <c r="N296" s="828"/>
      <c r="O296" s="2127"/>
      <c r="P296" s="1054">
        <v>8</v>
      </c>
      <c r="Q296" s="1055">
        <f>O85</f>
        <v>900</v>
      </c>
      <c r="R296" s="1055">
        <f t="shared" ref="R296:T296" si="266">P85</f>
        <v>-4.4000000000000004</v>
      </c>
      <c r="S296" s="1055">
        <f t="shared" si="266"/>
        <v>0</v>
      </c>
      <c r="T296" s="1056">
        <f t="shared" si="266"/>
        <v>2.2000000000000002</v>
      </c>
    </row>
    <row r="297" spans="1:23" ht="13" hidden="1">
      <c r="A297" s="2124"/>
      <c r="B297" s="1054">
        <v>9</v>
      </c>
      <c r="C297" s="1055">
        <f>C96</f>
        <v>30</v>
      </c>
      <c r="D297" s="1055">
        <f t="shared" ref="D297:F297" si="267">D96</f>
        <v>-0.5</v>
      </c>
      <c r="E297" s="1055" t="str">
        <f t="shared" si="267"/>
        <v>-</v>
      </c>
      <c r="F297" s="1055">
        <f t="shared" si="267"/>
        <v>0</v>
      </c>
      <c r="G297" s="828"/>
      <c r="H297" s="2127"/>
      <c r="I297" s="1054">
        <v>9</v>
      </c>
      <c r="J297" s="1055">
        <f>I96</f>
        <v>60</v>
      </c>
      <c r="K297" s="1055">
        <f t="shared" ref="K297:M297" si="268">J96</f>
        <v>-0.8</v>
      </c>
      <c r="L297" s="1055" t="str">
        <f t="shared" si="268"/>
        <v>-</v>
      </c>
      <c r="M297" s="1055">
        <f t="shared" si="268"/>
        <v>0</v>
      </c>
      <c r="N297" s="828"/>
      <c r="O297" s="2127"/>
      <c r="P297" s="1054">
        <v>9</v>
      </c>
      <c r="Q297" s="1055">
        <f>O96</f>
        <v>900</v>
      </c>
      <c r="R297" s="1055">
        <f t="shared" ref="R297:T297" si="269">P96</f>
        <v>0</v>
      </c>
      <c r="S297" s="1055" t="str">
        <f t="shared" si="269"/>
        <v>-</v>
      </c>
      <c r="T297" s="1056">
        <f t="shared" si="269"/>
        <v>0</v>
      </c>
    </row>
    <row r="298" spans="1:23" ht="13" hidden="1">
      <c r="A298" s="2124"/>
      <c r="B298" s="1054">
        <v>10</v>
      </c>
      <c r="C298" s="1055">
        <f>C107</f>
        <v>30</v>
      </c>
      <c r="D298" s="1055">
        <f t="shared" ref="D298:F298" si="270">D107</f>
        <v>0.1</v>
      </c>
      <c r="E298" s="1055">
        <f t="shared" si="270"/>
        <v>0.2</v>
      </c>
      <c r="F298" s="1055">
        <f t="shared" si="270"/>
        <v>0.05</v>
      </c>
      <c r="G298" s="828"/>
      <c r="H298" s="2127"/>
      <c r="I298" s="1054">
        <v>10</v>
      </c>
      <c r="J298" s="1055">
        <f>I107</f>
        <v>60</v>
      </c>
      <c r="K298" s="1055">
        <f t="shared" ref="K298:M298" si="271">J107</f>
        <v>-2.1</v>
      </c>
      <c r="L298" s="1055">
        <f t="shared" si="271"/>
        <v>-5.6</v>
      </c>
      <c r="M298" s="1055">
        <f t="shared" si="271"/>
        <v>1.7499999999999998</v>
      </c>
      <c r="N298" s="828"/>
      <c r="O298" s="2127"/>
      <c r="P298" s="1054">
        <v>10</v>
      </c>
      <c r="Q298" s="1055">
        <f>O107</f>
        <v>900</v>
      </c>
      <c r="R298" s="1055" t="str">
        <f t="shared" ref="R298:T298" si="272">P107</f>
        <v>-</v>
      </c>
      <c r="S298" s="1055" t="str">
        <f t="shared" si="272"/>
        <v>-</v>
      </c>
      <c r="T298" s="1056">
        <f t="shared" si="272"/>
        <v>0</v>
      </c>
    </row>
    <row r="299" spans="1:23" ht="13" hidden="1">
      <c r="A299" s="2124"/>
      <c r="B299" s="1054">
        <v>11</v>
      </c>
      <c r="C299" s="1055">
        <f>C118</f>
        <v>30</v>
      </c>
      <c r="D299" s="1055">
        <f t="shared" ref="D299:F299" si="273">D118</f>
        <v>0.5</v>
      </c>
      <c r="E299" s="1055">
        <f t="shared" si="273"/>
        <v>0.4</v>
      </c>
      <c r="F299" s="1055">
        <f t="shared" si="273"/>
        <v>4.9999999999999989E-2</v>
      </c>
      <c r="G299" s="828"/>
      <c r="H299" s="2127"/>
      <c r="I299" s="1054">
        <v>11</v>
      </c>
      <c r="J299" s="1055">
        <f>I118</f>
        <v>60</v>
      </c>
      <c r="K299" s="1055">
        <f t="shared" ref="K299:M299" si="274">J118</f>
        <v>-4.8</v>
      </c>
      <c r="L299" s="1055">
        <f t="shared" si="274"/>
        <v>-4.5</v>
      </c>
      <c r="M299" s="1055">
        <f t="shared" si="274"/>
        <v>0.14999999999999991</v>
      </c>
      <c r="N299" s="828"/>
      <c r="O299" s="2127"/>
      <c r="P299" s="1054">
        <v>11</v>
      </c>
      <c r="Q299" s="1055">
        <f>O118</f>
        <v>900</v>
      </c>
      <c r="R299" s="1055" t="str">
        <f t="shared" ref="R299:T299" si="275">P118</f>
        <v>-</v>
      </c>
      <c r="S299" s="1055" t="str">
        <f t="shared" si="275"/>
        <v>-</v>
      </c>
      <c r="T299" s="1056">
        <f t="shared" si="275"/>
        <v>0</v>
      </c>
    </row>
    <row r="300" spans="1:23" ht="13" hidden="1">
      <c r="A300" s="2124"/>
      <c r="B300" s="1054">
        <v>12</v>
      </c>
      <c r="C300" s="1055">
        <f>C129</f>
        <v>30</v>
      </c>
      <c r="D300" s="1055">
        <f t="shared" ref="D300:F300" si="276">D129</f>
        <v>-0.1</v>
      </c>
      <c r="E300" s="1055" t="str">
        <f t="shared" si="276"/>
        <v>-</v>
      </c>
      <c r="F300" s="1055">
        <f t="shared" si="276"/>
        <v>0</v>
      </c>
      <c r="G300" s="828"/>
      <c r="H300" s="2127"/>
      <c r="I300" s="1054">
        <v>12</v>
      </c>
      <c r="J300" s="1055">
        <f>I129</f>
        <v>60</v>
      </c>
      <c r="K300" s="1055">
        <f t="shared" ref="K300:M300" si="277">J129</f>
        <v>0</v>
      </c>
      <c r="L300" s="1055" t="str">
        <f t="shared" si="277"/>
        <v>-</v>
      </c>
      <c r="M300" s="1055">
        <f t="shared" si="277"/>
        <v>0</v>
      </c>
      <c r="N300" s="828"/>
      <c r="O300" s="2127"/>
      <c r="P300" s="1054">
        <v>12</v>
      </c>
      <c r="Q300" s="1055">
        <f>O129</f>
        <v>950</v>
      </c>
      <c r="R300" s="1055">
        <f t="shared" ref="R300:T300" si="278">P129</f>
        <v>-0.7</v>
      </c>
      <c r="S300" s="1055" t="str">
        <f t="shared" si="278"/>
        <v>-</v>
      </c>
      <c r="T300" s="1056">
        <f t="shared" si="278"/>
        <v>0</v>
      </c>
    </row>
    <row r="301" spans="1:23" ht="13" hidden="1">
      <c r="A301" s="2124"/>
      <c r="B301" s="1054">
        <v>13</v>
      </c>
      <c r="C301" s="1055">
        <f>C151</f>
        <v>30</v>
      </c>
      <c r="D301" s="1055">
        <f t="shared" ref="D301:F301" si="279">D151</f>
        <v>-0.3</v>
      </c>
      <c r="E301" s="1055" t="str">
        <f t="shared" si="279"/>
        <v>-</v>
      </c>
      <c r="F301" s="1055">
        <f t="shared" si="279"/>
        <v>0</v>
      </c>
      <c r="G301" s="828"/>
      <c r="H301" s="2127"/>
      <c r="I301" s="1054">
        <v>13</v>
      </c>
      <c r="J301" s="1055">
        <f>I140</f>
        <v>60</v>
      </c>
      <c r="K301" s="1055">
        <f t="shared" ref="K301:M301" si="280">J140</f>
        <v>-1.5</v>
      </c>
      <c r="L301" s="1055" t="str">
        <f t="shared" si="280"/>
        <v>-</v>
      </c>
      <c r="M301" s="1055">
        <f t="shared" si="280"/>
        <v>0</v>
      </c>
      <c r="N301" s="828"/>
      <c r="O301" s="2127"/>
      <c r="P301" s="1054">
        <v>13</v>
      </c>
      <c r="Q301" s="1055">
        <f>O140</f>
        <v>990</v>
      </c>
      <c r="R301" s="1055">
        <f t="shared" ref="R301:T301" si="281">P140</f>
        <v>1.1000000000000001</v>
      </c>
      <c r="S301" s="1055" t="str">
        <f t="shared" si="281"/>
        <v>-</v>
      </c>
      <c r="T301" s="1056">
        <f t="shared" si="281"/>
        <v>0</v>
      </c>
    </row>
    <row r="302" spans="1:23" ht="13" hidden="1">
      <c r="A302" s="2124"/>
      <c r="B302" s="1054">
        <v>14</v>
      </c>
      <c r="C302" s="1055">
        <f>C151</f>
        <v>30</v>
      </c>
      <c r="D302" s="1055">
        <f t="shared" ref="D302:F302" si="282">D151</f>
        <v>-0.3</v>
      </c>
      <c r="E302" s="1055" t="str">
        <f t="shared" si="282"/>
        <v>-</v>
      </c>
      <c r="F302" s="1055">
        <f t="shared" si="282"/>
        <v>0</v>
      </c>
      <c r="G302" s="828"/>
      <c r="H302" s="2127"/>
      <c r="I302" s="1054">
        <v>14</v>
      </c>
      <c r="J302" s="1055">
        <f>I151</f>
        <v>60</v>
      </c>
      <c r="K302" s="1055">
        <f t="shared" ref="K302:M302" si="283">J151</f>
        <v>-0.6</v>
      </c>
      <c r="L302" s="1055" t="str">
        <f t="shared" si="283"/>
        <v>-</v>
      </c>
      <c r="M302" s="1055">
        <f t="shared" si="283"/>
        <v>0</v>
      </c>
      <c r="N302" s="828"/>
      <c r="O302" s="2127"/>
      <c r="P302" s="1054">
        <v>14</v>
      </c>
      <c r="Q302" s="1055">
        <f>O151</f>
        <v>990</v>
      </c>
      <c r="R302" s="1055">
        <f t="shared" ref="R302:T302" si="284">P151</f>
        <v>1.1000000000000001</v>
      </c>
      <c r="S302" s="1055" t="str">
        <f t="shared" si="284"/>
        <v>-</v>
      </c>
      <c r="T302" s="1056">
        <f t="shared" si="284"/>
        <v>0</v>
      </c>
    </row>
    <row r="303" spans="1:23" ht="13" hidden="1">
      <c r="A303" s="2124"/>
      <c r="B303" s="1054">
        <v>15</v>
      </c>
      <c r="C303" s="1055">
        <f>C162</f>
        <v>30</v>
      </c>
      <c r="D303" s="1055">
        <f t="shared" ref="D303:F303" si="285">D162</f>
        <v>-0.2</v>
      </c>
      <c r="E303" s="1055" t="str">
        <f t="shared" si="285"/>
        <v>-</v>
      </c>
      <c r="F303" s="1055">
        <f t="shared" si="285"/>
        <v>0</v>
      </c>
      <c r="G303" s="828"/>
      <c r="H303" s="2127"/>
      <c r="I303" s="1054">
        <v>15</v>
      </c>
      <c r="J303" s="1055">
        <f>I162</f>
        <v>60</v>
      </c>
      <c r="K303" s="1055">
        <f t="shared" ref="K303:M303" si="286">J162</f>
        <v>-0.5</v>
      </c>
      <c r="L303" s="1055" t="str">
        <f t="shared" si="286"/>
        <v>-</v>
      </c>
      <c r="M303" s="1055">
        <f t="shared" si="286"/>
        <v>0</v>
      </c>
      <c r="N303" s="828"/>
      <c r="O303" s="2127"/>
      <c r="P303" s="1054">
        <v>15</v>
      </c>
      <c r="Q303" s="1055">
        <f>O162</f>
        <v>990</v>
      </c>
      <c r="R303" s="1055">
        <f t="shared" ref="R303:T303" si="287">P162</f>
        <v>1.1000000000000001</v>
      </c>
      <c r="S303" s="1055" t="str">
        <f t="shared" si="287"/>
        <v>-</v>
      </c>
      <c r="T303" s="1056">
        <f t="shared" si="287"/>
        <v>0</v>
      </c>
    </row>
    <row r="304" spans="1:23" ht="13" hidden="1">
      <c r="A304" s="2124"/>
      <c r="B304" s="1054">
        <v>16</v>
      </c>
      <c r="C304" s="1055">
        <f>C173</f>
        <v>30</v>
      </c>
      <c r="D304" s="1055">
        <f t="shared" ref="D304:F304" si="288">D173</f>
        <v>0.2</v>
      </c>
      <c r="E304" s="1055" t="str">
        <f t="shared" si="288"/>
        <v>-</v>
      </c>
      <c r="F304" s="1055">
        <f t="shared" si="288"/>
        <v>0</v>
      </c>
      <c r="G304" s="828"/>
      <c r="H304" s="2127"/>
      <c r="I304" s="1054">
        <v>16</v>
      </c>
      <c r="J304" s="1055">
        <f>I173</f>
        <v>60</v>
      </c>
      <c r="K304" s="1055">
        <f t="shared" ref="K304:M304" si="289">J173</f>
        <v>-1.5</v>
      </c>
      <c r="L304" s="1055" t="str">
        <f t="shared" si="289"/>
        <v>-</v>
      </c>
      <c r="M304" s="1055">
        <f t="shared" si="289"/>
        <v>0</v>
      </c>
      <c r="N304" s="828"/>
      <c r="O304" s="2127"/>
      <c r="P304" s="1054">
        <v>16</v>
      </c>
      <c r="Q304" s="1055">
        <f>O173</f>
        <v>950</v>
      </c>
      <c r="R304" s="1055">
        <f t="shared" ref="R304:T304" si="290">P173</f>
        <v>-1.1000000000000001</v>
      </c>
      <c r="S304" s="1055" t="str">
        <f t="shared" si="290"/>
        <v>-</v>
      </c>
      <c r="T304" s="1056">
        <f t="shared" si="290"/>
        <v>0</v>
      </c>
    </row>
    <row r="305" spans="1:20" ht="13" hidden="1">
      <c r="A305" s="2124"/>
      <c r="B305" s="1054">
        <v>17</v>
      </c>
      <c r="C305" s="1055">
        <f>C184</f>
        <v>30</v>
      </c>
      <c r="D305" s="1055">
        <f t="shared" ref="D305:F305" si="291">D184</f>
        <v>-0.2</v>
      </c>
      <c r="E305" s="1055" t="str">
        <f t="shared" si="291"/>
        <v>-</v>
      </c>
      <c r="F305" s="1055">
        <f t="shared" si="291"/>
        <v>0</v>
      </c>
      <c r="G305" s="828"/>
      <c r="H305" s="2127"/>
      <c r="I305" s="1054">
        <v>17</v>
      </c>
      <c r="J305" s="1055">
        <f>I184</f>
        <v>60</v>
      </c>
      <c r="K305" s="1055">
        <f t="shared" ref="K305:M305" si="292">J184</f>
        <v>0</v>
      </c>
      <c r="L305" s="1055" t="str">
        <f t="shared" si="292"/>
        <v>-</v>
      </c>
      <c r="M305" s="1055">
        <f t="shared" si="292"/>
        <v>0</v>
      </c>
      <c r="N305" s="828"/>
      <c r="O305" s="2127"/>
      <c r="P305" s="1054">
        <v>17</v>
      </c>
      <c r="Q305" s="1055">
        <f>O184</f>
        <v>990</v>
      </c>
      <c r="R305" s="1055">
        <f t="shared" ref="R305:T305" si="293">P184</f>
        <v>-0.6</v>
      </c>
      <c r="S305" s="1055" t="str">
        <f t="shared" si="293"/>
        <v>-</v>
      </c>
      <c r="T305" s="1056">
        <f t="shared" si="293"/>
        <v>0</v>
      </c>
    </row>
    <row r="306" spans="1:20" ht="13" hidden="1">
      <c r="A306" s="2124"/>
      <c r="B306" s="1054">
        <v>18</v>
      </c>
      <c r="C306" s="1055">
        <f>C195</f>
        <v>30</v>
      </c>
      <c r="D306" s="1055">
        <f t="shared" ref="D306:F306" si="294">D195</f>
        <v>-0.2</v>
      </c>
      <c r="E306" s="1055" t="str">
        <f t="shared" si="294"/>
        <v>-</v>
      </c>
      <c r="F306" s="1055">
        <f t="shared" si="294"/>
        <v>0</v>
      </c>
      <c r="G306" s="828"/>
      <c r="H306" s="2127"/>
      <c r="I306" s="1054">
        <v>18</v>
      </c>
      <c r="J306" s="1055">
        <f>I195</f>
        <v>60</v>
      </c>
      <c r="K306" s="1055">
        <f t="shared" ref="K306:M306" si="295">J195</f>
        <v>-0.2</v>
      </c>
      <c r="L306" s="1055" t="str">
        <f t="shared" si="295"/>
        <v>-</v>
      </c>
      <c r="M306" s="1055">
        <f t="shared" si="295"/>
        <v>0</v>
      </c>
      <c r="N306" s="828"/>
      <c r="O306" s="2127"/>
      <c r="P306" s="1054">
        <v>18</v>
      </c>
      <c r="Q306" s="1055">
        <f>O195</f>
        <v>950</v>
      </c>
      <c r="R306" s="1055">
        <f t="shared" ref="R306:T306" si="296">P195</f>
        <v>-0.9</v>
      </c>
      <c r="S306" s="1055" t="str">
        <f t="shared" si="296"/>
        <v>-</v>
      </c>
      <c r="T306" s="1056">
        <f t="shared" si="296"/>
        <v>0</v>
      </c>
    </row>
    <row r="307" spans="1:20" ht="13" hidden="1">
      <c r="A307" s="2124"/>
      <c r="B307" s="1054">
        <v>19</v>
      </c>
      <c r="C307" s="1055">
        <f>C206</f>
        <v>30</v>
      </c>
      <c r="D307" s="1055">
        <f t="shared" ref="D307:F307" si="297">D206</f>
        <v>-0.1</v>
      </c>
      <c r="E307" s="1055" t="str">
        <f t="shared" si="297"/>
        <v>-</v>
      </c>
      <c r="F307" s="1055">
        <f t="shared" si="297"/>
        <v>0</v>
      </c>
      <c r="G307" s="828"/>
      <c r="H307" s="2127"/>
      <c r="I307" s="1054">
        <v>19</v>
      </c>
      <c r="J307" s="1055">
        <f>I206</f>
        <v>60</v>
      </c>
      <c r="K307" s="1055">
        <f t="shared" ref="K307:M307" si="298">J206</f>
        <v>0.4</v>
      </c>
      <c r="L307" s="1055" t="str">
        <f t="shared" si="298"/>
        <v>-</v>
      </c>
      <c r="M307" s="1055">
        <f t="shared" si="298"/>
        <v>0</v>
      </c>
      <c r="N307" s="828"/>
      <c r="O307" s="2127"/>
      <c r="P307" s="1054">
        <v>19</v>
      </c>
      <c r="Q307" s="1055">
        <f>O206</f>
        <v>900</v>
      </c>
      <c r="R307" s="1055">
        <f t="shared" ref="R307:T307" si="299">P206</f>
        <v>2.2999999999999998</v>
      </c>
      <c r="S307" s="1055" t="str">
        <f t="shared" si="299"/>
        <v>-</v>
      </c>
      <c r="T307" s="1056">
        <f t="shared" si="299"/>
        <v>0</v>
      </c>
    </row>
    <row r="308" spans="1:20" ht="13.5" hidden="1" thickBot="1">
      <c r="A308" s="2125"/>
      <c r="B308" s="1065">
        <v>20</v>
      </c>
      <c r="C308" s="1081">
        <f>C217</f>
        <v>29.5</v>
      </c>
      <c r="D308" s="1081">
        <f t="shared" ref="D308:F308" si="300">D217</f>
        <v>0</v>
      </c>
      <c r="E308" s="1081" t="str">
        <f t="shared" si="300"/>
        <v>-</v>
      </c>
      <c r="F308" s="1081">
        <f t="shared" si="300"/>
        <v>0</v>
      </c>
      <c r="G308" s="1067"/>
      <c r="H308" s="2128"/>
      <c r="I308" s="1065">
        <v>20</v>
      </c>
      <c r="J308" s="1081">
        <f>I217</f>
        <v>71.5</v>
      </c>
      <c r="K308" s="1081">
        <f t="shared" ref="K308:M308" si="301">J217</f>
        <v>0</v>
      </c>
      <c r="L308" s="1081" t="str">
        <f t="shared" si="301"/>
        <v>-</v>
      </c>
      <c r="M308" s="1081">
        <f t="shared" si="301"/>
        <v>0</v>
      </c>
      <c r="N308" s="1067"/>
      <c r="O308" s="2128"/>
      <c r="P308" s="1065">
        <v>20</v>
      </c>
      <c r="Q308" s="1081">
        <f>O217</f>
        <v>900</v>
      </c>
      <c r="R308" s="1081" t="str">
        <f t="shared" ref="R308:T308" si="302">P217</f>
        <v>-</v>
      </c>
      <c r="S308" s="1081" t="str">
        <f t="shared" si="302"/>
        <v>-</v>
      </c>
      <c r="T308" s="1082">
        <f t="shared" si="302"/>
        <v>0</v>
      </c>
    </row>
    <row r="309" spans="1:20" ht="13" hidden="1">
      <c r="A309" s="1070"/>
      <c r="B309" s="1071"/>
      <c r="C309" s="1083"/>
      <c r="D309" s="1083"/>
      <c r="E309" s="1083"/>
      <c r="F309" s="1084"/>
      <c r="G309" s="789"/>
      <c r="H309" s="1070"/>
      <c r="I309" s="1088"/>
      <c r="J309" s="1083"/>
      <c r="K309" s="1083"/>
      <c r="L309" s="1083"/>
      <c r="M309" s="1084"/>
      <c r="N309" s="828"/>
      <c r="O309" s="1070"/>
      <c r="P309" s="1088"/>
      <c r="Q309" s="1083"/>
      <c r="R309" s="1083"/>
      <c r="S309" s="1083"/>
      <c r="T309" s="1084"/>
    </row>
    <row r="310" spans="1:20" ht="13" hidden="1">
      <c r="A310" s="2123">
        <v>5</v>
      </c>
      <c r="B310" s="1076">
        <v>1</v>
      </c>
      <c r="C310" s="1085">
        <f>C9</f>
        <v>35</v>
      </c>
      <c r="D310" s="1085">
        <f t="shared" ref="D310:F310" si="303">D9</f>
        <v>-0.1</v>
      </c>
      <c r="E310" s="1085">
        <f t="shared" si="303"/>
        <v>-0.5</v>
      </c>
      <c r="F310" s="1085">
        <f t="shared" si="303"/>
        <v>0.2</v>
      </c>
      <c r="G310" s="1078"/>
      <c r="H310" s="2126">
        <v>5</v>
      </c>
      <c r="I310" s="1076">
        <v>1</v>
      </c>
      <c r="J310" s="1085">
        <f>I20</f>
        <v>70</v>
      </c>
      <c r="K310" s="1085">
        <f t="shared" ref="K310:M310" si="304">J20</f>
        <v>-2.4</v>
      </c>
      <c r="L310" s="1085">
        <f t="shared" si="304"/>
        <v>-1.1000000000000001</v>
      </c>
      <c r="M310" s="1085">
        <f t="shared" si="304"/>
        <v>0.64999999999999991</v>
      </c>
      <c r="N310" s="1078"/>
      <c r="O310" s="2126">
        <v>5</v>
      </c>
      <c r="P310" s="1076">
        <v>1</v>
      </c>
      <c r="Q310" s="1085">
        <f>O9</f>
        <v>1000</v>
      </c>
      <c r="R310" s="1085" t="str">
        <f t="shared" ref="R310:T310" si="305">P9</f>
        <v>-</v>
      </c>
      <c r="S310" s="1085" t="str">
        <f t="shared" si="305"/>
        <v>-</v>
      </c>
      <c r="T310" s="1086">
        <f t="shared" si="305"/>
        <v>0</v>
      </c>
    </row>
    <row r="311" spans="1:20" ht="13" hidden="1">
      <c r="A311" s="2124"/>
      <c r="B311" s="1054">
        <v>2</v>
      </c>
      <c r="C311" s="1055">
        <f>C20</f>
        <v>35</v>
      </c>
      <c r="D311" s="1055">
        <f t="shared" ref="D311:F311" si="306">D20</f>
        <v>-0.1</v>
      </c>
      <c r="E311" s="1055">
        <f t="shared" si="306"/>
        <v>-0.3</v>
      </c>
      <c r="F311" s="1055">
        <f t="shared" si="306"/>
        <v>9.9999999999999992E-2</v>
      </c>
      <c r="G311" s="828"/>
      <c r="H311" s="2127"/>
      <c r="I311" s="1054">
        <v>2</v>
      </c>
      <c r="J311" s="1055">
        <f>I20</f>
        <v>70</v>
      </c>
      <c r="K311" s="1055">
        <f t="shared" ref="K311:M311" si="307">J20</f>
        <v>-2.4</v>
      </c>
      <c r="L311" s="1055">
        <f t="shared" si="307"/>
        <v>-1.1000000000000001</v>
      </c>
      <c r="M311" s="1055">
        <f t="shared" si="307"/>
        <v>0.64999999999999991</v>
      </c>
      <c r="N311" s="828"/>
      <c r="O311" s="2127"/>
      <c r="P311" s="1054">
        <v>2</v>
      </c>
      <c r="Q311" s="1055">
        <f>O20</f>
        <v>1000</v>
      </c>
      <c r="R311" s="1055" t="str">
        <f t="shared" ref="R311:T311" si="308">P20</f>
        <v>-</v>
      </c>
      <c r="S311" s="1055" t="str">
        <f t="shared" si="308"/>
        <v>-</v>
      </c>
      <c r="T311" s="1056">
        <f t="shared" si="308"/>
        <v>0</v>
      </c>
    </row>
    <row r="312" spans="1:20" ht="13" hidden="1">
      <c r="A312" s="2124"/>
      <c r="B312" s="1054">
        <v>3</v>
      </c>
      <c r="C312" s="1055">
        <f>C31</f>
        <v>35</v>
      </c>
      <c r="D312" s="1055">
        <f t="shared" ref="D312:F312" si="309">D31</f>
        <v>-0.3</v>
      </c>
      <c r="E312" s="1055">
        <f t="shared" si="309"/>
        <v>-0.5</v>
      </c>
      <c r="F312" s="1055">
        <f t="shared" si="309"/>
        <v>0.1</v>
      </c>
      <c r="G312" s="828"/>
      <c r="H312" s="2127"/>
      <c r="I312" s="1054">
        <v>3</v>
      </c>
      <c r="J312" s="1055">
        <f>I31</f>
        <v>70</v>
      </c>
      <c r="K312" s="1055">
        <f t="shared" ref="K312:M312" si="310">J31</f>
        <v>-2</v>
      </c>
      <c r="L312" s="1055">
        <f t="shared" si="310"/>
        <v>-3.6</v>
      </c>
      <c r="M312" s="1055">
        <f t="shared" si="310"/>
        <v>0.8</v>
      </c>
      <c r="N312" s="828"/>
      <c r="O312" s="2127"/>
      <c r="P312" s="1054">
        <v>3</v>
      </c>
      <c r="Q312" s="1055">
        <f>O31</f>
        <v>1000</v>
      </c>
      <c r="R312" s="1055" t="str">
        <f t="shared" ref="R312:T312" si="311">P31</f>
        <v>-</v>
      </c>
      <c r="S312" s="1055" t="str">
        <f t="shared" si="311"/>
        <v>-</v>
      </c>
      <c r="T312" s="1056">
        <f t="shared" si="311"/>
        <v>0</v>
      </c>
    </row>
    <row r="313" spans="1:20" ht="13" hidden="1">
      <c r="A313" s="2124"/>
      <c r="B313" s="1054">
        <v>4</v>
      </c>
      <c r="C313" s="1055">
        <f>C42</f>
        <v>35</v>
      </c>
      <c r="D313" s="1055">
        <f t="shared" ref="D313:F313" si="312">D42</f>
        <v>-0.3</v>
      </c>
      <c r="E313" s="1055">
        <f t="shared" si="312"/>
        <v>-0.6</v>
      </c>
      <c r="F313" s="1055">
        <f t="shared" si="312"/>
        <v>0.15</v>
      </c>
      <c r="G313" s="828"/>
      <c r="H313" s="2127"/>
      <c r="I313" s="1054">
        <v>4</v>
      </c>
      <c r="J313" s="1055">
        <f>I42</f>
        <v>70</v>
      </c>
      <c r="K313" s="1055">
        <f t="shared" ref="K313:M313" si="313">J42</f>
        <v>-4</v>
      </c>
      <c r="L313" s="1055">
        <f t="shared" si="313"/>
        <v>0.7</v>
      </c>
      <c r="M313" s="1055">
        <f t="shared" si="313"/>
        <v>2.35</v>
      </c>
      <c r="N313" s="828"/>
      <c r="O313" s="2127"/>
      <c r="P313" s="1054">
        <v>4</v>
      </c>
      <c r="Q313" s="1055">
        <f>O42</f>
        <v>1000</v>
      </c>
      <c r="R313" s="1055" t="str">
        <f t="shared" ref="R313:T313" si="314">P42</f>
        <v>-</v>
      </c>
      <c r="S313" s="1055" t="str">
        <f t="shared" si="314"/>
        <v>-</v>
      </c>
      <c r="T313" s="1056">
        <f t="shared" si="314"/>
        <v>0</v>
      </c>
    </row>
    <row r="314" spans="1:20" ht="13" hidden="1">
      <c r="A314" s="2124"/>
      <c r="B314" s="1054">
        <v>5</v>
      </c>
      <c r="C314" s="1055">
        <f>C53</f>
        <v>35</v>
      </c>
      <c r="D314" s="1055">
        <f t="shared" ref="D314:F314" si="315">D53</f>
        <v>0.7</v>
      </c>
      <c r="E314" s="1055">
        <f t="shared" si="315"/>
        <v>0</v>
      </c>
      <c r="F314" s="1055">
        <f t="shared" si="315"/>
        <v>0.35</v>
      </c>
      <c r="G314" s="828"/>
      <c r="H314" s="2127"/>
      <c r="I314" s="1054">
        <v>5</v>
      </c>
      <c r="J314" s="1055">
        <f>I53</f>
        <v>70</v>
      </c>
      <c r="K314" s="1055">
        <f t="shared" ref="K314:M314" si="316">J53</f>
        <v>-4.0999999999999996</v>
      </c>
      <c r="L314" s="1055">
        <f t="shared" si="316"/>
        <v>-2.1</v>
      </c>
      <c r="M314" s="1055">
        <f t="shared" si="316"/>
        <v>0.99999999999999978</v>
      </c>
      <c r="N314" s="828"/>
      <c r="O314" s="2127"/>
      <c r="P314" s="1054">
        <v>5</v>
      </c>
      <c r="Q314" s="1055">
        <f>O53</f>
        <v>1000</v>
      </c>
      <c r="R314" s="1055" t="str">
        <f t="shared" ref="R314:T314" si="317">P53</f>
        <v>-</v>
      </c>
      <c r="S314" s="1055" t="str">
        <f t="shared" si="317"/>
        <v>-</v>
      </c>
      <c r="T314" s="1056">
        <f t="shared" si="317"/>
        <v>0</v>
      </c>
    </row>
    <row r="315" spans="1:20" ht="13" hidden="1">
      <c r="A315" s="2124"/>
      <c r="B315" s="1054">
        <v>6</v>
      </c>
      <c r="C315" s="1055">
        <f>C64</f>
        <v>35</v>
      </c>
      <c r="D315" s="1055">
        <f t="shared" ref="D315:F315" si="318">D64</f>
        <v>0.1</v>
      </c>
      <c r="E315" s="1055">
        <f t="shared" si="318"/>
        <v>-0.9</v>
      </c>
      <c r="F315" s="1055">
        <f t="shared" si="318"/>
        <v>0.5</v>
      </c>
      <c r="G315" s="828"/>
      <c r="H315" s="2127"/>
      <c r="I315" s="1054">
        <v>6</v>
      </c>
      <c r="J315" s="1055">
        <f>I64</f>
        <v>70</v>
      </c>
      <c r="K315" s="1055">
        <f t="shared" ref="K315:M315" si="319">J64</f>
        <v>-6.7</v>
      </c>
      <c r="L315" s="1055">
        <f t="shared" si="319"/>
        <v>0.9</v>
      </c>
      <c r="M315" s="1055">
        <f t="shared" si="319"/>
        <v>3.8000000000000003</v>
      </c>
      <c r="N315" s="828"/>
      <c r="O315" s="2127"/>
      <c r="P315" s="1054">
        <v>6</v>
      </c>
      <c r="Q315" s="1055">
        <f>O64</f>
        <v>1000</v>
      </c>
      <c r="R315" s="1055">
        <f t="shared" ref="R315:T315" si="320">P64</f>
        <v>0.9</v>
      </c>
      <c r="S315" s="1055">
        <f t="shared" si="320"/>
        <v>-0.3</v>
      </c>
      <c r="T315" s="1056">
        <f t="shared" si="320"/>
        <v>0.6</v>
      </c>
    </row>
    <row r="316" spans="1:20" ht="13" hidden="1">
      <c r="A316" s="2124"/>
      <c r="B316" s="1054">
        <v>7</v>
      </c>
      <c r="C316" s="1055">
        <f>C75</f>
        <v>35</v>
      </c>
      <c r="D316" s="1055">
        <f t="shared" ref="D316:F316" si="321">D75</f>
        <v>0</v>
      </c>
      <c r="E316" s="1055">
        <f t="shared" si="321"/>
        <v>-1.1000000000000001</v>
      </c>
      <c r="F316" s="1055">
        <f t="shared" si="321"/>
        <v>0.55000000000000004</v>
      </c>
      <c r="G316" s="828"/>
      <c r="H316" s="2127"/>
      <c r="I316" s="1054">
        <v>7</v>
      </c>
      <c r="J316" s="1055">
        <f>I75</f>
        <v>70</v>
      </c>
      <c r="K316" s="1055">
        <f t="shared" ref="K316:M316" si="322">J75</f>
        <v>-2.2999999999999998</v>
      </c>
      <c r="L316" s="1055">
        <f t="shared" si="322"/>
        <v>0.9</v>
      </c>
      <c r="M316" s="1055">
        <f t="shared" si="322"/>
        <v>1.5999999999999999</v>
      </c>
      <c r="N316" s="828"/>
      <c r="O316" s="2127"/>
      <c r="P316" s="1054">
        <v>7</v>
      </c>
      <c r="Q316" s="1055">
        <f>O75</f>
        <v>1000</v>
      </c>
      <c r="R316" s="1055">
        <f t="shared" ref="R316:T316" si="323">P75</f>
        <v>-3.9</v>
      </c>
      <c r="S316" s="1055">
        <f t="shared" si="323"/>
        <v>-0.4</v>
      </c>
      <c r="T316" s="1056">
        <f t="shared" si="323"/>
        <v>1.75</v>
      </c>
    </row>
    <row r="317" spans="1:20" ht="13" hidden="1">
      <c r="A317" s="2124"/>
      <c r="B317" s="1054">
        <v>8</v>
      </c>
      <c r="C317" s="1055">
        <f>C86</f>
        <v>35</v>
      </c>
      <c r="D317" s="1055">
        <f t="shared" ref="D317:F317" si="324">D86</f>
        <v>-0.1</v>
      </c>
      <c r="E317" s="1055">
        <f t="shared" si="324"/>
        <v>-0.5</v>
      </c>
      <c r="F317" s="1055">
        <f t="shared" si="324"/>
        <v>0.2</v>
      </c>
      <c r="G317" s="828"/>
      <c r="H317" s="2127"/>
      <c r="I317" s="1054">
        <v>8</v>
      </c>
      <c r="J317" s="1055">
        <f>I86</f>
        <v>70</v>
      </c>
      <c r="K317" s="1055">
        <f t="shared" ref="K317:M317" si="325">J86</f>
        <v>-4.0999999999999996</v>
      </c>
      <c r="L317" s="1055">
        <f t="shared" si="325"/>
        <v>-1.2</v>
      </c>
      <c r="M317" s="1055">
        <f t="shared" si="325"/>
        <v>1.4499999999999997</v>
      </c>
      <c r="N317" s="828"/>
      <c r="O317" s="2127"/>
      <c r="P317" s="1054">
        <v>8</v>
      </c>
      <c r="Q317" s="1055">
        <f>O86</f>
        <v>1000</v>
      </c>
      <c r="R317" s="1055">
        <f t="shared" ref="R317:T317" si="326">P86</f>
        <v>-3.5</v>
      </c>
      <c r="S317" s="1055">
        <f t="shared" si="326"/>
        <v>0.2</v>
      </c>
      <c r="T317" s="1056">
        <f t="shared" si="326"/>
        <v>1.85</v>
      </c>
    </row>
    <row r="318" spans="1:20" ht="13" hidden="1">
      <c r="A318" s="2124"/>
      <c r="B318" s="1054">
        <v>9</v>
      </c>
      <c r="C318" s="1055">
        <f>C97</f>
        <v>35</v>
      </c>
      <c r="D318" s="1055">
        <f t="shared" ref="D318:F318" si="327">D97</f>
        <v>-0.5</v>
      </c>
      <c r="E318" s="1055" t="str">
        <f t="shared" si="327"/>
        <v>-</v>
      </c>
      <c r="F318" s="1055">
        <f t="shared" si="327"/>
        <v>0</v>
      </c>
      <c r="G318" s="828"/>
      <c r="H318" s="2127"/>
      <c r="I318" s="1054">
        <v>9</v>
      </c>
      <c r="J318" s="1055">
        <f>I97</f>
        <v>70</v>
      </c>
      <c r="K318" s="1055">
        <f t="shared" ref="K318:M318" si="328">J97</f>
        <v>-0.6</v>
      </c>
      <c r="L318" s="1055" t="str">
        <f t="shared" si="328"/>
        <v>-</v>
      </c>
      <c r="M318" s="1055">
        <f t="shared" si="328"/>
        <v>0</v>
      </c>
      <c r="N318" s="828"/>
      <c r="O318" s="2127"/>
      <c r="P318" s="1054">
        <v>9</v>
      </c>
      <c r="Q318" s="1055">
        <f>O97</f>
        <v>1000</v>
      </c>
      <c r="R318" s="1055">
        <f t="shared" ref="R318:T318" si="329">P97</f>
        <v>0.2</v>
      </c>
      <c r="S318" s="1055" t="str">
        <f t="shared" si="329"/>
        <v>-</v>
      </c>
      <c r="T318" s="1056">
        <f t="shared" si="329"/>
        <v>0</v>
      </c>
    </row>
    <row r="319" spans="1:20" ht="13" hidden="1">
      <c r="A319" s="2124"/>
      <c r="B319" s="1054">
        <v>10</v>
      </c>
      <c r="C319" s="1055">
        <f>C108</f>
        <v>35</v>
      </c>
      <c r="D319" s="1055">
        <f t="shared" ref="D319:F319" si="330">D108</f>
        <v>0.2</v>
      </c>
      <c r="E319" s="1055">
        <f t="shared" si="330"/>
        <v>0.8</v>
      </c>
      <c r="F319" s="1055">
        <f t="shared" si="330"/>
        <v>0.30000000000000004</v>
      </c>
      <c r="G319" s="828"/>
      <c r="H319" s="2127"/>
      <c r="I319" s="1054">
        <v>10</v>
      </c>
      <c r="J319" s="1055">
        <f>I108</f>
        <v>70</v>
      </c>
      <c r="K319" s="1055">
        <f t="shared" ref="K319:M319" si="331">J108</f>
        <v>-0.3</v>
      </c>
      <c r="L319" s="1055">
        <f t="shared" si="331"/>
        <v>-5.0999999999999996</v>
      </c>
      <c r="M319" s="1055">
        <f t="shared" si="331"/>
        <v>2.4</v>
      </c>
      <c r="N319" s="828"/>
      <c r="O319" s="2127"/>
      <c r="P319" s="1054">
        <v>10</v>
      </c>
      <c r="Q319" s="1055">
        <f>O108</f>
        <v>1000</v>
      </c>
      <c r="R319" s="1055" t="str">
        <f t="shared" ref="R319:T319" si="332">P108</f>
        <v>-</v>
      </c>
      <c r="S319" s="1055" t="str">
        <f t="shared" si="332"/>
        <v>-</v>
      </c>
      <c r="T319" s="1056">
        <f t="shared" si="332"/>
        <v>0</v>
      </c>
    </row>
    <row r="320" spans="1:20" ht="13" hidden="1">
      <c r="A320" s="2124"/>
      <c r="B320" s="1054">
        <v>11</v>
      </c>
      <c r="C320" s="1055">
        <f>C119</f>
        <v>35</v>
      </c>
      <c r="D320" s="1055">
        <f t="shared" ref="D320:F320" si="333">D119</f>
        <v>0.5</v>
      </c>
      <c r="E320" s="1055">
        <f t="shared" si="333"/>
        <v>0.4</v>
      </c>
      <c r="F320" s="1055">
        <f t="shared" si="333"/>
        <v>4.9999999999999989E-2</v>
      </c>
      <c r="G320" s="828"/>
      <c r="H320" s="2127"/>
      <c r="I320" s="1054">
        <v>11</v>
      </c>
      <c r="J320" s="1055">
        <f>I119</f>
        <v>70</v>
      </c>
      <c r="K320" s="1055">
        <f t="shared" ref="K320:M320" si="334">J119</f>
        <v>-3.4</v>
      </c>
      <c r="L320" s="1055">
        <f t="shared" si="334"/>
        <v>-1.7</v>
      </c>
      <c r="M320" s="1055">
        <f t="shared" si="334"/>
        <v>0.85</v>
      </c>
      <c r="N320" s="828"/>
      <c r="O320" s="2127"/>
      <c r="P320" s="1054">
        <v>11</v>
      </c>
      <c r="Q320" s="1055">
        <f>O119</f>
        <v>1000</v>
      </c>
      <c r="R320" s="1055" t="str">
        <f t="shared" ref="R320:T320" si="335">P119</f>
        <v>-</v>
      </c>
      <c r="S320" s="1055" t="str">
        <f t="shared" si="335"/>
        <v>-</v>
      </c>
      <c r="T320" s="1056">
        <f t="shared" si="335"/>
        <v>0</v>
      </c>
    </row>
    <row r="321" spans="1:20" ht="13" hidden="1">
      <c r="A321" s="2124"/>
      <c r="B321" s="1054">
        <v>12</v>
      </c>
      <c r="C321" s="1055">
        <f>C130</f>
        <v>35</v>
      </c>
      <c r="D321" s="1055">
        <f t="shared" ref="D321:F321" si="336">D130</f>
        <v>-0.2</v>
      </c>
      <c r="E321" s="1055" t="str">
        <f t="shared" si="336"/>
        <v>-</v>
      </c>
      <c r="F321" s="1055">
        <f t="shared" si="336"/>
        <v>0</v>
      </c>
      <c r="G321" s="828"/>
      <c r="H321" s="2127"/>
      <c r="I321" s="1054">
        <v>12</v>
      </c>
      <c r="J321" s="1055">
        <f>I130</f>
        <v>70</v>
      </c>
      <c r="K321" s="1055">
        <f t="shared" ref="K321:M321" si="337">J130</f>
        <v>-0.1</v>
      </c>
      <c r="L321" s="1055" t="str">
        <f t="shared" si="337"/>
        <v>-</v>
      </c>
      <c r="M321" s="1055">
        <f t="shared" si="337"/>
        <v>0</v>
      </c>
      <c r="N321" s="828"/>
      <c r="O321" s="2127"/>
      <c r="P321" s="1054">
        <v>12</v>
      </c>
      <c r="Q321" s="1055">
        <f>O130</f>
        <v>1000</v>
      </c>
      <c r="R321" s="1055">
        <f t="shared" ref="R321:T321" si="338">P130</f>
        <v>-0.8</v>
      </c>
      <c r="S321" s="1055" t="str">
        <f t="shared" si="338"/>
        <v>-</v>
      </c>
      <c r="T321" s="1056">
        <f t="shared" si="338"/>
        <v>0</v>
      </c>
    </row>
    <row r="322" spans="1:20" ht="13" hidden="1">
      <c r="A322" s="2124"/>
      <c r="B322" s="1054">
        <v>13</v>
      </c>
      <c r="C322" s="1055">
        <f>C141</f>
        <v>35</v>
      </c>
      <c r="D322" s="1055">
        <f t="shared" ref="D322:F322" si="339">D141</f>
        <v>0.3</v>
      </c>
      <c r="E322" s="1055" t="str">
        <f t="shared" si="339"/>
        <v>-</v>
      </c>
      <c r="F322" s="1055">
        <f t="shared" si="339"/>
        <v>0</v>
      </c>
      <c r="G322" s="828"/>
      <c r="H322" s="2127"/>
      <c r="I322" s="1054">
        <v>13</v>
      </c>
      <c r="J322" s="1055">
        <f>I141</f>
        <v>70</v>
      </c>
      <c r="K322" s="1055">
        <f t="shared" ref="K322:M322" si="340">J141</f>
        <v>-1.9</v>
      </c>
      <c r="L322" s="1055" t="str">
        <f t="shared" si="340"/>
        <v>-</v>
      </c>
      <c r="M322" s="1055">
        <f t="shared" si="340"/>
        <v>0</v>
      </c>
      <c r="N322" s="828"/>
      <c r="O322" s="2127"/>
      <c r="P322" s="1054">
        <v>13</v>
      </c>
      <c r="Q322" s="1055">
        <f>O141</f>
        <v>1000</v>
      </c>
      <c r="R322" s="1055">
        <f t="shared" ref="R322:T322" si="341">P141</f>
        <v>1.1000000000000001</v>
      </c>
      <c r="S322" s="1055" t="str">
        <f t="shared" si="341"/>
        <v>-</v>
      </c>
      <c r="T322" s="1056">
        <f t="shared" si="341"/>
        <v>0</v>
      </c>
    </row>
    <row r="323" spans="1:20" ht="13" hidden="1">
      <c r="A323" s="2124"/>
      <c r="B323" s="1054">
        <v>14</v>
      </c>
      <c r="C323" s="1055">
        <f>C152</f>
        <v>35</v>
      </c>
      <c r="D323" s="1055">
        <f t="shared" ref="D323:F323" si="342">D152</f>
        <v>-0.6</v>
      </c>
      <c r="E323" s="1055" t="str">
        <f t="shared" si="342"/>
        <v>-</v>
      </c>
      <c r="F323" s="1055">
        <f t="shared" si="342"/>
        <v>0</v>
      </c>
      <c r="G323" s="828"/>
      <c r="H323" s="2127"/>
      <c r="I323" s="1054">
        <v>14</v>
      </c>
      <c r="J323" s="1055">
        <f>I152</f>
        <v>70</v>
      </c>
      <c r="K323" s="1055">
        <f t="shared" ref="K323:M323" si="343">J152</f>
        <v>-0.8</v>
      </c>
      <c r="L323" s="1055" t="str">
        <f t="shared" si="343"/>
        <v>-</v>
      </c>
      <c r="M323" s="1055">
        <f t="shared" si="343"/>
        <v>0</v>
      </c>
      <c r="N323" s="828"/>
      <c r="O323" s="2127"/>
      <c r="P323" s="1054">
        <v>14</v>
      </c>
      <c r="Q323" s="1055">
        <f>O152</f>
        <v>1000</v>
      </c>
      <c r="R323" s="1055">
        <f t="shared" ref="R323:T323" si="344">P152</f>
        <v>1.1000000000000001</v>
      </c>
      <c r="S323" s="1055" t="str">
        <f t="shared" si="344"/>
        <v>-</v>
      </c>
      <c r="T323" s="1056">
        <f t="shared" si="344"/>
        <v>0</v>
      </c>
    </row>
    <row r="324" spans="1:20" ht="13" hidden="1">
      <c r="A324" s="2124"/>
      <c r="B324" s="1054">
        <v>15</v>
      </c>
      <c r="C324" s="1055">
        <f>C163</f>
        <v>35</v>
      </c>
      <c r="D324" s="1055">
        <f t="shared" ref="D324:F324" si="345">D163</f>
        <v>-0.1</v>
      </c>
      <c r="E324" s="1055" t="str">
        <f t="shared" si="345"/>
        <v>-</v>
      </c>
      <c r="F324" s="1055">
        <f t="shared" si="345"/>
        <v>0</v>
      </c>
      <c r="G324" s="828"/>
      <c r="H324" s="2127"/>
      <c r="I324" s="1054">
        <v>15</v>
      </c>
      <c r="J324" s="1055">
        <f>I163</f>
        <v>70</v>
      </c>
      <c r="K324" s="1055">
        <f t="shared" ref="K324:M324" si="346">J163</f>
        <v>-0.8</v>
      </c>
      <c r="L324" s="1055" t="str">
        <f t="shared" si="346"/>
        <v>-</v>
      </c>
      <c r="M324" s="1055">
        <f t="shared" si="346"/>
        <v>0</v>
      </c>
      <c r="N324" s="828"/>
      <c r="O324" s="2127"/>
      <c r="P324" s="1054">
        <v>15</v>
      </c>
      <c r="Q324" s="1055">
        <f>O163</f>
        <v>1000</v>
      </c>
      <c r="R324" s="1055">
        <f t="shared" ref="R324:T324" si="347">P163</f>
        <v>1.1000000000000001</v>
      </c>
      <c r="S324" s="1055" t="str">
        <f t="shared" si="347"/>
        <v>-</v>
      </c>
      <c r="T324" s="1056">
        <f t="shared" si="347"/>
        <v>0</v>
      </c>
    </row>
    <row r="325" spans="1:20" ht="13" hidden="1">
      <c r="A325" s="2124"/>
      <c r="B325" s="1054">
        <v>16</v>
      </c>
      <c r="C325" s="1055">
        <f>C174</f>
        <v>35</v>
      </c>
      <c r="D325" s="1055">
        <f t="shared" ref="D325:F325" si="348">D174</f>
        <v>0.1</v>
      </c>
      <c r="E325" s="1055" t="str">
        <f t="shared" si="348"/>
        <v>-</v>
      </c>
      <c r="F325" s="1055">
        <f t="shared" si="348"/>
        <v>0</v>
      </c>
      <c r="G325" s="828"/>
      <c r="H325" s="2127"/>
      <c r="I325" s="1054">
        <v>16</v>
      </c>
      <c r="J325" s="1055">
        <f>I174</f>
        <v>70</v>
      </c>
      <c r="K325" s="1055">
        <f t="shared" ref="K325:M325" si="349">J174</f>
        <v>-1.8</v>
      </c>
      <c r="L325" s="1055" t="str">
        <f t="shared" si="349"/>
        <v>-</v>
      </c>
      <c r="M325" s="1055">
        <f t="shared" si="349"/>
        <v>0</v>
      </c>
      <c r="N325" s="828"/>
      <c r="O325" s="2127"/>
      <c r="P325" s="1054">
        <v>16</v>
      </c>
      <c r="Q325" s="1055">
        <f>O174</f>
        <v>1000</v>
      </c>
      <c r="R325" s="1055">
        <f t="shared" ref="R325:T325" si="350">P174</f>
        <v>-0.4</v>
      </c>
      <c r="S325" s="1055" t="str">
        <f t="shared" si="350"/>
        <v>-</v>
      </c>
      <c r="T325" s="1056">
        <f t="shared" si="350"/>
        <v>0</v>
      </c>
    </row>
    <row r="326" spans="1:20" ht="13" hidden="1">
      <c r="A326" s="2124"/>
      <c r="B326" s="1054">
        <v>17</v>
      </c>
      <c r="C326" s="1055">
        <f>C185</f>
        <v>35</v>
      </c>
      <c r="D326" s="1055">
        <f t="shared" ref="D326:F326" si="351">D185</f>
        <v>-0.5</v>
      </c>
      <c r="E326" s="1055" t="str">
        <f t="shared" si="351"/>
        <v>-</v>
      </c>
      <c r="F326" s="1055">
        <f t="shared" si="351"/>
        <v>0</v>
      </c>
      <c r="G326" s="828"/>
      <c r="H326" s="2127"/>
      <c r="I326" s="1054">
        <v>17</v>
      </c>
      <c r="J326" s="1055">
        <f>I185</f>
        <v>70</v>
      </c>
      <c r="K326" s="1055">
        <f t="shared" ref="K326:M326" si="352">J185</f>
        <v>-0.3</v>
      </c>
      <c r="L326" s="1055" t="str">
        <f t="shared" si="352"/>
        <v>-</v>
      </c>
      <c r="M326" s="1055">
        <f t="shared" si="352"/>
        <v>0</v>
      </c>
      <c r="N326" s="828"/>
      <c r="O326" s="2127"/>
      <c r="P326" s="1054">
        <v>17</v>
      </c>
      <c r="Q326" s="1055">
        <f>O185</f>
        <v>1000</v>
      </c>
      <c r="R326" s="1055">
        <f t="shared" ref="R326:T326" si="353">P185</f>
        <v>-0.6</v>
      </c>
      <c r="S326" s="1055" t="str">
        <f t="shared" si="353"/>
        <v>-</v>
      </c>
      <c r="T326" s="1056">
        <f t="shared" si="353"/>
        <v>0</v>
      </c>
    </row>
    <row r="327" spans="1:20" ht="13" hidden="1">
      <c r="A327" s="2124"/>
      <c r="B327" s="1054">
        <v>18</v>
      </c>
      <c r="C327" s="1055">
        <f>C196</f>
        <v>35</v>
      </c>
      <c r="D327" s="1055">
        <f t="shared" ref="D327:F327" si="354">D196</f>
        <v>-0.3</v>
      </c>
      <c r="E327" s="1055" t="str">
        <f t="shared" si="354"/>
        <v>-</v>
      </c>
      <c r="F327" s="1055">
        <f t="shared" si="354"/>
        <v>0</v>
      </c>
      <c r="G327" s="828"/>
      <c r="H327" s="2127"/>
      <c r="I327" s="1054">
        <v>18</v>
      </c>
      <c r="J327" s="1055">
        <f>I196</f>
        <v>70</v>
      </c>
      <c r="K327" s="1055">
        <f t="shared" ref="K327:M327" si="355">J196</f>
        <v>-0.3</v>
      </c>
      <c r="L327" s="1055" t="str">
        <f t="shared" si="355"/>
        <v>-</v>
      </c>
      <c r="M327" s="1055">
        <f t="shared" si="355"/>
        <v>0</v>
      </c>
      <c r="N327" s="828"/>
      <c r="O327" s="2127"/>
      <c r="P327" s="1054">
        <v>18</v>
      </c>
      <c r="Q327" s="1055">
        <f>O196</f>
        <v>1000</v>
      </c>
      <c r="R327" s="1055">
        <f t="shared" ref="R327:T327" si="356">P196</f>
        <v>-0.8</v>
      </c>
      <c r="S327" s="1055" t="str">
        <f t="shared" si="356"/>
        <v>-</v>
      </c>
      <c r="T327" s="1056">
        <f t="shared" si="356"/>
        <v>0</v>
      </c>
    </row>
    <row r="328" spans="1:20" ht="13" hidden="1">
      <c r="A328" s="2124"/>
      <c r="B328" s="1054">
        <v>19</v>
      </c>
      <c r="C328" s="1055">
        <f>C207</f>
        <v>35</v>
      </c>
      <c r="D328" s="1055">
        <f t="shared" ref="D328:F328" si="357">D207</f>
        <v>-0.1</v>
      </c>
      <c r="E328" s="1055" t="str">
        <f t="shared" si="357"/>
        <v>-</v>
      </c>
      <c r="F328" s="1055">
        <f t="shared" si="357"/>
        <v>0</v>
      </c>
      <c r="G328" s="828"/>
      <c r="H328" s="2127"/>
      <c r="I328" s="1054">
        <v>19</v>
      </c>
      <c r="J328" s="1055">
        <f>I207</f>
        <v>70</v>
      </c>
      <c r="K328" s="1055">
        <f t="shared" ref="K328:M328" si="358">J207</f>
        <v>-0.7</v>
      </c>
      <c r="L328" s="1055" t="str">
        <f t="shared" si="358"/>
        <v>-</v>
      </c>
      <c r="M328" s="1055">
        <f t="shared" si="358"/>
        <v>0</v>
      </c>
      <c r="N328" s="828"/>
      <c r="O328" s="2127"/>
      <c r="P328" s="1054">
        <v>19</v>
      </c>
      <c r="Q328" s="1055">
        <f>O207</f>
        <v>1000</v>
      </c>
      <c r="R328" s="1055">
        <f t="shared" ref="R328:T328" si="359">P207</f>
        <v>2.2000000000000002</v>
      </c>
      <c r="S328" s="1055" t="str">
        <f t="shared" si="359"/>
        <v>-</v>
      </c>
      <c r="T328" s="1056">
        <f t="shared" si="359"/>
        <v>0</v>
      </c>
    </row>
    <row r="329" spans="1:20" ht="13.5" hidden="1" thickBot="1">
      <c r="A329" s="2125"/>
      <c r="B329" s="1065">
        <v>20</v>
      </c>
      <c r="C329" s="1081">
        <f>C218</f>
        <v>34.5</v>
      </c>
      <c r="D329" s="1081">
        <f t="shared" ref="D329:F329" si="360">D218</f>
        <v>0</v>
      </c>
      <c r="E329" s="1081" t="str">
        <f t="shared" si="360"/>
        <v>-</v>
      </c>
      <c r="F329" s="1081">
        <f t="shared" si="360"/>
        <v>0</v>
      </c>
      <c r="G329" s="1067"/>
      <c r="H329" s="2128"/>
      <c r="I329" s="1065">
        <v>20</v>
      </c>
      <c r="J329" s="1081">
        <f>I218</f>
        <v>80.8</v>
      </c>
      <c r="K329" s="1081">
        <f t="shared" ref="K329:M329" si="361">J218</f>
        <v>0</v>
      </c>
      <c r="L329" s="1081" t="str">
        <f t="shared" si="361"/>
        <v>-</v>
      </c>
      <c r="M329" s="1081">
        <f t="shared" si="361"/>
        <v>0</v>
      </c>
      <c r="N329" s="1067"/>
      <c r="O329" s="2128"/>
      <c r="P329" s="1065">
        <v>20</v>
      </c>
      <c r="Q329" s="1081">
        <f>O218</f>
        <v>1000</v>
      </c>
      <c r="R329" s="1081" t="str">
        <f t="shared" ref="R329:T329" si="362">P218</f>
        <v>-</v>
      </c>
      <c r="S329" s="1081" t="str">
        <f t="shared" si="362"/>
        <v>-</v>
      </c>
      <c r="T329" s="1082">
        <f t="shared" si="362"/>
        <v>0</v>
      </c>
    </row>
    <row r="330" spans="1:20" ht="13" hidden="1">
      <c r="A330" s="1070"/>
      <c r="B330" s="1071"/>
      <c r="C330" s="1083"/>
      <c r="D330" s="1083"/>
      <c r="E330" s="1083"/>
      <c r="F330" s="1084"/>
      <c r="G330" s="789"/>
      <c r="H330" s="1070"/>
      <c r="I330" s="1071"/>
      <c r="J330" s="1083"/>
      <c r="K330" s="1083"/>
      <c r="L330" s="1083"/>
      <c r="M330" s="1084"/>
      <c r="N330" s="828"/>
      <c r="O330" s="1070"/>
      <c r="P330" s="1071"/>
      <c r="Q330" s="1083"/>
      <c r="R330" s="1083"/>
      <c r="S330" s="1083"/>
      <c r="T330" s="1084"/>
    </row>
    <row r="331" spans="1:20" ht="13" hidden="1">
      <c r="A331" s="2123">
        <v>6</v>
      </c>
      <c r="B331" s="1076">
        <v>1</v>
      </c>
      <c r="C331" s="1085">
        <f>C10</f>
        <v>37</v>
      </c>
      <c r="D331" s="1085">
        <f t="shared" ref="D331:F331" si="363">D10</f>
        <v>-0.2</v>
      </c>
      <c r="E331" s="1085">
        <f t="shared" si="363"/>
        <v>-0.6</v>
      </c>
      <c r="F331" s="1085">
        <f t="shared" si="363"/>
        <v>0.19999999999999998</v>
      </c>
      <c r="G331" s="1078"/>
      <c r="H331" s="2126">
        <v>6</v>
      </c>
      <c r="I331" s="1076">
        <v>1</v>
      </c>
      <c r="J331" s="1085">
        <f>I10</f>
        <v>80</v>
      </c>
      <c r="K331" s="1085">
        <f t="shared" ref="K331:M331" si="364">J10</f>
        <v>-3.2</v>
      </c>
      <c r="L331" s="1085">
        <f t="shared" si="364"/>
        <v>0.7</v>
      </c>
      <c r="M331" s="1085">
        <f t="shared" si="364"/>
        <v>1.9500000000000002</v>
      </c>
      <c r="N331" s="1078"/>
      <c r="O331" s="2126">
        <v>6</v>
      </c>
      <c r="P331" s="1076">
        <v>1</v>
      </c>
      <c r="Q331" s="1085">
        <f>O10</f>
        <v>1005</v>
      </c>
      <c r="R331" s="1085" t="str">
        <f t="shared" ref="R331:T331" si="365">P10</f>
        <v>-</v>
      </c>
      <c r="S331" s="1085" t="str">
        <f t="shared" si="365"/>
        <v>-</v>
      </c>
      <c r="T331" s="1086">
        <f t="shared" si="365"/>
        <v>0</v>
      </c>
    </row>
    <row r="332" spans="1:20" ht="13" hidden="1">
      <c r="A332" s="2124"/>
      <c r="B332" s="1054">
        <v>2</v>
      </c>
      <c r="C332" s="1055">
        <f>C21</f>
        <v>37</v>
      </c>
      <c r="D332" s="1055">
        <f t="shared" ref="D332:F332" si="366">D21</f>
        <v>-0.2</v>
      </c>
      <c r="E332" s="1055">
        <f t="shared" si="366"/>
        <v>-0.3</v>
      </c>
      <c r="F332" s="1055">
        <f t="shared" si="366"/>
        <v>4.9999999999999989E-2</v>
      </c>
      <c r="G332" s="828"/>
      <c r="H332" s="2127"/>
      <c r="I332" s="1054">
        <v>2</v>
      </c>
      <c r="J332" s="1055">
        <f>I21</f>
        <v>80</v>
      </c>
      <c r="K332" s="1055">
        <f t="shared" ref="K332:M332" si="367">J21</f>
        <v>-0.5</v>
      </c>
      <c r="L332" s="1055">
        <f t="shared" si="367"/>
        <v>-0.7</v>
      </c>
      <c r="M332" s="1055">
        <f t="shared" si="367"/>
        <v>9.9999999999999978E-2</v>
      </c>
      <c r="N332" s="828"/>
      <c r="O332" s="2127"/>
      <c r="P332" s="1054">
        <v>2</v>
      </c>
      <c r="Q332" s="1055">
        <f>O21</f>
        <v>1005</v>
      </c>
      <c r="R332" s="1055" t="str">
        <f t="shared" ref="R332:T332" si="368">P21</f>
        <v>-</v>
      </c>
      <c r="S332" s="1055" t="str">
        <f t="shared" si="368"/>
        <v>-</v>
      </c>
      <c r="T332" s="1056">
        <f t="shared" si="368"/>
        <v>0</v>
      </c>
    </row>
    <row r="333" spans="1:20" ht="13" hidden="1">
      <c r="A333" s="2124"/>
      <c r="B333" s="1054">
        <v>3</v>
      </c>
      <c r="C333" s="1055">
        <f>C32</f>
        <v>37</v>
      </c>
      <c r="D333" s="1055">
        <f t="shared" ref="D333:F333" si="369">D32</f>
        <v>-0.2</v>
      </c>
      <c r="E333" s="1055">
        <f t="shared" si="369"/>
        <v>-0.6</v>
      </c>
      <c r="F333" s="1055">
        <f t="shared" si="369"/>
        <v>0.19999999999999998</v>
      </c>
      <c r="G333" s="828"/>
      <c r="H333" s="2127"/>
      <c r="I333" s="1054">
        <v>3</v>
      </c>
      <c r="J333" s="1055">
        <f>I32</f>
        <v>80</v>
      </c>
      <c r="K333" s="1055">
        <f t="shared" ref="K333:M333" si="370">J32</f>
        <v>-0.8</v>
      </c>
      <c r="L333" s="1055">
        <f t="shared" si="370"/>
        <v>-2.9</v>
      </c>
      <c r="M333" s="1055">
        <f t="shared" si="370"/>
        <v>1.0499999999999998</v>
      </c>
      <c r="N333" s="828"/>
      <c r="O333" s="2127"/>
      <c r="P333" s="1054">
        <v>3</v>
      </c>
      <c r="Q333" s="1055">
        <f>O32</f>
        <v>1005</v>
      </c>
      <c r="R333" s="1055" t="str">
        <f t="shared" ref="R333:T333" si="371">P32</f>
        <v>-</v>
      </c>
      <c r="S333" s="1055" t="str">
        <f t="shared" si="371"/>
        <v>-</v>
      </c>
      <c r="T333" s="1056">
        <f t="shared" si="371"/>
        <v>0</v>
      </c>
    </row>
    <row r="334" spans="1:20" ht="13" hidden="1">
      <c r="A334" s="2124"/>
      <c r="B334" s="1054">
        <v>4</v>
      </c>
      <c r="C334" s="1055">
        <f>C43</f>
        <v>37</v>
      </c>
      <c r="D334" s="1055">
        <f t="shared" ref="D334:F334" si="372">D43</f>
        <v>-0.4</v>
      </c>
      <c r="E334" s="1055">
        <f t="shared" si="372"/>
        <v>-0.6</v>
      </c>
      <c r="F334" s="1055">
        <f t="shared" si="372"/>
        <v>9.9999999999999978E-2</v>
      </c>
      <c r="G334" s="828"/>
      <c r="H334" s="2127"/>
      <c r="I334" s="1054">
        <v>4</v>
      </c>
      <c r="J334" s="1055">
        <f>I43</f>
        <v>80</v>
      </c>
      <c r="K334" s="1055">
        <f t="shared" ref="K334:M334" si="373">J43</f>
        <v>-3.8</v>
      </c>
      <c r="L334" s="1055">
        <f t="shared" si="373"/>
        <v>1.9</v>
      </c>
      <c r="M334" s="1055">
        <f t="shared" si="373"/>
        <v>2.8499999999999996</v>
      </c>
      <c r="N334" s="828"/>
      <c r="O334" s="2127"/>
      <c r="P334" s="1054">
        <v>4</v>
      </c>
      <c r="Q334" s="1055">
        <f>O43</f>
        <v>1005</v>
      </c>
      <c r="R334" s="1055" t="str">
        <f t="shared" ref="R334:T334" si="374">P43</f>
        <v>-</v>
      </c>
      <c r="S334" s="1055" t="str">
        <f t="shared" si="374"/>
        <v>-</v>
      </c>
      <c r="T334" s="1056">
        <f t="shared" si="374"/>
        <v>0</v>
      </c>
    </row>
    <row r="335" spans="1:20" ht="13" hidden="1">
      <c r="A335" s="2124"/>
      <c r="B335" s="1054">
        <v>5</v>
      </c>
      <c r="C335" s="1055">
        <f>C54</f>
        <v>37</v>
      </c>
      <c r="D335" s="1055">
        <f t="shared" ref="D335:F335" si="375">D54</f>
        <v>0.7</v>
      </c>
      <c r="E335" s="1055">
        <f t="shared" si="375"/>
        <v>0</v>
      </c>
      <c r="F335" s="1055">
        <f t="shared" si="375"/>
        <v>0.35</v>
      </c>
      <c r="G335" s="828"/>
      <c r="H335" s="2127"/>
      <c r="I335" s="1054">
        <v>5</v>
      </c>
      <c r="J335" s="1055">
        <f>I54</f>
        <v>80</v>
      </c>
      <c r="K335" s="1055">
        <f t="shared" ref="K335:M335" si="376">J54</f>
        <v>-3</v>
      </c>
      <c r="L335" s="1055">
        <f t="shared" si="376"/>
        <v>0.2</v>
      </c>
      <c r="M335" s="1055">
        <f t="shared" si="376"/>
        <v>1.6</v>
      </c>
      <c r="N335" s="828"/>
      <c r="O335" s="2127"/>
      <c r="P335" s="1054">
        <v>5</v>
      </c>
      <c r="Q335" s="1055">
        <f>O54</f>
        <v>1005</v>
      </c>
      <c r="R335" s="1055" t="str">
        <f t="shared" ref="R335:T335" si="377">P54</f>
        <v>-</v>
      </c>
      <c r="S335" s="1055" t="str">
        <f t="shared" si="377"/>
        <v>-</v>
      </c>
      <c r="T335" s="1056">
        <f t="shared" si="377"/>
        <v>0</v>
      </c>
    </row>
    <row r="336" spans="1:20" ht="13" hidden="1">
      <c r="A336" s="2124"/>
      <c r="B336" s="1054">
        <v>6</v>
      </c>
      <c r="C336" s="1055">
        <f>C65</f>
        <v>37</v>
      </c>
      <c r="D336" s="1055">
        <f t="shared" ref="D336:F336" si="378">D65</f>
        <v>0.1</v>
      </c>
      <c r="E336" s="1055">
        <f t="shared" si="378"/>
        <v>-1.1000000000000001</v>
      </c>
      <c r="F336" s="1055">
        <f t="shared" si="378"/>
        <v>0.60000000000000009</v>
      </c>
      <c r="G336" s="828"/>
      <c r="H336" s="2127"/>
      <c r="I336" s="1054">
        <v>6</v>
      </c>
      <c r="J336" s="1055">
        <f>I65</f>
        <v>80</v>
      </c>
      <c r="K336" s="1055">
        <f t="shared" ref="K336:M336" si="379">J65</f>
        <v>-6.3</v>
      </c>
      <c r="L336" s="1055">
        <f t="shared" si="379"/>
        <v>0.8</v>
      </c>
      <c r="M336" s="1055">
        <f t="shared" si="379"/>
        <v>3.55</v>
      </c>
      <c r="N336" s="828"/>
      <c r="O336" s="2127"/>
      <c r="P336" s="1054">
        <v>6</v>
      </c>
      <c r="Q336" s="1055">
        <f>O65</f>
        <v>1005</v>
      </c>
      <c r="R336" s="1055">
        <f t="shared" ref="R336:T336" si="380">P65</f>
        <v>0.9</v>
      </c>
      <c r="S336" s="1055">
        <f t="shared" si="380"/>
        <v>-0.3</v>
      </c>
      <c r="T336" s="1056">
        <f t="shared" si="380"/>
        <v>0.6</v>
      </c>
    </row>
    <row r="337" spans="1:20" ht="13" hidden="1">
      <c r="A337" s="2124"/>
      <c r="B337" s="1054">
        <v>7</v>
      </c>
      <c r="C337" s="1055">
        <f>C76</f>
        <v>37</v>
      </c>
      <c r="D337" s="1055">
        <f t="shared" ref="D337:F337" si="381">D76</f>
        <v>0</v>
      </c>
      <c r="E337" s="1055">
        <f t="shared" si="381"/>
        <v>-1.4</v>
      </c>
      <c r="F337" s="1055">
        <f t="shared" si="381"/>
        <v>0.7</v>
      </c>
      <c r="G337" s="828"/>
      <c r="H337" s="2127"/>
      <c r="I337" s="1054">
        <v>7</v>
      </c>
      <c r="J337" s="1055">
        <f>I76</f>
        <v>80</v>
      </c>
      <c r="K337" s="1055">
        <f t="shared" ref="K337:M337" si="382">J76</f>
        <v>-2.6</v>
      </c>
      <c r="L337" s="1055">
        <f t="shared" si="382"/>
        <v>1.2</v>
      </c>
      <c r="M337" s="1055">
        <f t="shared" si="382"/>
        <v>1.9</v>
      </c>
      <c r="N337" s="828"/>
      <c r="O337" s="2127"/>
      <c r="P337" s="1054">
        <v>7</v>
      </c>
      <c r="Q337" s="1055">
        <f>O76</f>
        <v>1005</v>
      </c>
      <c r="R337" s="1055">
        <f t="shared" ref="R337:T337" si="383">P76</f>
        <v>-3.8</v>
      </c>
      <c r="S337" s="1055">
        <f t="shared" si="383"/>
        <v>-0.5</v>
      </c>
      <c r="T337" s="1056">
        <f t="shared" si="383"/>
        <v>1.65</v>
      </c>
    </row>
    <row r="338" spans="1:20" ht="13" hidden="1">
      <c r="A338" s="2124"/>
      <c r="B338" s="1054">
        <v>8</v>
      </c>
      <c r="C338" s="1055">
        <f>C87</f>
        <v>37</v>
      </c>
      <c r="D338" s="1055">
        <f t="shared" ref="D338:F338" si="384">D87</f>
        <v>-0.1</v>
      </c>
      <c r="E338" s="1055">
        <f t="shared" si="384"/>
        <v>-0.5</v>
      </c>
      <c r="F338" s="1055">
        <f t="shared" si="384"/>
        <v>0.2</v>
      </c>
      <c r="G338" s="828"/>
      <c r="H338" s="2127"/>
      <c r="I338" s="1054">
        <v>8</v>
      </c>
      <c r="J338" s="1055">
        <f>I87</f>
        <v>80</v>
      </c>
      <c r="K338" s="1055">
        <f t="shared" ref="K338:M338" si="385">J87</f>
        <v>-4.5</v>
      </c>
      <c r="L338" s="1055">
        <f t="shared" si="385"/>
        <v>-1.2</v>
      </c>
      <c r="M338" s="1055">
        <f t="shared" si="385"/>
        <v>1.65</v>
      </c>
      <c r="N338" s="828"/>
      <c r="O338" s="2127"/>
      <c r="P338" s="1054">
        <v>8</v>
      </c>
      <c r="Q338" s="1055">
        <f>O87</f>
        <v>1005</v>
      </c>
      <c r="R338" s="1055">
        <f t="shared" ref="R338:T338" si="386">P87</f>
        <v>-3.4</v>
      </c>
      <c r="S338" s="1055">
        <f t="shared" si="386"/>
        <v>0.2</v>
      </c>
      <c r="T338" s="1056">
        <f t="shared" si="386"/>
        <v>1.8</v>
      </c>
    </row>
    <row r="339" spans="1:20" ht="13" hidden="1">
      <c r="A339" s="2124"/>
      <c r="B339" s="1054">
        <v>9</v>
      </c>
      <c r="C339" s="1055">
        <f>C98</f>
        <v>37</v>
      </c>
      <c r="D339" s="1055">
        <f t="shared" ref="D339:F339" si="387">D98</f>
        <v>-0.5</v>
      </c>
      <c r="E339" s="1055" t="str">
        <f t="shared" si="387"/>
        <v>-</v>
      </c>
      <c r="F339" s="1055">
        <f t="shared" si="387"/>
        <v>0</v>
      </c>
      <c r="G339" s="828"/>
      <c r="H339" s="2127"/>
      <c r="I339" s="1054">
        <v>9</v>
      </c>
      <c r="J339" s="1055">
        <f>I98</f>
        <v>80</v>
      </c>
      <c r="K339" s="1055">
        <f t="shared" ref="K339:M339" si="388">J98</f>
        <v>-0.5</v>
      </c>
      <c r="L339" s="1055" t="str">
        <f t="shared" si="388"/>
        <v>-</v>
      </c>
      <c r="M339" s="1055">
        <f t="shared" si="388"/>
        <v>0</v>
      </c>
      <c r="N339" s="828"/>
      <c r="O339" s="2127"/>
      <c r="P339" s="1054">
        <v>9</v>
      </c>
      <c r="Q339" s="1055">
        <f>O98</f>
        <v>1005</v>
      </c>
      <c r="R339" s="1055">
        <f t="shared" ref="R339:T339" si="389">P98</f>
        <v>0.2</v>
      </c>
      <c r="S339" s="1055" t="str">
        <f t="shared" si="389"/>
        <v>-</v>
      </c>
      <c r="T339" s="1056">
        <f t="shared" si="389"/>
        <v>0</v>
      </c>
    </row>
    <row r="340" spans="1:20" ht="13" hidden="1">
      <c r="A340" s="2124"/>
      <c r="B340" s="1054">
        <v>10</v>
      </c>
      <c r="C340" s="1055">
        <f>C109</f>
        <v>37</v>
      </c>
      <c r="D340" s="1055">
        <f t="shared" ref="D340:F340" si="390">D109</f>
        <v>0.2</v>
      </c>
      <c r="E340" s="1055">
        <f t="shared" si="390"/>
        <v>0.4</v>
      </c>
      <c r="F340" s="1055">
        <f t="shared" si="390"/>
        <v>0.1</v>
      </c>
      <c r="G340" s="828"/>
      <c r="H340" s="2127"/>
      <c r="I340" s="1054">
        <v>10</v>
      </c>
      <c r="J340" s="1055">
        <f>I109</f>
        <v>80</v>
      </c>
      <c r="K340" s="1055">
        <f t="shared" ref="K340:M340" si="391">J109</f>
        <v>2.2000000000000002</v>
      </c>
      <c r="L340" s="1055">
        <f t="shared" si="391"/>
        <v>-4.7</v>
      </c>
      <c r="M340" s="1055">
        <f t="shared" si="391"/>
        <v>3.45</v>
      </c>
      <c r="N340" s="828"/>
      <c r="O340" s="2127"/>
      <c r="P340" s="1054">
        <v>10</v>
      </c>
      <c r="Q340" s="1055">
        <f>O109</f>
        <v>1005</v>
      </c>
      <c r="R340" s="1055" t="str">
        <f t="shared" ref="R340:T340" si="392">P109</f>
        <v>-</v>
      </c>
      <c r="S340" s="1055" t="str">
        <f t="shared" si="392"/>
        <v>-</v>
      </c>
      <c r="T340" s="1056">
        <f t="shared" si="392"/>
        <v>0</v>
      </c>
    </row>
    <row r="341" spans="1:20" ht="13" hidden="1">
      <c r="A341" s="2124"/>
      <c r="B341" s="1054">
        <v>11</v>
      </c>
      <c r="C341" s="1055">
        <f>C120</f>
        <v>37</v>
      </c>
      <c r="D341" s="1055">
        <f t="shared" ref="D341:F341" si="393">D120</f>
        <v>0.5</v>
      </c>
      <c r="E341" s="1055">
        <f t="shared" si="393"/>
        <v>0.5</v>
      </c>
      <c r="F341" s="1055">
        <f t="shared" si="393"/>
        <v>0</v>
      </c>
      <c r="G341" s="828"/>
      <c r="H341" s="2127"/>
      <c r="I341" s="1054">
        <v>11</v>
      </c>
      <c r="J341" s="1055">
        <f>I120</f>
        <v>80</v>
      </c>
      <c r="K341" s="1055">
        <f t="shared" ref="K341:M341" si="394">J120</f>
        <v>-1.4</v>
      </c>
      <c r="L341" s="1055">
        <f t="shared" si="394"/>
        <v>2.6</v>
      </c>
      <c r="M341" s="1055">
        <f t="shared" si="394"/>
        <v>2</v>
      </c>
      <c r="N341" s="828"/>
      <c r="O341" s="2127"/>
      <c r="P341" s="1054">
        <v>11</v>
      </c>
      <c r="Q341" s="1055">
        <f>O120</f>
        <v>1005</v>
      </c>
      <c r="R341" s="1055" t="str">
        <f t="shared" ref="R341:T341" si="395">P120</f>
        <v>-</v>
      </c>
      <c r="S341" s="1055" t="str">
        <f t="shared" si="395"/>
        <v>-</v>
      </c>
      <c r="T341" s="1056">
        <f t="shared" si="395"/>
        <v>0</v>
      </c>
    </row>
    <row r="342" spans="1:20" ht="13" hidden="1">
      <c r="A342" s="2124"/>
      <c r="B342" s="1054">
        <v>12</v>
      </c>
      <c r="C342" s="1055">
        <f>C131</f>
        <v>37</v>
      </c>
      <c r="D342" s="1055">
        <f t="shared" ref="D342:F342" si="396">D131</f>
        <v>-0.3</v>
      </c>
      <c r="E342" s="1055" t="str">
        <f t="shared" si="396"/>
        <v>-</v>
      </c>
      <c r="F342" s="1055">
        <f t="shared" si="396"/>
        <v>0</v>
      </c>
      <c r="G342" s="828"/>
      <c r="H342" s="2127"/>
      <c r="I342" s="1054">
        <v>12</v>
      </c>
      <c r="J342" s="1055">
        <f>I131</f>
        <v>80</v>
      </c>
      <c r="K342" s="1055">
        <f t="shared" ref="K342:M342" si="397">J131</f>
        <v>-0.5</v>
      </c>
      <c r="L342" s="1055" t="str">
        <f t="shared" si="397"/>
        <v>-</v>
      </c>
      <c r="M342" s="1055">
        <f t="shared" si="397"/>
        <v>0</v>
      </c>
      <c r="N342" s="828"/>
      <c r="O342" s="2127"/>
      <c r="P342" s="1054">
        <v>12</v>
      </c>
      <c r="Q342" s="1055">
        <f>O131</f>
        <v>1005</v>
      </c>
      <c r="R342" s="1055">
        <f t="shared" ref="R342:T342" si="398">P131</f>
        <v>-0.8</v>
      </c>
      <c r="S342" s="1055" t="str">
        <f t="shared" si="398"/>
        <v>-</v>
      </c>
      <c r="T342" s="1056">
        <f t="shared" si="398"/>
        <v>0</v>
      </c>
    </row>
    <row r="343" spans="1:20" ht="13" hidden="1">
      <c r="A343" s="2124"/>
      <c r="B343" s="1054">
        <v>13</v>
      </c>
      <c r="C343" s="1055">
        <f>C142</f>
        <v>37</v>
      </c>
      <c r="D343" s="1055">
        <f t="shared" ref="D343:F343" si="399">D142</f>
        <v>0.4</v>
      </c>
      <c r="E343" s="1055" t="str">
        <f t="shared" si="399"/>
        <v>-</v>
      </c>
      <c r="F343" s="1055">
        <f t="shared" si="399"/>
        <v>0</v>
      </c>
      <c r="G343" s="828"/>
      <c r="H343" s="2127"/>
      <c r="I343" s="1054">
        <v>13</v>
      </c>
      <c r="J343" s="1055">
        <f>I142</f>
        <v>80</v>
      </c>
      <c r="K343" s="1055">
        <f t="shared" ref="K343:M343" si="400">J142</f>
        <v>-2.5</v>
      </c>
      <c r="L343" s="1055" t="str">
        <f t="shared" si="400"/>
        <v>-</v>
      </c>
      <c r="M343" s="1055">
        <f t="shared" si="400"/>
        <v>0</v>
      </c>
      <c r="N343" s="828"/>
      <c r="O343" s="2127"/>
      <c r="P343" s="1054">
        <v>13</v>
      </c>
      <c r="Q343" s="1055">
        <f>O142</f>
        <v>1005</v>
      </c>
      <c r="R343" s="1055">
        <f t="shared" ref="R343:T343" si="401">P142</f>
        <v>1.1000000000000001</v>
      </c>
      <c r="S343" s="1055" t="str">
        <f t="shared" si="401"/>
        <v>-</v>
      </c>
      <c r="T343" s="1056">
        <f t="shared" si="401"/>
        <v>0</v>
      </c>
    </row>
    <row r="344" spans="1:20" ht="13" hidden="1">
      <c r="A344" s="2124"/>
      <c r="B344" s="1054">
        <v>14</v>
      </c>
      <c r="C344" s="1055">
        <f>C153</f>
        <v>37</v>
      </c>
      <c r="D344" s="1055">
        <f t="shared" ref="D344:F344" si="402">D153</f>
        <v>-0.8</v>
      </c>
      <c r="E344" s="1055" t="str">
        <f t="shared" si="402"/>
        <v>-</v>
      </c>
      <c r="F344" s="1055">
        <f t="shared" si="402"/>
        <v>0</v>
      </c>
      <c r="G344" s="828"/>
      <c r="H344" s="2127"/>
      <c r="I344" s="1054">
        <v>14</v>
      </c>
      <c r="J344" s="1055">
        <f>I153</f>
        <v>80</v>
      </c>
      <c r="K344" s="1055">
        <f t="shared" ref="K344:M344" si="403">J153</f>
        <v>-0.9</v>
      </c>
      <c r="L344" s="1055" t="str">
        <f t="shared" si="403"/>
        <v>-</v>
      </c>
      <c r="M344" s="1055">
        <f t="shared" si="403"/>
        <v>0</v>
      </c>
      <c r="N344" s="828"/>
      <c r="O344" s="2127"/>
      <c r="P344" s="1054">
        <v>14</v>
      </c>
      <c r="Q344" s="1055">
        <f>O153</f>
        <v>1005</v>
      </c>
      <c r="R344" s="1055">
        <f t="shared" ref="R344:T344" si="404">P153</f>
        <v>1.1000000000000001</v>
      </c>
      <c r="S344" s="1055" t="str">
        <f t="shared" si="404"/>
        <v>-</v>
      </c>
      <c r="T344" s="1056">
        <f t="shared" si="404"/>
        <v>0</v>
      </c>
    </row>
    <row r="345" spans="1:20" ht="13" hidden="1">
      <c r="A345" s="2124"/>
      <c r="B345" s="1054">
        <v>15</v>
      </c>
      <c r="C345" s="1055">
        <f>C164</f>
        <v>37</v>
      </c>
      <c r="D345" s="1055">
        <f t="shared" ref="D345:F345" si="405">D164</f>
        <v>-0.1</v>
      </c>
      <c r="E345" s="1055" t="str">
        <f t="shared" si="405"/>
        <v>-</v>
      </c>
      <c r="F345" s="1055">
        <f t="shared" si="405"/>
        <v>0</v>
      </c>
      <c r="G345" s="828"/>
      <c r="H345" s="2127"/>
      <c r="I345" s="1054">
        <v>15</v>
      </c>
      <c r="J345" s="1055">
        <f>I164</f>
        <v>80</v>
      </c>
      <c r="K345" s="1055">
        <f t="shared" ref="K345:M345" si="406">J164</f>
        <v>-1.3</v>
      </c>
      <c r="L345" s="1055" t="str">
        <f t="shared" si="406"/>
        <v>-</v>
      </c>
      <c r="M345" s="1055">
        <f t="shared" si="406"/>
        <v>0</v>
      </c>
      <c r="N345" s="828"/>
      <c r="O345" s="2127"/>
      <c r="P345" s="1054">
        <v>15</v>
      </c>
      <c r="Q345" s="1055">
        <f>O164</f>
        <v>1005</v>
      </c>
      <c r="R345" s="1055">
        <f t="shared" ref="R345:T345" si="407">P164</f>
        <v>1.1000000000000001</v>
      </c>
      <c r="S345" s="1055" t="str">
        <f t="shared" si="407"/>
        <v>-</v>
      </c>
      <c r="T345" s="1056">
        <f t="shared" si="407"/>
        <v>0</v>
      </c>
    </row>
    <row r="346" spans="1:20" ht="13" hidden="1">
      <c r="A346" s="2124"/>
      <c r="B346" s="1054">
        <v>16</v>
      </c>
      <c r="C346" s="1055">
        <f>C175</f>
        <v>37</v>
      </c>
      <c r="D346" s="1055">
        <f t="shared" ref="D346:F346" si="408">D175</f>
        <v>0</v>
      </c>
      <c r="E346" s="1055" t="str">
        <f t="shared" si="408"/>
        <v>-</v>
      </c>
      <c r="F346" s="1055">
        <f t="shared" si="408"/>
        <v>0</v>
      </c>
      <c r="G346" s="828"/>
      <c r="H346" s="2127"/>
      <c r="I346" s="1054">
        <v>16</v>
      </c>
      <c r="J346" s="1055">
        <f>I175</f>
        <v>80</v>
      </c>
      <c r="K346" s="1055">
        <f t="shared" ref="K346:M346" si="409">J175</f>
        <v>-2.2999999999999998</v>
      </c>
      <c r="L346" s="1055" t="str">
        <f t="shared" si="409"/>
        <v>-</v>
      </c>
      <c r="M346" s="1055">
        <f t="shared" si="409"/>
        <v>0</v>
      </c>
      <c r="N346" s="828"/>
      <c r="O346" s="2127"/>
      <c r="P346" s="1054">
        <v>16</v>
      </c>
      <c r="Q346" s="1055">
        <f>O175</f>
        <v>1005</v>
      </c>
      <c r="R346" s="1055">
        <f t="shared" ref="R346:T346" si="410">P175</f>
        <v>-0.4</v>
      </c>
      <c r="S346" s="1055" t="str">
        <f t="shared" si="410"/>
        <v>-</v>
      </c>
      <c r="T346" s="1056">
        <f t="shared" si="410"/>
        <v>0</v>
      </c>
    </row>
    <row r="347" spans="1:20" ht="13" hidden="1">
      <c r="A347" s="2124"/>
      <c r="B347" s="1054">
        <v>17</v>
      </c>
      <c r="C347" s="1055">
        <f>C186</f>
        <v>37</v>
      </c>
      <c r="D347" s="1055">
        <f t="shared" ref="D347:F347" si="411">D186</f>
        <v>-0.6</v>
      </c>
      <c r="E347" s="1055" t="str">
        <f t="shared" si="411"/>
        <v>-</v>
      </c>
      <c r="F347" s="1055">
        <f t="shared" si="411"/>
        <v>0</v>
      </c>
      <c r="G347" s="828"/>
      <c r="H347" s="2127"/>
      <c r="I347" s="1054">
        <v>17</v>
      </c>
      <c r="J347" s="1055">
        <f>I186</f>
        <v>80</v>
      </c>
      <c r="K347" s="1055">
        <f t="shared" ref="K347:M347" si="412">J186</f>
        <v>-0.8</v>
      </c>
      <c r="L347" s="1055" t="str">
        <f t="shared" si="412"/>
        <v>-</v>
      </c>
      <c r="M347" s="1055">
        <f t="shared" si="412"/>
        <v>0</v>
      </c>
      <c r="N347" s="828"/>
      <c r="O347" s="2127"/>
      <c r="P347" s="1054">
        <v>17</v>
      </c>
      <c r="Q347" s="1055">
        <f>O186</f>
        <v>1005</v>
      </c>
      <c r="R347" s="1055">
        <f t="shared" ref="R347:T347" si="413">P186</f>
        <v>-0.6</v>
      </c>
      <c r="S347" s="1055" t="str">
        <f t="shared" si="413"/>
        <v>-</v>
      </c>
      <c r="T347" s="1056">
        <f t="shared" si="413"/>
        <v>0</v>
      </c>
    </row>
    <row r="348" spans="1:20" ht="13" hidden="1">
      <c r="A348" s="2124"/>
      <c r="B348" s="1054">
        <v>18</v>
      </c>
      <c r="C348" s="1055">
        <f>C197</f>
        <v>37</v>
      </c>
      <c r="D348" s="1055">
        <f t="shared" ref="D348:F348" si="414">D197</f>
        <v>-0.3</v>
      </c>
      <c r="E348" s="1055" t="str">
        <f t="shared" si="414"/>
        <v>-</v>
      </c>
      <c r="F348" s="1055">
        <f t="shared" si="414"/>
        <v>0</v>
      </c>
      <c r="G348" s="828"/>
      <c r="H348" s="2127"/>
      <c r="I348" s="1054">
        <v>18</v>
      </c>
      <c r="J348" s="1055">
        <f>I197</f>
        <v>80</v>
      </c>
      <c r="K348" s="1055">
        <f t="shared" ref="K348:M348" si="415">J197</f>
        <v>-0.5</v>
      </c>
      <c r="L348" s="1055" t="str">
        <f t="shared" si="415"/>
        <v>-</v>
      </c>
      <c r="M348" s="1055">
        <f t="shared" si="415"/>
        <v>0</v>
      </c>
      <c r="N348" s="828"/>
      <c r="O348" s="2127"/>
      <c r="P348" s="1054">
        <v>18</v>
      </c>
      <c r="Q348" s="1055">
        <f>O197</f>
        <v>1005</v>
      </c>
      <c r="R348" s="1055">
        <f t="shared" ref="R348:T348" si="416">P197</f>
        <v>-0.7</v>
      </c>
      <c r="S348" s="1055" t="str">
        <f t="shared" si="416"/>
        <v>-</v>
      </c>
      <c r="T348" s="1056">
        <f t="shared" si="416"/>
        <v>0</v>
      </c>
    </row>
    <row r="349" spans="1:20" ht="13" hidden="1">
      <c r="A349" s="2124"/>
      <c r="B349" s="1054">
        <v>19</v>
      </c>
      <c r="C349" s="1055">
        <f>C208</f>
        <v>37</v>
      </c>
      <c r="D349" s="1055">
        <f t="shared" ref="D349:F349" si="417">D208</f>
        <v>0</v>
      </c>
      <c r="E349" s="1055" t="str">
        <f t="shared" si="417"/>
        <v>-</v>
      </c>
      <c r="F349" s="1055">
        <f t="shared" si="417"/>
        <v>0</v>
      </c>
      <c r="G349" s="828"/>
      <c r="H349" s="2127"/>
      <c r="I349" s="1054">
        <v>19</v>
      </c>
      <c r="J349" s="1055">
        <f>I208</f>
        <v>80</v>
      </c>
      <c r="K349" s="1055">
        <f t="shared" ref="K349:M349" si="418">J208</f>
        <v>-0.9</v>
      </c>
      <c r="L349" s="1055" t="str">
        <f t="shared" si="418"/>
        <v>-</v>
      </c>
      <c r="M349" s="1055">
        <f t="shared" si="418"/>
        <v>0</v>
      </c>
      <c r="N349" s="828"/>
      <c r="O349" s="2127"/>
      <c r="P349" s="1054">
        <v>19</v>
      </c>
      <c r="Q349" s="1055">
        <f>O208</f>
        <v>1005</v>
      </c>
      <c r="R349" s="1055">
        <f t="shared" ref="R349:T349" si="419">P208</f>
        <v>2.2000000000000002</v>
      </c>
      <c r="S349" s="1055" t="str">
        <f t="shared" si="419"/>
        <v>-</v>
      </c>
      <c r="T349" s="1056">
        <f t="shared" si="419"/>
        <v>0</v>
      </c>
    </row>
    <row r="350" spans="1:20" ht="13.5" hidden="1" thickBot="1">
      <c r="A350" s="2125"/>
      <c r="B350" s="1065">
        <v>20</v>
      </c>
      <c r="C350" s="1081">
        <f>C219</f>
        <v>39.5</v>
      </c>
      <c r="D350" s="1081">
        <f t="shared" ref="D350:F350" si="420">D219</f>
        <v>0</v>
      </c>
      <c r="E350" s="1081" t="str">
        <f t="shared" si="420"/>
        <v>-</v>
      </c>
      <c r="F350" s="1081">
        <f t="shared" si="420"/>
        <v>0</v>
      </c>
      <c r="G350" s="1067"/>
      <c r="H350" s="2128"/>
      <c r="I350" s="1065">
        <v>20</v>
      </c>
      <c r="J350" s="1081">
        <f>I219</f>
        <v>88.7</v>
      </c>
      <c r="K350" s="1081">
        <f t="shared" ref="K350:M350" si="421">J219</f>
        <v>0</v>
      </c>
      <c r="L350" s="1081" t="str">
        <f t="shared" si="421"/>
        <v>-</v>
      </c>
      <c r="M350" s="1081">
        <f t="shared" si="421"/>
        <v>0</v>
      </c>
      <c r="N350" s="1067"/>
      <c r="O350" s="2128"/>
      <c r="P350" s="1065">
        <v>20</v>
      </c>
      <c r="Q350" s="1081">
        <f>O219</f>
        <v>1005</v>
      </c>
      <c r="R350" s="1081" t="str">
        <f t="shared" ref="R350:T350" si="422">P219</f>
        <v>-</v>
      </c>
      <c r="S350" s="1081" t="str">
        <f t="shared" si="422"/>
        <v>-</v>
      </c>
      <c r="T350" s="1082">
        <f t="shared" si="422"/>
        <v>0</v>
      </c>
    </row>
    <row r="351" spans="1:20" ht="13" hidden="1">
      <c r="A351" s="1070"/>
      <c r="B351" s="1071"/>
      <c r="C351" s="1083"/>
      <c r="D351" s="1083"/>
      <c r="E351" s="1083"/>
      <c r="F351" s="1084"/>
      <c r="G351" s="789"/>
      <c r="H351" s="886"/>
      <c r="I351" s="1071"/>
      <c r="J351" s="1083"/>
      <c r="K351" s="1083"/>
      <c r="L351" s="1083"/>
      <c r="M351" s="1084"/>
      <c r="N351" s="828"/>
      <c r="O351" s="886"/>
      <c r="P351" s="1071"/>
      <c r="Q351" s="1083"/>
      <c r="R351" s="1083"/>
      <c r="S351" s="1083"/>
      <c r="T351" s="1084"/>
    </row>
    <row r="352" spans="1:20" ht="13" hidden="1">
      <c r="A352" s="2129">
        <v>7</v>
      </c>
      <c r="B352" s="1076">
        <v>1</v>
      </c>
      <c r="C352" s="1085">
        <f>C11</f>
        <v>40</v>
      </c>
      <c r="D352" s="1085">
        <f t="shared" ref="D352:F352" si="423">D11</f>
        <v>-0.3</v>
      </c>
      <c r="E352" s="1085">
        <f t="shared" si="423"/>
        <v>-0.8</v>
      </c>
      <c r="F352" s="1085">
        <f t="shared" si="423"/>
        <v>0.25</v>
      </c>
      <c r="G352" s="1078"/>
      <c r="H352" s="2132">
        <v>7</v>
      </c>
      <c r="I352" s="1076">
        <v>1</v>
      </c>
      <c r="J352" s="1085">
        <f>I11</f>
        <v>90</v>
      </c>
      <c r="K352" s="1085">
        <f t="shared" ref="K352:M352" si="424">J11</f>
        <v>-1.6</v>
      </c>
      <c r="L352" s="1085">
        <f t="shared" si="424"/>
        <v>4.5</v>
      </c>
      <c r="M352" s="1085">
        <f t="shared" si="424"/>
        <v>3.05</v>
      </c>
      <c r="N352" s="1078"/>
      <c r="O352" s="2132">
        <v>7</v>
      </c>
      <c r="P352" s="1076">
        <v>1</v>
      </c>
      <c r="Q352" s="1085">
        <f>O11</f>
        <v>1020</v>
      </c>
      <c r="R352" s="1085" t="str">
        <f t="shared" ref="R352:T352" si="425">P11</f>
        <v>-</v>
      </c>
      <c r="S352" s="1085" t="str">
        <f t="shared" si="425"/>
        <v>-</v>
      </c>
      <c r="T352" s="1086">
        <f t="shared" si="425"/>
        <v>0</v>
      </c>
    </row>
    <row r="353" spans="1:20" ht="13" hidden="1">
      <c r="A353" s="2130"/>
      <c r="B353" s="1054">
        <v>2</v>
      </c>
      <c r="C353" s="1055">
        <f>C22</f>
        <v>40</v>
      </c>
      <c r="D353" s="1055">
        <f t="shared" ref="D353:F353" si="426">D22</f>
        <v>-0.1</v>
      </c>
      <c r="E353" s="1055">
        <f t="shared" si="426"/>
        <v>-0.3</v>
      </c>
      <c r="F353" s="1055">
        <f t="shared" si="426"/>
        <v>9.9999999999999992E-2</v>
      </c>
      <c r="G353" s="828"/>
      <c r="H353" s="2133"/>
      <c r="I353" s="1054">
        <v>2</v>
      </c>
      <c r="J353" s="1055">
        <f>I22</f>
        <v>90</v>
      </c>
      <c r="K353" s="1055">
        <f t="shared" ref="K353:M353" si="427">J22</f>
        <v>1.7</v>
      </c>
      <c r="L353" s="1055">
        <f t="shared" si="427"/>
        <v>-0.3</v>
      </c>
      <c r="M353" s="1055">
        <f t="shared" si="427"/>
        <v>1</v>
      </c>
      <c r="N353" s="828"/>
      <c r="O353" s="2133"/>
      <c r="P353" s="1054">
        <v>2</v>
      </c>
      <c r="Q353" s="1055">
        <f>O22</f>
        <v>1020</v>
      </c>
      <c r="R353" s="1055" t="str">
        <f t="shared" ref="R353:T353" si="428">P22</f>
        <v>-</v>
      </c>
      <c r="S353" s="1055" t="str">
        <f t="shared" si="428"/>
        <v>-</v>
      </c>
      <c r="T353" s="1056">
        <f t="shared" si="428"/>
        <v>0</v>
      </c>
    </row>
    <row r="354" spans="1:20" ht="13" hidden="1">
      <c r="A354" s="2130"/>
      <c r="B354" s="1054">
        <v>3</v>
      </c>
      <c r="C354" s="1055">
        <f>C33</f>
        <v>40</v>
      </c>
      <c r="D354" s="1055">
        <f t="shared" ref="D354:F354" si="429">D33</f>
        <v>0.2</v>
      </c>
      <c r="E354" s="1055">
        <f t="shared" si="429"/>
        <v>-0.7</v>
      </c>
      <c r="F354" s="1055">
        <f t="shared" si="429"/>
        <v>0.44999999999999996</v>
      </c>
      <c r="G354" s="828"/>
      <c r="H354" s="2133"/>
      <c r="I354" s="1054">
        <v>3</v>
      </c>
      <c r="J354" s="1055">
        <f>I33</f>
        <v>90</v>
      </c>
      <c r="K354" s="1055">
        <f t="shared" ref="K354:M354" si="430">J33</f>
        <v>0.3</v>
      </c>
      <c r="L354" s="1055">
        <f t="shared" si="430"/>
        <v>-2</v>
      </c>
      <c r="M354" s="1055">
        <f t="shared" si="430"/>
        <v>1.1499999999999999</v>
      </c>
      <c r="N354" s="828"/>
      <c r="O354" s="2133"/>
      <c r="P354" s="1054">
        <v>3</v>
      </c>
      <c r="Q354" s="1055">
        <f>O33</f>
        <v>1020</v>
      </c>
      <c r="R354" s="1055" t="str">
        <f t="shared" ref="R354:T354" si="431">P33</f>
        <v>-</v>
      </c>
      <c r="S354" s="1055" t="str">
        <f t="shared" si="431"/>
        <v>-</v>
      </c>
      <c r="T354" s="1056">
        <f t="shared" si="431"/>
        <v>0</v>
      </c>
    </row>
    <row r="355" spans="1:20" ht="13" hidden="1">
      <c r="A355" s="2130"/>
      <c r="B355" s="1054">
        <v>4</v>
      </c>
      <c r="C355" s="1055">
        <f>C44</f>
        <v>40</v>
      </c>
      <c r="D355" s="1055">
        <f t="shared" ref="D355:F355" si="432">D44</f>
        <v>-0.5</v>
      </c>
      <c r="E355" s="1055">
        <f t="shared" si="432"/>
        <v>-0.6</v>
      </c>
      <c r="F355" s="1055">
        <f t="shared" si="432"/>
        <v>4.9999999999999989E-2</v>
      </c>
      <c r="G355" s="828"/>
      <c r="H355" s="2133"/>
      <c r="I355" s="1054">
        <v>4</v>
      </c>
      <c r="J355" s="1055">
        <f>I44</f>
        <v>90</v>
      </c>
      <c r="K355" s="1055">
        <f t="shared" ref="K355:M355" si="433">J44</f>
        <v>-3.5</v>
      </c>
      <c r="L355" s="1055">
        <f t="shared" si="433"/>
        <v>3.3</v>
      </c>
      <c r="M355" s="1055">
        <f t="shared" si="433"/>
        <v>3.4</v>
      </c>
      <c r="N355" s="828"/>
      <c r="O355" s="2133"/>
      <c r="P355" s="1054">
        <v>4</v>
      </c>
      <c r="Q355" s="1055">
        <f>O44</f>
        <v>1020</v>
      </c>
      <c r="R355" s="1055" t="str">
        <f t="shared" ref="R355:T355" si="434">P44</f>
        <v>-</v>
      </c>
      <c r="S355" s="1055" t="str">
        <f t="shared" si="434"/>
        <v>-</v>
      </c>
      <c r="T355" s="1056">
        <f t="shared" si="434"/>
        <v>0</v>
      </c>
    </row>
    <row r="356" spans="1:20" ht="13" hidden="1">
      <c r="A356" s="2130"/>
      <c r="B356" s="1054">
        <v>5</v>
      </c>
      <c r="C356" s="1055">
        <f>C55</f>
        <v>40</v>
      </c>
      <c r="D356" s="1055">
        <f t="shared" ref="D356:F356" si="435">D55</f>
        <v>0.7</v>
      </c>
      <c r="E356" s="1055">
        <f t="shared" si="435"/>
        <v>-0.1</v>
      </c>
      <c r="F356" s="1055">
        <f t="shared" si="435"/>
        <v>0.39999999999999997</v>
      </c>
      <c r="G356" s="828"/>
      <c r="H356" s="2133"/>
      <c r="I356" s="1054">
        <v>5</v>
      </c>
      <c r="J356" s="1055">
        <f>I55</f>
        <v>90</v>
      </c>
      <c r="K356" s="1055">
        <f t="shared" ref="K356:M356" si="436">J55</f>
        <v>-1.8</v>
      </c>
      <c r="L356" s="1055">
        <f t="shared" si="436"/>
        <v>2.7</v>
      </c>
      <c r="M356" s="1055">
        <f t="shared" si="436"/>
        <v>2.25</v>
      </c>
      <c r="N356" s="828"/>
      <c r="O356" s="2133"/>
      <c r="P356" s="1054">
        <v>5</v>
      </c>
      <c r="Q356" s="1055">
        <f>O55</f>
        <v>1020</v>
      </c>
      <c r="R356" s="1055" t="str">
        <f t="shared" ref="R356:T356" si="437">P55</f>
        <v>-</v>
      </c>
      <c r="S356" s="1055" t="str">
        <f t="shared" si="437"/>
        <v>-</v>
      </c>
      <c r="T356" s="1056">
        <f t="shared" si="437"/>
        <v>0</v>
      </c>
    </row>
    <row r="357" spans="1:20" ht="13" hidden="1">
      <c r="A357" s="2130"/>
      <c r="B357" s="1054">
        <v>6</v>
      </c>
      <c r="C357" s="1055">
        <f>C66</f>
        <v>40</v>
      </c>
      <c r="D357" s="1055">
        <f t="shared" ref="D357:F357" si="438">D66</f>
        <v>0.1</v>
      </c>
      <c r="E357" s="1055">
        <f t="shared" si="438"/>
        <v>-1.4</v>
      </c>
      <c r="F357" s="1055">
        <f t="shared" si="438"/>
        <v>0.75</v>
      </c>
      <c r="G357" s="828"/>
      <c r="H357" s="2133"/>
      <c r="I357" s="1054">
        <v>6</v>
      </c>
      <c r="J357" s="1055">
        <f>I66</f>
        <v>90</v>
      </c>
      <c r="K357" s="1055">
        <f t="shared" ref="K357:M357" si="439">J66</f>
        <v>-5.2</v>
      </c>
      <c r="L357" s="1055">
        <f t="shared" si="439"/>
        <v>0.7</v>
      </c>
      <c r="M357" s="1055">
        <f t="shared" si="439"/>
        <v>2.95</v>
      </c>
      <c r="N357" s="828"/>
      <c r="O357" s="2133"/>
      <c r="P357" s="1054">
        <v>6</v>
      </c>
      <c r="Q357" s="1055">
        <f>O66</f>
        <v>1020</v>
      </c>
      <c r="R357" s="1055">
        <f t="shared" ref="R357:T357" si="440">P66</f>
        <v>0.9</v>
      </c>
      <c r="S357" s="1055">
        <f t="shared" si="440"/>
        <v>0</v>
      </c>
      <c r="T357" s="1056">
        <f t="shared" si="440"/>
        <v>0.45</v>
      </c>
    </row>
    <row r="358" spans="1:20" ht="13" hidden="1">
      <c r="A358" s="2130"/>
      <c r="B358" s="1054">
        <v>7</v>
      </c>
      <c r="C358" s="1055">
        <f>C77</f>
        <v>40</v>
      </c>
      <c r="D358" s="1055">
        <f t="shared" ref="D358:F358" si="441">D77</f>
        <v>0.1</v>
      </c>
      <c r="E358" s="1055">
        <f t="shared" si="441"/>
        <v>-1.7</v>
      </c>
      <c r="F358" s="1055">
        <f t="shared" si="441"/>
        <v>0.9</v>
      </c>
      <c r="G358" s="828"/>
      <c r="H358" s="2133"/>
      <c r="I358" s="1054">
        <v>7</v>
      </c>
      <c r="J358" s="1055">
        <f>I77</f>
        <v>90</v>
      </c>
      <c r="K358" s="1055">
        <f t="shared" ref="K358:M358" si="442">J77</f>
        <v>-3</v>
      </c>
      <c r="L358" s="1055">
        <f t="shared" si="442"/>
        <v>1.8</v>
      </c>
      <c r="M358" s="1055">
        <f t="shared" si="442"/>
        <v>2.4</v>
      </c>
      <c r="N358" s="828"/>
      <c r="O358" s="2133"/>
      <c r="P358" s="1054">
        <v>7</v>
      </c>
      <c r="Q358" s="1055">
        <f>O77</f>
        <v>1020</v>
      </c>
      <c r="R358" s="1055">
        <f t="shared" ref="R358:T358" si="443">P77</f>
        <v>-3.8</v>
      </c>
      <c r="S358" s="1055">
        <f t="shared" si="443"/>
        <v>0</v>
      </c>
      <c r="T358" s="1056">
        <f t="shared" si="443"/>
        <v>1.9</v>
      </c>
    </row>
    <row r="359" spans="1:20" ht="13" hidden="1">
      <c r="A359" s="2130"/>
      <c r="B359" s="1054">
        <v>8</v>
      </c>
      <c r="C359" s="1055">
        <f>C88</f>
        <v>40</v>
      </c>
      <c r="D359" s="1055">
        <f t="shared" ref="D359:F359" si="444">D88</f>
        <v>0</v>
      </c>
      <c r="E359" s="1055">
        <f t="shared" si="444"/>
        <v>-0.4</v>
      </c>
      <c r="F359" s="1055">
        <f t="shared" si="444"/>
        <v>0.2</v>
      </c>
      <c r="G359" s="828"/>
      <c r="H359" s="2133"/>
      <c r="I359" s="1054">
        <v>8</v>
      </c>
      <c r="J359" s="1055">
        <f>I88</f>
        <v>90</v>
      </c>
      <c r="K359" s="1055">
        <f t="shared" ref="K359:M359" si="445">J88</f>
        <v>-4.9000000000000004</v>
      </c>
      <c r="L359" s="1055">
        <f t="shared" si="445"/>
        <v>-1.3</v>
      </c>
      <c r="M359" s="1055">
        <f t="shared" si="445"/>
        <v>1.8000000000000003</v>
      </c>
      <c r="N359" s="828"/>
      <c r="O359" s="2133"/>
      <c r="P359" s="1054">
        <v>8</v>
      </c>
      <c r="Q359" s="1055">
        <f>O88</f>
        <v>1020</v>
      </c>
      <c r="R359" s="1055">
        <f t="shared" ref="R359:T359" si="446">P88</f>
        <v>-3.4</v>
      </c>
      <c r="S359" s="1055">
        <f t="shared" si="446"/>
        <v>0</v>
      </c>
      <c r="T359" s="1056">
        <f t="shared" si="446"/>
        <v>1.7</v>
      </c>
    </row>
    <row r="360" spans="1:20" ht="13" hidden="1">
      <c r="A360" s="2130"/>
      <c r="B360" s="1054">
        <v>9</v>
      </c>
      <c r="C360" s="1055">
        <f>C99</f>
        <v>40</v>
      </c>
      <c r="D360" s="1055">
        <f t="shared" ref="D360:F360" si="447">D99</f>
        <v>-0.4</v>
      </c>
      <c r="E360" s="1055" t="str">
        <f t="shared" si="447"/>
        <v>-</v>
      </c>
      <c r="F360" s="1055">
        <f t="shared" si="447"/>
        <v>0</v>
      </c>
      <c r="G360" s="828"/>
      <c r="H360" s="2133"/>
      <c r="I360" s="1054">
        <v>9</v>
      </c>
      <c r="J360" s="1055">
        <f>I99</f>
        <v>90</v>
      </c>
      <c r="K360" s="1055">
        <f t="shared" ref="K360:M360" si="448">J99</f>
        <v>-0.2</v>
      </c>
      <c r="L360" s="1055" t="str">
        <f t="shared" si="448"/>
        <v>-</v>
      </c>
      <c r="M360" s="1055">
        <f t="shared" si="448"/>
        <v>0</v>
      </c>
      <c r="N360" s="828"/>
      <c r="O360" s="2133"/>
      <c r="P360" s="1054">
        <v>9</v>
      </c>
      <c r="Q360" s="1055">
        <f>O99</f>
        <v>1020</v>
      </c>
      <c r="R360" s="1055">
        <f t="shared" ref="R360:T360" si="449">P99</f>
        <v>0</v>
      </c>
      <c r="S360" s="1055" t="str">
        <f t="shared" si="449"/>
        <v>-</v>
      </c>
      <c r="T360" s="1056">
        <f t="shared" si="449"/>
        <v>0</v>
      </c>
    </row>
    <row r="361" spans="1:20" ht="13" hidden="1">
      <c r="A361" s="2130"/>
      <c r="B361" s="1054">
        <v>10</v>
      </c>
      <c r="C361" s="1055">
        <f>C110</f>
        <v>40</v>
      </c>
      <c r="D361" s="1055">
        <f t="shared" ref="D361:F361" si="450">D110</f>
        <v>0.2</v>
      </c>
      <c r="E361" s="1055">
        <f t="shared" si="450"/>
        <v>0</v>
      </c>
      <c r="F361" s="1055">
        <f t="shared" si="450"/>
        <v>0.1</v>
      </c>
      <c r="G361" s="828"/>
      <c r="H361" s="2133"/>
      <c r="I361" s="1054">
        <v>10</v>
      </c>
      <c r="J361" s="1055">
        <f>I110</f>
        <v>90</v>
      </c>
      <c r="K361" s="1055">
        <f t="shared" ref="K361:M361" si="451">J110</f>
        <v>5.4</v>
      </c>
      <c r="L361" s="1055">
        <f t="shared" si="451"/>
        <v>0</v>
      </c>
      <c r="M361" s="1055">
        <f t="shared" si="451"/>
        <v>2.7</v>
      </c>
      <c r="N361" s="828"/>
      <c r="O361" s="2133"/>
      <c r="P361" s="1054">
        <v>10</v>
      </c>
      <c r="Q361" s="1055">
        <f>O110</f>
        <v>1020</v>
      </c>
      <c r="R361" s="1055" t="str">
        <f t="shared" ref="R361:T361" si="452">P110</f>
        <v>-</v>
      </c>
      <c r="S361" s="1055" t="str">
        <f t="shared" si="452"/>
        <v>-</v>
      </c>
      <c r="T361" s="1056">
        <f t="shared" si="452"/>
        <v>0</v>
      </c>
    </row>
    <row r="362" spans="1:20" ht="13" hidden="1">
      <c r="A362" s="2130"/>
      <c r="B362" s="1054">
        <v>11</v>
      </c>
      <c r="C362" s="1055">
        <f>C121</f>
        <v>40</v>
      </c>
      <c r="D362" s="1055">
        <f t="shared" ref="D362:F362" si="453">D121</f>
        <v>0.5</v>
      </c>
      <c r="E362" s="1055">
        <f t="shared" si="453"/>
        <v>0</v>
      </c>
      <c r="F362" s="1055">
        <f t="shared" si="453"/>
        <v>0.25</v>
      </c>
      <c r="G362" s="828"/>
      <c r="H362" s="2133"/>
      <c r="I362" s="1054">
        <v>11</v>
      </c>
      <c r="J362" s="1055">
        <f>I121</f>
        <v>90</v>
      </c>
      <c r="K362" s="1055">
        <f t="shared" ref="K362:M362" si="454">J121</f>
        <v>1.3</v>
      </c>
      <c r="L362" s="1055">
        <f t="shared" si="454"/>
        <v>0</v>
      </c>
      <c r="M362" s="1055">
        <f t="shared" si="454"/>
        <v>0.65</v>
      </c>
      <c r="N362" s="828"/>
      <c r="O362" s="2133"/>
      <c r="P362" s="1054">
        <v>11</v>
      </c>
      <c r="Q362" s="1055">
        <f>O121</f>
        <v>1020</v>
      </c>
      <c r="R362" s="1055" t="str">
        <f t="shared" ref="R362:T362" si="455">P121</f>
        <v>-</v>
      </c>
      <c r="S362" s="1055" t="str">
        <f t="shared" si="455"/>
        <v>-</v>
      </c>
      <c r="T362" s="1056">
        <f t="shared" si="455"/>
        <v>0</v>
      </c>
    </row>
    <row r="363" spans="1:20" ht="13" hidden="1">
      <c r="A363" s="2130"/>
      <c r="B363" s="1054">
        <v>12</v>
      </c>
      <c r="C363" s="1055">
        <f>C132</f>
        <v>40</v>
      </c>
      <c r="D363" s="1055">
        <f t="shared" ref="D363:F363" si="456">D132</f>
        <v>-0.4</v>
      </c>
      <c r="E363" s="1055" t="str">
        <f t="shared" si="456"/>
        <v>-</v>
      </c>
      <c r="F363" s="1055">
        <f t="shared" si="456"/>
        <v>0</v>
      </c>
      <c r="G363" s="828"/>
      <c r="H363" s="2133"/>
      <c r="I363" s="1054">
        <v>12</v>
      </c>
      <c r="J363" s="1055">
        <f>I132</f>
        <v>90</v>
      </c>
      <c r="K363" s="1055">
        <f t="shared" ref="K363:M363" si="457">J132</f>
        <v>-0.9</v>
      </c>
      <c r="L363" s="1055" t="str">
        <f t="shared" si="457"/>
        <v>-</v>
      </c>
      <c r="M363" s="1055">
        <f t="shared" si="457"/>
        <v>0</v>
      </c>
      <c r="N363" s="828"/>
      <c r="O363" s="2133"/>
      <c r="P363" s="1054">
        <v>12</v>
      </c>
      <c r="Q363" s="1055">
        <f>O132</f>
        <v>1020</v>
      </c>
      <c r="R363" s="1055">
        <f t="shared" ref="R363:T363" si="458">P132</f>
        <v>0</v>
      </c>
      <c r="S363" s="1055" t="str">
        <f t="shared" si="458"/>
        <v>-</v>
      </c>
      <c r="T363" s="1056">
        <f t="shared" si="458"/>
        <v>0</v>
      </c>
    </row>
    <row r="364" spans="1:20" ht="13" hidden="1">
      <c r="A364" s="2130"/>
      <c r="B364" s="1054">
        <v>13</v>
      </c>
      <c r="C364" s="1055">
        <f>C143</f>
        <v>40</v>
      </c>
      <c r="D364" s="1055">
        <f t="shared" ref="D364:F364" si="459">D143</f>
        <v>0.5</v>
      </c>
      <c r="E364" s="1055" t="str">
        <f t="shared" si="459"/>
        <v>-</v>
      </c>
      <c r="F364" s="1055">
        <f t="shared" si="459"/>
        <v>0</v>
      </c>
      <c r="G364" s="828"/>
      <c r="H364" s="2133"/>
      <c r="I364" s="1054">
        <v>13</v>
      </c>
      <c r="J364" s="1055">
        <f>I143</f>
        <v>90</v>
      </c>
      <c r="K364" s="1055">
        <f t="shared" ref="K364:M364" si="460">J143</f>
        <v>-3.2</v>
      </c>
      <c r="L364" s="1055" t="str">
        <f t="shared" si="460"/>
        <v>-</v>
      </c>
      <c r="M364" s="1055">
        <f t="shared" si="460"/>
        <v>0</v>
      </c>
      <c r="N364" s="828"/>
      <c r="O364" s="2133"/>
      <c r="P364" s="1054">
        <v>13</v>
      </c>
      <c r="Q364" s="1055">
        <f>O143</f>
        <v>1020</v>
      </c>
      <c r="R364" s="1055">
        <f t="shared" ref="R364:T364" si="461">P143</f>
        <v>0</v>
      </c>
      <c r="S364" s="1055" t="str">
        <f t="shared" si="461"/>
        <v>-</v>
      </c>
      <c r="T364" s="1056">
        <f t="shared" si="461"/>
        <v>0</v>
      </c>
    </row>
    <row r="365" spans="1:20" ht="13" hidden="1">
      <c r="A365" s="2130"/>
      <c r="B365" s="1054">
        <v>14</v>
      </c>
      <c r="C365" s="1055">
        <f>C154</f>
        <v>40</v>
      </c>
      <c r="D365" s="1055">
        <f t="shared" ref="D365:F365" si="462">D154</f>
        <v>-1.1000000000000001</v>
      </c>
      <c r="E365" s="1055" t="str">
        <f t="shared" si="462"/>
        <v>-</v>
      </c>
      <c r="F365" s="1055">
        <f t="shared" si="462"/>
        <v>0</v>
      </c>
      <c r="G365" s="828"/>
      <c r="H365" s="2133"/>
      <c r="I365" s="1054">
        <v>14</v>
      </c>
      <c r="J365" s="1055">
        <f>I154</f>
        <v>90</v>
      </c>
      <c r="K365" s="1055">
        <f t="shared" ref="K365:M365" si="463">J154</f>
        <v>-0.8</v>
      </c>
      <c r="L365" s="1055" t="str">
        <f t="shared" si="463"/>
        <v>-</v>
      </c>
      <c r="M365" s="1055">
        <f t="shared" si="463"/>
        <v>0</v>
      </c>
      <c r="N365" s="828"/>
      <c r="O365" s="2133"/>
      <c r="P365" s="1054">
        <v>14</v>
      </c>
      <c r="Q365" s="1055">
        <f>O154</f>
        <v>1020</v>
      </c>
      <c r="R365" s="1055">
        <f t="shared" ref="R365:T365" si="464">P154</f>
        <v>0</v>
      </c>
      <c r="S365" s="1055" t="str">
        <f t="shared" si="464"/>
        <v>-</v>
      </c>
      <c r="T365" s="1056">
        <f t="shared" si="464"/>
        <v>0</v>
      </c>
    </row>
    <row r="366" spans="1:20" ht="13" hidden="1">
      <c r="A366" s="2130"/>
      <c r="B366" s="1054">
        <v>15</v>
      </c>
      <c r="C366" s="1055">
        <f>C165</f>
        <v>40</v>
      </c>
      <c r="D366" s="1055">
        <f t="shared" ref="D366:F366" si="465">D165</f>
        <v>0</v>
      </c>
      <c r="E366" s="1055" t="str">
        <f t="shared" si="465"/>
        <v>-</v>
      </c>
      <c r="F366" s="1055">
        <f t="shared" si="465"/>
        <v>0</v>
      </c>
      <c r="G366" s="828"/>
      <c r="H366" s="2133"/>
      <c r="I366" s="1054">
        <v>15</v>
      </c>
      <c r="J366" s="1055">
        <f>I165</f>
        <v>90</v>
      </c>
      <c r="K366" s="1055">
        <f t="shared" ref="K366:M366" si="466">J165</f>
        <v>-2</v>
      </c>
      <c r="L366" s="1055" t="str">
        <f t="shared" si="466"/>
        <v>-</v>
      </c>
      <c r="M366" s="1055">
        <f t="shared" si="466"/>
        <v>0</v>
      </c>
      <c r="N366" s="828"/>
      <c r="O366" s="2133"/>
      <c r="P366" s="1054">
        <v>15</v>
      </c>
      <c r="Q366" s="1055">
        <f>O165</f>
        <v>1020</v>
      </c>
      <c r="R366" s="1055">
        <f t="shared" ref="R366:T366" si="467">P165</f>
        <v>0</v>
      </c>
      <c r="S366" s="1055" t="str">
        <f t="shared" si="467"/>
        <v>-</v>
      </c>
      <c r="T366" s="1056">
        <f t="shared" si="467"/>
        <v>0</v>
      </c>
    </row>
    <row r="367" spans="1:20" ht="13" hidden="1">
      <c r="A367" s="2130"/>
      <c r="B367" s="1054">
        <v>16</v>
      </c>
      <c r="C367" s="1055">
        <f>C176</f>
        <v>40</v>
      </c>
      <c r="D367" s="1055">
        <f t="shared" ref="D367:F367" si="468">D176</f>
        <v>0</v>
      </c>
      <c r="E367" s="1055" t="str">
        <f t="shared" si="468"/>
        <v>-</v>
      </c>
      <c r="F367" s="1055">
        <f t="shared" si="468"/>
        <v>0</v>
      </c>
      <c r="G367" s="828"/>
      <c r="H367" s="2133"/>
      <c r="I367" s="1054">
        <v>16</v>
      </c>
      <c r="J367" s="1055">
        <f>I176</f>
        <v>90</v>
      </c>
      <c r="K367" s="1055">
        <f t="shared" ref="K367:M367" si="469">J176</f>
        <v>-3</v>
      </c>
      <c r="L367" s="1055" t="str">
        <f t="shared" si="469"/>
        <v>-</v>
      </c>
      <c r="M367" s="1055">
        <f t="shared" si="469"/>
        <v>0</v>
      </c>
      <c r="N367" s="828"/>
      <c r="O367" s="2133"/>
      <c r="P367" s="1054">
        <v>16</v>
      </c>
      <c r="Q367" s="1055">
        <f>O176</f>
        <v>1020</v>
      </c>
      <c r="R367" s="1055">
        <f t="shared" ref="R367:T367" si="470">P176</f>
        <v>0</v>
      </c>
      <c r="S367" s="1055" t="str">
        <f t="shared" si="470"/>
        <v>-</v>
      </c>
      <c r="T367" s="1056">
        <f t="shared" si="470"/>
        <v>0</v>
      </c>
    </row>
    <row r="368" spans="1:20" ht="13" hidden="1">
      <c r="A368" s="2130"/>
      <c r="B368" s="1054">
        <v>17</v>
      </c>
      <c r="C368" s="1055">
        <f>C187</f>
        <v>40</v>
      </c>
      <c r="D368" s="1055">
        <f t="shared" ref="D368:F368" si="471">D187</f>
        <v>-0.8</v>
      </c>
      <c r="E368" s="1055" t="str">
        <f t="shared" si="471"/>
        <v>-</v>
      </c>
      <c r="F368" s="1055">
        <f t="shared" si="471"/>
        <v>0</v>
      </c>
      <c r="G368" s="828"/>
      <c r="H368" s="2133"/>
      <c r="I368" s="1054">
        <v>17</v>
      </c>
      <c r="J368" s="1055">
        <f>I187</f>
        <v>90</v>
      </c>
      <c r="K368" s="1055">
        <f t="shared" ref="K368:M368" si="472">J187</f>
        <v>-1.4</v>
      </c>
      <c r="L368" s="1055" t="str">
        <f t="shared" si="472"/>
        <v>-</v>
      </c>
      <c r="M368" s="1055">
        <f t="shared" si="472"/>
        <v>0</v>
      </c>
      <c r="N368" s="828"/>
      <c r="O368" s="2133"/>
      <c r="P368" s="1054">
        <v>17</v>
      </c>
      <c r="Q368" s="1055">
        <f>O187</f>
        <v>1020</v>
      </c>
      <c r="R368" s="1055">
        <f t="shared" ref="R368:T368" si="473">P187</f>
        <v>0</v>
      </c>
      <c r="S368" s="1055" t="str">
        <f t="shared" si="473"/>
        <v>-</v>
      </c>
      <c r="T368" s="1056">
        <f t="shared" si="473"/>
        <v>0</v>
      </c>
    </row>
    <row r="369" spans="1:20" ht="13" hidden="1">
      <c r="A369" s="2130"/>
      <c r="B369" s="1054">
        <v>18</v>
      </c>
      <c r="C369" s="1055">
        <f>C198</f>
        <v>40</v>
      </c>
      <c r="D369" s="1055">
        <f t="shared" ref="D369:F369" si="474">D198</f>
        <v>-0.4</v>
      </c>
      <c r="E369" s="1055" t="str">
        <f t="shared" si="474"/>
        <v>-</v>
      </c>
      <c r="F369" s="1055">
        <f t="shared" si="474"/>
        <v>0</v>
      </c>
      <c r="G369" s="828"/>
      <c r="H369" s="2133"/>
      <c r="I369" s="1054">
        <v>18</v>
      </c>
      <c r="J369" s="1055">
        <f>I198</f>
        <v>90</v>
      </c>
      <c r="K369" s="1055">
        <f t="shared" ref="K369:M369" si="475">J198</f>
        <v>-0.8</v>
      </c>
      <c r="L369" s="1055" t="str">
        <f t="shared" si="475"/>
        <v>-</v>
      </c>
      <c r="M369" s="1055">
        <f t="shared" si="475"/>
        <v>0</v>
      </c>
      <c r="N369" s="828"/>
      <c r="O369" s="2133"/>
      <c r="P369" s="1054">
        <v>18</v>
      </c>
      <c r="Q369" s="1055">
        <f>O198</f>
        <v>1020</v>
      </c>
      <c r="R369" s="1055">
        <f t="shared" ref="R369:T369" si="476">P198</f>
        <v>0</v>
      </c>
      <c r="S369" s="1055" t="str">
        <f t="shared" si="476"/>
        <v>-</v>
      </c>
      <c r="T369" s="1056">
        <f t="shared" si="476"/>
        <v>0</v>
      </c>
    </row>
    <row r="370" spans="1:20" ht="13" hidden="1">
      <c r="A370" s="2130"/>
      <c r="B370" s="1054">
        <v>19</v>
      </c>
      <c r="C370" s="1055">
        <f>C209</f>
        <v>40</v>
      </c>
      <c r="D370" s="1055">
        <f t="shared" ref="D370:F370" si="477">D209</f>
        <v>0.2</v>
      </c>
      <c r="E370" s="1055" t="str">
        <f t="shared" si="477"/>
        <v>-</v>
      </c>
      <c r="F370" s="1055">
        <f t="shared" si="477"/>
        <v>0</v>
      </c>
      <c r="G370" s="828"/>
      <c r="H370" s="2133"/>
      <c r="I370" s="1054">
        <v>19</v>
      </c>
      <c r="J370" s="1055">
        <f>I209</f>
        <v>90</v>
      </c>
      <c r="K370" s="1055">
        <f t="shared" ref="K370:M370" si="478">J209</f>
        <v>-0.6</v>
      </c>
      <c r="L370" s="1055" t="str">
        <f t="shared" si="478"/>
        <v>-</v>
      </c>
      <c r="M370" s="1055">
        <f t="shared" si="478"/>
        <v>0</v>
      </c>
      <c r="N370" s="828"/>
      <c r="O370" s="2133"/>
      <c r="P370" s="1054">
        <v>19</v>
      </c>
      <c r="Q370" s="1055">
        <f>O209</f>
        <v>1020</v>
      </c>
      <c r="R370" s="1055">
        <f t="shared" ref="R370:T370" si="479">P209</f>
        <v>2.2999999999999998</v>
      </c>
      <c r="S370" s="1055" t="str">
        <f t="shared" si="479"/>
        <v>-</v>
      </c>
      <c r="T370" s="1056">
        <f t="shared" si="479"/>
        <v>0</v>
      </c>
    </row>
    <row r="371" spans="1:20" ht="13.5" hidden="1" thickBot="1">
      <c r="A371" s="2131"/>
      <c r="B371" s="1065">
        <v>20</v>
      </c>
      <c r="C371" s="1081">
        <f>C220</f>
        <v>40</v>
      </c>
      <c r="D371" s="1081">
        <f t="shared" ref="D371:F371" si="480">D220</f>
        <v>0</v>
      </c>
      <c r="E371" s="1081" t="str">
        <f t="shared" si="480"/>
        <v>-</v>
      </c>
      <c r="F371" s="1081">
        <f t="shared" si="480"/>
        <v>0</v>
      </c>
      <c r="G371" s="1067"/>
      <c r="H371" s="2134"/>
      <c r="I371" s="1065">
        <v>20</v>
      </c>
      <c r="J371" s="1081">
        <f>I220</f>
        <v>90</v>
      </c>
      <c r="K371" s="1081">
        <f t="shared" ref="K371:M371" si="481">J220</f>
        <v>0</v>
      </c>
      <c r="L371" s="1081" t="str">
        <f t="shared" si="481"/>
        <v>-</v>
      </c>
      <c r="M371" s="1081">
        <f t="shared" si="481"/>
        <v>0</v>
      </c>
      <c r="N371" s="1067"/>
      <c r="O371" s="2134"/>
      <c r="P371" s="1065">
        <v>20</v>
      </c>
      <c r="Q371" s="1081">
        <f>O220</f>
        <v>1020</v>
      </c>
      <c r="R371" s="1081" t="str">
        <f t="shared" ref="R371:T371" si="482">P220</f>
        <v>-</v>
      </c>
      <c r="S371" s="1081" t="str">
        <f t="shared" si="482"/>
        <v>-</v>
      </c>
      <c r="T371" s="1082">
        <f t="shared" si="482"/>
        <v>0</v>
      </c>
    </row>
    <row r="372" spans="1:20" ht="13.5" thickBot="1">
      <c r="A372" s="1089"/>
      <c r="B372" s="786"/>
      <c r="C372" s="789"/>
      <c r="D372" s="789"/>
      <c r="E372" s="789"/>
      <c r="F372" s="789"/>
      <c r="G372" s="789"/>
      <c r="H372" s="828"/>
      <c r="I372" s="1069"/>
      <c r="J372" s="786"/>
      <c r="K372" s="789"/>
      <c r="L372" s="789"/>
      <c r="M372" s="789"/>
      <c r="N372" s="789"/>
      <c r="O372" s="789"/>
      <c r="P372" s="828"/>
    </row>
    <row r="373" spans="1:20" ht="29.25" customHeight="1">
      <c r="A373" s="237">
        <f>A413</f>
        <v>19</v>
      </c>
      <c r="B373" s="2055" t="str">
        <f>A392</f>
        <v>Thermohygrolight, Merek : EXTECH, Model : SD700, SN : A.100615</v>
      </c>
      <c r="C373" s="2055"/>
      <c r="D373" s="2056"/>
      <c r="E373" s="238"/>
      <c r="F373" s="237">
        <f>A373</f>
        <v>19</v>
      </c>
      <c r="G373" s="2055" t="str">
        <f>B373</f>
        <v>Thermohygrolight, Merek : EXTECH, Model : SD700, SN : A.100615</v>
      </c>
      <c r="H373" s="2055"/>
      <c r="I373" s="2056"/>
      <c r="J373" s="238"/>
      <c r="K373" s="237">
        <f>F373</f>
        <v>19</v>
      </c>
      <c r="L373" s="2055" t="str">
        <f>G373</f>
        <v>Thermohygrolight, Merek : EXTECH, Model : SD700, SN : A.100615</v>
      </c>
      <c r="M373" s="2055"/>
      <c r="N373" s="2056"/>
      <c r="O373" s="791"/>
      <c r="P373" s="237">
        <f>A373</f>
        <v>19</v>
      </c>
      <c r="Q373" s="2055" t="str">
        <f>G373</f>
        <v>Thermohygrolight, Merek : EXTECH, Model : SD700, SN : A.100615</v>
      </c>
      <c r="R373" s="2055"/>
      <c r="S373" s="2055"/>
      <c r="T373" s="2056"/>
    </row>
    <row r="374" spans="1:20" ht="13.5">
      <c r="A374" s="1090" t="s">
        <v>74</v>
      </c>
      <c r="B374" s="1713" t="s">
        <v>7</v>
      </c>
      <c r="C374" s="1713"/>
      <c r="D374" s="2122" t="s">
        <v>2</v>
      </c>
      <c r="E374" s="789"/>
      <c r="F374" s="1090" t="s">
        <v>75</v>
      </c>
      <c r="G374" s="1713" t="s">
        <v>7</v>
      </c>
      <c r="H374" s="1713"/>
      <c r="I374" s="2122" t="s">
        <v>2</v>
      </c>
      <c r="J374" s="789"/>
      <c r="K374" s="1090" t="s">
        <v>76</v>
      </c>
      <c r="L374" s="1713" t="s">
        <v>7</v>
      </c>
      <c r="M374" s="1713"/>
      <c r="N374" s="2122" t="s">
        <v>2</v>
      </c>
      <c r="P374" s="2117"/>
      <c r="Q374" s="2118" t="s">
        <v>43</v>
      </c>
      <c r="R374" s="2118" t="s">
        <v>45</v>
      </c>
      <c r="S374" s="2118" t="s">
        <v>46</v>
      </c>
      <c r="T374" s="2061" t="s">
        <v>81</v>
      </c>
    </row>
    <row r="375" spans="1:20" ht="14">
      <c r="A375" s="235" t="s">
        <v>102</v>
      </c>
      <c r="B375" s="892">
        <f>VLOOKUP(B373,A393:K412,9,FALSE)</f>
        <v>2021</v>
      </c>
      <c r="C375" s="892" t="str">
        <f>VLOOKUP(B373,A393:K412,10,FALSE)</f>
        <v>-</v>
      </c>
      <c r="D375" s="2122"/>
      <c r="E375" s="789"/>
      <c r="F375" s="234" t="s">
        <v>78</v>
      </c>
      <c r="G375" s="892">
        <f>B375</f>
        <v>2021</v>
      </c>
      <c r="H375" s="892" t="str">
        <f>C375</f>
        <v>-</v>
      </c>
      <c r="I375" s="2122"/>
      <c r="J375" s="789"/>
      <c r="K375" s="234" t="s">
        <v>79</v>
      </c>
      <c r="L375" s="892">
        <f>G375</f>
        <v>2021</v>
      </c>
      <c r="M375" s="892" t="str">
        <f>H375</f>
        <v>-</v>
      </c>
      <c r="N375" s="2122"/>
      <c r="P375" s="2117"/>
      <c r="Q375" s="2118"/>
      <c r="R375" s="2118"/>
      <c r="S375" s="2118"/>
      <c r="T375" s="2061"/>
    </row>
    <row r="376" spans="1:20" ht="13">
      <c r="A376" s="1091">
        <f>VLOOKUP($A$373,$B$226:$F$245,2,FALSE)</f>
        <v>15</v>
      </c>
      <c r="B376" s="1092">
        <f>VLOOKUP($A$373,$B$226:$F$245,3,FALSE)</f>
        <v>0</v>
      </c>
      <c r="C376" s="1092" t="str">
        <f>VLOOKUP($A$373,$B$226:$F$245,4,FALSE)</f>
        <v>-</v>
      </c>
      <c r="D376" s="1093">
        <f>VLOOKUP($A$373,$B$226:$F$245,5,FALSE)</f>
        <v>0</v>
      </c>
      <c r="E376" s="789"/>
      <c r="F376" s="1091">
        <f>VLOOKUP($F$373,$I$226:$M$245,2,FALSE)</f>
        <v>30</v>
      </c>
      <c r="G376" s="1092">
        <f>VLOOKUP($F$373,$I$226:$M$245,3,FALSE)</f>
        <v>-1.5</v>
      </c>
      <c r="H376" s="1092" t="str">
        <f>VLOOKUP($F$373,$I$226:$M$245,4,FALSE)</f>
        <v>-</v>
      </c>
      <c r="I376" s="1093">
        <f>VLOOKUP($F$373,$I$226:$M$245,5,FALSE)</f>
        <v>0</v>
      </c>
      <c r="J376" s="789"/>
      <c r="K376" s="1091">
        <f>VLOOKUP($K$373,$P$226:$T$245,2,FALSE)</f>
        <v>750</v>
      </c>
      <c r="L376" s="1092">
        <f>VLOOKUP($K$373,$P$226:$T$245,3,FALSE)</f>
        <v>2.5</v>
      </c>
      <c r="M376" s="1092" t="str">
        <f>VLOOKUP($K$373,$P$226:$T$245,4,FALSE)</f>
        <v>-</v>
      </c>
      <c r="N376" s="1093">
        <f>VLOOKUP($K$373,$P$226:$T$245,5,FALSE)</f>
        <v>0</v>
      </c>
      <c r="P376" s="2117"/>
      <c r="Q376" s="2118"/>
      <c r="R376" s="2118"/>
      <c r="S376" s="2118"/>
      <c r="T376" s="2061"/>
    </row>
    <row r="377" spans="1:20" ht="13">
      <c r="A377" s="1091">
        <f>VLOOKUP($A$373,$B$247:$F$266,2,FALSE)</f>
        <v>20</v>
      </c>
      <c r="B377" s="1092">
        <f>VLOOKUP($A$373,$B$247:$F$266,3,FALSE)</f>
        <v>0.1</v>
      </c>
      <c r="C377" s="1092" t="str">
        <f>VLOOKUP($A$373,$B$247:$F$266,4,FALSE)</f>
        <v>-</v>
      </c>
      <c r="D377" s="1093">
        <f>VLOOKUP($A$373,$B$247:$F$266,5,FALSE)</f>
        <v>0</v>
      </c>
      <c r="E377" s="789"/>
      <c r="F377" s="1091">
        <f>VLOOKUP($F$373,$I$247:$M$266,2,FALSE)</f>
        <v>40</v>
      </c>
      <c r="G377" s="1092">
        <f>VLOOKUP($F$373,$I$247:$M$266,3,FALSE)</f>
        <v>-0.8</v>
      </c>
      <c r="H377" s="1092" t="str">
        <f>VLOOKUP($F$373,$I$247:$M$266,4,FALSE)</f>
        <v>-</v>
      </c>
      <c r="I377" s="1093">
        <f>VLOOKUP($F$373,$I$247:$M$266,5,FALSE)</f>
        <v>0</v>
      </c>
      <c r="J377" s="789"/>
      <c r="K377" s="1091">
        <f>VLOOKUP($K$373,$P$247:$T$266,2,FALSE)</f>
        <v>800</v>
      </c>
      <c r="L377" s="1092">
        <f>VLOOKUP($K$373,$P$247:$T$266,3,FALSE)</f>
        <v>2.5</v>
      </c>
      <c r="M377" s="1092" t="str">
        <f>VLOOKUP($K$373,$P$247:$T$266,4,FALSE)</f>
        <v>-</v>
      </c>
      <c r="N377" s="1093">
        <f>VLOOKUP($K$373,$P$247:$T$266,5,FALSE)</f>
        <v>0</v>
      </c>
      <c r="P377" s="1094" t="s">
        <v>74</v>
      </c>
      <c r="Q377" s="1095">
        <f>AVERAGE(ID!F14:G14)</f>
        <v>23.4</v>
      </c>
      <c r="R377" s="1096">
        <f>Q377+C386</f>
        <v>23.295999999999999</v>
      </c>
      <c r="S377" s="1095">
        <f>STDEV('[4]INPUT DATA'!E17:F17)</f>
        <v>7.0710678118655765E-2</v>
      </c>
      <c r="T377" s="1097">
        <f>VLOOKUP(P373,V225:W244,2,(FALSE))</f>
        <v>0.1</v>
      </c>
    </row>
    <row r="378" spans="1:20" ht="13">
      <c r="A378" s="1091">
        <f>VLOOKUP($A$373,$B$268:$F$287,2,FALSE)</f>
        <v>25</v>
      </c>
      <c r="B378" s="1092">
        <f>VLOOKUP($A$373,$B$268:$F$287,3,FALSE)</f>
        <v>-0.2</v>
      </c>
      <c r="C378" s="1092" t="str">
        <f>VLOOKUP($A$373,$B$268:$F$287,4,FALSE)</f>
        <v>-</v>
      </c>
      <c r="D378" s="1093">
        <f>VLOOKUP($A$373,$B$268:$F$287,5,FALSE)</f>
        <v>0</v>
      </c>
      <c r="E378" s="789"/>
      <c r="F378" s="1091">
        <f>VLOOKUP($F$373,$I$268:$M$287,2,FALSE)</f>
        <v>50</v>
      </c>
      <c r="G378" s="1092">
        <f>VLOOKUP($F$373,$I$268:$M$287,3,FALSE)</f>
        <v>-0.2</v>
      </c>
      <c r="H378" s="1092" t="str">
        <f>VLOOKUP($F$373,$I$268:$M$287,4,FALSE)</f>
        <v>-</v>
      </c>
      <c r="I378" s="1093">
        <f>VLOOKUP($F$373,$I$268:$M$287,5,FALSE)</f>
        <v>0</v>
      </c>
      <c r="J378" s="789"/>
      <c r="K378" s="1091">
        <f>VLOOKUP($K$373,$P$268:$T$287,2,FALSE)</f>
        <v>850</v>
      </c>
      <c r="L378" s="1092">
        <f>VLOOKUP($K$373,$P$268:$T$287,3,FALSE)</f>
        <v>2.4</v>
      </c>
      <c r="M378" s="1092" t="str">
        <f>VLOOKUP($K$373,$P$268:$T$287,4,FALSE)</f>
        <v>-</v>
      </c>
      <c r="N378" s="1093">
        <f>VLOOKUP($K$373,$P$268:$T$287,5,FALSE)</f>
        <v>0</v>
      </c>
      <c r="P378" s="1094" t="s">
        <v>78</v>
      </c>
      <c r="Q378" s="1095">
        <f>AVERAGE(ID!F15:G15)</f>
        <v>66.95</v>
      </c>
      <c r="R378" s="1096">
        <f>Q378+H386</f>
        <v>66.585499999999996</v>
      </c>
      <c r="S378" s="1095">
        <f>STDEV('[4]INPUT DATA'!E18:F18)</f>
        <v>0.35355339059327379</v>
      </c>
      <c r="T378" s="1097">
        <f>VLOOKUP(P373,V249:W268,2,(FALSE))</f>
        <v>1.5</v>
      </c>
    </row>
    <row r="379" spans="1:20" ht="13.5" thickBot="1">
      <c r="A379" s="1091">
        <f>VLOOKUP($A$373,$B$289:$F$308,2,FALSE)</f>
        <v>30</v>
      </c>
      <c r="B379" s="1092">
        <f>VLOOKUP($A$373,$B$289:$F$308,3,FALSE)</f>
        <v>-0.1</v>
      </c>
      <c r="C379" s="1092" t="str">
        <f>VLOOKUP($A$373,$B$289:$F$308,4,FALSE)</f>
        <v>-</v>
      </c>
      <c r="D379" s="1093">
        <f>VLOOKUP($A$373,$B$289:$F$308,5,FALSE)</f>
        <v>0</v>
      </c>
      <c r="E379" s="789"/>
      <c r="F379" s="1091">
        <f>VLOOKUP($F$373,$I$289:$M$308,2,FALSE)</f>
        <v>60</v>
      </c>
      <c r="G379" s="1092">
        <f>VLOOKUP($F$373,$I$289:$M$308,3,FALSE)</f>
        <v>0.4</v>
      </c>
      <c r="H379" s="1092" t="str">
        <f>VLOOKUP($F$373,$I$289:$M$308,4,FALSE)</f>
        <v>-</v>
      </c>
      <c r="I379" s="1093">
        <f>VLOOKUP($F$373,$I$289:$M$308,5,FALSE)</f>
        <v>0</v>
      </c>
      <c r="J379" s="789"/>
      <c r="K379" s="1091">
        <f>VLOOKUP($K$373,$P$289:$T$308,2,FALSE)</f>
        <v>900</v>
      </c>
      <c r="L379" s="1092">
        <f>VLOOKUP($K$373,$P$289:$T$308,3,FALSE)</f>
        <v>2.2999999999999998</v>
      </c>
      <c r="M379" s="1092" t="str">
        <f>VLOOKUP($K$373,$P$289:$T$308,4,FALSE)</f>
        <v>-</v>
      </c>
      <c r="N379" s="1093">
        <f>VLOOKUP($K$373,$P$289:$T$308,5,FALSE)</f>
        <v>0</v>
      </c>
      <c r="O379" s="1098"/>
      <c r="P379" s="1099" t="s">
        <v>79</v>
      </c>
      <c r="Q379" s="1100">
        <f>AVERAGE('[5]INPUT DATA'!E17:F17)</f>
        <v>1011.55</v>
      </c>
      <c r="R379" s="1101">
        <f>Q379+M386</f>
        <v>1013.7936666666666</v>
      </c>
      <c r="S379" s="1100">
        <f>STDEV('[5]INPUT DATA'!E17:F17)</f>
        <v>2.0506096654409718</v>
      </c>
      <c r="T379" s="1102">
        <f>VLOOKUP(P373,V273:W292,2,(FALSE))</f>
        <v>0.4</v>
      </c>
    </row>
    <row r="380" spans="1:20" ht="13.5" thickBot="1">
      <c r="A380" s="1091">
        <f>VLOOKUP($A$373,$B$310:$F$329,2,FALSE)</f>
        <v>35</v>
      </c>
      <c r="B380" s="1092">
        <f>VLOOKUP($A$373,$B$310:$F$329,3,FALSE)</f>
        <v>-0.1</v>
      </c>
      <c r="C380" s="1092" t="str">
        <f>VLOOKUP($A$373,$B$310:$F$329,4,FALSE)</f>
        <v>-</v>
      </c>
      <c r="D380" s="1093">
        <f>VLOOKUP($A$373,$B$310:$F$329,5,FALSE)</f>
        <v>0</v>
      </c>
      <c r="E380" s="789"/>
      <c r="F380" s="1091">
        <f>VLOOKUP($F$373,$I$310:$M$329,2,FALSE)</f>
        <v>70</v>
      </c>
      <c r="G380" s="1092">
        <f>VLOOKUP($F$373,$I$310:$M$329,3,FALSE)</f>
        <v>-0.7</v>
      </c>
      <c r="H380" s="1092" t="str">
        <f>VLOOKUP($F$373,$I$310:$M$329,4,FALSE)</f>
        <v>-</v>
      </c>
      <c r="I380" s="1093">
        <f>VLOOKUP($F$373,$I$310:$M$329,5,FALSE)</f>
        <v>0</v>
      </c>
      <c r="J380" s="789"/>
      <c r="K380" s="1091">
        <f>VLOOKUP($K$373,$P$310:$T$329,2,FALSE)</f>
        <v>1000</v>
      </c>
      <c r="L380" s="1092">
        <f>VLOOKUP($K$373,$P$310:$T$329,3,FALSE)</f>
        <v>2.2000000000000002</v>
      </c>
      <c r="M380" s="1092" t="str">
        <f>VLOOKUP($K$373,$P$310:$T$329,4,FALSE)</f>
        <v>-</v>
      </c>
      <c r="N380" s="1093">
        <f>VLOOKUP($K$373,$P$310:$T$329,5,FALSE)</f>
        <v>0</v>
      </c>
      <c r="O380" s="326"/>
      <c r="P380" s="791"/>
      <c r="T380" s="590"/>
    </row>
    <row r="381" spans="1:20" ht="14">
      <c r="A381" s="1091">
        <f>VLOOKUP($A$373,$B$331:$F$350,2,FALSE)</f>
        <v>37</v>
      </c>
      <c r="B381" s="1092">
        <f>VLOOKUP($A$373,$B$331:$F$350,3,FALSE)</f>
        <v>0</v>
      </c>
      <c r="C381" s="1092" t="str">
        <f>VLOOKUP($A$373,$B$331:$F$350,4,FALSE)</f>
        <v>-</v>
      </c>
      <c r="D381" s="1093">
        <f>VLOOKUP($A$373,$B$331:$F$350,5,FALSE)</f>
        <v>0</v>
      </c>
      <c r="E381" s="789"/>
      <c r="F381" s="1091">
        <f>VLOOKUP($F$373,$I$331:$M$350,2,FALSE)</f>
        <v>80</v>
      </c>
      <c r="G381" s="1092">
        <f>VLOOKUP($F$373,$I$331:$M$350,3,FALSE)</f>
        <v>-0.9</v>
      </c>
      <c r="H381" s="1092" t="str">
        <f>VLOOKUP($F$373,$I$331:$M$350,4,FALSE)</f>
        <v>-</v>
      </c>
      <c r="I381" s="1093">
        <f>VLOOKUP($F$373,$I$331:$M$350,5,FALSE)</f>
        <v>0</v>
      </c>
      <c r="J381" s="789"/>
      <c r="K381" s="1091">
        <f>VLOOKUP($K$373,$P$331:$T$350,2,FALSE)</f>
        <v>1005</v>
      </c>
      <c r="L381" s="1092">
        <f>VLOOKUP($K$373,$P$331:$T$350,3,FALSE)</f>
        <v>2.2000000000000002</v>
      </c>
      <c r="M381" s="1092" t="str">
        <f>VLOOKUP($K$373,$P$331:$T$350,4,FALSE)</f>
        <v>-</v>
      </c>
      <c r="N381" s="1093">
        <f>VLOOKUP($K$373,$P$331:$T$350,5,FALSE)</f>
        <v>0</v>
      </c>
      <c r="O381" s="205"/>
      <c r="P381" s="2119" t="s">
        <v>103</v>
      </c>
      <c r="Q381" s="1103" t="str">
        <f>M396&amp;M393&amp;N396&amp;N393&amp;O396&amp;O393</f>
        <v>( 23.3 ± 0.1 ) °C</v>
      </c>
      <c r="R381" s="1104"/>
      <c r="T381" s="590"/>
    </row>
    <row r="382" spans="1:20" ht="14.5" thickBot="1">
      <c r="A382" s="1105">
        <f>VLOOKUP($A$373,$B$352:$F$371,2,FALSE)</f>
        <v>40</v>
      </c>
      <c r="B382" s="1106">
        <f>VLOOKUP($A$373,$B$352:$F$371,3,FALSE)</f>
        <v>0.2</v>
      </c>
      <c r="C382" s="1106" t="str">
        <f>VLOOKUP($A$373,$B$352:$F$371,4,FALSE)</f>
        <v>-</v>
      </c>
      <c r="D382" s="1107">
        <f>VLOOKUP($A$373,$B$352:$F$371,5,FALSE)</f>
        <v>0</v>
      </c>
      <c r="E382" s="789"/>
      <c r="F382" s="1105">
        <f>VLOOKUP($F$373,$I$352:$M$371,2,FALSE)</f>
        <v>90</v>
      </c>
      <c r="G382" s="1106">
        <f>VLOOKUP($F$373,$I$352:$M$371,3,FALSE)</f>
        <v>-0.6</v>
      </c>
      <c r="H382" s="1106" t="str">
        <f>VLOOKUP($F$373,$I$352:$M$371,4,FALSE)</f>
        <v>-</v>
      </c>
      <c r="I382" s="1107">
        <f>VLOOKUP($F$373,$I$352:$M$371,5,FALSE)</f>
        <v>0</v>
      </c>
      <c r="J382" s="789"/>
      <c r="K382" s="1105">
        <f>VLOOKUP($K$373,$P$352:$T$371,2,FALSE)</f>
        <v>1020</v>
      </c>
      <c r="L382" s="1106">
        <f>VLOOKUP($K$373,$P$352:$T$371,3,FALSE)</f>
        <v>2.2999999999999998</v>
      </c>
      <c r="M382" s="1106" t="str">
        <f>VLOOKUP($K$373,$P$352:$T$371,4,FALSE)</f>
        <v>-</v>
      </c>
      <c r="N382" s="1107">
        <f>VLOOKUP($K$373,$P$352:$T$371,5,FALSE)</f>
        <v>0</v>
      </c>
      <c r="O382" s="205"/>
      <c r="P382" s="2120"/>
      <c r="Q382" s="1108" t="str">
        <f>M396&amp;M394&amp;N396&amp;N394&amp;O396&amp;O394</f>
        <v>( 66.6 ± 1.5 ) %RH</v>
      </c>
      <c r="R382" s="1109"/>
      <c r="T382" s="590"/>
    </row>
    <row r="383" spans="1:20" ht="14.5" thickBot="1">
      <c r="A383" s="900"/>
      <c r="B383" s="789"/>
      <c r="C383" s="789"/>
      <c r="D383" s="789"/>
      <c r="E383" s="789"/>
      <c r="F383" s="789"/>
      <c r="G383" s="789"/>
      <c r="H383" s="789"/>
      <c r="I383" s="789"/>
      <c r="J383" s="789"/>
      <c r="K383" s="789"/>
      <c r="L383" s="789"/>
      <c r="M383" s="789"/>
      <c r="N383" s="789"/>
      <c r="O383" s="205"/>
      <c r="P383" s="2121"/>
      <c r="Q383" s="1110" t="str">
        <f>M396&amp;M395&amp;N396&amp;N395&amp;O396&amp;O395</f>
        <v>( 1013.8 ± 0.4 ) hPa</v>
      </c>
      <c r="R383" s="1111"/>
      <c r="T383" s="590"/>
    </row>
    <row r="384" spans="1:20" ht="14.5" thickBot="1">
      <c r="A384" s="2103" t="s">
        <v>104</v>
      </c>
      <c r="B384" s="2104"/>
      <c r="C384" s="2104"/>
      <c r="D384" s="2105"/>
      <c r="E384" s="207"/>
      <c r="F384" s="2103" t="s">
        <v>105</v>
      </c>
      <c r="G384" s="2104"/>
      <c r="H384" s="2104"/>
      <c r="I384" s="2105"/>
      <c r="J384" s="789"/>
      <c r="K384" s="2103" t="s">
        <v>106</v>
      </c>
      <c r="L384" s="2104"/>
      <c r="M384" s="2104"/>
      <c r="N384" s="2105"/>
      <c r="O384" s="205"/>
      <c r="P384" s="1112"/>
      <c r="T384" s="590"/>
    </row>
    <row r="385" spans="1:20" ht="13.5">
      <c r="A385" s="1113"/>
      <c r="B385" s="1114">
        <f>IF(A386&lt;=A377,A376,IF(A386&lt;=A378,A377,IF(A386&lt;=A379,A378,IF(A386&lt;=A380,A379,IF(A386&lt;=A381,A380,IF(A386&lt;=A382,A381))))))</f>
        <v>20</v>
      </c>
      <c r="C385" s="1114"/>
      <c r="D385" s="1115">
        <f>IF(A386&lt;=A377,B376,IF(A386&lt;=A378,B377,IF(A386&lt;=A379,B378,IF(A386&lt;=A380,B379,IF(A386&lt;=A381,B380,IF(A386&lt;=A382,B381))))))</f>
        <v>0.1</v>
      </c>
      <c r="E385" s="1116"/>
      <c r="F385" s="1117"/>
      <c r="G385" s="1114">
        <f>IF(F386&lt;=F377,F376,IF(F386&lt;=F378,F377,IF(F386&lt;=F379,F378,IF(F386&lt;=F380,F379,IF(F386&lt;=F381,F380,IF(F386&lt;=F382,F381))))))</f>
        <v>60</v>
      </c>
      <c r="H385" s="1114"/>
      <c r="I385" s="1115">
        <f>IF(F386&lt;=F377,G376,IF(F386&lt;=F378,G377,IF(F386&lt;=F379,G378,IF(F386&lt;=F380,G379,IF(F386&lt;=F381,G380,IF(F386&lt;=F382,G381))))))</f>
        <v>0.4</v>
      </c>
      <c r="J385" s="789"/>
      <c r="K385" s="1117"/>
      <c r="L385" s="1114">
        <f>IF(K386&lt;=K377,K376,IF(K386&lt;=K378,K377,IF(K386&lt;=K379,K378,IF(K386&lt;=K380,K379,IF(K386&lt;=K381,K380,IF(K386&lt;=K382,K381))))))</f>
        <v>1005</v>
      </c>
      <c r="M385" s="1114"/>
      <c r="N385" s="1115">
        <f>IF(K386&lt;=K377,L376,IF(K386&lt;=K378,L377,IF(K386&lt;=K379,L378,IF(K386&lt;=K380,L379,IF(K386&lt;=K381,L380,IF(K386&lt;=K382,L381))))))</f>
        <v>2.2000000000000002</v>
      </c>
      <c r="O385" s="789"/>
      <c r="T385" s="590"/>
    </row>
    <row r="386" spans="1:20" ht="13.5">
      <c r="A386" s="1118">
        <f>Q377</f>
        <v>23.4</v>
      </c>
      <c r="B386" s="1119"/>
      <c r="C386" s="1119">
        <f>((A386-B385)/(B387-B385)*(D387-D385)+D385)</f>
        <v>-0.10399999999999993</v>
      </c>
      <c r="D386" s="1120"/>
      <c r="E386" s="1116"/>
      <c r="F386" s="1118">
        <f>Q378</f>
        <v>66.95</v>
      </c>
      <c r="G386" s="1119"/>
      <c r="H386" s="1119">
        <f>((F386-G385)/(G387-G385)*(I387-I385)+I385)</f>
        <v>-0.36450000000000038</v>
      </c>
      <c r="I386" s="1120"/>
      <c r="J386" s="789"/>
      <c r="K386" s="1118">
        <f>Q379</f>
        <v>1011.55</v>
      </c>
      <c r="L386" s="1119"/>
      <c r="M386" s="1119">
        <f>((K386-L385)/(L387-L385)*(N387-N385)+N385)</f>
        <v>2.2436666666666665</v>
      </c>
      <c r="N386" s="1120"/>
      <c r="O386" s="789"/>
      <c r="T386" s="590"/>
    </row>
    <row r="387" spans="1:20" ht="13.5" thickBot="1">
      <c r="A387" s="903"/>
      <c r="B387" s="1121">
        <f>IF(A386&lt;=A377,A377,IF(A386&lt;=A378,A378,IF(A386&lt;=A379,A379,IF(A386&lt;=A380,A380,IF(A386&lt;=A381,A381,IF(A386&lt;=A382,A382))))))</f>
        <v>25</v>
      </c>
      <c r="C387" s="1122"/>
      <c r="D387" s="1123">
        <f>IF(A386&lt;=A377,B377,IF(A386&lt;=A378,B378,IF(A386&lt;=A379,B379,IF(A386&lt;=A380,B380,IF(A386&lt;=A381,B381,IF(A386&lt;=A382,B382))))))</f>
        <v>-0.2</v>
      </c>
      <c r="E387" s="1124"/>
      <c r="F387" s="903"/>
      <c r="G387" s="1121">
        <f>IF(F386&lt;=F377,F377,IF(F386&lt;=F378,F378,IF(F386&lt;=F379,F379,IF(F386&lt;=F380,F380,IF(F386&lt;=F381,F381,IF(F386&lt;=F382,F382))))))</f>
        <v>70</v>
      </c>
      <c r="H387" s="1122"/>
      <c r="I387" s="1123">
        <f>IF(F386&lt;=F377,G377,IF(F386&lt;=F378,G378,IF(F386&lt;=F379,G379,IF(F386&lt;=F380,G380,IF(F386&lt;=F381,G381,IF(F386&lt;=F382,G382))))))</f>
        <v>-0.7</v>
      </c>
      <c r="J387" s="1125"/>
      <c r="K387" s="903"/>
      <c r="L387" s="1121">
        <f>IF(K386&lt;=K377,K377,IF(K386&lt;=K378,K378,IF(K386&lt;=K379,K379,IF(K386&lt;=K380,K380,IF(K386&lt;=K381,K381,IF(K386&lt;=K382,K382))))))</f>
        <v>1020</v>
      </c>
      <c r="M387" s="1122"/>
      <c r="N387" s="1123">
        <f>IF(K386&lt;=K377,L377,IF(K386&lt;=K378,L378,IF(K386&lt;=K379,L379,IF(K386&lt;=K380,L380,IF(K386&lt;=K381,L381,IF(K386&lt;=K382,L382))))))</f>
        <v>2.2999999999999998</v>
      </c>
      <c r="O387" s="1125"/>
      <c r="P387" s="1126"/>
      <c r="Q387" s="1015"/>
      <c r="R387" s="1015"/>
      <c r="S387" s="1015"/>
      <c r="T387" s="1127"/>
    </row>
    <row r="391" spans="1:20" ht="13" thickBot="1"/>
    <row r="392" spans="1:20" ht="13.5" thickBot="1">
      <c r="A392" s="2106" t="str">
        <f>'[4]INPUT DATA'!B57</f>
        <v>Thermohygrolight, Merek : EXTECH, Model : SD700, SN : A.100615</v>
      </c>
      <c r="B392" s="2107"/>
      <c r="C392" s="2107"/>
      <c r="D392" s="2107"/>
      <c r="E392" s="2107"/>
      <c r="F392" s="2107"/>
      <c r="G392" s="2107"/>
      <c r="H392" s="2107"/>
      <c r="I392" s="2108"/>
      <c r="J392" s="2108"/>
      <c r="K392" s="2109"/>
      <c r="M392" s="2110" t="s">
        <v>107</v>
      </c>
      <c r="N392" s="2111"/>
      <c r="O392" s="2112"/>
    </row>
    <row r="393" spans="1:20" ht="15.5">
      <c r="A393" s="1128" t="s">
        <v>108</v>
      </c>
      <c r="B393" s="1129"/>
      <c r="C393" s="1129"/>
      <c r="D393" s="1130"/>
      <c r="E393" s="1130"/>
      <c r="F393" s="1130"/>
      <c r="G393" s="1131"/>
      <c r="H393" s="1132"/>
      <c r="I393" s="1133">
        <f>D4</f>
        <v>2020</v>
      </c>
      <c r="J393" s="1134">
        <f>E4</f>
        <v>2017</v>
      </c>
      <c r="K393" s="1135">
        <v>1</v>
      </c>
      <c r="M393" s="330" t="str">
        <f>TEXT(R377,"0.0")</f>
        <v>23.3</v>
      </c>
      <c r="N393" s="214" t="str">
        <f>TEXT(T377,"0.0")</f>
        <v>0.1</v>
      </c>
      <c r="O393" s="1136" t="s">
        <v>109</v>
      </c>
    </row>
    <row r="394" spans="1:20" ht="15.5">
      <c r="A394" s="1128" t="s">
        <v>110</v>
      </c>
      <c r="B394" s="1129"/>
      <c r="C394" s="1129"/>
      <c r="D394" s="1130"/>
      <c r="E394" s="1130"/>
      <c r="F394" s="1130"/>
      <c r="G394" s="1131"/>
      <c r="H394" s="1132"/>
      <c r="I394" s="1137">
        <f>D15</f>
        <v>2021</v>
      </c>
      <c r="J394" s="1138">
        <f>E15</f>
        <v>2018</v>
      </c>
      <c r="K394" s="1135">
        <v>2</v>
      </c>
      <c r="M394" s="330" t="str">
        <f>TEXT(R378,"0.0")</f>
        <v>66.6</v>
      </c>
      <c r="N394" s="214" t="str">
        <f>TEXT(T378,"0.0")</f>
        <v>1.5</v>
      </c>
      <c r="O394" s="1136" t="s">
        <v>111</v>
      </c>
    </row>
    <row r="395" spans="1:20" ht="15.5">
      <c r="A395" s="1128" t="s">
        <v>112</v>
      </c>
      <c r="B395" s="1129"/>
      <c r="C395" s="1129"/>
      <c r="D395" s="1130"/>
      <c r="E395" s="1130"/>
      <c r="F395" s="1130"/>
      <c r="G395" s="1131"/>
      <c r="H395" s="1132"/>
      <c r="I395" s="1137">
        <f>D26</f>
        <v>2021</v>
      </c>
      <c r="J395" s="1138">
        <f>E26</f>
        <v>2018</v>
      </c>
      <c r="K395" s="1135">
        <v>3</v>
      </c>
      <c r="M395" s="330" t="str">
        <f>TEXT(R379,"0.0")</f>
        <v>1013.8</v>
      </c>
      <c r="N395" s="214" t="str">
        <f>TEXT(T379,"0.0")</f>
        <v>0.4</v>
      </c>
      <c r="O395" s="1139" t="s">
        <v>113</v>
      </c>
    </row>
    <row r="396" spans="1:20" ht="16" thickBot="1">
      <c r="A396" s="1128" t="s">
        <v>114</v>
      </c>
      <c r="B396" s="1129"/>
      <c r="C396" s="1129"/>
      <c r="D396" s="1130"/>
      <c r="E396" s="1130"/>
      <c r="F396" s="1130"/>
      <c r="G396" s="1131"/>
      <c r="H396" s="1132"/>
      <c r="I396" s="1137">
        <f>D37</f>
        <v>2019</v>
      </c>
      <c r="J396" s="1138">
        <f>E37</f>
        <v>2017</v>
      </c>
      <c r="K396" s="1135">
        <v>4</v>
      </c>
      <c r="M396" s="1140" t="s">
        <v>115</v>
      </c>
      <c r="N396" s="1141" t="s">
        <v>116</v>
      </c>
      <c r="O396" s="1142" t="s">
        <v>117</v>
      </c>
    </row>
    <row r="397" spans="1:20" ht="13">
      <c r="A397" s="1128" t="s">
        <v>118</v>
      </c>
      <c r="B397" s="1129"/>
      <c r="C397" s="1129"/>
      <c r="D397" s="1130"/>
      <c r="E397" s="1130"/>
      <c r="F397" s="1130"/>
      <c r="G397" s="1131"/>
      <c r="H397" s="1132"/>
      <c r="I397" s="1137">
        <f>D48</f>
        <v>2020</v>
      </c>
      <c r="J397" s="1138">
        <f>E48</f>
        <v>2017</v>
      </c>
      <c r="K397" s="1135">
        <v>5</v>
      </c>
    </row>
    <row r="398" spans="1:20" ht="13">
      <c r="A398" s="1128" t="s">
        <v>119</v>
      </c>
      <c r="B398" s="1129"/>
      <c r="C398" s="1129"/>
      <c r="D398" s="1130"/>
      <c r="E398" s="1130"/>
      <c r="F398" s="1130"/>
      <c r="G398" s="1131"/>
      <c r="H398" s="1132"/>
      <c r="I398" s="1137">
        <f>D59</f>
        <v>2019</v>
      </c>
      <c r="J398" s="1138">
        <f>E59</f>
        <v>2018</v>
      </c>
      <c r="K398" s="1135">
        <v>6</v>
      </c>
    </row>
    <row r="399" spans="1:20" ht="13">
      <c r="A399" s="1128" t="s">
        <v>120</v>
      </c>
      <c r="B399" s="1129"/>
      <c r="C399" s="1129"/>
      <c r="D399" s="1130"/>
      <c r="E399" s="1130"/>
      <c r="F399" s="1130"/>
      <c r="G399" s="1131"/>
      <c r="H399" s="1132"/>
      <c r="I399" s="1137">
        <f>D70</f>
        <v>2021</v>
      </c>
      <c r="J399" s="1138">
        <f>E70</f>
        <v>2018</v>
      </c>
      <c r="K399" s="1135">
        <v>7</v>
      </c>
    </row>
    <row r="400" spans="1:20" ht="13">
      <c r="A400" s="1128" t="s">
        <v>121</v>
      </c>
      <c r="B400" s="1129"/>
      <c r="C400" s="1129"/>
      <c r="D400" s="1130"/>
      <c r="E400" s="1130"/>
      <c r="F400" s="1130"/>
      <c r="G400" s="1131"/>
      <c r="H400" s="1132"/>
      <c r="I400" s="1137">
        <f>D81</f>
        <v>2021</v>
      </c>
      <c r="J400" s="1138">
        <f>E81</f>
        <v>2019</v>
      </c>
      <c r="K400" s="1135">
        <v>8</v>
      </c>
    </row>
    <row r="401" spans="1:11" ht="13">
      <c r="A401" s="1128" t="s">
        <v>122</v>
      </c>
      <c r="B401" s="1129"/>
      <c r="C401" s="1129"/>
      <c r="D401" s="1130"/>
      <c r="E401" s="1130"/>
      <c r="F401" s="1130"/>
      <c r="G401" s="1131"/>
      <c r="H401" s="1132"/>
      <c r="I401" s="1137">
        <f>D92</f>
        <v>2019</v>
      </c>
      <c r="J401" s="1138" t="str">
        <f>E92</f>
        <v>-</v>
      </c>
      <c r="K401" s="1135">
        <v>9</v>
      </c>
    </row>
    <row r="402" spans="1:11" ht="13">
      <c r="A402" s="1128" t="s">
        <v>123</v>
      </c>
      <c r="B402" s="1129"/>
      <c r="C402" s="1129"/>
      <c r="D402" s="1130"/>
      <c r="E402" s="1130"/>
      <c r="F402" s="1130"/>
      <c r="G402" s="1131"/>
      <c r="H402" s="1132"/>
      <c r="I402" s="1137">
        <f>D103</f>
        <v>2019</v>
      </c>
      <c r="J402" s="1138">
        <f>E103</f>
        <v>2016</v>
      </c>
      <c r="K402" s="1135">
        <v>10</v>
      </c>
    </row>
    <row r="403" spans="1:11" ht="13">
      <c r="A403" s="1128" t="s">
        <v>124</v>
      </c>
      <c r="B403" s="1129"/>
      <c r="C403" s="1129"/>
      <c r="D403" s="1130"/>
      <c r="E403" s="1130"/>
      <c r="F403" s="1130"/>
      <c r="G403" s="1131"/>
      <c r="H403" s="1132"/>
      <c r="I403" s="1137">
        <f>D114</f>
        <v>2020</v>
      </c>
      <c r="J403" s="1138">
        <f>E114</f>
        <v>2016</v>
      </c>
      <c r="K403" s="1135">
        <v>11</v>
      </c>
    </row>
    <row r="404" spans="1:11" ht="13">
      <c r="A404" s="1128" t="s">
        <v>125</v>
      </c>
      <c r="B404" s="1129"/>
      <c r="C404" s="1129"/>
      <c r="D404" s="1130"/>
      <c r="E404" s="1130"/>
      <c r="F404" s="1130"/>
      <c r="G404" s="1131"/>
      <c r="H404" s="1132"/>
      <c r="I404" s="1137">
        <f>D125</f>
        <v>2020</v>
      </c>
      <c r="J404" s="1138" t="str">
        <f>E125</f>
        <v>-</v>
      </c>
      <c r="K404" s="1135">
        <v>12</v>
      </c>
    </row>
    <row r="405" spans="1:11" ht="13">
      <c r="A405" s="1128" t="s">
        <v>126</v>
      </c>
      <c r="B405" s="1143"/>
      <c r="C405" s="1143"/>
      <c r="D405" s="1144"/>
      <c r="E405" s="1144"/>
      <c r="F405" s="1144"/>
      <c r="G405" s="1145"/>
      <c r="H405" s="1146"/>
      <c r="I405" s="1137">
        <f>D136</f>
        <v>2020</v>
      </c>
      <c r="J405" s="1138" t="str">
        <f>E136</f>
        <v>-</v>
      </c>
      <c r="K405" s="1135">
        <v>13</v>
      </c>
    </row>
    <row r="406" spans="1:11" ht="13">
      <c r="A406" s="1128" t="s">
        <v>127</v>
      </c>
      <c r="B406" s="1143"/>
      <c r="C406" s="1143"/>
      <c r="D406" s="1144"/>
      <c r="E406" s="1144"/>
      <c r="F406" s="1144"/>
      <c r="G406" s="1145"/>
      <c r="H406" s="1146"/>
      <c r="I406" s="1137">
        <f>D147</f>
        <v>2020</v>
      </c>
      <c r="J406" s="1138" t="str">
        <f>E147</f>
        <v>-</v>
      </c>
      <c r="K406" s="1135">
        <v>14</v>
      </c>
    </row>
    <row r="407" spans="1:11" ht="13">
      <c r="A407" s="1128" t="s">
        <v>128</v>
      </c>
      <c r="B407" s="1143"/>
      <c r="C407" s="1143"/>
      <c r="D407" s="1144"/>
      <c r="E407" s="1144"/>
      <c r="F407" s="1144"/>
      <c r="G407" s="1145"/>
      <c r="H407" s="1146"/>
      <c r="I407" s="1137">
        <f>D158</f>
        <v>2020</v>
      </c>
      <c r="J407" s="1138" t="str">
        <f>E158</f>
        <v>-</v>
      </c>
      <c r="K407" s="1135">
        <v>15</v>
      </c>
    </row>
    <row r="408" spans="1:11" ht="13">
      <c r="A408" s="1128" t="s">
        <v>129</v>
      </c>
      <c r="B408" s="1143"/>
      <c r="C408" s="1143"/>
      <c r="D408" s="1144"/>
      <c r="E408" s="1144"/>
      <c r="F408" s="1144"/>
      <c r="G408" s="1145"/>
      <c r="H408" s="1146"/>
      <c r="I408" s="1137">
        <f>D169</f>
        <v>2020</v>
      </c>
      <c r="J408" s="1138" t="str">
        <f>E169</f>
        <v>-</v>
      </c>
      <c r="K408" s="1135">
        <v>16</v>
      </c>
    </row>
    <row r="409" spans="1:11" ht="13">
      <c r="A409" s="1128" t="s">
        <v>130</v>
      </c>
      <c r="B409" s="1143"/>
      <c r="C409" s="1143"/>
      <c r="D409" s="1144"/>
      <c r="E409" s="1144"/>
      <c r="F409" s="1144"/>
      <c r="G409" s="1145"/>
      <c r="H409" s="1146"/>
      <c r="I409" s="1137">
        <f>D180</f>
        <v>2020</v>
      </c>
      <c r="J409" s="1138" t="str">
        <f>E180</f>
        <v>-</v>
      </c>
      <c r="K409" s="1135">
        <v>17</v>
      </c>
    </row>
    <row r="410" spans="1:11" ht="13">
      <c r="A410" s="1128" t="s">
        <v>131</v>
      </c>
      <c r="B410" s="1143"/>
      <c r="C410" s="1143"/>
      <c r="D410" s="1144"/>
      <c r="E410" s="1144"/>
      <c r="F410" s="1144"/>
      <c r="G410" s="1145"/>
      <c r="H410" s="1146"/>
      <c r="I410" s="1137">
        <f>D191</f>
        <v>2020</v>
      </c>
      <c r="J410" s="1138" t="str">
        <f>E191</f>
        <v>-</v>
      </c>
      <c r="K410" s="1135">
        <v>18</v>
      </c>
    </row>
    <row r="411" spans="1:11" ht="13">
      <c r="A411" s="1128" t="s">
        <v>132</v>
      </c>
      <c r="B411" s="1143"/>
      <c r="C411" s="1143"/>
      <c r="D411" s="1144"/>
      <c r="E411" s="1144"/>
      <c r="F411" s="1144"/>
      <c r="G411" s="1145"/>
      <c r="H411" s="1146"/>
      <c r="I411" s="1137">
        <f>D202</f>
        <v>2021</v>
      </c>
      <c r="J411" s="1138" t="str">
        <f>E202</f>
        <v>-</v>
      </c>
      <c r="K411" s="1135">
        <v>19</v>
      </c>
    </row>
    <row r="412" spans="1:11" ht="13.5" thickBot="1">
      <c r="A412" s="1147">
        <v>20</v>
      </c>
      <c r="B412" s="1143"/>
      <c r="C412" s="1143"/>
      <c r="D412" s="1144"/>
      <c r="E412" s="1144"/>
      <c r="F412" s="1144"/>
      <c r="G412" s="1145"/>
      <c r="H412" s="1146"/>
      <c r="I412" s="1148">
        <f>D213</f>
        <v>2017</v>
      </c>
      <c r="J412" s="1149" t="str">
        <f>E213</f>
        <v>-</v>
      </c>
      <c r="K412" s="1135">
        <v>20</v>
      </c>
    </row>
    <row r="413" spans="1:11" ht="13.5" thickBot="1">
      <c r="A413" s="2113">
        <f>VLOOKUP(A392,A393:K412,11,(FALSE))</f>
        <v>19</v>
      </c>
      <c r="B413" s="2114"/>
      <c r="C413" s="2114"/>
      <c r="D413" s="2114"/>
      <c r="E413" s="2114"/>
      <c r="F413" s="2114"/>
      <c r="G413" s="2114"/>
      <c r="H413" s="2114"/>
      <c r="I413" s="2115"/>
      <c r="J413" s="2115"/>
      <c r="K413" s="2116"/>
    </row>
  </sheetData>
  <mergeCells count="405">
    <mergeCell ref="L3:L4"/>
    <mergeCell ref="N3:O3"/>
    <mergeCell ref="P3:Q3"/>
    <mergeCell ref="R3:R4"/>
    <mergeCell ref="B4:C4"/>
    <mergeCell ref="H4:I4"/>
    <mergeCell ref="N4:O4"/>
    <mergeCell ref="A1:U1"/>
    <mergeCell ref="A2:A11"/>
    <mergeCell ref="B2:F2"/>
    <mergeCell ref="H2:L2"/>
    <mergeCell ref="N2:R2"/>
    <mergeCell ref="B3:C3"/>
    <mergeCell ref="D3:E3"/>
    <mergeCell ref="F3:F4"/>
    <mergeCell ref="H3:I3"/>
    <mergeCell ref="J3:K3"/>
    <mergeCell ref="A13:A22"/>
    <mergeCell ref="B13:F13"/>
    <mergeCell ref="H13:L13"/>
    <mergeCell ref="N13:R13"/>
    <mergeCell ref="T13:U13"/>
    <mergeCell ref="B14:C14"/>
    <mergeCell ref="D14:E14"/>
    <mergeCell ref="F14:F15"/>
    <mergeCell ref="H14:I14"/>
    <mergeCell ref="J14:K14"/>
    <mergeCell ref="F25:F26"/>
    <mergeCell ref="H25:I25"/>
    <mergeCell ref="J25:K25"/>
    <mergeCell ref="L14:L15"/>
    <mergeCell ref="N14:O14"/>
    <mergeCell ref="P14:Q14"/>
    <mergeCell ref="R14:R15"/>
    <mergeCell ref="B15:C15"/>
    <mergeCell ref="H15:I15"/>
    <mergeCell ref="N15:O15"/>
    <mergeCell ref="L25:L26"/>
    <mergeCell ref="N25:O25"/>
    <mergeCell ref="P25:Q25"/>
    <mergeCell ref="R25:R26"/>
    <mergeCell ref="B26:C26"/>
    <mergeCell ref="H26:I26"/>
    <mergeCell ref="N26:O26"/>
    <mergeCell ref="A24:A33"/>
    <mergeCell ref="B24:F24"/>
    <mergeCell ref="H24:L24"/>
    <mergeCell ref="N24:R24"/>
    <mergeCell ref="N36:O36"/>
    <mergeCell ref="P36:Q36"/>
    <mergeCell ref="R36:R37"/>
    <mergeCell ref="T36:U36"/>
    <mergeCell ref="B37:C37"/>
    <mergeCell ref="H37:I37"/>
    <mergeCell ref="N37:O37"/>
    <mergeCell ref="A35:A44"/>
    <mergeCell ref="B35:F35"/>
    <mergeCell ref="H35:L35"/>
    <mergeCell ref="N35:R35"/>
    <mergeCell ref="B36:C36"/>
    <mergeCell ref="D36:E36"/>
    <mergeCell ref="F36:F37"/>
    <mergeCell ref="H36:I36"/>
    <mergeCell ref="J36:K36"/>
    <mergeCell ref="L36:L37"/>
    <mergeCell ref="T24:U24"/>
    <mergeCell ref="B25:C25"/>
    <mergeCell ref="D25:E25"/>
    <mergeCell ref="A57:A66"/>
    <mergeCell ref="B57:F57"/>
    <mergeCell ref="H57:L57"/>
    <mergeCell ref="N57:R57"/>
    <mergeCell ref="A46:A55"/>
    <mergeCell ref="B46:F46"/>
    <mergeCell ref="H46:L46"/>
    <mergeCell ref="N46:R46"/>
    <mergeCell ref="T46:U46"/>
    <mergeCell ref="B47:C47"/>
    <mergeCell ref="D47:E47"/>
    <mergeCell ref="F47:F48"/>
    <mergeCell ref="H47:I47"/>
    <mergeCell ref="J47:K47"/>
    <mergeCell ref="L47:L48"/>
    <mergeCell ref="N47:O47"/>
    <mergeCell ref="P47:Q47"/>
    <mergeCell ref="R47:R48"/>
    <mergeCell ref="B48:C48"/>
    <mergeCell ref="H48:I48"/>
    <mergeCell ref="N48:O48"/>
    <mergeCell ref="F69:F70"/>
    <mergeCell ref="H69:I69"/>
    <mergeCell ref="J69:K69"/>
    <mergeCell ref="L58:L59"/>
    <mergeCell ref="N58:O58"/>
    <mergeCell ref="P58:Q58"/>
    <mergeCell ref="R58:R59"/>
    <mergeCell ref="B59:C59"/>
    <mergeCell ref="H59:I59"/>
    <mergeCell ref="N59:O59"/>
    <mergeCell ref="A79:A88"/>
    <mergeCell ref="B79:F79"/>
    <mergeCell ref="H79:L79"/>
    <mergeCell ref="N79:R79"/>
    <mergeCell ref="T57:U57"/>
    <mergeCell ref="B58:C58"/>
    <mergeCell ref="D58:E58"/>
    <mergeCell ref="F58:F59"/>
    <mergeCell ref="H58:I58"/>
    <mergeCell ref="J58:K58"/>
    <mergeCell ref="L69:L70"/>
    <mergeCell ref="N69:O69"/>
    <mergeCell ref="P69:Q69"/>
    <mergeCell ref="R69:R70"/>
    <mergeCell ref="B70:C70"/>
    <mergeCell ref="H70:I70"/>
    <mergeCell ref="N70:O70"/>
    <mergeCell ref="A68:A77"/>
    <mergeCell ref="B68:F68"/>
    <mergeCell ref="H68:L68"/>
    <mergeCell ref="N68:R68"/>
    <mergeCell ref="T68:U68"/>
    <mergeCell ref="B69:C69"/>
    <mergeCell ref="D69:E69"/>
    <mergeCell ref="F91:F92"/>
    <mergeCell ref="H91:I91"/>
    <mergeCell ref="J91:K91"/>
    <mergeCell ref="L80:L81"/>
    <mergeCell ref="N80:O80"/>
    <mergeCell ref="P80:Q80"/>
    <mergeCell ref="R80:R81"/>
    <mergeCell ref="B81:C81"/>
    <mergeCell ref="H81:I81"/>
    <mergeCell ref="N81:O81"/>
    <mergeCell ref="A101:A110"/>
    <mergeCell ref="B101:F101"/>
    <mergeCell ref="H101:L101"/>
    <mergeCell ref="N101:R101"/>
    <mergeCell ref="T79:U79"/>
    <mergeCell ref="B80:C80"/>
    <mergeCell ref="D80:E80"/>
    <mergeCell ref="F80:F81"/>
    <mergeCell ref="H80:I80"/>
    <mergeCell ref="J80:K80"/>
    <mergeCell ref="L91:L92"/>
    <mergeCell ref="N91:O91"/>
    <mergeCell ref="P91:Q91"/>
    <mergeCell ref="R91:R92"/>
    <mergeCell ref="B92:C92"/>
    <mergeCell ref="H92:I92"/>
    <mergeCell ref="N92:O92"/>
    <mergeCell ref="A90:A99"/>
    <mergeCell ref="B90:F90"/>
    <mergeCell ref="H90:L90"/>
    <mergeCell ref="N90:R90"/>
    <mergeCell ref="T90:U90"/>
    <mergeCell ref="B91:C91"/>
    <mergeCell ref="D91:E91"/>
    <mergeCell ref="F113:F114"/>
    <mergeCell ref="H113:I113"/>
    <mergeCell ref="J113:K113"/>
    <mergeCell ref="L102:L103"/>
    <mergeCell ref="N102:O102"/>
    <mergeCell ref="P102:Q102"/>
    <mergeCell ref="R102:R103"/>
    <mergeCell ref="B103:C103"/>
    <mergeCell ref="H103:I103"/>
    <mergeCell ref="N103:O103"/>
    <mergeCell ref="A123:A132"/>
    <mergeCell ref="B123:F123"/>
    <mergeCell ref="H123:L123"/>
    <mergeCell ref="N123:R123"/>
    <mergeCell ref="T101:U101"/>
    <mergeCell ref="B102:C102"/>
    <mergeCell ref="D102:E102"/>
    <mergeCell ref="F102:F103"/>
    <mergeCell ref="H102:I102"/>
    <mergeCell ref="J102:K102"/>
    <mergeCell ref="L113:L114"/>
    <mergeCell ref="N113:O113"/>
    <mergeCell ref="P113:Q113"/>
    <mergeCell ref="R113:R114"/>
    <mergeCell ref="B114:C114"/>
    <mergeCell ref="H114:I114"/>
    <mergeCell ref="N114:O114"/>
    <mergeCell ref="A112:A121"/>
    <mergeCell ref="B112:F112"/>
    <mergeCell ref="H112:L112"/>
    <mergeCell ref="N112:R112"/>
    <mergeCell ref="T112:U112"/>
    <mergeCell ref="B113:C113"/>
    <mergeCell ref="D113:E113"/>
    <mergeCell ref="F135:F136"/>
    <mergeCell ref="H135:I135"/>
    <mergeCell ref="J135:K135"/>
    <mergeCell ref="L124:L125"/>
    <mergeCell ref="N124:O124"/>
    <mergeCell ref="P124:Q124"/>
    <mergeCell ref="R124:R125"/>
    <mergeCell ref="B125:C125"/>
    <mergeCell ref="H125:I125"/>
    <mergeCell ref="N125:O125"/>
    <mergeCell ref="A145:A154"/>
    <mergeCell ref="B145:F145"/>
    <mergeCell ref="H145:L145"/>
    <mergeCell ref="N145:R145"/>
    <mergeCell ref="T123:U123"/>
    <mergeCell ref="B124:C124"/>
    <mergeCell ref="D124:E124"/>
    <mergeCell ref="F124:F125"/>
    <mergeCell ref="H124:I124"/>
    <mergeCell ref="J124:K124"/>
    <mergeCell ref="L135:L136"/>
    <mergeCell ref="N135:O135"/>
    <mergeCell ref="P135:Q135"/>
    <mergeCell ref="R135:R136"/>
    <mergeCell ref="B136:C136"/>
    <mergeCell ref="H136:I136"/>
    <mergeCell ref="N136:O136"/>
    <mergeCell ref="A134:A143"/>
    <mergeCell ref="B134:F134"/>
    <mergeCell ref="H134:L134"/>
    <mergeCell ref="N134:R134"/>
    <mergeCell ref="T134:U134"/>
    <mergeCell ref="B135:C135"/>
    <mergeCell ref="D135:E135"/>
    <mergeCell ref="F157:F158"/>
    <mergeCell ref="H157:I157"/>
    <mergeCell ref="J157:K157"/>
    <mergeCell ref="L146:L147"/>
    <mergeCell ref="N146:O146"/>
    <mergeCell ref="P146:Q146"/>
    <mergeCell ref="R146:R147"/>
    <mergeCell ref="B147:C147"/>
    <mergeCell ref="H147:I147"/>
    <mergeCell ref="N147:O147"/>
    <mergeCell ref="A167:A176"/>
    <mergeCell ref="B167:F167"/>
    <mergeCell ref="H167:L167"/>
    <mergeCell ref="N167:R167"/>
    <mergeCell ref="T145:U145"/>
    <mergeCell ref="B146:C146"/>
    <mergeCell ref="D146:E146"/>
    <mergeCell ref="F146:F147"/>
    <mergeCell ref="H146:I146"/>
    <mergeCell ref="J146:K146"/>
    <mergeCell ref="L157:L158"/>
    <mergeCell ref="N157:O157"/>
    <mergeCell ref="P157:Q157"/>
    <mergeCell ref="R157:R158"/>
    <mergeCell ref="B158:C158"/>
    <mergeCell ref="H158:I158"/>
    <mergeCell ref="N158:O158"/>
    <mergeCell ref="A156:A165"/>
    <mergeCell ref="B156:F156"/>
    <mergeCell ref="H156:L156"/>
    <mergeCell ref="N156:R156"/>
    <mergeCell ref="T156:U156"/>
    <mergeCell ref="B157:C157"/>
    <mergeCell ref="D157:E157"/>
    <mergeCell ref="F179:F180"/>
    <mergeCell ref="H179:I179"/>
    <mergeCell ref="J179:K179"/>
    <mergeCell ref="L168:L169"/>
    <mergeCell ref="N168:O168"/>
    <mergeCell ref="P168:Q168"/>
    <mergeCell ref="R168:R169"/>
    <mergeCell ref="B169:C169"/>
    <mergeCell ref="H169:I169"/>
    <mergeCell ref="N169:O169"/>
    <mergeCell ref="A189:A198"/>
    <mergeCell ref="B189:F189"/>
    <mergeCell ref="H189:L189"/>
    <mergeCell ref="N189:R189"/>
    <mergeCell ref="T167:U167"/>
    <mergeCell ref="B168:C168"/>
    <mergeCell ref="D168:E168"/>
    <mergeCell ref="F168:F169"/>
    <mergeCell ref="H168:I168"/>
    <mergeCell ref="J168:K168"/>
    <mergeCell ref="L179:L180"/>
    <mergeCell ref="N179:O179"/>
    <mergeCell ref="P179:Q179"/>
    <mergeCell ref="R179:R180"/>
    <mergeCell ref="B180:C180"/>
    <mergeCell ref="H180:I180"/>
    <mergeCell ref="N180:O180"/>
    <mergeCell ref="A178:A187"/>
    <mergeCell ref="B178:F178"/>
    <mergeCell ref="H178:L178"/>
    <mergeCell ref="N178:R178"/>
    <mergeCell ref="T178:U178"/>
    <mergeCell ref="B179:C179"/>
    <mergeCell ref="D179:E179"/>
    <mergeCell ref="F201:F202"/>
    <mergeCell ref="H201:I201"/>
    <mergeCell ref="J201:K201"/>
    <mergeCell ref="L190:L191"/>
    <mergeCell ref="N190:O190"/>
    <mergeCell ref="P190:Q190"/>
    <mergeCell ref="R190:R191"/>
    <mergeCell ref="B191:C191"/>
    <mergeCell ref="H191:I191"/>
    <mergeCell ref="N191:O191"/>
    <mergeCell ref="A211:A220"/>
    <mergeCell ref="B211:F211"/>
    <mergeCell ref="H211:L211"/>
    <mergeCell ref="N211:R211"/>
    <mergeCell ref="T189:U189"/>
    <mergeCell ref="B190:C190"/>
    <mergeCell ref="D190:E190"/>
    <mergeCell ref="F190:F191"/>
    <mergeCell ref="H190:I190"/>
    <mergeCell ref="J190:K190"/>
    <mergeCell ref="L201:L202"/>
    <mergeCell ref="N201:O201"/>
    <mergeCell ref="P201:Q201"/>
    <mergeCell ref="R201:R202"/>
    <mergeCell ref="B202:C202"/>
    <mergeCell ref="H202:I202"/>
    <mergeCell ref="N202:O202"/>
    <mergeCell ref="A200:A209"/>
    <mergeCell ref="B200:F200"/>
    <mergeCell ref="H200:L200"/>
    <mergeCell ref="N200:R200"/>
    <mergeCell ref="T200:U200"/>
    <mergeCell ref="B201:C201"/>
    <mergeCell ref="D201:E201"/>
    <mergeCell ref="A223:A225"/>
    <mergeCell ref="B223:B225"/>
    <mergeCell ref="C223:F223"/>
    <mergeCell ref="H223:H225"/>
    <mergeCell ref="I223:I225"/>
    <mergeCell ref="J223:M223"/>
    <mergeCell ref="O223:O225"/>
    <mergeCell ref="P223:P225"/>
    <mergeCell ref="Q223:T223"/>
    <mergeCell ref="T211:U211"/>
    <mergeCell ref="B212:C212"/>
    <mergeCell ref="D212:E212"/>
    <mergeCell ref="F212:F213"/>
    <mergeCell ref="H212:I212"/>
    <mergeCell ref="J212:K212"/>
    <mergeCell ref="V223:W223"/>
    <mergeCell ref="D224:E224"/>
    <mergeCell ref="F224:F225"/>
    <mergeCell ref="K224:L224"/>
    <mergeCell ref="M224:M225"/>
    <mergeCell ref="R224:S224"/>
    <mergeCell ref="T224:T225"/>
    <mergeCell ref="V224:W224"/>
    <mergeCell ref="B221:U221"/>
    <mergeCell ref="L212:L213"/>
    <mergeCell ref="N212:O212"/>
    <mergeCell ref="P212:Q212"/>
    <mergeCell ref="R212:R213"/>
    <mergeCell ref="B213:C213"/>
    <mergeCell ref="H213:I213"/>
    <mergeCell ref="N213:O213"/>
    <mergeCell ref="V247:W247"/>
    <mergeCell ref="V248:W248"/>
    <mergeCell ref="A268:A287"/>
    <mergeCell ref="H268:H287"/>
    <mergeCell ref="O268:O287"/>
    <mergeCell ref="V271:W271"/>
    <mergeCell ref="V272:W272"/>
    <mergeCell ref="A226:A245"/>
    <mergeCell ref="H226:H245"/>
    <mergeCell ref="O226:O245"/>
    <mergeCell ref="A247:A266"/>
    <mergeCell ref="H247:H266"/>
    <mergeCell ref="O247:O266"/>
    <mergeCell ref="A331:A350"/>
    <mergeCell ref="H331:H350"/>
    <mergeCell ref="O331:O350"/>
    <mergeCell ref="A352:A371"/>
    <mergeCell ref="H352:H371"/>
    <mergeCell ref="O352:O371"/>
    <mergeCell ref="A289:A308"/>
    <mergeCell ref="H289:H308"/>
    <mergeCell ref="O289:O308"/>
    <mergeCell ref="A310:A329"/>
    <mergeCell ref="H310:H329"/>
    <mergeCell ref="O310:O329"/>
    <mergeCell ref="S374:S376"/>
    <mergeCell ref="T374:T376"/>
    <mergeCell ref="P381:P383"/>
    <mergeCell ref="B373:D373"/>
    <mergeCell ref="G373:I373"/>
    <mergeCell ref="L373:N373"/>
    <mergeCell ref="Q373:T373"/>
    <mergeCell ref="B374:C374"/>
    <mergeCell ref="D374:D375"/>
    <mergeCell ref="G374:H374"/>
    <mergeCell ref="I374:I375"/>
    <mergeCell ref="L374:M374"/>
    <mergeCell ref="N374:N375"/>
    <mergeCell ref="A384:D384"/>
    <mergeCell ref="F384:I384"/>
    <mergeCell ref="K384:N384"/>
    <mergeCell ref="A392:K392"/>
    <mergeCell ref="M392:O392"/>
    <mergeCell ref="A413:K413"/>
    <mergeCell ref="P374:P376"/>
    <mergeCell ref="Q374:Q376"/>
    <mergeCell ref="R374:R376"/>
  </mergeCell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AQ114"/>
  <sheetViews>
    <sheetView showGridLines="0" view="pageBreakPreview" topLeftCell="A52" zoomScale="78" zoomScaleNormal="87" zoomScaleSheetLayoutView="78" workbookViewId="0">
      <selection activeCell="N81" sqref="N81"/>
    </sheetView>
  </sheetViews>
  <sheetFormatPr defaultColWidth="9.1796875" defaultRowHeight="13"/>
  <cols>
    <col min="1" max="1" width="3.7265625" style="4" customWidth="1"/>
    <col min="2" max="2" width="4.26953125" style="4" customWidth="1"/>
    <col min="3" max="3" width="19.1796875" style="4" customWidth="1"/>
    <col min="4" max="9" width="13.7265625" style="4" customWidth="1"/>
    <col min="10" max="10" width="5.26953125" style="4" customWidth="1"/>
    <col min="11" max="11" width="7.26953125" style="4" customWidth="1"/>
    <col min="12" max="12" width="5.453125" style="4" customWidth="1"/>
    <col min="13" max="13" width="2.81640625" style="4" customWidth="1"/>
    <col min="14" max="14" width="6.26953125" style="4" customWidth="1"/>
    <col min="15" max="18" width="3.6328125" style="4" customWidth="1"/>
    <col min="19" max="19" width="3.6328125" style="334" customWidth="1"/>
    <col min="20" max="25" width="3.6328125" style="4" customWidth="1"/>
    <col min="26" max="27" width="4.7265625" style="4" customWidth="1"/>
    <col min="28" max="28" width="10.36328125" style="4" customWidth="1"/>
    <col min="29" max="42" width="9.08984375" style="4" customWidth="1"/>
    <col min="43" max="43" width="7.81640625" style="4" customWidth="1"/>
    <col min="44" max="45" width="5.26953125" style="4" customWidth="1"/>
    <col min="46" max="16384" width="9.1796875" style="4"/>
  </cols>
  <sheetData>
    <row r="1" spans="1:43" ht="18.5">
      <c r="A1" s="2186" t="s">
        <v>574</v>
      </c>
      <c r="B1" s="2186"/>
      <c r="C1" s="2186"/>
      <c r="D1" s="2186"/>
      <c r="E1" s="2186"/>
      <c r="F1" s="2186"/>
      <c r="G1" s="2186"/>
      <c r="H1" s="2186"/>
      <c r="I1" s="2186"/>
      <c r="J1" s="2186"/>
      <c r="K1" s="2186"/>
      <c r="L1" s="2186"/>
      <c r="M1" s="2186"/>
      <c r="N1" s="2186"/>
      <c r="O1" s="24"/>
      <c r="P1" s="24"/>
    </row>
    <row r="2" spans="1:43" ht="17">
      <c r="A2" s="2185" t="str">
        <f>ID!H2&amp;O2&amp;ID!I2</f>
        <v>Nomor Sertifikat : 16 / 23 / XI - 34 / E  - 001.34 DL</v>
      </c>
      <c r="B2" s="2185"/>
      <c r="C2" s="2185"/>
      <c r="D2" s="2185"/>
      <c r="E2" s="2185"/>
      <c r="F2" s="2185"/>
      <c r="G2" s="2185"/>
      <c r="H2" s="2185"/>
      <c r="I2" s="2185"/>
      <c r="J2" s="2185"/>
      <c r="K2" s="2185"/>
      <c r="L2" s="2185"/>
      <c r="M2" s="2185"/>
      <c r="N2" s="2185"/>
      <c r="O2" s="25" t="s">
        <v>146</v>
      </c>
      <c r="P2" s="25"/>
    </row>
    <row r="3" spans="1:43"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17"/>
      <c r="O3" s="17"/>
      <c r="P3" s="17"/>
    </row>
    <row r="4" spans="1:43" ht="14">
      <c r="A4" s="2192" t="str">
        <f>ID!A4</f>
        <v>Merek</v>
      </c>
      <c r="B4" s="2192"/>
      <c r="C4" s="2192"/>
      <c r="D4" s="1161" t="str">
        <f>$AJ$58&amp;$AJ$60&amp;ID!F4</f>
        <v>Philips</v>
      </c>
      <c r="F4" s="341"/>
      <c r="G4" s="1155"/>
      <c r="H4" s="1155"/>
      <c r="I4" s="1155"/>
      <c r="J4" s="1155"/>
      <c r="K4" s="341"/>
      <c r="L4" s="341"/>
      <c r="M4" s="341"/>
      <c r="N4" s="17"/>
      <c r="O4" s="17"/>
      <c r="P4" s="17"/>
    </row>
    <row r="5" spans="1:43" ht="14">
      <c r="A5" s="2192" t="str">
        <f>ID!A5</f>
        <v>Model/Tipe</v>
      </c>
      <c r="B5" s="2192"/>
      <c r="C5" s="2192"/>
      <c r="D5" s="1161" t="str">
        <f>$AJ$58&amp;$AJ$60&amp;ID!F5</f>
        <v>xxx</v>
      </c>
      <c r="F5" s="341"/>
      <c r="G5" s="1155"/>
      <c r="H5" s="1155"/>
      <c r="I5" s="1155"/>
      <c r="J5" s="1155"/>
      <c r="K5" s="341"/>
      <c r="L5" s="341"/>
      <c r="M5" s="341"/>
      <c r="N5" s="17"/>
      <c r="O5" s="17"/>
      <c r="P5" s="17"/>
    </row>
    <row r="6" spans="1:43" ht="14">
      <c r="A6" s="2192" t="str">
        <f>ID!A6</f>
        <v>No. Seri</v>
      </c>
      <c r="B6" s="2192"/>
      <c r="C6" s="2192"/>
      <c r="D6" s="1161" t="str">
        <f>$AJ$58&amp;$AJ$60&amp;ID!F6</f>
        <v>123456</v>
      </c>
      <c r="F6" s="341"/>
      <c r="G6" s="1155"/>
      <c r="H6" s="1155"/>
      <c r="I6" s="1155"/>
      <c r="J6" s="1155"/>
      <c r="K6" s="341"/>
      <c r="L6" s="341"/>
      <c r="M6" s="341"/>
      <c r="N6" s="17"/>
      <c r="O6" s="17"/>
      <c r="P6" s="17"/>
    </row>
    <row r="7" spans="1:43" ht="14">
      <c r="A7" s="2192" t="str">
        <f>ID!A7</f>
        <v>Tanggal Penerimaan Alat</v>
      </c>
      <c r="B7" s="2192"/>
      <c r="C7" s="2192"/>
      <c r="D7" s="1161" t="str">
        <f>$AJ$58&amp;$AJ$60&amp;ID!F7</f>
        <v>2210</v>
      </c>
      <c r="F7" s="341"/>
      <c r="G7" s="1155"/>
      <c r="H7" s="1155"/>
      <c r="I7" s="1155"/>
      <c r="J7" s="1155"/>
      <c r="K7" s="341"/>
      <c r="L7" s="341"/>
      <c r="M7" s="341"/>
      <c r="N7" s="17"/>
      <c r="O7" s="17"/>
      <c r="P7" s="17"/>
    </row>
    <row r="8" spans="1:43" ht="14">
      <c r="A8" s="2192" t="str">
        <f>ID!A8</f>
        <v>Tanggal Kalibrasi</v>
      </c>
      <c r="B8" s="2192"/>
      <c r="C8" s="2192"/>
      <c r="D8" s="1161" t="str">
        <f>$AJ$58&amp;$AJ$60&amp;ID!F8</f>
        <v>x1</v>
      </c>
      <c r="F8" s="341"/>
      <c r="G8" s="1155"/>
      <c r="H8" s="1155"/>
      <c r="I8" s="1155"/>
      <c r="J8" s="1155"/>
      <c r="K8" s="341"/>
      <c r="L8" s="341"/>
      <c r="M8" s="341"/>
      <c r="N8" s="17"/>
      <c r="O8" s="17"/>
      <c r="P8" s="17"/>
    </row>
    <row r="9" spans="1:43" ht="14">
      <c r="A9" s="2192" t="str">
        <f>ID!A9</f>
        <v>Tempat Kalibrasi</v>
      </c>
      <c r="B9" s="2192"/>
      <c r="C9" s="2192"/>
      <c r="D9" s="1161" t="str">
        <f>$AJ$58&amp;$AJ$60&amp;ID!F9</f>
        <v>x2</v>
      </c>
      <c r="F9" s="341"/>
      <c r="G9" s="1155"/>
      <c r="H9" s="1155"/>
      <c r="I9" s="1155"/>
      <c r="J9" s="1155"/>
      <c r="K9" s="341"/>
      <c r="L9" s="60"/>
      <c r="M9" s="341"/>
      <c r="N9" s="17"/>
      <c r="O9" s="17"/>
      <c r="P9" s="17"/>
    </row>
    <row r="10" spans="1:43" ht="14">
      <c r="A10" s="2192" t="str">
        <f>ID!A10</f>
        <v>Nama Ruang</v>
      </c>
      <c r="B10" s="2192"/>
      <c r="C10" s="2192"/>
      <c r="D10" s="1161" t="str">
        <f>$AJ$58&amp;$AJ$60&amp;ID!F10</f>
        <v>x3</v>
      </c>
      <c r="F10" s="341"/>
      <c r="G10" s="1155"/>
      <c r="H10" s="1155"/>
      <c r="I10" s="1155"/>
      <c r="J10" s="1155"/>
      <c r="K10" s="341"/>
      <c r="L10" s="60"/>
      <c r="M10" s="341"/>
      <c r="N10" s="17"/>
      <c r="O10" s="17"/>
      <c r="P10" s="17"/>
    </row>
    <row r="11" spans="1:43" ht="14">
      <c r="A11" s="2192" t="str">
        <f>ID!A11</f>
        <v>Metode Kerja</v>
      </c>
      <c r="B11" s="2192"/>
      <c r="C11" s="2192"/>
      <c r="D11" s="1161" t="str">
        <f>$AJ$58&amp;$AJ$60&amp;ID!F11</f>
        <v>MK.087-19</v>
      </c>
      <c r="F11" s="341"/>
      <c r="G11" s="1155"/>
      <c r="H11" s="1155"/>
      <c r="I11" s="1155"/>
      <c r="J11" s="1155"/>
      <c r="K11" s="341"/>
      <c r="L11" s="341"/>
      <c r="M11" s="341"/>
      <c r="N11" s="17"/>
    </row>
    <row r="12" spans="1:43" ht="14">
      <c r="A12" s="37"/>
      <c r="B12" s="1155"/>
      <c r="C12" s="33"/>
      <c r="D12" s="1155"/>
      <c r="E12" s="341"/>
      <c r="F12" s="1155"/>
      <c r="G12" s="1155"/>
      <c r="H12" s="1155"/>
      <c r="I12" s="1155"/>
      <c r="J12" s="1155"/>
      <c r="K12" s="341"/>
      <c r="L12" s="341"/>
      <c r="M12" s="341"/>
      <c r="N12" s="17"/>
    </row>
    <row r="13" spans="1:43" ht="14">
      <c r="A13" s="38" t="s">
        <v>198</v>
      </c>
      <c r="B13" s="1162" t="s">
        <v>199</v>
      </c>
      <c r="C13" s="33"/>
      <c r="D13" s="1162"/>
      <c r="E13" s="341"/>
      <c r="F13" s="1162"/>
      <c r="G13" s="1162"/>
      <c r="H13" s="1155"/>
      <c r="I13" s="341"/>
      <c r="J13" s="341"/>
      <c r="K13" s="341"/>
      <c r="L13" s="341"/>
      <c r="M13" s="341"/>
      <c r="N13" s="17"/>
    </row>
    <row r="14" spans="1:43" ht="14">
      <c r="A14" s="37"/>
      <c r="B14" s="2217" t="s">
        <v>202</v>
      </c>
      <c r="C14" s="2217"/>
      <c r="D14" s="60" t="str">
        <f>AK58&amp;'DB Suhu'!L239&amp;'DB Suhu'!L237&amp;'DB Suhu'!M239&amp;'DB Suhu'!M237&amp;'DB Suhu'!N239&amp;'DB Suhu'!N237</f>
        <v>( 23.3 ± 0.3 ) °C</v>
      </c>
      <c r="F14" s="341"/>
      <c r="G14" s="131"/>
      <c r="H14" s="341"/>
      <c r="I14" s="341"/>
      <c r="J14" s="341"/>
      <c r="K14" s="341"/>
      <c r="L14" s="341"/>
      <c r="M14" s="341"/>
      <c r="N14" s="17"/>
    </row>
    <row r="15" spans="1:43" ht="14">
      <c r="A15" s="37"/>
      <c r="B15" s="2217" t="s">
        <v>205</v>
      </c>
      <c r="C15" s="2217"/>
      <c r="D15" s="60" t="str">
        <f>AK58&amp;'DB Suhu'!L239&amp;'DB Suhu'!L238&amp;'DB Suhu'!M239&amp;'DB Suhu'!M238&amp;'DB Suhu'!N239&amp;'DB Suhu'!N238</f>
        <v>( 67.8 ± 2.3 ) %RH</v>
      </c>
      <c r="F15" s="341"/>
      <c r="G15" s="1163"/>
      <c r="H15" s="341"/>
      <c r="I15" s="341"/>
      <c r="J15" s="341"/>
      <c r="K15" s="341"/>
      <c r="L15" s="341"/>
      <c r="M15" s="341"/>
      <c r="N15" s="17"/>
    </row>
    <row r="16" spans="1:43" ht="14">
      <c r="A16" s="37"/>
      <c r="B16" s="2217" t="s">
        <v>206</v>
      </c>
      <c r="C16" s="2217"/>
      <c r="D16" s="1164" t="str">
        <f>IFERROR(ESA!N144,"-")</f>
        <v>( 219.9 ± 2.6 ) Volt</v>
      </c>
      <c r="F16" s="341"/>
      <c r="G16" s="1163"/>
      <c r="H16" s="60"/>
      <c r="I16" s="341"/>
      <c r="J16" s="341"/>
      <c r="K16" s="341"/>
      <c r="L16" s="341"/>
      <c r="M16" s="341"/>
      <c r="N16" s="17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" customHeight="1">
      <c r="A17" s="37"/>
      <c r="B17" s="1155"/>
      <c r="C17" s="33"/>
      <c r="D17" s="1155"/>
      <c r="E17" s="341"/>
      <c r="F17" s="1155"/>
      <c r="G17" s="1155"/>
      <c r="H17" s="1155"/>
      <c r="I17" s="341"/>
      <c r="J17" s="341"/>
      <c r="K17" s="341"/>
      <c r="L17" s="341"/>
      <c r="M17" s="341"/>
      <c r="N17" s="17"/>
      <c r="AB17" s="1625"/>
      <c r="AC17" s="1625"/>
      <c r="AD17" s="1625"/>
      <c r="AE17" s="1625"/>
      <c r="AF17" s="1625"/>
      <c r="AG17" s="1625"/>
      <c r="AH17" s="2263" t="str">
        <f>IF(ID!F16="-",AH18,IF(I25="-",AH19,IF(OR(I27="-",AB21=AE29),AH22,IF(OR(I27=K27,AE23&gt;AF23),"",IF(I27&gt;K27,"-",AH23)))))</f>
        <v>Tidak terdapat grounding di ruangan</v>
      </c>
      <c r="AI17" s="2263"/>
      <c r="AJ17" s="2263"/>
      <c r="AK17" s="2263"/>
      <c r="AL17" s="2263"/>
      <c r="AM17" s="2263"/>
      <c r="AN17" s="2263"/>
      <c r="AO17" s="2263"/>
      <c r="AP17" s="2263"/>
      <c r="AQ17"/>
    </row>
    <row r="18" spans="1:43" ht="15.5">
      <c r="A18" s="38" t="s">
        <v>207</v>
      </c>
      <c r="B18" s="1162" t="s">
        <v>208</v>
      </c>
      <c r="C18" s="33"/>
      <c r="D18" s="1162"/>
      <c r="E18" s="341"/>
      <c r="F18" s="1162"/>
      <c r="G18" s="1162"/>
      <c r="H18" s="1162"/>
      <c r="I18" s="167"/>
      <c r="J18" s="341"/>
      <c r="K18" s="341"/>
      <c r="L18" s="341"/>
      <c r="M18" s="341"/>
      <c r="N18" s="17"/>
      <c r="Q18" s="4" t="s">
        <v>146</v>
      </c>
      <c r="AB18" s="1625"/>
      <c r="AC18" s="1625"/>
      <c r="AD18" s="1625"/>
      <c r="AE18" s="1625"/>
      <c r="AF18" s="1625"/>
      <c r="AG18" s="1625"/>
      <c r="AH18" s="2264" t="s">
        <v>181</v>
      </c>
      <c r="AI18" s="2264"/>
      <c r="AJ18" s="2264"/>
      <c r="AK18" s="2264"/>
      <c r="AL18" s="2264"/>
      <c r="AM18" s="2264"/>
      <c r="AN18" s="2264"/>
      <c r="AO18" s="2264"/>
      <c r="AP18" s="2264"/>
      <c r="AQ18"/>
    </row>
    <row r="19" spans="1:43" ht="15.5">
      <c r="A19" s="37"/>
      <c r="B19" s="2218" t="s">
        <v>210</v>
      </c>
      <c r="C19" s="2218"/>
      <c r="D19" s="1155" t="str">
        <f>$AJ$58&amp;$AJ$60&amp;ID!F19</f>
        <v>Baik</v>
      </c>
      <c r="F19" s="341"/>
      <c r="G19" s="1155"/>
      <c r="H19" s="1155"/>
      <c r="I19" s="341"/>
      <c r="J19" s="341"/>
      <c r="K19" s="341"/>
      <c r="L19" s="341"/>
      <c r="M19" s="341"/>
      <c r="N19" s="2261">
        <f>SUM(Z19:Z21)</f>
        <v>10</v>
      </c>
      <c r="Z19" s="333">
        <f>IF(D19='kata-kata'!$K$9,5,0)</f>
        <v>5</v>
      </c>
      <c r="AB19" s="1625"/>
      <c r="AC19" s="1625"/>
      <c r="AD19" s="1625"/>
      <c r="AE19" s="1625"/>
      <c r="AF19" s="1625"/>
      <c r="AG19" s="1625"/>
      <c r="AH19" s="2264" t="s">
        <v>556</v>
      </c>
      <c r="AI19" s="2264"/>
      <c r="AJ19" s="2264"/>
      <c r="AK19" s="2264"/>
      <c r="AL19" s="2264"/>
      <c r="AM19" s="2264"/>
      <c r="AN19" s="2264"/>
      <c r="AO19" s="2264"/>
      <c r="AP19" s="2264"/>
      <c r="AQ19"/>
    </row>
    <row r="20" spans="1:43" ht="15.5">
      <c r="A20" s="37"/>
      <c r="B20" s="2218" t="s">
        <v>213</v>
      </c>
      <c r="C20" s="2218"/>
      <c r="D20" s="1155" t="str">
        <f>$AJ$58&amp;$AJ$60&amp;ID!F20</f>
        <v>Baik</v>
      </c>
      <c r="F20" s="341"/>
      <c r="G20" s="1155"/>
      <c r="H20" s="1155"/>
      <c r="I20" s="341"/>
      <c r="J20" s="341"/>
      <c r="K20" s="341"/>
      <c r="L20" s="341"/>
      <c r="M20" s="341"/>
      <c r="N20" s="2262"/>
      <c r="Z20" s="333">
        <f>IF(D20='kata-kata'!$K$9,5,0)</f>
        <v>5</v>
      </c>
      <c r="AB20" s="1625"/>
      <c r="AC20" s="1625"/>
      <c r="AD20" s="1625"/>
      <c r="AE20" s="1625"/>
      <c r="AF20" s="1625"/>
      <c r="AG20" s="1625"/>
      <c r="AH20" s="1625"/>
      <c r="AI20" s="1625"/>
      <c r="AJ20" s="1625"/>
      <c r="AK20" s="1625"/>
      <c r="AL20" s="1625"/>
      <c r="AM20" s="1625"/>
      <c r="AN20" s="1625"/>
      <c r="AO20" s="1625"/>
      <c r="AP20" s="1625"/>
      <c r="AQ20"/>
    </row>
    <row r="21" spans="1:43" ht="15" customHeight="1">
      <c r="A21" s="38"/>
      <c r="B21" s="1162"/>
      <c r="C21" s="33"/>
      <c r="D21" s="1155"/>
      <c r="E21" s="1155"/>
      <c r="F21" s="1155"/>
      <c r="G21" s="1155"/>
      <c r="H21" s="1155"/>
      <c r="I21" s="341"/>
      <c r="J21" s="341"/>
      <c r="K21" s="341"/>
      <c r="L21" s="341"/>
      <c r="M21" s="341"/>
      <c r="N21" s="17"/>
      <c r="Z21" s="334"/>
      <c r="AB21" s="2265" t="str">
        <f>IF(OR(I27="-",I28="-"),AE29,AE28)</f>
        <v>NG</v>
      </c>
      <c r="AC21" s="2265"/>
      <c r="AD21" s="1866" t="s">
        <v>224</v>
      </c>
      <c r="AE21" s="1866" t="s">
        <v>557</v>
      </c>
      <c r="AF21" s="1866" t="s">
        <v>238</v>
      </c>
      <c r="AG21" s="1625"/>
      <c r="AH21" s="1625"/>
      <c r="AI21" s="1625"/>
      <c r="AJ21" s="1625"/>
      <c r="AK21" s="1625"/>
      <c r="AL21" s="1625"/>
      <c r="AM21" s="1625"/>
      <c r="AN21" s="1625"/>
      <c r="AO21" s="1625"/>
      <c r="AP21" s="1625"/>
      <c r="AQ21"/>
    </row>
    <row r="22" spans="1:43" ht="15.5" customHeight="1">
      <c r="A22" s="38" t="s">
        <v>133</v>
      </c>
      <c r="B22" s="1162" t="s">
        <v>214</v>
      </c>
      <c r="C22" s="33"/>
      <c r="D22" s="1155"/>
      <c r="E22" s="1155"/>
      <c r="F22" s="1155"/>
      <c r="G22" s="1155"/>
      <c r="H22" s="1155"/>
      <c r="I22" s="341"/>
      <c r="J22" s="341"/>
      <c r="K22" s="341"/>
      <c r="L22" s="341"/>
      <c r="M22" s="341"/>
      <c r="N22" s="17"/>
      <c r="AB22" s="2265"/>
      <c r="AC22" s="2265"/>
      <c r="AD22" s="1866"/>
      <c r="AE22" s="1866"/>
      <c r="AF22" s="1866"/>
      <c r="AG22" s="1625"/>
      <c r="AH22" s="2264" t="s">
        <v>558</v>
      </c>
      <c r="AI22" s="2264"/>
      <c r="AJ22" s="2264"/>
      <c r="AK22" s="2264"/>
      <c r="AL22" s="2264"/>
      <c r="AM22" s="2264"/>
      <c r="AN22" s="2264"/>
      <c r="AO22" s="2264"/>
      <c r="AP22" s="2264"/>
      <c r="AQ22"/>
    </row>
    <row r="23" spans="1:43" s="350" customFormat="1" ht="23.25" customHeight="1">
      <c r="B23" s="1861" t="s">
        <v>99</v>
      </c>
      <c r="C23" s="2257" t="s">
        <v>139</v>
      </c>
      <c r="D23" s="2258"/>
      <c r="E23" s="2258"/>
      <c r="F23" s="2258"/>
      <c r="G23" s="2258"/>
      <c r="H23" s="2258"/>
      <c r="I23" s="1886" t="s">
        <v>140</v>
      </c>
      <c r="J23" s="1887"/>
      <c r="K23" s="1886" t="s">
        <v>215</v>
      </c>
      <c r="L23" s="1887"/>
      <c r="N23" s="355"/>
      <c r="Z23" s="360"/>
      <c r="AB23" s="1429" t="s">
        <v>559</v>
      </c>
      <c r="AC23" s="1428" t="s">
        <v>554</v>
      </c>
      <c r="AD23" s="339">
        <f>ID!P28</f>
        <v>10</v>
      </c>
      <c r="AE23" s="1427">
        <f>ESA!P142</f>
        <v>10.326850490257243</v>
      </c>
      <c r="AF23" s="1656">
        <v>100</v>
      </c>
      <c r="AG23" s="1625"/>
      <c r="AH23" s="2264" t="s">
        <v>560</v>
      </c>
      <c r="AI23" s="2264"/>
      <c r="AJ23" s="2264"/>
      <c r="AK23" s="2264"/>
      <c r="AL23" s="2264"/>
      <c r="AM23" s="2264"/>
      <c r="AN23" s="2264"/>
      <c r="AO23" s="2264"/>
      <c r="AP23" s="2264"/>
      <c r="AQ23"/>
    </row>
    <row r="24" spans="1:43" s="350" customFormat="1" ht="23.25" customHeight="1">
      <c r="B24" s="1862"/>
      <c r="C24" s="2259"/>
      <c r="D24" s="2260"/>
      <c r="E24" s="2260"/>
      <c r="F24" s="2260"/>
      <c r="G24" s="2260"/>
      <c r="H24" s="2260"/>
      <c r="I24" s="1888"/>
      <c r="J24" s="1889"/>
      <c r="K24" s="1888"/>
      <c r="L24" s="1889"/>
      <c r="N24" s="355"/>
      <c r="AB24" s="1625"/>
      <c r="AC24" s="1625"/>
      <c r="AD24" s="1625"/>
      <c r="AE24" s="1625"/>
      <c r="AF24" s="1625"/>
      <c r="AG24" s="1625"/>
      <c r="AH24" s="1625"/>
      <c r="AI24" s="1625"/>
      <c r="AJ24" s="1625"/>
      <c r="AK24" s="1625"/>
      <c r="AL24" s="1625"/>
      <c r="AM24" s="1625"/>
      <c r="AN24" s="1625"/>
      <c r="AO24" s="1625"/>
      <c r="AP24" s="1625"/>
      <c r="AQ24"/>
    </row>
    <row r="25" spans="1:43" ht="15" customHeight="1">
      <c r="B25" s="48">
        <v>1</v>
      </c>
      <c r="C25" s="2223" t="str">
        <f>ID!C25</f>
        <v>Resistansi Isolasi</v>
      </c>
      <c r="D25" s="2224"/>
      <c r="E25" s="2224"/>
      <c r="F25" s="2224"/>
      <c r="G25" s="2224"/>
      <c r="H25" s="2224"/>
      <c r="I25" s="1165" t="str">
        <f>ESA!P138</f>
        <v>OL</v>
      </c>
      <c r="J25" s="1166" t="str">
        <f>IF(I25="-","",IF(I25="OL","","MΩ"))</f>
        <v/>
      </c>
      <c r="K25" s="2249" t="str">
        <f>ID!L25</f>
        <v>≥ 2</v>
      </c>
      <c r="L25" s="2250"/>
      <c r="M25" s="111" t="str">
        <f>IF(Z25=10,$Z$57,$Z$58)</f>
        <v>û</v>
      </c>
      <c r="N25" s="2242">
        <f>IF(O27="OVER",0,IF(O28="OVER",0,SUM(O25:O28)))</f>
        <v>20</v>
      </c>
      <c r="O25" s="1664">
        <f>IF(I25="OL",10,IF(I25="-",10,IF(I25&lt;2,10,0)))</f>
        <v>10</v>
      </c>
      <c r="Z25" s="1624"/>
      <c r="AB25" s="1625"/>
      <c r="AC25" s="1625"/>
      <c r="AD25" s="1625"/>
      <c r="AE25" s="1625"/>
      <c r="AF25" s="1625"/>
      <c r="AG25" s="1625"/>
      <c r="AH25" s="1625"/>
      <c r="AI25" s="1625"/>
      <c r="AJ25" s="1625"/>
      <c r="AK25" s="1625"/>
      <c r="AL25" s="1625"/>
      <c r="AM25" s="1625"/>
      <c r="AN25" s="1625"/>
      <c r="AO25" s="1625"/>
      <c r="AP25" s="1625"/>
      <c r="AQ25"/>
    </row>
    <row r="26" spans="1:43" ht="15.5" customHeight="1">
      <c r="B26" s="48">
        <v>2</v>
      </c>
      <c r="C26" s="2223" t="str">
        <f>ID!C26</f>
        <v>Resistansi Pembumian Protektif (kabel tidak dapat dilepas)</v>
      </c>
      <c r="D26" s="2224"/>
      <c r="E26" s="2224"/>
      <c r="F26" s="2224"/>
      <c r="G26" s="2224"/>
      <c r="H26" s="2224"/>
      <c r="I26" s="1167">
        <f>ESA!P139</f>
        <v>9.8954375461743974E-2</v>
      </c>
      <c r="J26" s="1166" t="str">
        <f>IF(I26="-","",IF(I26="OL","","Ω"))</f>
        <v>Ω</v>
      </c>
      <c r="K26" s="2251" t="str">
        <f>ID!L26</f>
        <v>≤ 0.3</v>
      </c>
      <c r="L26" s="2252"/>
      <c r="M26" s="111" t="str">
        <f>IF(Z26=10,$Z$57,$Z$58)</f>
        <v>û</v>
      </c>
      <c r="N26" s="2242"/>
      <c r="O26" s="1665">
        <f>IF(I26="OL",10,IF(I26="-",10,IF(I26&lt;'kata-kata'!J49,10,0)))</f>
        <v>10</v>
      </c>
      <c r="Z26" s="1624"/>
      <c r="AB26" s="1625"/>
      <c r="AC26" s="1625"/>
      <c r="AD26" s="1625"/>
      <c r="AE26" s="1625"/>
      <c r="AF26" s="1625"/>
      <c r="AG26" s="1625"/>
      <c r="AH26" s="2241" t="s">
        <v>151</v>
      </c>
      <c r="AI26" s="2241"/>
      <c r="AJ26" s="2241"/>
      <c r="AK26" s="2241"/>
      <c r="AL26" s="2241"/>
      <c r="AM26" s="2241"/>
      <c r="AN26" s="2241"/>
      <c r="AO26" s="1625"/>
      <c r="AP26" s="1625"/>
      <c r="AQ26"/>
    </row>
    <row r="27" spans="1:43" ht="15.5" customHeight="1">
      <c r="B27" s="48">
        <v>3</v>
      </c>
      <c r="C27" s="2223" t="str">
        <f>ID!C27</f>
        <v>Arus bocor peralatan untuk peralatan elektromedik kelas I</v>
      </c>
      <c r="D27" s="2224"/>
      <c r="E27" s="2224"/>
      <c r="F27" s="2224"/>
      <c r="G27" s="2224"/>
      <c r="H27" s="2224"/>
      <c r="I27" s="1165" t="str">
        <f>ESA!P140</f>
        <v>-</v>
      </c>
      <c r="J27" s="1166" t="str">
        <f>IF(I27="-","",IF(I27="OL","","µA"))</f>
        <v/>
      </c>
      <c r="K27" s="2249" t="str">
        <f>ID!L27</f>
        <v>≤ 500</v>
      </c>
      <c r="L27" s="2250"/>
      <c r="M27" s="111" t="str">
        <f>IF(Z27=10,$Z$57,$Z$58)</f>
        <v>û</v>
      </c>
      <c r="N27" s="2242"/>
      <c r="O27" s="1665">
        <f>IF(I27="OL",0,IF(I27="-",0,IF(I27&lt;'kata-kata'!K49,0,IF(AE23&gt;AF23,"OVER",0))))</f>
        <v>0</v>
      </c>
      <c r="Z27" s="1624"/>
      <c r="AB27" s="1866" t="s">
        <v>561</v>
      </c>
      <c r="AC27" s="1863" t="s">
        <v>238</v>
      </c>
      <c r="AD27" s="1191"/>
      <c r="AE27" s="1429" t="s">
        <v>562</v>
      </c>
      <c r="AF27" s="1625"/>
      <c r="AG27" s="1625"/>
      <c r="AH27" s="1626" t="s">
        <v>437</v>
      </c>
      <c r="AI27" s="448"/>
      <c r="AJ27" s="448"/>
      <c r="AK27" s="448"/>
      <c r="AL27" s="448"/>
      <c r="AM27" s="449"/>
      <c r="AN27" s="1627">
        <v>0.2</v>
      </c>
      <c r="AO27" s="1625" t="s">
        <v>563</v>
      </c>
      <c r="AP27" s="1625"/>
      <c r="AQ27"/>
    </row>
    <row r="28" spans="1:43" ht="15.5" customHeight="1">
      <c r="B28" s="48">
        <v>4</v>
      </c>
      <c r="C28" s="2223" t="str">
        <f>ID!C28</f>
        <v>Arus bocor bagian yang diaplikasikan</v>
      </c>
      <c r="D28" s="2224"/>
      <c r="E28" s="2224"/>
      <c r="F28" s="2224"/>
      <c r="G28" s="2224"/>
      <c r="H28" s="2224"/>
      <c r="I28" s="1165" t="str">
        <f>ESA!P141</f>
        <v>-</v>
      </c>
      <c r="J28" s="1166" t="str">
        <f>IF(I28="-","",IF(I28="OL","","µA"))</f>
        <v/>
      </c>
      <c r="K28" s="2249" t="str">
        <f>ID!L28</f>
        <v>≤ 50</v>
      </c>
      <c r="L28" s="2250"/>
      <c r="M28" s="111" t="str">
        <f>IF(Z28=10,$Z$57,$Z$58)</f>
        <v>û</v>
      </c>
      <c r="N28" s="2242"/>
      <c r="O28" s="1666">
        <f>IF(I28="-",0,IF(I28&gt;50,"OVER",10))</f>
        <v>0</v>
      </c>
      <c r="Z28" s="1624"/>
      <c r="AB28" s="1866"/>
      <c r="AC28" s="1864"/>
      <c r="AD28" s="1191"/>
      <c r="AE28" s="1429" t="s">
        <v>165</v>
      </c>
      <c r="AF28" s="1625"/>
      <c r="AG28" s="1625"/>
      <c r="AH28" s="1628" t="s">
        <v>438</v>
      </c>
      <c r="AI28" s="1629"/>
      <c r="AJ28" s="1629"/>
      <c r="AK28" s="1629"/>
      <c r="AL28" s="1629"/>
      <c r="AM28" s="1630"/>
      <c r="AN28" s="1627">
        <v>0.3</v>
      </c>
      <c r="AO28" s="1625" t="s">
        <v>564</v>
      </c>
      <c r="AP28" s="1625"/>
      <c r="AQ28"/>
    </row>
    <row r="29" spans="1:43" ht="12.75" customHeight="1">
      <c r="B29" s="1168"/>
      <c r="C29" s="1169"/>
      <c r="D29" s="1169"/>
      <c r="E29" s="1169"/>
      <c r="F29" s="1169"/>
      <c r="G29" s="1169"/>
      <c r="H29" s="1169"/>
      <c r="I29" s="1170"/>
      <c r="J29" s="1171"/>
      <c r="K29" s="133"/>
      <c r="L29" s="933"/>
      <c r="M29" s="111"/>
      <c r="N29" s="1172"/>
      <c r="Z29" s="334"/>
      <c r="AB29" s="1427" t="str">
        <f>IF(OR(AD23="",C27=AH30,AB21=AE29),I27,IF(I27&gt;'kata-kata'!K49,AE23,I27))</f>
        <v>-</v>
      </c>
      <c r="AC29" s="1429" t="str">
        <f>IF(OR(AD23="",C27=AH30,AB21=AE29),K27,IF(I27&gt;'kata-kata'!K49,AF23,K27))</f>
        <v>≤ 500</v>
      </c>
      <c r="AD29" s="1191"/>
      <c r="AE29" s="1429" t="s">
        <v>167</v>
      </c>
      <c r="AF29" s="1625"/>
      <c r="AG29" s="1625"/>
      <c r="AH29" s="1631" t="s">
        <v>440</v>
      </c>
      <c r="AI29" s="1632"/>
      <c r="AJ29" s="1632"/>
      <c r="AK29" s="1632"/>
      <c r="AL29" s="1632"/>
      <c r="AM29" s="1630"/>
      <c r="AN29" s="1633">
        <v>500</v>
      </c>
      <c r="AO29" s="1625"/>
      <c r="AP29" s="1625"/>
      <c r="AQ29"/>
    </row>
    <row r="30" spans="1:43" ht="15" customHeight="1">
      <c r="A30" s="39" t="s">
        <v>233</v>
      </c>
      <c r="B30" s="39" t="str">
        <f>ID!B30</f>
        <v xml:space="preserve">Pengujian Kinerja </v>
      </c>
      <c r="C30" s="33"/>
      <c r="D30" s="341"/>
      <c r="E30" s="341"/>
      <c r="F30" s="341"/>
      <c r="G30" s="341"/>
      <c r="H30" s="341"/>
      <c r="I30" s="1173"/>
      <c r="J30" s="1174"/>
      <c r="K30" s="341"/>
      <c r="L30" s="341"/>
      <c r="M30" s="341"/>
      <c r="N30" s="17"/>
      <c r="AB30" s="1625"/>
      <c r="AC30" s="1191"/>
      <c r="AD30" s="1191"/>
      <c r="AE30" s="1191"/>
      <c r="AF30" s="1191"/>
      <c r="AG30" s="1191"/>
      <c r="AH30" s="1631" t="s">
        <v>441</v>
      </c>
      <c r="AI30" s="1632"/>
      <c r="AJ30" s="1632"/>
      <c r="AK30" s="1632"/>
      <c r="AL30" s="1632"/>
      <c r="AM30" s="1630"/>
      <c r="AN30" s="1633">
        <v>100</v>
      </c>
      <c r="AO30" s="1625"/>
      <c r="AP30" s="1625"/>
      <c r="AQ30"/>
    </row>
    <row r="31" spans="1:43" ht="6" customHeight="1">
      <c r="A31" s="39"/>
      <c r="B31" s="39"/>
      <c r="C31" s="33"/>
      <c r="D31" s="341"/>
      <c r="E31" s="341"/>
      <c r="F31" s="341"/>
      <c r="G31" s="341"/>
      <c r="H31" s="341"/>
      <c r="I31" s="1173"/>
      <c r="J31" s="1174"/>
      <c r="K31" s="341"/>
      <c r="L31" s="341"/>
      <c r="M31" s="341"/>
      <c r="N31" s="17"/>
      <c r="AB31" s="334"/>
    </row>
    <row r="32" spans="1:43" ht="15" customHeight="1">
      <c r="A32" s="39"/>
      <c r="B32" s="39" t="str">
        <f>ID!B32</f>
        <v>a. Kalibrasi Akurasi Energi</v>
      </c>
      <c r="C32" s="33"/>
      <c r="D32" s="341"/>
      <c r="E32" s="341"/>
      <c r="F32" s="341"/>
      <c r="G32" s="341"/>
      <c r="H32" s="341"/>
      <c r="I32" s="1173"/>
      <c r="J32" s="1174"/>
      <c r="K32" s="341"/>
      <c r="L32" s="341"/>
      <c r="M32" s="341"/>
      <c r="N32" s="17"/>
      <c r="AB32" s="334"/>
    </row>
    <row r="33" spans="2:35" s="350" customFormat="1" ht="15" customHeight="1">
      <c r="B33" s="2187" t="s">
        <v>99</v>
      </c>
      <c r="C33" s="2222" t="s">
        <v>139</v>
      </c>
      <c r="D33" s="2187" t="s">
        <v>472</v>
      </c>
      <c r="E33" s="2187" t="s">
        <v>134</v>
      </c>
      <c r="F33" s="2187" t="s">
        <v>473</v>
      </c>
      <c r="G33" s="2187" t="s">
        <v>474</v>
      </c>
      <c r="H33" s="2187" t="s">
        <v>475</v>
      </c>
      <c r="I33" s="2187" t="s">
        <v>476</v>
      </c>
      <c r="J33" s="2187"/>
      <c r="L33" s="2225" t="s">
        <v>477</v>
      </c>
      <c r="M33" s="2226"/>
      <c r="Q33" s="353"/>
      <c r="AA33" s="355"/>
      <c r="AC33" s="765"/>
    </row>
    <row r="34" spans="2:35" s="350" customFormat="1" ht="15" customHeight="1">
      <c r="B34" s="2187"/>
      <c r="C34" s="2222"/>
      <c r="D34" s="2187"/>
      <c r="E34" s="2187"/>
      <c r="F34" s="2187"/>
      <c r="G34" s="2187"/>
      <c r="H34" s="2187"/>
      <c r="I34" s="2187"/>
      <c r="J34" s="2187"/>
      <c r="L34" s="2225"/>
      <c r="M34" s="2226"/>
      <c r="Q34" s="353"/>
      <c r="AC34" s="765"/>
    </row>
    <row r="35" spans="2:35" s="350" customFormat="1" ht="15" customHeight="1">
      <c r="B35" s="2187"/>
      <c r="C35" s="2222"/>
      <c r="D35" s="2187"/>
      <c r="E35" s="2187"/>
      <c r="F35" s="2187"/>
      <c r="G35" s="2187"/>
      <c r="H35" s="2187"/>
      <c r="I35" s="2187"/>
      <c r="J35" s="2187"/>
      <c r="L35" s="2225"/>
      <c r="M35" s="2226"/>
      <c r="Q35" s="768"/>
      <c r="AC35" s="765"/>
    </row>
    <row r="36" spans="2:35" ht="14.25" customHeight="1">
      <c r="B36" s="606">
        <v>1</v>
      </c>
      <c r="C36" s="1895" t="str">
        <f>ID!C35</f>
        <v>Energi ( J )</v>
      </c>
      <c r="D36" s="606">
        <f>IF(E36="-","-",ID!D35)</f>
        <v>5</v>
      </c>
      <c r="E36" s="126">
        <f>IF(I36="-","-",ID!I35)</f>
        <v>5.2375662290099534</v>
      </c>
      <c r="F36" s="110">
        <f>IFERROR('Input Data Sertifikat Defib'!I103,"-")</f>
        <v>0.23756622900995339</v>
      </c>
      <c r="G36" s="110">
        <f>IFERROR('Input Data Sertifikat Defib'!J103,"-")</f>
        <v>4.5358133648814993</v>
      </c>
      <c r="H36" s="2246">
        <v>15</v>
      </c>
      <c r="I36" s="2193">
        <f>IFERROR('Input Data Sertifikat Defib'!N103,"-")</f>
        <v>11.607472917768806</v>
      </c>
      <c r="J36" s="2194"/>
      <c r="K36" s="1175" t="str">
        <f t="shared" ref="K36:K44" si="0">IF(Z36="YES",$AA$57,$AA$58)</f>
        <v>û</v>
      </c>
      <c r="L36" s="2227">
        <f>IF(E36="-","-",(ABS(G36)+I36))</f>
        <v>16.143286282650305</v>
      </c>
      <c r="M36" s="2228"/>
      <c r="N36" s="2238">
        <f>IF(AA43&gt;=70,1,0)</f>
        <v>1</v>
      </c>
      <c r="O36" s="2243">
        <f>N36*N50*N54</f>
        <v>1</v>
      </c>
      <c r="P36" s="947"/>
      <c r="Q36" s="165"/>
      <c r="R36" s="30"/>
      <c r="S36" s="30"/>
      <c r="Z36" s="767" t="str">
        <f t="shared" ref="Z36:Z44" si="1">IF(L36&lt;=15,"YES","NO")</f>
        <v>NO</v>
      </c>
      <c r="AC36" s="554"/>
      <c r="AF36" s="2230"/>
      <c r="AG36" s="2230"/>
      <c r="AH36" s="2230"/>
    </row>
    <row r="37" spans="2:35" ht="14.25" customHeight="1">
      <c r="B37" s="606">
        <v>2</v>
      </c>
      <c r="C37" s="1896"/>
      <c r="D37" s="606">
        <f>IF(E37="-","-",ID!D36)</f>
        <v>10</v>
      </c>
      <c r="E37" s="126">
        <f>IF(I37="-","-",ID!I36)</f>
        <v>10.729337726692501</v>
      </c>
      <c r="F37" s="110">
        <f>IFERROR('Input Data Sertifikat Defib'!I104,"-")</f>
        <v>0.72933772669250096</v>
      </c>
      <c r="G37" s="110">
        <f>IFERROR('Input Data Sertifikat Defib'!J104,"-")</f>
        <v>6.7976024734318017</v>
      </c>
      <c r="H37" s="2247"/>
      <c r="I37" s="2193">
        <f>IFERROR('Input Data Sertifikat Defib'!N104,"-")</f>
        <v>9.4862631848882213</v>
      </c>
      <c r="J37" s="2194"/>
      <c r="K37" s="1175" t="str">
        <f t="shared" si="0"/>
        <v>û</v>
      </c>
      <c r="L37" s="2227">
        <f t="shared" ref="L37:L44" si="2">IF(E37="-","-",(ABS(G37)+ABS(I37)))</f>
        <v>16.283865658320025</v>
      </c>
      <c r="M37" s="2228"/>
      <c r="N37" s="2239"/>
      <c r="O37" s="2244"/>
      <c r="P37" s="946"/>
      <c r="Q37" s="165"/>
      <c r="R37" s="30"/>
      <c r="S37" s="30"/>
      <c r="Z37" s="767" t="str">
        <f t="shared" si="1"/>
        <v>NO</v>
      </c>
      <c r="AC37" s="554"/>
      <c r="AF37" s="2230"/>
      <c r="AG37" s="2230"/>
      <c r="AH37" s="2230"/>
    </row>
    <row r="38" spans="2:35" ht="14.25" customHeight="1">
      <c r="B38" s="606">
        <v>3</v>
      </c>
      <c r="C38" s="1896"/>
      <c r="D38" s="606">
        <f>IF(E38="-","-",ID!D37)</f>
        <v>20</v>
      </c>
      <c r="E38" s="126">
        <f>IF(I38="-","-",ID!I37)</f>
        <v>20.215124859053262</v>
      </c>
      <c r="F38" s="110">
        <f>IFERROR('Input Data Sertifikat Defib'!I105,"-")</f>
        <v>0.21512485905326173</v>
      </c>
      <c r="G38" s="110">
        <f>IFERROR('Input Data Sertifikat Defib'!J105,"-")</f>
        <v>1.0641777409399424</v>
      </c>
      <c r="H38" s="2247"/>
      <c r="I38" s="2193">
        <f>IFERROR('Input Data Sertifikat Defib'!N105,"-")</f>
        <v>2.9387581825439906</v>
      </c>
      <c r="J38" s="2194"/>
      <c r="K38" s="1175" t="str">
        <f t="shared" si="0"/>
        <v>ü</v>
      </c>
      <c r="L38" s="2227">
        <f t="shared" si="2"/>
        <v>4.0029359234839328</v>
      </c>
      <c r="M38" s="2228"/>
      <c r="N38" s="2239"/>
      <c r="O38" s="2244"/>
      <c r="P38" s="946"/>
      <c r="Q38" s="165"/>
      <c r="R38" s="30"/>
      <c r="S38" s="30"/>
      <c r="Z38" s="767" t="str">
        <f t="shared" si="1"/>
        <v>YES</v>
      </c>
      <c r="AC38" s="554"/>
      <c r="AF38" s="2230"/>
      <c r="AG38" s="2230"/>
      <c r="AH38" s="2230"/>
    </row>
    <row r="39" spans="2:35" ht="14.25" customHeight="1">
      <c r="B39" s="606">
        <v>4</v>
      </c>
      <c r="C39" s="1896"/>
      <c r="D39" s="606">
        <f>IF(E39="-","-",ID!D38)</f>
        <v>30</v>
      </c>
      <c r="E39" s="126">
        <f>IF(I39="-","-",ID!I38)</f>
        <v>30.200163945748802</v>
      </c>
      <c r="F39" s="110">
        <f>IFERROR('Input Data Sertifikat Defib'!I106,"-")</f>
        <v>0.20016394574880181</v>
      </c>
      <c r="G39" s="110">
        <f>IFERROR('Input Data Sertifikat Defib'!J106,"-")</f>
        <v>0.66279092427568875</v>
      </c>
      <c r="H39" s="2247"/>
      <c r="I39" s="2193">
        <f>IFERROR('Input Data Sertifikat Defib'!N106,"-")</f>
        <v>1.9913332333467579</v>
      </c>
      <c r="J39" s="2194"/>
      <c r="K39" s="1175" t="str">
        <f t="shared" si="0"/>
        <v>ü</v>
      </c>
      <c r="L39" s="2227">
        <f t="shared" si="2"/>
        <v>2.6541241576224466</v>
      </c>
      <c r="M39" s="2228"/>
      <c r="N39" s="2239"/>
      <c r="O39" s="2244"/>
      <c r="P39" s="946"/>
      <c r="Q39" s="165"/>
      <c r="R39" s="30"/>
      <c r="S39" s="30"/>
      <c r="Z39" s="767" t="str">
        <f t="shared" si="1"/>
        <v>YES</v>
      </c>
      <c r="AC39" s="554"/>
      <c r="AF39" s="2230"/>
      <c r="AG39" s="2230"/>
      <c r="AH39" s="2230"/>
    </row>
    <row r="40" spans="2:35" ht="14.25" customHeight="1">
      <c r="B40" s="606">
        <v>5</v>
      </c>
      <c r="C40" s="1896"/>
      <c r="D40" s="606">
        <f>IF(E40="-","-",ID!D39)</f>
        <v>50</v>
      </c>
      <c r="E40" s="126">
        <f>IF(I40="-","-",ID!I39)</f>
        <v>51.501580664032623</v>
      </c>
      <c r="F40" s="110">
        <f>IFERROR('Input Data Sertifikat Defib'!I107,"-")</f>
        <v>1.5015806640326232</v>
      </c>
      <c r="G40" s="110">
        <f>IFERROR('Input Data Sertifikat Defib'!J107,"-")</f>
        <v>2.915601122668626</v>
      </c>
      <c r="H40" s="2247"/>
      <c r="I40" s="2193">
        <f>IFERROR('Input Data Sertifikat Defib'!N107,"-")</f>
        <v>10.698392127617335</v>
      </c>
      <c r="J40" s="2194"/>
      <c r="K40" s="1175" t="str">
        <f t="shared" si="0"/>
        <v>ü</v>
      </c>
      <c r="L40" s="2227">
        <f t="shared" si="2"/>
        <v>13.613993250285962</v>
      </c>
      <c r="M40" s="2228"/>
      <c r="N40" s="2239"/>
      <c r="O40" s="2244"/>
      <c r="P40" s="946"/>
      <c r="Q40" s="165"/>
      <c r="R40" s="30"/>
      <c r="S40" s="30"/>
      <c r="Z40" s="767" t="str">
        <f t="shared" si="1"/>
        <v>YES</v>
      </c>
      <c r="AC40" s="554"/>
      <c r="AF40" s="2230"/>
      <c r="AG40" s="2230"/>
      <c r="AH40" s="2230"/>
    </row>
    <row r="41" spans="2:35" ht="14.25" customHeight="1">
      <c r="B41" s="606">
        <v>6</v>
      </c>
      <c r="C41" s="1896"/>
      <c r="D41" s="606">
        <f>IF(E41="-","-",ID!D40)</f>
        <v>100</v>
      </c>
      <c r="E41" s="126">
        <f>IF(I41="-","-",ID!I40)</f>
        <v>98.764099007724852</v>
      </c>
      <c r="F41" s="110">
        <f>IFERROR('Input Data Sertifikat Defib'!I108,"-")</f>
        <v>-1.2359009922751483</v>
      </c>
      <c r="G41" s="110">
        <f>IFERROR('Input Data Sertifikat Defib'!J108,"-")</f>
        <v>-1.2513666450584255</v>
      </c>
      <c r="H41" s="2247"/>
      <c r="I41" s="2193">
        <f>IFERROR('Input Data Sertifikat Defib'!N108,"-")</f>
        <v>5.2137210979759336</v>
      </c>
      <c r="J41" s="2194"/>
      <c r="K41" s="1175" t="str">
        <f t="shared" si="0"/>
        <v>ü</v>
      </c>
      <c r="L41" s="2227">
        <f t="shared" si="2"/>
        <v>6.465087743034359</v>
      </c>
      <c r="M41" s="2228"/>
      <c r="N41" s="2239"/>
      <c r="O41" s="2244"/>
      <c r="P41" s="946"/>
      <c r="Q41" s="165"/>
      <c r="R41" s="30"/>
      <c r="S41" s="30"/>
      <c r="Z41" s="767" t="str">
        <f t="shared" si="1"/>
        <v>YES</v>
      </c>
      <c r="AC41" s="554"/>
      <c r="AF41" s="2230"/>
      <c r="AG41" s="2230"/>
      <c r="AH41" s="2230"/>
    </row>
    <row r="42" spans="2:35" ht="14.25" customHeight="1">
      <c r="B42" s="606">
        <v>7</v>
      </c>
      <c r="C42" s="1896"/>
      <c r="D42" s="606">
        <f>IF(E42="-","-",ID!D41)</f>
        <v>150</v>
      </c>
      <c r="E42" s="126">
        <f>IF(I42="-","-",ID!I41)</f>
        <v>149.68779834987208</v>
      </c>
      <c r="F42" s="110">
        <f>IFERROR('Input Data Sertifikat Defib'!I109,"-")</f>
        <v>-0.31220165012791767</v>
      </c>
      <c r="G42" s="110">
        <f>IFERROR('Input Data Sertifikat Defib'!J109,"-")</f>
        <v>-0.20856853636005429</v>
      </c>
      <c r="H42" s="2247"/>
      <c r="I42" s="2193">
        <f>IFERROR('Input Data Sertifikat Defib'!N109,"-")</f>
        <v>2.0169147119234996</v>
      </c>
      <c r="J42" s="2194"/>
      <c r="K42" s="1175" t="str">
        <f t="shared" si="0"/>
        <v>ü</v>
      </c>
      <c r="L42" s="2227">
        <f t="shared" si="2"/>
        <v>2.2254832482835538</v>
      </c>
      <c r="M42" s="2228"/>
      <c r="N42" s="2239"/>
      <c r="O42" s="2244"/>
      <c r="P42" s="946"/>
      <c r="Q42" s="165"/>
      <c r="R42" s="30"/>
      <c r="S42" s="30"/>
      <c r="Z42" s="767" t="str">
        <f t="shared" si="1"/>
        <v>YES</v>
      </c>
      <c r="AC42" s="554"/>
      <c r="AF42" s="2230"/>
      <c r="AG42" s="2230"/>
      <c r="AH42" s="2230"/>
    </row>
    <row r="43" spans="2:35" ht="14.25" customHeight="1">
      <c r="B43" s="606">
        <v>8</v>
      </c>
      <c r="C43" s="1896"/>
      <c r="D43" s="606">
        <f>IF(E43="-","-",ID!D42)</f>
        <v>200</v>
      </c>
      <c r="E43" s="126">
        <f>IF(I43="-","-",ID!I42)</f>
        <v>201.94283623691209</v>
      </c>
      <c r="F43" s="110">
        <f>IFERROR('Input Data Sertifikat Defib'!I110,"-")</f>
        <v>1.9428362369120862</v>
      </c>
      <c r="G43" s="110">
        <f>IFERROR('Input Data Sertifikat Defib'!J110,"-")</f>
        <v>0.96207237311098304</v>
      </c>
      <c r="H43" s="2247"/>
      <c r="I43" s="2193">
        <f>IFERROR('Input Data Sertifikat Defib'!N110,"-")</f>
        <v>3.8987925874589338</v>
      </c>
      <c r="J43" s="2194"/>
      <c r="K43" s="1175" t="str">
        <f t="shared" si="0"/>
        <v>ü</v>
      </c>
      <c r="L43" s="2227">
        <f t="shared" si="2"/>
        <v>4.8608649605699163</v>
      </c>
      <c r="M43" s="2228"/>
      <c r="N43" s="2239"/>
      <c r="O43" s="2244"/>
      <c r="P43" s="946"/>
      <c r="Q43" s="165"/>
      <c r="R43" s="30"/>
      <c r="S43" s="30"/>
      <c r="Z43" s="767" t="str">
        <f t="shared" si="1"/>
        <v>YES</v>
      </c>
      <c r="AA43" s="333">
        <f>(COUNTIF(Z36:Z44,"YES")/(COUNTA(Z36:Z44))*100)</f>
        <v>77.777777777777786</v>
      </c>
      <c r="AC43" s="554"/>
      <c r="AF43" s="2230"/>
      <c r="AG43" s="2230"/>
      <c r="AH43" s="2230"/>
    </row>
    <row r="44" spans="2:35" ht="14.25" customHeight="1">
      <c r="B44" s="606">
        <v>9</v>
      </c>
      <c r="C44" s="1897"/>
      <c r="D44" s="606">
        <f>IF(E44="-","-",ID!D43)</f>
        <v>300</v>
      </c>
      <c r="E44" s="126">
        <f>IF(I44="-","-",ID!I43)</f>
        <v>291.80818801717197</v>
      </c>
      <c r="F44" s="110">
        <f>IFERROR('Input Data Sertifikat Defib'!I111,"-")</f>
        <v>-8.1918119828280282</v>
      </c>
      <c r="G44" s="110">
        <f>IFERROR('Input Data Sertifikat Defib'!J111,"-")</f>
        <v>-2.807259124046912</v>
      </c>
      <c r="H44" s="2248"/>
      <c r="I44" s="2193">
        <f>IFERROR('Input Data Sertifikat Defib'!N111,"-")</f>
        <v>5.7033768424757421</v>
      </c>
      <c r="J44" s="2194"/>
      <c r="K44" s="1175" t="str">
        <f t="shared" si="0"/>
        <v>ü</v>
      </c>
      <c r="L44" s="2227">
        <f t="shared" si="2"/>
        <v>8.5106359665226545</v>
      </c>
      <c r="M44" s="2228"/>
      <c r="N44" s="2240"/>
      <c r="O44" s="2244"/>
      <c r="P44" s="946"/>
      <c r="Q44" s="165"/>
      <c r="R44" s="30"/>
      <c r="S44" s="30"/>
      <c r="Z44" s="767" t="str">
        <f t="shared" si="1"/>
        <v>YES</v>
      </c>
      <c r="AA44" s="333"/>
      <c r="AC44" s="554"/>
      <c r="AF44" s="2230"/>
      <c r="AG44" s="2230"/>
      <c r="AH44" s="2230"/>
    </row>
    <row r="45" spans="2:35" ht="14.25" customHeight="1">
      <c r="B45" s="140"/>
      <c r="C45" s="41"/>
      <c r="D45" s="140"/>
      <c r="E45" s="1160"/>
      <c r="F45" s="1150"/>
      <c r="G45" s="1150"/>
      <c r="H45" s="1176"/>
      <c r="I45" s="1177"/>
      <c r="J45" s="1177"/>
      <c r="N45" s="1175"/>
      <c r="O45" s="2244"/>
      <c r="P45" s="766"/>
      <c r="Q45" s="165"/>
      <c r="R45" s="30"/>
      <c r="S45" s="30"/>
      <c r="Z45" s="334"/>
      <c r="AA45" s="334"/>
      <c r="AB45" s="62"/>
      <c r="AC45" s="554"/>
      <c r="AF45" s="572"/>
      <c r="AG45" s="572"/>
      <c r="AH45" s="572"/>
    </row>
    <row r="46" spans="2:35" ht="15" customHeight="1">
      <c r="B46" s="2219" t="str">
        <f>ID!B45</f>
        <v>b. Kalibrasi Energi Maksimum 10 kali Pengisian</v>
      </c>
      <c r="C46" s="2219"/>
      <c r="D46" s="2219"/>
      <c r="E46" s="2219"/>
      <c r="F46" s="2219"/>
      <c r="G46" s="40"/>
      <c r="H46" s="40"/>
      <c r="I46" s="40"/>
      <c r="J46" s="40"/>
      <c r="K46" s="111"/>
      <c r="L46" s="2229"/>
      <c r="M46" s="2229"/>
      <c r="O46" s="2244"/>
      <c r="P46" s="30"/>
      <c r="Q46" s="165"/>
      <c r="R46" s="30"/>
      <c r="S46" s="30"/>
      <c r="T46" s="31"/>
      <c r="AF46" s="112"/>
      <c r="AG46" s="112"/>
      <c r="AH46" s="112"/>
      <c r="AI46" s="33"/>
    </row>
    <row r="47" spans="2:35" s="350" customFormat="1" ht="15" customHeight="1">
      <c r="B47" s="2187" t="s">
        <v>99</v>
      </c>
      <c r="C47" s="2222" t="s">
        <v>139</v>
      </c>
      <c r="D47" s="2187" t="s">
        <v>472</v>
      </c>
      <c r="E47" s="2187" t="s">
        <v>134</v>
      </c>
      <c r="F47" s="2187" t="s">
        <v>473</v>
      </c>
      <c r="G47" s="2187" t="s">
        <v>474</v>
      </c>
      <c r="H47" s="2187" t="s">
        <v>475</v>
      </c>
      <c r="I47" s="2187" t="s">
        <v>476</v>
      </c>
      <c r="J47" s="2187"/>
      <c r="L47" s="2191" t="s">
        <v>477</v>
      </c>
      <c r="M47" s="2191"/>
      <c r="O47" s="2244"/>
      <c r="P47" s="351"/>
      <c r="Q47" s="768"/>
      <c r="R47" s="351"/>
      <c r="AC47" s="765"/>
      <c r="AF47" s="359"/>
      <c r="AG47" s="359"/>
      <c r="AH47" s="359"/>
    </row>
    <row r="48" spans="2:35" s="350" customFormat="1" ht="12.75" customHeight="1">
      <c r="B48" s="2187"/>
      <c r="C48" s="2222"/>
      <c r="D48" s="2187"/>
      <c r="E48" s="2187"/>
      <c r="F48" s="2187"/>
      <c r="G48" s="2187"/>
      <c r="H48" s="2187"/>
      <c r="I48" s="2187"/>
      <c r="J48" s="2187"/>
      <c r="L48" s="2191"/>
      <c r="M48" s="2191"/>
      <c r="O48" s="2244"/>
      <c r="P48" s="351"/>
      <c r="Q48" s="768"/>
      <c r="R48" s="351"/>
      <c r="AC48" s="765"/>
      <c r="AF48" s="359"/>
      <c r="AG48" s="359"/>
      <c r="AH48" s="359"/>
    </row>
    <row r="49" spans="1:39" s="350" customFormat="1" ht="17.25" customHeight="1">
      <c r="B49" s="2187"/>
      <c r="C49" s="2222"/>
      <c r="D49" s="2187"/>
      <c r="E49" s="2187"/>
      <c r="F49" s="2187"/>
      <c r="G49" s="2187"/>
      <c r="H49" s="2187"/>
      <c r="I49" s="2187"/>
      <c r="J49" s="2187"/>
      <c r="L49" s="2191"/>
      <c r="M49" s="2191"/>
      <c r="O49" s="2244"/>
      <c r="P49" s="351"/>
      <c r="Q49" s="768"/>
      <c r="R49" s="351"/>
      <c r="AC49" s="765"/>
      <c r="AF49" s="359"/>
      <c r="AG49" s="359"/>
      <c r="AH49" s="359"/>
    </row>
    <row r="50" spans="1:39" ht="35.25" customHeight="1">
      <c r="B50" s="606">
        <v>1</v>
      </c>
      <c r="C50" s="1151" t="str">
        <f>C36</f>
        <v>Energi ( J )</v>
      </c>
      <c r="D50" s="606">
        <f>IF(E50="-","-",ID!D48)</f>
        <v>200</v>
      </c>
      <c r="E50" s="126">
        <f>IF(ID!K48="-","-",ID!K48)</f>
        <v>199.94582841957299</v>
      </c>
      <c r="F50" s="127">
        <f>IFERROR('Input Data Sertifikat Defib'!I114,"-")</f>
        <v>-5.4171580427009758E-2</v>
      </c>
      <c r="G50" s="127">
        <f>IFERROR('Input Data Sertifikat Defib'!J114,"-")</f>
        <v>-2.7093128601480148E-2</v>
      </c>
      <c r="H50" s="1178">
        <f>IF(E50="-","-",15)</f>
        <v>15</v>
      </c>
      <c r="I50" s="2255">
        <f>IFERROR('Input Data Sertifikat Defib'!N114,"-")</f>
        <v>0.57090667120547522</v>
      </c>
      <c r="J50" s="2256"/>
      <c r="K50" s="1175" t="str">
        <f>IF(Z50="YES",$AA$57,$AA$58)</f>
        <v>ü</v>
      </c>
      <c r="L50" s="2236">
        <f>IF(E50="-","-",ABS(G50)+I50)</f>
        <v>0.59799979980695539</v>
      </c>
      <c r="M50" s="2236"/>
      <c r="N50" s="1179">
        <f>IF(Z50="YES",1,0)</f>
        <v>1</v>
      </c>
      <c r="O50" s="2244"/>
      <c r="Q50" s="165"/>
      <c r="R50" s="30"/>
      <c r="S50" s="4"/>
      <c r="Z50" s="769" t="str">
        <f>IF(L50&lt;=15,"YES","NO")</f>
        <v>YES</v>
      </c>
      <c r="AC50" s="770"/>
      <c r="AD50" s="771"/>
      <c r="AF50" s="112"/>
      <c r="AG50" s="112"/>
      <c r="AH50" s="112"/>
    </row>
    <row r="51" spans="1:39" ht="15" customHeight="1">
      <c r="B51" s="140"/>
      <c r="C51" s="41"/>
      <c r="D51" s="140"/>
      <c r="E51" s="1160"/>
      <c r="F51" s="1150"/>
      <c r="G51" s="1150"/>
      <c r="H51" s="1176"/>
      <c r="I51" s="1177"/>
      <c r="J51" s="1177"/>
      <c r="N51" s="1175"/>
      <c r="O51" s="2244"/>
      <c r="P51" s="766"/>
      <c r="Q51" s="165"/>
      <c r="R51" s="30"/>
      <c r="S51" s="30"/>
      <c r="Z51" s="334"/>
      <c r="AA51" s="334"/>
      <c r="AB51" s="62"/>
      <c r="AC51" s="554"/>
      <c r="AF51" s="572"/>
      <c r="AG51" s="572"/>
      <c r="AH51" s="572"/>
    </row>
    <row r="52" spans="1:39" s="3" customFormat="1" ht="14">
      <c r="B52" s="39" t="str">
        <f>ID!B51</f>
        <v>c. Waktu Pengisian</v>
      </c>
      <c r="D52" s="39"/>
      <c r="E52" s="37"/>
      <c r="F52" s="37"/>
      <c r="G52" s="37"/>
      <c r="H52" s="37"/>
      <c r="I52" s="37"/>
      <c r="J52" s="37"/>
      <c r="K52" s="111"/>
      <c r="L52" s="37"/>
      <c r="M52" s="37"/>
      <c r="O52" s="2244"/>
      <c r="P52" s="30"/>
      <c r="Q52" s="165"/>
      <c r="R52" s="30"/>
      <c r="S52" s="30"/>
      <c r="T52" s="31"/>
      <c r="Z52" s="32"/>
      <c r="AA52" s="4"/>
      <c r="AB52" s="30"/>
      <c r="AC52" s="30"/>
      <c r="AD52" s="31"/>
      <c r="AE52" s="30"/>
      <c r="AF52" s="30"/>
      <c r="AG52" s="31"/>
    </row>
    <row r="53" spans="1:39" s="360" customFormat="1" ht="32.25" customHeight="1">
      <c r="B53" s="1152" t="s">
        <v>9</v>
      </c>
      <c r="C53" s="1180" t="s">
        <v>139</v>
      </c>
      <c r="D53" s="1181" t="s">
        <v>478</v>
      </c>
      <c r="E53" s="2220" t="str">
        <f>ID!G52</f>
        <v xml:space="preserve"> Pembacaan Standar</v>
      </c>
      <c r="F53" s="2221"/>
      <c r="G53" s="1182" t="s">
        <v>479</v>
      </c>
      <c r="I53" s="1183"/>
      <c r="J53" s="1184"/>
      <c r="K53" s="1184"/>
      <c r="L53" s="2237" t="s">
        <v>480</v>
      </c>
      <c r="M53" s="2237"/>
      <c r="O53" s="2244"/>
      <c r="P53" s="351"/>
      <c r="Q53" s="358"/>
      <c r="R53" s="352"/>
      <c r="AH53" s="351"/>
      <c r="AI53" s="351"/>
    </row>
    <row r="54" spans="1:39" ht="14">
      <c r="B54" s="614">
        <v>1</v>
      </c>
      <c r="C54" s="1185" t="str">
        <f>ID!C53</f>
        <v>Waktu Charging (s)</v>
      </c>
      <c r="D54" s="606">
        <v>300</v>
      </c>
      <c r="E54" s="2253">
        <f>IFERROR('DB Stopwatch (2)'!D222,"-")</f>
        <v>6.9894495495495494</v>
      </c>
      <c r="F54" s="2254"/>
      <c r="G54" s="1186" t="str">
        <f>IF(E54="-","-","≤ 15 ")</f>
        <v xml:space="preserve">≤ 15 </v>
      </c>
      <c r="I54" s="1187"/>
      <c r="J54" s="1188">
        <f>IF(N54&lt;=15,$N$31,$N$32)</f>
        <v>0</v>
      </c>
      <c r="K54" s="1189"/>
      <c r="L54" s="2232">
        <f>E54</f>
        <v>6.9894495495495494</v>
      </c>
      <c r="M54" s="2232"/>
      <c r="N54" s="1190">
        <f>IF(Z54="YES",1,0)</f>
        <v>1</v>
      </c>
      <c r="O54" s="2245"/>
      <c r="P54" s="165"/>
      <c r="Q54" s="165"/>
      <c r="R54" s="30"/>
      <c r="S54" s="31"/>
      <c r="Z54" s="769" t="str">
        <f>IF(L54&lt;=15,"YES","NO")</f>
        <v>YES</v>
      </c>
      <c r="AC54" s="35"/>
      <c r="AD54" s="34"/>
      <c r="AE54" s="34"/>
      <c r="AF54" s="35"/>
      <c r="AI54" s="30"/>
    </row>
    <row r="55" spans="1:39" ht="15" customHeight="1">
      <c r="B55" s="140"/>
      <c r="C55" s="41"/>
      <c r="D55" s="140"/>
      <c r="E55" s="1160"/>
      <c r="F55" s="1150"/>
      <c r="G55" s="1150"/>
      <c r="H55" s="1176"/>
      <c r="I55" s="1177"/>
      <c r="J55" s="1177"/>
      <c r="N55" s="1175"/>
      <c r="O55" s="30"/>
      <c r="P55" s="766"/>
      <c r="Q55" s="165"/>
      <c r="R55" s="30"/>
      <c r="S55" s="30"/>
      <c r="Z55" s="334"/>
      <c r="AA55" s="334"/>
      <c r="AB55" s="62"/>
      <c r="AC55" s="554"/>
      <c r="AF55" s="572"/>
      <c r="AG55" s="572"/>
      <c r="AH55" s="572"/>
    </row>
    <row r="56" spans="1:39" ht="15.5">
      <c r="A56" s="39"/>
      <c r="B56" s="342" t="str">
        <f>ID!B55</f>
        <v>d. Kalibrasi Heart Rate</v>
      </c>
      <c r="C56" s="33"/>
      <c r="D56" s="1191"/>
      <c r="E56" s="342"/>
      <c r="F56" s="1191"/>
      <c r="G56" s="1191"/>
      <c r="H56" s="1191"/>
      <c r="I56" s="1191"/>
      <c r="J56" s="1191"/>
      <c r="K56" s="1191"/>
      <c r="L56" s="1191"/>
      <c r="M56" s="1191"/>
      <c r="AA56" s="335"/>
      <c r="AB56" s="334"/>
    </row>
    <row r="57" spans="1:39" s="350" customFormat="1" ht="15" customHeight="1">
      <c r="B57" s="1869" t="s">
        <v>99</v>
      </c>
      <c r="C57" s="1869" t="s">
        <v>139</v>
      </c>
      <c r="D57" s="1867" t="s">
        <v>304</v>
      </c>
      <c r="E57" s="2187" t="s">
        <v>305</v>
      </c>
      <c r="F57" s="2187" t="s">
        <v>49</v>
      </c>
      <c r="G57" s="2187" t="s">
        <v>238</v>
      </c>
      <c r="H57" s="2187" t="s">
        <v>481</v>
      </c>
      <c r="I57" s="2187"/>
      <c r="J57" s="1159"/>
      <c r="L57" s="2191" t="s">
        <v>482</v>
      </c>
      <c r="M57" s="2191"/>
      <c r="Z57" s="64" t="s">
        <v>483</v>
      </c>
      <c r="AA57" s="64" t="s">
        <v>483</v>
      </c>
      <c r="AB57" s="353"/>
      <c r="AK57" s="351"/>
      <c r="AM57" s="356"/>
    </row>
    <row r="58" spans="1:39" s="350" customFormat="1" ht="15" customHeight="1">
      <c r="B58" s="1870"/>
      <c r="C58" s="1870"/>
      <c r="D58" s="1868"/>
      <c r="E58" s="2187"/>
      <c r="F58" s="2187"/>
      <c r="G58" s="2187"/>
      <c r="H58" s="2187"/>
      <c r="I58" s="2187"/>
      <c r="J58" s="1159"/>
      <c r="L58" s="2191"/>
      <c r="M58" s="2191"/>
      <c r="Z58" s="354" t="s">
        <v>484</v>
      </c>
      <c r="AA58" s="354" t="s">
        <v>484</v>
      </c>
      <c r="AB58" s="353"/>
    </row>
    <row r="59" spans="1:39" s="350" customFormat="1" ht="5.25" customHeight="1">
      <c r="B59" s="1878"/>
      <c r="C59" s="1878"/>
      <c r="D59" s="1879"/>
      <c r="E59" s="2187"/>
      <c r="F59" s="2187"/>
      <c r="G59" s="1867"/>
      <c r="H59" s="2187"/>
      <c r="I59" s="2187"/>
      <c r="J59" s="1159"/>
      <c r="L59" s="2191"/>
      <c r="M59" s="2191"/>
      <c r="AA59" s="357">
        <f>SUM(AB60:AB63)</f>
        <v>40</v>
      </c>
      <c r="AB59" s="353"/>
    </row>
    <row r="60" spans="1:39" ht="14.25" customHeight="1">
      <c r="B60" s="1903">
        <v>1</v>
      </c>
      <c r="C60" s="1895" t="str">
        <f>ID!C59</f>
        <v>Heart Rate (BPM)</v>
      </c>
      <c r="D60" s="339">
        <f>ID!D59</f>
        <v>30</v>
      </c>
      <c r="E60" s="1178">
        <f>IFERROR(ID!L59,"-")</f>
        <v>30.0001</v>
      </c>
      <c r="F60" s="1192">
        <f>IF(E60="-","-",'Input Data ECG Sim'!U272)</f>
        <v>-9.9999999999766942E-5</v>
      </c>
      <c r="G60" s="2188" t="str">
        <f>IF(D61="-","-","± 5 bpm")</f>
        <v>± 5 bpm</v>
      </c>
      <c r="H60" s="115" t="str">
        <f>IF(I60="-","","±")</f>
        <v>±</v>
      </c>
      <c r="I60" s="1156">
        <f>IF(E60="-","-",'Input Data ECG Sim'!W272)</f>
        <v>0.60096103731784867</v>
      </c>
      <c r="J60" s="111" t="str">
        <f>IF(Z60="YES",$Z$57,$Z$58)</f>
        <v>ü</v>
      </c>
      <c r="K60" s="33"/>
      <c r="L60" s="1873">
        <f>IF(E60="-","-",ABS(F60)+I60)</f>
        <v>0.60106103731784843</v>
      </c>
      <c r="M60" s="1873"/>
      <c r="N60" s="2233">
        <f>AB60</f>
        <v>40</v>
      </c>
      <c r="Z60" s="139" t="str">
        <f>IF(L60&lt;=5,"YES","NO")</f>
        <v>YES</v>
      </c>
      <c r="AA60" s="944">
        <f>(COUNTIF(Z60:Z63,"YES")/(COUNTA(Z60:Z63))*100)</f>
        <v>100</v>
      </c>
      <c r="AB60" s="139">
        <f>IF(AA60&gt;=70,AA61,0)</f>
        <v>40</v>
      </c>
      <c r="AD60" s="33"/>
      <c r="AJ60" s="23"/>
    </row>
    <row r="61" spans="1:39" ht="14.25" customHeight="1">
      <c r="B61" s="1896"/>
      <c r="C61" s="1896"/>
      <c r="D61" s="339">
        <f>ID!D60</f>
        <v>60</v>
      </c>
      <c r="E61" s="1178">
        <f>IFERROR(ID!L60,"-")</f>
        <v>60.000100000000003</v>
      </c>
      <c r="F61" s="1192">
        <f>IF(E61="-","-",'Input Data ECG Sim'!U273)</f>
        <v>-1.0000000000331966E-4</v>
      </c>
      <c r="G61" s="2189"/>
      <c r="H61" s="115" t="str">
        <f>IF(I61="-","","±")</f>
        <v>±</v>
      </c>
      <c r="I61" s="1156">
        <f>IF(E61="-","-",'Input Data ECG Sim'!W273)</f>
        <v>0.66176759408785857</v>
      </c>
      <c r="J61" s="111" t="str">
        <f>IF(Z61="YES",$Z$57,$Z$58)</f>
        <v>ü</v>
      </c>
      <c r="K61" s="33"/>
      <c r="L61" s="1873">
        <f>IF(E61="-","-",ABS(F61)+I61)</f>
        <v>0.66186759408786189</v>
      </c>
      <c r="M61" s="1873"/>
      <c r="N61" s="2234"/>
      <c r="Z61" s="139" t="str">
        <f>IF(L61&lt;=5,"YES","NO")</f>
        <v>YES</v>
      </c>
      <c r="AA61" s="570">
        <f>IF(C60='kata-kata'!J19,45,40)</f>
        <v>40</v>
      </c>
      <c r="AB61" s="334"/>
      <c r="AD61" s="33"/>
    </row>
    <row r="62" spans="1:39" ht="14.25" customHeight="1">
      <c r="B62" s="1896"/>
      <c r="C62" s="1896"/>
      <c r="D62" s="339">
        <f>ID!D61</f>
        <v>120</v>
      </c>
      <c r="E62" s="1178">
        <f>IFERROR(ID!L61,"-")</f>
        <v>120.0001</v>
      </c>
      <c r="F62" s="1192">
        <f>IF(E62="-","-",'Input Data ECG Sim'!U274)</f>
        <v>-1.0000000000331966E-4</v>
      </c>
      <c r="G62" s="2189"/>
      <c r="H62" s="115" t="str">
        <f>IF(I62="-","","±")</f>
        <v>±</v>
      </c>
      <c r="I62" s="1156">
        <f>IF(E62="-","-",'Input Data ECG Sim'!W274)</f>
        <v>0.87005313014937868</v>
      </c>
      <c r="J62" s="111" t="str">
        <f>IF(Z62="YES",$Z$57,$Z$58)</f>
        <v>ü</v>
      </c>
      <c r="K62" s="33"/>
      <c r="L62" s="1873">
        <f>IF(E62="-","-",ABS(F62)+I62)</f>
        <v>0.870153130149382</v>
      </c>
      <c r="M62" s="1873"/>
      <c r="N62" s="2234"/>
      <c r="Z62" s="139" t="str">
        <f>IF(L62&lt;=5,"YES","NO")</f>
        <v>YES</v>
      </c>
      <c r="AA62" s="570"/>
      <c r="AB62" s="334"/>
      <c r="AD62" s="33"/>
    </row>
    <row r="63" spans="1:39" ht="14.25" customHeight="1">
      <c r="B63" s="1897"/>
      <c r="C63" s="1897"/>
      <c r="D63" s="339">
        <f>ID!D62</f>
        <v>180</v>
      </c>
      <c r="E63" s="1178">
        <f>IFERROR(ID!L62,"-")</f>
        <v>180.0001</v>
      </c>
      <c r="F63" s="1192">
        <f>IF(E63="-","-",'Input Data ECG Sim'!U275)</f>
        <v>-1.0000000000331966E-4</v>
      </c>
      <c r="G63" s="2190"/>
      <c r="H63" s="115" t="str">
        <f>IF(I63="-","","±")</f>
        <v>±</v>
      </c>
      <c r="I63" s="1156">
        <f>IF(E63="-","-",'Input Data ECG Sim'!W275)</f>
        <v>1.1402585474714042</v>
      </c>
      <c r="J63" s="111" t="str">
        <f>IF(Z63="YES",$Z$57,$Z$58)</f>
        <v>ü</v>
      </c>
      <c r="K63" s="33"/>
      <c r="L63" s="1873">
        <f>IF(E63="-","-",ABS(F63)+I63)</f>
        <v>1.1403585474714075</v>
      </c>
      <c r="M63" s="1873"/>
      <c r="N63" s="2235"/>
      <c r="Z63" s="139" t="str">
        <f>IF(L63&lt;=5,"YES","NO")</f>
        <v>YES</v>
      </c>
      <c r="AA63" s="943"/>
      <c r="AB63" s="334"/>
      <c r="AD63" s="33"/>
    </row>
    <row r="64" spans="1:39" ht="14.25" customHeight="1">
      <c r="B64" s="140"/>
      <c r="C64" s="41"/>
      <c r="D64" s="343"/>
      <c r="E64" s="1157"/>
      <c r="F64" s="1157"/>
      <c r="G64" s="1157"/>
      <c r="H64" s="1157"/>
      <c r="I64" s="1157"/>
      <c r="J64" s="111"/>
      <c r="K64" s="33"/>
      <c r="L64" s="2231"/>
      <c r="M64" s="2231"/>
      <c r="AA64" s="31"/>
      <c r="AB64" s="334"/>
    </row>
    <row r="65" spans="1:42" ht="14">
      <c r="B65" s="342" t="str">
        <f>ID!B67</f>
        <v>e. Kalibrasi Respirasi</v>
      </c>
      <c r="C65" s="33"/>
      <c r="D65" s="1191"/>
      <c r="E65" s="43"/>
      <c r="F65" s="131"/>
      <c r="G65" s="132"/>
      <c r="H65" s="133"/>
      <c r="I65" s="60"/>
      <c r="J65" s="111"/>
      <c r="K65" s="341"/>
      <c r="L65" s="134"/>
      <c r="M65" s="134"/>
      <c r="N65" s="32"/>
      <c r="Z65" s="352"/>
      <c r="AA65" s="353"/>
      <c r="AB65" s="358"/>
      <c r="AC65" s="350"/>
      <c r="AI65" s="32"/>
      <c r="AL65" s="34"/>
      <c r="AM65" s="35"/>
      <c r="AP65" s="30"/>
    </row>
    <row r="66" spans="1:42" s="350" customFormat="1" ht="14.25" customHeight="1">
      <c r="B66" s="1869" t="s">
        <v>99</v>
      </c>
      <c r="C66" s="1869" t="s">
        <v>139</v>
      </c>
      <c r="D66" s="1867" t="s">
        <v>304</v>
      </c>
      <c r="E66" s="2187" t="s">
        <v>305</v>
      </c>
      <c r="F66" s="2187" t="s">
        <v>49</v>
      </c>
      <c r="G66" s="2187" t="s">
        <v>238</v>
      </c>
      <c r="H66" s="2187" t="s">
        <v>481</v>
      </c>
      <c r="I66" s="2187"/>
      <c r="J66" s="1193"/>
      <c r="K66" s="1159"/>
      <c r="L66" s="2191" t="s">
        <v>482</v>
      </c>
      <c r="M66" s="2191"/>
      <c r="N66" s="353"/>
      <c r="Z66" s="352"/>
      <c r="AB66" s="358"/>
      <c r="AI66" s="358"/>
      <c r="AL66" s="351"/>
      <c r="AM66" s="352"/>
      <c r="AP66" s="351"/>
    </row>
    <row r="67" spans="1:42" s="350" customFormat="1" ht="14.25" customHeight="1">
      <c r="B67" s="1870"/>
      <c r="C67" s="1870"/>
      <c r="D67" s="1868"/>
      <c r="E67" s="2187"/>
      <c r="F67" s="2187"/>
      <c r="G67" s="2187"/>
      <c r="H67" s="2187"/>
      <c r="I67" s="2187"/>
      <c r="J67" s="1193"/>
      <c r="K67" s="1159"/>
      <c r="L67" s="2191"/>
      <c r="M67" s="2191"/>
      <c r="N67" s="353"/>
      <c r="AI67" s="358"/>
      <c r="AL67" s="351"/>
      <c r="AM67" s="352"/>
      <c r="AP67" s="351"/>
    </row>
    <row r="68" spans="1:42" ht="20.25" customHeight="1">
      <c r="B68" s="1863">
        <v>1</v>
      </c>
      <c r="C68" s="1895" t="s">
        <v>485</v>
      </c>
      <c r="D68" s="1158">
        <f>ID!D71</f>
        <v>20</v>
      </c>
      <c r="E68" s="126">
        <f>IFERROR(ID!L71,"-")</f>
        <v>20.0001</v>
      </c>
      <c r="F68" s="127">
        <f>IF(E68="-","-",'Input Data ECG Sim'!U281)</f>
        <v>-9.9999999999766942E-5</v>
      </c>
      <c r="G68" s="2188" t="str">
        <f>IF(E68:E71="-","-","±  5 BrPM")</f>
        <v>±  5 BrPM</v>
      </c>
      <c r="H68" s="115" t="str">
        <f t="shared" ref="H68:H71" si="3">IF(I68="-","","±")</f>
        <v>±</v>
      </c>
      <c r="I68" s="1156">
        <f>IFERROR('Input Data ECG Sim'!W281,"-")</f>
        <v>0.58027813280182117</v>
      </c>
      <c r="J68" s="111" t="str">
        <f>IF(Z68="YES",$Z$57,$Z$58)</f>
        <v>ü</v>
      </c>
      <c r="K68" s="341"/>
      <c r="L68" s="1873">
        <f>IF(E68="-","-",ABS(F68)+I68)</f>
        <v>0.58037813280182093</v>
      </c>
      <c r="M68" s="1873"/>
      <c r="N68" s="2202">
        <f>AA69</f>
        <v>10</v>
      </c>
      <c r="Z68" s="769" t="str">
        <f>IF(L68&lt;=5,"YES","NO")</f>
        <v>YES</v>
      </c>
      <c r="AA68" s="769">
        <f>(COUNTIF(Z68:Z71,"YES")/(COUNTA(Z68:Z71))*100)</f>
        <v>100</v>
      </c>
      <c r="AD68" s="350"/>
      <c r="AI68" s="164"/>
      <c r="AL68" s="34"/>
      <c r="AM68" s="35"/>
      <c r="AP68" s="30"/>
    </row>
    <row r="69" spans="1:42" ht="15" customHeight="1">
      <c r="B69" s="1894"/>
      <c r="C69" s="1896"/>
      <c r="D69" s="1158">
        <f>ID!D72</f>
        <v>30</v>
      </c>
      <c r="E69" s="126">
        <f>IFERROR(ID!L72,"-")</f>
        <v>30.0001</v>
      </c>
      <c r="F69" s="127">
        <f>IF(E69="-","-",'Input Data ECG Sim'!U282)</f>
        <v>-9.9999999999766942E-5</v>
      </c>
      <c r="G69" s="2189"/>
      <c r="H69" s="115" t="str">
        <f t="shared" si="3"/>
        <v>±</v>
      </c>
      <c r="I69" s="1156">
        <f>IFERROR('Input Data ECG Sim'!W282,"-")</f>
        <v>0.58084191518126949</v>
      </c>
      <c r="J69" s="111" t="str">
        <f>IF(Z69="YES",$Z$57,$Z$58)</f>
        <v>ü</v>
      </c>
      <c r="K69" s="341"/>
      <c r="L69" s="1873">
        <f>IF(E69="-","-",ABS(F69)+I69)</f>
        <v>0.58094191518126925</v>
      </c>
      <c r="M69" s="1873"/>
      <c r="N69" s="2203"/>
      <c r="Z69" s="769" t="str">
        <f>IF(L69&lt;=5,"YES","NO")</f>
        <v>YES</v>
      </c>
      <c r="AA69" s="769">
        <f>IF(AA68&gt;=70,AA70,0)</f>
        <v>10</v>
      </c>
      <c r="AB69" s="334"/>
      <c r="AD69" s="350"/>
      <c r="AI69" s="164"/>
      <c r="AL69" s="34"/>
      <c r="AM69" s="35"/>
      <c r="AP69" s="30"/>
    </row>
    <row r="70" spans="1:42" ht="15" customHeight="1">
      <c r="B70" s="1894"/>
      <c r="C70" s="1896"/>
      <c r="D70" s="1158">
        <f>ID!D73</f>
        <v>40</v>
      </c>
      <c r="E70" s="126">
        <f>IFERROR(ID!L73,"-")</f>
        <v>40.000100000000003</v>
      </c>
      <c r="F70" s="127">
        <f>IF(E70="-","-",'Input Data ECG Sim'!U283)</f>
        <v>-1.0000000000331966E-4</v>
      </c>
      <c r="G70" s="2189"/>
      <c r="H70" s="115" t="str">
        <f t="shared" si="3"/>
        <v>±</v>
      </c>
      <c r="I70" s="1156">
        <f>IFERROR('Input Data ECG Sim'!W283,"-")</f>
        <v>0.58163076746086828</v>
      </c>
      <c r="J70" s="111" t="str">
        <f>IF(Z70="YES",$Z$57,$Z$58)</f>
        <v>ü</v>
      </c>
      <c r="K70" s="341"/>
      <c r="L70" s="1873">
        <f>IF(E70="-","-",ABS(F70)+I70)</f>
        <v>0.5817307674608716</v>
      </c>
      <c r="M70" s="1873"/>
      <c r="N70" s="2203"/>
      <c r="Z70" s="769" t="str">
        <f>IF(L70&lt;=5,"YES","NO")</f>
        <v>YES</v>
      </c>
      <c r="AA70" s="769">
        <f>IF(C60='kata-kata'!J19,5,10)</f>
        <v>10</v>
      </c>
      <c r="AB70" s="334"/>
      <c r="AI70" s="164"/>
      <c r="AL70" s="34"/>
      <c r="AM70" s="35"/>
      <c r="AP70" s="30"/>
    </row>
    <row r="71" spans="1:42" ht="15" customHeight="1">
      <c r="B71" s="1864"/>
      <c r="C71" s="1897"/>
      <c r="D71" s="1158">
        <f>ID!D74</f>
        <v>60</v>
      </c>
      <c r="E71" s="126">
        <f>IFERROR(ID!L74,"-")</f>
        <v>60.000100000000003</v>
      </c>
      <c r="F71" s="127">
        <f>IF(E71="-","-",'Input Data ECG Sim'!U284)</f>
        <v>-1.0000000000331966E-4</v>
      </c>
      <c r="G71" s="2190"/>
      <c r="H71" s="115" t="str">
        <f t="shared" si="3"/>
        <v>±</v>
      </c>
      <c r="I71" s="1156">
        <f>IFERROR('Input Data ECG Sim'!W284,"-")</f>
        <v>0.58388175350764715</v>
      </c>
      <c r="J71" s="111" t="str">
        <f>IF(Z71="YES",$Z$57,$Z$58)</f>
        <v>ü</v>
      </c>
      <c r="K71" s="341"/>
      <c r="L71" s="1873">
        <f>IF(E71="-","-",ABS(F71)+I71)</f>
        <v>0.58398175350765047</v>
      </c>
      <c r="M71" s="1873"/>
      <c r="N71" s="2204"/>
      <c r="Z71" s="769" t="str">
        <f>IF(L71&lt;=5,"YES","NO")</f>
        <v>YES</v>
      </c>
      <c r="AA71" s="573"/>
      <c r="AB71" s="334"/>
      <c r="AD71" s="337"/>
      <c r="AE71" s="337"/>
      <c r="AF71" s="945"/>
      <c r="AI71" s="164"/>
      <c r="AL71" s="34"/>
      <c r="AM71" s="35"/>
      <c r="AP71" s="30"/>
    </row>
    <row r="72" spans="1:42" ht="6.75" customHeight="1">
      <c r="B72" s="41"/>
      <c r="C72" s="41"/>
      <c r="D72" s="343"/>
      <c r="E72" s="43"/>
      <c r="F72" s="131"/>
      <c r="G72" s="132"/>
      <c r="H72" s="133"/>
      <c r="I72" s="60"/>
      <c r="J72" s="111"/>
      <c r="K72" s="341"/>
      <c r="L72" s="134"/>
      <c r="M72" s="134"/>
      <c r="N72" s="32"/>
      <c r="Q72" s="31"/>
      <c r="R72" s="30"/>
      <c r="S72" s="338"/>
      <c r="AG72" s="33"/>
      <c r="AI72" s="164"/>
      <c r="AL72" s="34"/>
      <c r="AM72" s="35"/>
      <c r="AP72" s="30"/>
    </row>
    <row r="73" spans="1:42" ht="13.5" customHeight="1">
      <c r="A73" s="45" t="s">
        <v>261</v>
      </c>
      <c r="B73" s="1194" t="s">
        <v>308</v>
      </c>
      <c r="C73" s="1195"/>
      <c r="D73" s="346"/>
      <c r="E73" s="347"/>
      <c r="F73" s="347"/>
      <c r="G73" s="347"/>
      <c r="H73" s="347"/>
      <c r="I73" s="347"/>
      <c r="J73" s="348"/>
      <c r="K73" s="348"/>
      <c r="L73" s="348"/>
      <c r="M73" s="348"/>
      <c r="N73" s="20"/>
      <c r="AG73" s="33"/>
      <c r="AI73" s="164"/>
      <c r="AL73" s="34"/>
      <c r="AM73" s="35"/>
      <c r="AP73" s="30"/>
    </row>
    <row r="74" spans="1:42" ht="13.5" customHeight="1">
      <c r="A74" s="8"/>
      <c r="B74" s="345" t="str">
        <f>ID!B77</f>
        <v>Ketidakpastian Pengukuran Energi dilaporkan pada tingkat kepercayaan 95 % dengan faktor cakupan k = 2</v>
      </c>
      <c r="C74" s="1195"/>
      <c r="D74" s="346"/>
      <c r="E74" s="347"/>
      <c r="F74" s="347"/>
      <c r="G74" s="347"/>
      <c r="H74" s="347"/>
      <c r="I74" s="347"/>
      <c r="J74" s="348"/>
      <c r="K74" s="348"/>
      <c r="L74" s="348"/>
      <c r="M74" s="348"/>
      <c r="N74" s="20"/>
      <c r="Q74" s="31"/>
      <c r="R74" s="336"/>
      <c r="S74" s="338"/>
      <c r="AG74" s="33"/>
      <c r="AI74" s="164"/>
      <c r="AL74" s="34"/>
      <c r="AM74" s="35"/>
      <c r="AP74" s="30"/>
    </row>
    <row r="75" spans="1:42" ht="13.5" customHeight="1">
      <c r="A75" s="8"/>
      <c r="B75" s="345" t="str">
        <f>ID!B78</f>
        <v>Ketidakpastian Waktu Pengisian dilaporkan pada tingkat kepercayaan 95 % dengan faktor cakupan k = 2</v>
      </c>
      <c r="C75" s="1195"/>
      <c r="D75" s="346"/>
      <c r="E75" s="347"/>
      <c r="F75" s="347"/>
      <c r="G75" s="347"/>
      <c r="H75" s="347"/>
      <c r="I75" s="347"/>
      <c r="J75" s="348"/>
      <c r="K75" s="348"/>
      <c r="L75" s="348"/>
      <c r="M75" s="348"/>
      <c r="N75" s="20"/>
      <c r="Q75" s="31"/>
      <c r="S75" s="338"/>
      <c r="AG75" s="33"/>
      <c r="AI75" s="164"/>
      <c r="AL75" s="34"/>
      <c r="AM75" s="35"/>
      <c r="AP75" s="30"/>
    </row>
    <row r="76" spans="1:42" ht="13.5" customHeight="1">
      <c r="A76" s="8"/>
      <c r="B76" s="345" t="str">
        <f>ID!B79</f>
        <v>Ketidakpastian Pengukuran Kinerja Heart Rate dilaporkan pada tingkat kepercayaan 95 % dengan faktor cakupan k = 2</v>
      </c>
      <c r="C76" s="1195"/>
      <c r="D76" s="346"/>
      <c r="E76" s="347"/>
      <c r="F76" s="347"/>
      <c r="G76" s="347"/>
      <c r="H76" s="347"/>
      <c r="I76" s="347"/>
      <c r="J76" s="348"/>
      <c r="K76" s="348"/>
      <c r="L76" s="348"/>
      <c r="M76" s="348"/>
      <c r="N76" s="20"/>
      <c r="Q76" s="31"/>
      <c r="S76" s="338"/>
      <c r="AG76" s="33"/>
      <c r="AI76" s="164"/>
      <c r="AL76" s="34"/>
      <c r="AM76" s="35"/>
      <c r="AP76" s="30"/>
    </row>
    <row r="77" spans="1:42" ht="14.5">
      <c r="A77" s="8"/>
      <c r="B77" s="345" t="str">
        <f>ID!B80</f>
        <v>Ketidakpastian Pengukuran Kinerja Respirasi dilaporkan pada tingkat kepercayaan 95 % dengan faktor cakupan k = 2</v>
      </c>
      <c r="C77" s="1195"/>
      <c r="D77" s="349"/>
      <c r="E77" s="349"/>
      <c r="F77" s="349"/>
      <c r="G77" s="349"/>
      <c r="H77" s="349"/>
      <c r="I77" s="349"/>
      <c r="J77" s="349"/>
      <c r="K77" s="348"/>
      <c r="L77" s="348"/>
      <c r="M77" s="348"/>
      <c r="N77" s="22"/>
      <c r="Q77" s="31"/>
      <c r="S77" s="338"/>
      <c r="AG77" s="33"/>
      <c r="AI77" s="32"/>
      <c r="AL77" s="34"/>
      <c r="AM77" s="35"/>
      <c r="AP77" s="30"/>
    </row>
    <row r="78" spans="1:42" ht="14.5">
      <c r="A78" s="8"/>
      <c r="B78" s="345" t="str">
        <f>ID!B81</f>
        <v>Hasil pengukuran keselamatan listrik tertelusur ke Satuan Internasional ( SI ) melalui PT. Kaliman</v>
      </c>
      <c r="C78" s="1195"/>
      <c r="D78" s="349"/>
      <c r="E78" s="349"/>
      <c r="F78" s="349"/>
      <c r="G78" s="349"/>
      <c r="H78" s="349"/>
      <c r="I78" s="349"/>
      <c r="J78" s="349"/>
      <c r="K78" s="348"/>
      <c r="L78" s="348"/>
      <c r="M78" s="348"/>
      <c r="N78" s="22"/>
      <c r="Q78" s="31"/>
      <c r="S78" s="338"/>
      <c r="AG78" s="33"/>
      <c r="AI78" s="165"/>
      <c r="AL78" s="34"/>
      <c r="AM78" s="35"/>
      <c r="AP78" s="30"/>
    </row>
    <row r="79" spans="1:42" ht="14.5">
      <c r="A79" s="8"/>
      <c r="B79" s="345" t="str">
        <f>ID!B82</f>
        <v>Hasil kalibrasi Heart Rate tertelusur ke Satuan Internasional ( SI ) melalui Caltek PTE LTD</v>
      </c>
      <c r="C79" s="1195"/>
      <c r="D79" s="349"/>
      <c r="E79" s="349"/>
      <c r="F79" s="349"/>
      <c r="G79" s="349"/>
      <c r="H79" s="349"/>
      <c r="I79" s="349"/>
      <c r="J79" s="349"/>
      <c r="K79" s="348"/>
      <c r="L79" s="348"/>
      <c r="M79" s="348"/>
      <c r="N79" s="22"/>
      <c r="Q79" s="31"/>
      <c r="S79" s="338"/>
      <c r="AG79" s="33"/>
      <c r="AI79" s="32"/>
      <c r="AL79" s="34"/>
      <c r="AM79" s="35"/>
      <c r="AP79" s="30"/>
    </row>
    <row r="80" spans="1:42" ht="14.5">
      <c r="A80" s="8"/>
      <c r="B80" s="345" t="str">
        <f>ID!B83</f>
        <v>Hasil kalibrasi Respirasi tertelusur ke Satuan Internasional ( SI ) melalui Caltek PTE LTD</v>
      </c>
      <c r="C80" s="1195"/>
      <c r="D80" s="349"/>
      <c r="E80" s="349"/>
      <c r="F80" s="349"/>
      <c r="G80" s="349"/>
      <c r="H80" s="349"/>
      <c r="I80" s="349"/>
      <c r="J80" s="349"/>
      <c r="K80" s="348"/>
      <c r="L80" s="348"/>
      <c r="M80" s="348"/>
      <c r="N80" s="22"/>
      <c r="Q80" s="31"/>
      <c r="S80" s="338"/>
      <c r="AG80" s="33"/>
      <c r="AI80" s="32"/>
      <c r="AL80" s="34"/>
      <c r="AM80" s="35"/>
      <c r="AP80" s="30"/>
    </row>
    <row r="81" spans="1:42" ht="14.5">
      <c r="A81" s="8"/>
      <c r="B81" s="345" t="str">
        <f>ID!B84</f>
        <v>Hasil kalibrasi Akurasi dan Energi Maksimum tertelusurke Satuan Internasional melalui CALTEK PTE LTD</v>
      </c>
      <c r="C81" s="8"/>
      <c r="D81" s="349"/>
      <c r="E81" s="349"/>
      <c r="F81" s="349"/>
      <c r="G81" s="349"/>
      <c r="H81" s="349"/>
      <c r="I81" s="349"/>
      <c r="J81" s="349"/>
      <c r="K81" s="348"/>
      <c r="L81" s="348"/>
      <c r="M81" s="348"/>
      <c r="N81" s="22"/>
      <c r="Q81" s="31"/>
      <c r="S81" s="338"/>
      <c r="AG81" s="33"/>
      <c r="AI81" s="32"/>
      <c r="AL81" s="34"/>
      <c r="AM81" s="35"/>
      <c r="AP81" s="30"/>
    </row>
    <row r="82" spans="1:42" ht="14.5">
      <c r="A82" s="8"/>
      <c r="B82" s="345" t="str">
        <f>ID!B85</f>
        <v>Hasil pengujian waktu Pengisian tertelusur ke Satuan Internasional ( SI ) melalui PT KALIMAN</v>
      </c>
      <c r="C82" s="8"/>
      <c r="D82" s="349"/>
      <c r="E82" s="349"/>
      <c r="F82" s="349"/>
      <c r="G82" s="349"/>
      <c r="H82" s="349"/>
      <c r="I82" s="349"/>
      <c r="J82" s="349"/>
      <c r="K82" s="348"/>
      <c r="L82" s="348"/>
      <c r="M82" s="348"/>
      <c r="N82" s="22"/>
      <c r="Q82" s="31"/>
      <c r="S82" s="338"/>
      <c r="AG82" s="33"/>
      <c r="AI82" s="32"/>
      <c r="AL82" s="34"/>
      <c r="AM82" s="35"/>
      <c r="AP82" s="30"/>
    </row>
    <row r="83" spans="1:42" ht="14.5">
      <c r="A83" s="8"/>
      <c r="B83" s="345" t="str">
        <f>ID!B86</f>
        <v>Tidak terdapat grounding di ruangan</v>
      </c>
      <c r="C83" s="8"/>
      <c r="D83" s="349"/>
      <c r="E83" s="349"/>
      <c r="F83" s="349"/>
      <c r="G83" s="349"/>
      <c r="H83" s="349"/>
      <c r="I83" s="349"/>
      <c r="J83" s="349"/>
      <c r="K83" s="348"/>
      <c r="L83" s="348"/>
      <c r="M83" s="348"/>
      <c r="N83" s="22"/>
      <c r="Q83" s="31"/>
      <c r="S83" s="338"/>
      <c r="AG83" s="33"/>
      <c r="AI83" s="32"/>
      <c r="AL83" s="34"/>
      <c r="AM83" s="35"/>
      <c r="AP83" s="30"/>
    </row>
    <row r="84" spans="1:42" ht="14.5">
      <c r="A84" s="8"/>
      <c r="B84" s="345"/>
      <c r="C84" s="8"/>
      <c r="D84" s="349"/>
      <c r="E84" s="349"/>
      <c r="F84" s="349"/>
      <c r="G84" s="349"/>
      <c r="H84" s="349"/>
      <c r="I84" s="349"/>
      <c r="J84" s="349"/>
      <c r="K84" s="348"/>
      <c r="L84" s="348"/>
      <c r="M84" s="348"/>
      <c r="N84" s="22"/>
      <c r="Q84" s="31"/>
      <c r="S84" s="338"/>
      <c r="AG84" s="33"/>
      <c r="AI84" s="32"/>
      <c r="AL84" s="34"/>
      <c r="AM84" s="35"/>
      <c r="AP84" s="30"/>
    </row>
    <row r="85" spans="1:42" ht="14.5">
      <c r="A85" s="8"/>
      <c r="B85" s="345"/>
      <c r="C85" s="8"/>
      <c r="D85" s="349"/>
      <c r="E85" s="349"/>
      <c r="F85" s="349"/>
      <c r="G85" s="349"/>
      <c r="H85" s="349"/>
      <c r="I85" s="349"/>
      <c r="J85" s="349"/>
      <c r="K85" s="348"/>
      <c r="L85" s="348"/>
      <c r="M85" s="348"/>
      <c r="N85" s="22"/>
      <c r="Q85" s="31"/>
      <c r="S85" s="338"/>
      <c r="AG85" s="33"/>
      <c r="AI85" s="32"/>
      <c r="AL85" s="34"/>
      <c r="AM85" s="35"/>
      <c r="AP85" s="30"/>
    </row>
    <row r="86" spans="1:42" ht="14">
      <c r="A86" s="46" t="s">
        <v>266</v>
      </c>
      <c r="B86" s="1196" t="s">
        <v>314</v>
      </c>
      <c r="C86" s="1195"/>
      <c r="D86" s="349"/>
      <c r="E86" s="1197"/>
      <c r="F86" s="1197"/>
      <c r="G86" s="1197"/>
      <c r="H86" s="1197"/>
      <c r="I86" s="1197"/>
      <c r="J86" s="1197"/>
      <c r="K86" s="1197"/>
      <c r="L86" s="1197"/>
      <c r="M86" s="1197"/>
      <c r="N86" s="1198"/>
      <c r="Q86" s="31"/>
      <c r="S86" s="338"/>
      <c r="AG86" s="33"/>
      <c r="AI86" s="164"/>
      <c r="AL86" s="34"/>
      <c r="AM86" s="35"/>
      <c r="AP86" s="30"/>
    </row>
    <row r="87" spans="1:42" ht="14">
      <c r="A87" s="46"/>
      <c r="B87" s="349" t="str">
        <f>ID!B91</f>
        <v>Defibrillator Analyzer, Merek : Fluke, Model : Impulse 7000 D, SN : 1837053</v>
      </c>
      <c r="C87" s="1195"/>
      <c r="D87" s="349"/>
      <c r="E87" s="1197"/>
      <c r="F87" s="1197"/>
      <c r="G87" s="1197"/>
      <c r="H87" s="1197"/>
      <c r="I87" s="1197"/>
      <c r="J87" s="1197"/>
      <c r="K87" s="1197"/>
      <c r="L87" s="1197"/>
      <c r="M87" s="1197"/>
      <c r="N87" s="1198"/>
      <c r="Q87" s="31"/>
      <c r="S87" s="338"/>
      <c r="AG87" s="33"/>
      <c r="AI87" s="164"/>
      <c r="AL87" s="34"/>
      <c r="AM87" s="35"/>
      <c r="AP87" s="30"/>
    </row>
    <row r="88" spans="1:42" ht="14">
      <c r="A88" s="46"/>
      <c r="B88" s="349" t="str">
        <f>ID!B93</f>
        <v>Stopwatch, Merek : EXTECH, Model : 365535, SN :005018</v>
      </c>
      <c r="C88" s="1195"/>
      <c r="D88" s="349"/>
      <c r="E88" s="1197"/>
      <c r="F88" s="1197"/>
      <c r="G88" s="1197"/>
      <c r="H88" s="1197"/>
      <c r="I88" s="1197"/>
      <c r="J88" s="1197"/>
      <c r="K88" s="1197"/>
      <c r="L88" s="1197"/>
      <c r="M88" s="1197"/>
      <c r="N88" s="1198"/>
      <c r="Q88" s="31"/>
      <c r="S88" s="338"/>
      <c r="AG88" s="33"/>
      <c r="AI88" s="164"/>
      <c r="AL88" s="34"/>
      <c r="AM88" s="35"/>
      <c r="AP88" s="30"/>
    </row>
    <row r="89" spans="1:42" ht="14">
      <c r="A89" s="8"/>
      <c r="B89" s="1199" t="str">
        <f>ID!B95</f>
        <v>Multiparameter Simulator, Merek : RIGEL , Model : PatSim200, SN : 11L-0293</v>
      </c>
      <c r="C89" s="1195"/>
      <c r="D89" s="1200"/>
      <c r="E89" s="1200"/>
      <c r="F89" s="1200"/>
      <c r="G89" s="1197"/>
      <c r="H89" s="1197"/>
      <c r="I89" s="1197"/>
      <c r="J89" s="1197"/>
      <c r="K89" s="1197"/>
      <c r="L89" s="1197"/>
      <c r="M89" s="1197"/>
      <c r="N89" s="1198"/>
      <c r="Q89" s="31"/>
      <c r="S89" s="338"/>
      <c r="AG89" s="33"/>
      <c r="AI89" s="164"/>
      <c r="AL89" s="34"/>
      <c r="AM89" s="35"/>
      <c r="AP89" s="30"/>
    </row>
    <row r="90" spans="1:42" ht="14.5">
      <c r="A90" s="8"/>
      <c r="B90" s="1199" t="str">
        <f>ID!B97</f>
        <v>Electrical Safety Analyzer, Merek : Fluke, Model : ESA 615, SN : 3148908</v>
      </c>
      <c r="C90" s="1195"/>
      <c r="D90" s="349"/>
      <c r="E90" s="1197"/>
      <c r="F90" s="1197"/>
      <c r="G90" s="1197"/>
      <c r="H90" s="1197"/>
      <c r="I90" s="1197"/>
      <c r="J90" s="1197"/>
      <c r="K90" s="1197"/>
      <c r="L90" s="1197"/>
      <c r="M90" s="1197"/>
      <c r="N90" s="1198"/>
      <c r="AG90" s="19"/>
      <c r="AH90" s="18"/>
      <c r="AI90" s="165"/>
    </row>
    <row r="91" spans="1:42" ht="14.5">
      <c r="A91" s="8"/>
      <c r="B91" s="1199"/>
      <c r="C91" s="1195"/>
      <c r="D91" s="349"/>
      <c r="E91" s="1197"/>
      <c r="F91" s="1197"/>
      <c r="G91" s="1197"/>
      <c r="H91" s="1197"/>
      <c r="I91" s="1197"/>
      <c r="J91" s="1197"/>
      <c r="K91" s="1197"/>
      <c r="L91" s="1197"/>
      <c r="M91" s="1197"/>
      <c r="N91" s="1198"/>
      <c r="AG91" s="20"/>
      <c r="AH91" s="21"/>
      <c r="AI91" s="166"/>
      <c r="AJ91" s="8"/>
    </row>
    <row r="92" spans="1:42" ht="6" customHeight="1">
      <c r="A92" s="8"/>
      <c r="B92" s="349"/>
      <c r="C92" s="1201"/>
      <c r="D92" s="349"/>
      <c r="E92" s="1197"/>
      <c r="F92" s="1197"/>
      <c r="G92" s="1197"/>
      <c r="H92" s="1197"/>
      <c r="I92" s="1197"/>
      <c r="J92" s="1197"/>
      <c r="K92" s="1197"/>
      <c r="L92" s="1197"/>
      <c r="M92" s="1197"/>
      <c r="N92" s="1198"/>
      <c r="AG92" s="20"/>
      <c r="AH92" s="21"/>
      <c r="AI92" s="8"/>
      <c r="AJ92" s="8"/>
    </row>
    <row r="93" spans="1:42" ht="12.75" customHeight="1">
      <c r="A93" s="46" t="s">
        <v>279</v>
      </c>
      <c r="B93" s="1202" t="s">
        <v>320</v>
      </c>
      <c r="C93" s="1195"/>
      <c r="D93" s="349"/>
      <c r="E93" s="1197"/>
      <c r="F93" s="1197"/>
      <c r="G93" s="1197"/>
      <c r="H93" s="1197"/>
      <c r="I93" s="1197"/>
      <c r="J93" s="1197"/>
      <c r="K93" s="1197"/>
      <c r="L93" s="1197"/>
      <c r="M93" s="1197"/>
      <c r="N93" s="1198"/>
      <c r="AG93" s="2195"/>
      <c r="AH93" s="2195"/>
      <c r="AI93" s="8"/>
      <c r="AJ93" s="8"/>
    </row>
    <row r="94" spans="1:42" ht="17.25" customHeight="1">
      <c r="A94" s="8"/>
      <c r="B94" s="2196" t="str">
        <f>ID!B102</f>
        <v>Alat yang dikalibrasi dalam batas toleransi dan dinyatakan LAIK PAKAI, dimana hasil atau skor akhir sama dengan atau melampaui 70 % berdasarkan Keputusan Direktur Jenderal Pelayanan Kesehatan No : HK.02.02/V/0412/2020</v>
      </c>
      <c r="C94" s="2196"/>
      <c r="D94" s="2196"/>
      <c r="E94" s="2196"/>
      <c r="F94" s="2196"/>
      <c r="G94" s="2196"/>
      <c r="H94" s="2196"/>
      <c r="I94" s="2196"/>
      <c r="J94" s="2196"/>
      <c r="K94" s="2196"/>
      <c r="L94" s="2196"/>
      <c r="M94" s="2196"/>
      <c r="N94" s="1198"/>
      <c r="AG94" s="2195"/>
      <c r="AH94" s="2195"/>
      <c r="AI94" s="8"/>
      <c r="AJ94" s="8"/>
      <c r="AK94" s="31"/>
    </row>
    <row r="95" spans="1:42" ht="24" customHeight="1">
      <c r="A95" s="8"/>
      <c r="B95" s="2196"/>
      <c r="C95" s="2196"/>
      <c r="D95" s="2196"/>
      <c r="E95" s="2196"/>
      <c r="F95" s="2196"/>
      <c r="G95" s="2196"/>
      <c r="H95" s="2196"/>
      <c r="I95" s="2196"/>
      <c r="J95" s="2196"/>
      <c r="K95" s="2196"/>
      <c r="L95" s="2196"/>
      <c r="M95" s="2196"/>
      <c r="N95" s="1198"/>
      <c r="AG95" s="2195"/>
      <c r="AH95" s="2195"/>
      <c r="AI95" s="8"/>
      <c r="AJ95" s="8"/>
    </row>
    <row r="96" spans="1:42" ht="3.75" customHeight="1">
      <c r="A96" s="8"/>
      <c r="B96" s="1196"/>
      <c r="C96" s="1202"/>
      <c r="D96" s="349"/>
      <c r="E96" s="1197"/>
      <c r="F96" s="1197"/>
      <c r="G96" s="1197"/>
      <c r="H96" s="1197"/>
      <c r="I96" s="1197"/>
      <c r="J96" s="1197"/>
      <c r="K96" s="1197"/>
      <c r="L96" s="1197"/>
      <c r="M96" s="1197"/>
      <c r="N96" s="1198"/>
      <c r="AG96" s="20"/>
      <c r="AH96" s="20"/>
      <c r="AI96" s="8"/>
      <c r="AJ96" s="8"/>
    </row>
    <row r="97" spans="1:36" ht="14.5">
      <c r="A97" s="46" t="s">
        <v>321</v>
      </c>
      <c r="B97" s="1196" t="str">
        <f>ID!B104</f>
        <v>Petugas Kalibrasi</v>
      </c>
      <c r="C97" s="1195"/>
      <c r="D97" s="1196"/>
      <c r="E97" s="1197"/>
      <c r="F97" s="1197"/>
      <c r="G97" s="1197"/>
      <c r="H97" s="1197"/>
      <c r="I97" s="1197"/>
      <c r="J97" s="1197"/>
      <c r="K97" s="1195"/>
      <c r="L97" s="1195"/>
      <c r="M97" s="1197"/>
      <c r="N97" s="1198"/>
      <c r="AG97" s="20"/>
      <c r="AH97" s="20"/>
      <c r="AI97" s="8"/>
      <c r="AJ97" s="8"/>
    </row>
    <row r="98" spans="1:36" ht="14.5">
      <c r="A98" s="8"/>
      <c r="B98" s="345" t="str">
        <f>ID!B105</f>
        <v>Muhammad Iqbal Saiful Rahman</v>
      </c>
      <c r="C98" s="1195"/>
      <c r="D98" s="349"/>
      <c r="E98" s="1197"/>
      <c r="F98" s="1197"/>
      <c r="G98" s="1197"/>
      <c r="H98" s="1197"/>
      <c r="I98" s="1197"/>
      <c r="J98" s="1197"/>
      <c r="K98" s="1195"/>
      <c r="L98" s="1195"/>
      <c r="M98" s="1197"/>
      <c r="N98" s="1198"/>
      <c r="AG98" s="20"/>
      <c r="AH98" s="20"/>
      <c r="AI98" s="8"/>
      <c r="AJ98" s="8"/>
    </row>
    <row r="99" spans="1:36" ht="14.5">
      <c r="A99" s="8"/>
      <c r="B99" s="1197"/>
      <c r="C99" s="1197"/>
      <c r="D99" s="1197"/>
      <c r="E99" s="1197"/>
      <c r="F99" s="1197"/>
      <c r="G99" s="8"/>
      <c r="H99" s="8"/>
      <c r="I99" s="8"/>
      <c r="J99" s="1197"/>
      <c r="K99" s="1195"/>
      <c r="L99" s="1195"/>
      <c r="M99" s="1197"/>
      <c r="N99" s="8"/>
      <c r="AG99" s="20"/>
      <c r="AH99" s="20"/>
      <c r="AI99" s="8"/>
      <c r="AJ99" s="8"/>
    </row>
    <row r="100" spans="1:36" ht="14.5">
      <c r="A100" s="8"/>
      <c r="B100" s="1197"/>
      <c r="C100" s="1195"/>
      <c r="D100" s="1195"/>
      <c r="E100" s="1195"/>
      <c r="F100" s="1195"/>
      <c r="G100" s="8"/>
      <c r="H100" s="8"/>
      <c r="I100" s="8"/>
      <c r="J100" s="1197"/>
      <c r="K100" s="1195"/>
      <c r="L100" s="1195"/>
      <c r="M100" s="1197"/>
      <c r="N100" s="8"/>
      <c r="AG100" s="20"/>
      <c r="AH100" s="20"/>
      <c r="AI100" s="8"/>
      <c r="AJ100" s="8"/>
    </row>
    <row r="101" spans="1:36" ht="14.5" hidden="1">
      <c r="A101" s="8"/>
      <c r="B101" s="1197"/>
      <c r="C101" s="1195"/>
      <c r="D101" s="1195"/>
      <c r="E101" s="1195"/>
      <c r="F101" s="1195"/>
      <c r="G101" s="8"/>
      <c r="H101" s="8"/>
      <c r="I101" s="8"/>
      <c r="J101" s="1197"/>
      <c r="K101" s="1195"/>
      <c r="L101" s="1195"/>
      <c r="M101" s="1197"/>
      <c r="N101" s="8"/>
      <c r="AG101" s="20"/>
      <c r="AH101" s="20"/>
      <c r="AI101" s="8"/>
      <c r="AJ101" s="8"/>
    </row>
    <row r="102" spans="1:36" hidden="1">
      <c r="A102" s="8"/>
      <c r="B102" s="1197"/>
      <c r="C102" s="1195"/>
      <c r="D102" s="1195"/>
      <c r="E102" s="1195"/>
      <c r="F102" s="1195"/>
      <c r="G102" s="1195"/>
      <c r="H102" s="1195"/>
      <c r="I102" s="1195"/>
      <c r="J102" s="1197"/>
      <c r="K102" s="1195"/>
      <c r="L102" s="1195"/>
      <c r="M102" s="1197"/>
      <c r="N102" s="8"/>
    </row>
    <row r="103" spans="1:36">
      <c r="A103" s="8"/>
      <c r="B103" s="1195"/>
      <c r="C103" s="1195"/>
      <c r="D103" s="1195"/>
      <c r="E103" s="1195"/>
      <c r="F103" s="1195"/>
      <c r="G103" s="1195"/>
      <c r="H103" s="1195"/>
      <c r="I103" s="1195"/>
      <c r="J103" s="1195"/>
      <c r="K103" s="1195"/>
      <c r="L103" s="1195"/>
      <c r="M103" s="1195"/>
      <c r="N103" s="8"/>
    </row>
    <row r="104" spans="1:36">
      <c r="A104" s="8"/>
      <c r="B104" s="1195"/>
      <c r="C104" s="1195"/>
      <c r="D104" s="1195"/>
      <c r="E104" s="1195"/>
      <c r="F104" s="1195"/>
      <c r="G104" s="1195"/>
      <c r="H104" s="1195"/>
      <c r="I104" s="1195"/>
      <c r="J104" s="1195"/>
      <c r="K104" s="1195"/>
      <c r="L104" s="1195"/>
      <c r="M104" s="1195"/>
      <c r="N104" s="8"/>
    </row>
    <row r="105" spans="1:3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2208" t="s">
        <v>486</v>
      </c>
      <c r="L105" s="2208"/>
      <c r="M105" s="2197"/>
      <c r="N105" s="2197"/>
    </row>
    <row r="106" spans="1:3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2215">
        <f>(N19+N25+N60+N68)*O36</f>
        <v>80</v>
      </c>
      <c r="L106" s="2216"/>
      <c r="M106" s="2213"/>
      <c r="N106" s="2214"/>
    </row>
    <row r="107" spans="1:36">
      <c r="A107" s="8"/>
      <c r="B107" s="8"/>
      <c r="C107" s="2205" t="s">
        <v>487</v>
      </c>
      <c r="D107" s="2206"/>
      <c r="E107" s="2206"/>
      <c r="F107" s="2207"/>
      <c r="G107" s="2200" t="s">
        <v>282</v>
      </c>
      <c r="H107" s="2201"/>
      <c r="I107" s="1203" t="s">
        <v>488</v>
      </c>
      <c r="J107" s="8"/>
      <c r="K107" s="2216"/>
      <c r="L107" s="2216"/>
      <c r="M107" s="2214"/>
      <c r="N107" s="2214"/>
    </row>
    <row r="108" spans="1:36">
      <c r="A108" s="8"/>
      <c r="B108" s="8"/>
      <c r="C108" s="1204" t="s">
        <v>489</v>
      </c>
      <c r="D108" s="2209" t="str">
        <f>ID!B105</f>
        <v>Muhammad Iqbal Saiful Rahman</v>
      </c>
      <c r="E108" s="2209"/>
      <c r="F108" s="2210"/>
      <c r="G108" s="2198" t="str">
        <f>ID!B108</f>
        <v>26 September 2019</v>
      </c>
      <c r="H108" s="2199"/>
      <c r="I108" s="1205"/>
      <c r="J108" s="8"/>
      <c r="K108" s="2216"/>
      <c r="L108" s="2216"/>
      <c r="M108" s="2214"/>
      <c r="N108" s="2214"/>
    </row>
    <row r="109" spans="1:36">
      <c r="A109" s="8"/>
      <c r="B109" s="8"/>
      <c r="C109" s="1204" t="s">
        <v>448</v>
      </c>
      <c r="D109" s="2211"/>
      <c r="E109" s="2211"/>
      <c r="F109" s="2212"/>
      <c r="G109" s="2198"/>
      <c r="H109" s="2199"/>
      <c r="I109" s="1205"/>
      <c r="J109" s="8"/>
      <c r="K109" s="2216"/>
      <c r="L109" s="2216"/>
      <c r="M109" s="2214"/>
      <c r="N109" s="2214"/>
    </row>
    <row r="110" spans="1:3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AG110" s="17"/>
    </row>
    <row r="111" spans="1:36">
      <c r="AG111" s="17"/>
    </row>
    <row r="112" spans="1:36">
      <c r="AG112" s="17"/>
    </row>
    <row r="113" spans="33:33">
      <c r="AG113" s="17"/>
    </row>
    <row r="114" spans="33:33">
      <c r="AG114" s="17"/>
    </row>
  </sheetData>
  <sheetProtection formatCells="0" formatColumns="0" formatRows="0" insertColumns="0" insertRows="0" deleteColumns="0" deleteRows="0"/>
  <mergeCells count="137">
    <mergeCell ref="C23:H24"/>
    <mergeCell ref="N19:N20"/>
    <mergeCell ref="AH17:AP17"/>
    <mergeCell ref="AH18:AP18"/>
    <mergeCell ref="AH19:AP19"/>
    <mergeCell ref="AB21:AC22"/>
    <mergeCell ref="AD21:AD22"/>
    <mergeCell ref="AE21:AE22"/>
    <mergeCell ref="AF21:AF22"/>
    <mergeCell ref="AH22:AP22"/>
    <mergeCell ref="AH23:AP23"/>
    <mergeCell ref="I23:J24"/>
    <mergeCell ref="K23:L24"/>
    <mergeCell ref="AH26:AN26"/>
    <mergeCell ref="AB27:AB28"/>
    <mergeCell ref="AC27:AC28"/>
    <mergeCell ref="N25:N28"/>
    <mergeCell ref="AG36:AG44"/>
    <mergeCell ref="AH36:AH44"/>
    <mergeCell ref="O36:O54"/>
    <mergeCell ref="C36:C44"/>
    <mergeCell ref="H36:H44"/>
    <mergeCell ref="I37:J37"/>
    <mergeCell ref="I38:J38"/>
    <mergeCell ref="K25:L25"/>
    <mergeCell ref="K26:L26"/>
    <mergeCell ref="K27:L27"/>
    <mergeCell ref="K28:L28"/>
    <mergeCell ref="L40:M40"/>
    <mergeCell ref="L39:M39"/>
    <mergeCell ref="C25:H25"/>
    <mergeCell ref="F33:F35"/>
    <mergeCell ref="G33:G35"/>
    <mergeCell ref="H33:H35"/>
    <mergeCell ref="I33:J35"/>
    <mergeCell ref="E54:F54"/>
    <mergeCell ref="I50:J50"/>
    <mergeCell ref="AF36:AF44"/>
    <mergeCell ref="L64:M64"/>
    <mergeCell ref="L60:M60"/>
    <mergeCell ref="L61:M61"/>
    <mergeCell ref="G60:G63"/>
    <mergeCell ref="L41:M41"/>
    <mergeCell ref="L62:M62"/>
    <mergeCell ref="L42:M42"/>
    <mergeCell ref="L43:M43"/>
    <mergeCell ref="L44:M44"/>
    <mergeCell ref="I47:J49"/>
    <mergeCell ref="L54:M54"/>
    <mergeCell ref="L57:M59"/>
    <mergeCell ref="N60:N63"/>
    <mergeCell ref="L50:M50"/>
    <mergeCell ref="L53:M53"/>
    <mergeCell ref="N36:N44"/>
    <mergeCell ref="E33:E35"/>
    <mergeCell ref="L33:M35"/>
    <mergeCell ref="L36:M36"/>
    <mergeCell ref="L37:M37"/>
    <mergeCell ref="L38:M38"/>
    <mergeCell ref="C26:H26"/>
    <mergeCell ref="I36:J36"/>
    <mergeCell ref="G47:G49"/>
    <mergeCell ref="H47:H49"/>
    <mergeCell ref="I40:J40"/>
    <mergeCell ref="I41:J41"/>
    <mergeCell ref="I42:J42"/>
    <mergeCell ref="I43:J43"/>
    <mergeCell ref="I44:J44"/>
    <mergeCell ref="L47:M49"/>
    <mergeCell ref="L46:M46"/>
    <mergeCell ref="B14:C14"/>
    <mergeCell ref="B15:C15"/>
    <mergeCell ref="B16:C16"/>
    <mergeCell ref="B19:C19"/>
    <mergeCell ref="E57:E59"/>
    <mergeCell ref="F57:F59"/>
    <mergeCell ref="B46:F46"/>
    <mergeCell ref="E53:F53"/>
    <mergeCell ref="B47:B49"/>
    <mergeCell ref="C47:C49"/>
    <mergeCell ref="D47:D49"/>
    <mergeCell ref="E47:E49"/>
    <mergeCell ref="C57:C59"/>
    <mergeCell ref="B57:B59"/>
    <mergeCell ref="F47:F49"/>
    <mergeCell ref="B23:B24"/>
    <mergeCell ref="C28:H28"/>
    <mergeCell ref="C27:H27"/>
    <mergeCell ref="D57:D59"/>
    <mergeCell ref="H57:I59"/>
    <mergeCell ref="B20:C20"/>
    <mergeCell ref="B33:B35"/>
    <mergeCell ref="C33:C35"/>
    <mergeCell ref="D33:D35"/>
    <mergeCell ref="AG93:AH95"/>
    <mergeCell ref="B94:M95"/>
    <mergeCell ref="E66:E67"/>
    <mergeCell ref="B68:B71"/>
    <mergeCell ref="B66:B67"/>
    <mergeCell ref="C66:C67"/>
    <mergeCell ref="M105:N105"/>
    <mergeCell ref="G108:H108"/>
    <mergeCell ref="G109:H109"/>
    <mergeCell ref="G107:H107"/>
    <mergeCell ref="N68:N71"/>
    <mergeCell ref="D66:D67"/>
    <mergeCell ref="C107:F107"/>
    <mergeCell ref="K105:L105"/>
    <mergeCell ref="C68:C71"/>
    <mergeCell ref="D108:F108"/>
    <mergeCell ref="D109:F109"/>
    <mergeCell ref="M106:N109"/>
    <mergeCell ref="K106:L109"/>
    <mergeCell ref="A2:N2"/>
    <mergeCell ref="A1:N1"/>
    <mergeCell ref="F66:F67"/>
    <mergeCell ref="G66:G67"/>
    <mergeCell ref="H66:I67"/>
    <mergeCell ref="G68:G71"/>
    <mergeCell ref="L66:M67"/>
    <mergeCell ref="L68:M68"/>
    <mergeCell ref="L69:M69"/>
    <mergeCell ref="L70:M70"/>
    <mergeCell ref="L71:M71"/>
    <mergeCell ref="L63:M63"/>
    <mergeCell ref="B60:B63"/>
    <mergeCell ref="C60:C63"/>
    <mergeCell ref="G57:G59"/>
    <mergeCell ref="A4:C4"/>
    <mergeCell ref="A5:C5"/>
    <mergeCell ref="A6:C6"/>
    <mergeCell ref="A8:C8"/>
    <mergeCell ref="A9:C9"/>
    <mergeCell ref="A10:C10"/>
    <mergeCell ref="A11:C11"/>
    <mergeCell ref="A7:C7"/>
    <mergeCell ref="I39:J39"/>
  </mergeCells>
  <phoneticPr fontId="0" type="noConversion"/>
  <printOptions horizontalCentered="1"/>
  <pageMargins left="0.31496062992125984" right="0.23622047244094491" top="0.39370078740157483" bottom="0.27559055118110237" header="0.27559055118110237" footer="0.15748031496062992"/>
  <pageSetup paperSize="9" scale="70" orientation="portrait" horizontalDpi="4294967294" verticalDpi="4294967294" r:id="rId1"/>
  <headerFooter>
    <oddHeader>&amp;R&amp;8KL.LP.012-18 / REV : 0</oddHeader>
    <oddFooter>&amp;R&amp;K00-034Defib BSM 10.2.2022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A808ADF-E779-41C2-A8C2-B67E6FABAEA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70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K106:L109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D84-F5A1-4EE4-AB61-8C4EED7CC8FB}">
  <sheetPr>
    <tabColor rgb="FFFF0000"/>
  </sheetPr>
  <dimension ref="A1:AO176"/>
  <sheetViews>
    <sheetView topLeftCell="A97" zoomScale="91" zoomScaleNormal="91" zoomScaleSheetLayoutView="64" workbookViewId="0">
      <selection activeCell="E60" sqref="E60"/>
    </sheetView>
  </sheetViews>
  <sheetFormatPr defaultColWidth="9.1796875" defaultRowHeight="12.5"/>
  <cols>
    <col min="1" max="1" width="5.1796875" style="117" customWidth="1"/>
    <col min="2" max="2" width="18.26953125" style="117" customWidth="1"/>
    <col min="3" max="3" width="11.81640625" style="117" customWidth="1"/>
    <col min="4" max="4" width="9.1796875" style="117"/>
    <col min="5" max="7" width="11.81640625" style="117" customWidth="1"/>
    <col min="8" max="8" width="18.54296875" style="117" customWidth="1"/>
    <col min="9" max="9" width="21" style="117" customWidth="1"/>
    <col min="10" max="10" width="13.26953125" style="117" customWidth="1"/>
    <col min="11" max="11" width="12.1796875" style="117" customWidth="1"/>
    <col min="12" max="14" width="13.26953125" style="117" customWidth="1"/>
    <col min="15" max="15" width="18" style="117" customWidth="1"/>
    <col min="16" max="16" width="19.453125" style="117" customWidth="1"/>
    <col min="17" max="17" width="13.1796875" style="117" customWidth="1"/>
    <col min="18" max="18" width="9.1796875" style="117"/>
    <col min="19" max="21" width="13.1796875" style="117" customWidth="1"/>
    <col min="22" max="22" width="17.7265625" style="117" customWidth="1"/>
    <col min="23" max="23" width="11.54296875" style="117" customWidth="1"/>
    <col min="24" max="24" width="9.1796875" style="117"/>
    <col min="25" max="25" width="15.81640625" style="117" customWidth="1"/>
    <col min="26" max="26" width="12.26953125" style="117" customWidth="1"/>
    <col min="27" max="27" width="12.7265625" style="117" customWidth="1"/>
    <col min="28" max="30" width="9.1796875" style="117"/>
    <col min="31" max="31" width="17.7265625" style="117" customWidth="1"/>
    <col min="32" max="32" width="11.54296875" style="117" customWidth="1"/>
    <col min="33" max="33" width="12.1796875" style="117" customWidth="1"/>
    <col min="34" max="36" width="9.1796875" style="117"/>
    <col min="37" max="37" width="15.81640625" style="117" customWidth="1"/>
    <col min="38" max="38" width="12.26953125" style="117" customWidth="1"/>
    <col min="39" max="39" width="12.7265625" style="117" customWidth="1"/>
    <col min="40" max="42" width="9.1796875" style="117"/>
    <col min="43" max="43" width="15.81640625" style="117" customWidth="1"/>
    <col min="44" max="44" width="12.26953125" style="117" customWidth="1"/>
    <col min="45" max="45" width="12.7265625" style="117" customWidth="1"/>
    <col min="46" max="16384" width="9.1796875" style="117"/>
  </cols>
  <sheetData>
    <row r="1" spans="1:22">
      <c r="A1" s="617"/>
      <c r="B1" s="617"/>
      <c r="C1" s="617"/>
      <c r="E1" s="617"/>
      <c r="F1" s="617"/>
      <c r="G1" s="617"/>
      <c r="H1" s="617"/>
      <c r="I1" s="617"/>
      <c r="J1" s="617"/>
      <c r="L1" s="617"/>
      <c r="M1" s="617"/>
      <c r="N1" s="617"/>
      <c r="O1" s="617"/>
      <c r="P1" s="617"/>
      <c r="Q1" s="617"/>
      <c r="S1" s="617"/>
      <c r="T1" s="617"/>
      <c r="U1" s="617"/>
      <c r="V1" s="617"/>
    </row>
    <row r="2" spans="1:22" ht="13" thickBot="1">
      <c r="A2" s="617"/>
      <c r="B2" s="2298" t="s">
        <v>490</v>
      </c>
      <c r="C2" s="2298"/>
      <c r="D2" s="2298"/>
      <c r="E2" s="2298"/>
      <c r="F2" s="2298"/>
      <c r="G2" s="2298"/>
      <c r="I2" s="618" t="s">
        <v>316</v>
      </c>
      <c r="P2" s="618" t="s">
        <v>491</v>
      </c>
      <c r="V2" s="617"/>
    </row>
    <row r="3" spans="1:22" ht="14">
      <c r="A3" s="617"/>
      <c r="B3" s="2271" t="s">
        <v>492</v>
      </c>
      <c r="C3" s="2271"/>
      <c r="D3" s="2271"/>
      <c r="E3" s="2271"/>
      <c r="F3" s="2268" t="s">
        <v>2</v>
      </c>
      <c r="G3" s="2272" t="s">
        <v>3</v>
      </c>
      <c r="I3" s="2271" t="s">
        <v>492</v>
      </c>
      <c r="J3" s="2271"/>
      <c r="K3" s="2271"/>
      <c r="L3" s="2271"/>
      <c r="M3" s="2266" t="s">
        <v>2</v>
      </c>
      <c r="N3" s="2267" t="s">
        <v>3</v>
      </c>
      <c r="P3" s="2271" t="s">
        <v>492</v>
      </c>
      <c r="Q3" s="2271"/>
      <c r="R3" s="2271"/>
      <c r="S3" s="2271"/>
      <c r="T3" s="2266" t="s">
        <v>2</v>
      </c>
      <c r="U3" s="2267" t="s">
        <v>3</v>
      </c>
      <c r="V3" s="617"/>
    </row>
    <row r="4" spans="1:22" ht="13">
      <c r="A4" s="617"/>
      <c r="B4" s="1434" t="s">
        <v>493</v>
      </c>
      <c r="C4" s="2266" t="s">
        <v>7</v>
      </c>
      <c r="D4" s="2266"/>
      <c r="E4" s="2266"/>
      <c r="F4" s="2269"/>
      <c r="G4" s="2273"/>
      <c r="I4" s="1434" t="s">
        <v>493</v>
      </c>
      <c r="J4" s="2266" t="s">
        <v>7</v>
      </c>
      <c r="K4" s="2266"/>
      <c r="L4" s="2266"/>
      <c r="M4" s="2266"/>
      <c r="N4" s="2267"/>
      <c r="P4" s="1434" t="s">
        <v>493</v>
      </c>
      <c r="Q4" s="2266" t="s">
        <v>7</v>
      </c>
      <c r="R4" s="2266"/>
      <c r="S4" s="2266"/>
      <c r="T4" s="2266"/>
      <c r="U4" s="2267"/>
      <c r="V4" s="617"/>
    </row>
    <row r="5" spans="1:22" ht="14">
      <c r="A5" s="617"/>
      <c r="B5" s="1430" t="s">
        <v>494</v>
      </c>
      <c r="C5" s="1434">
        <v>2017</v>
      </c>
      <c r="D5" s="1434">
        <v>2017</v>
      </c>
      <c r="E5" s="1434">
        <v>2018</v>
      </c>
      <c r="F5" s="2270"/>
      <c r="G5" s="2274"/>
      <c r="I5" s="1430" t="s">
        <v>494</v>
      </c>
      <c r="J5" s="1434">
        <v>2016</v>
      </c>
      <c r="K5" s="1434">
        <v>2016</v>
      </c>
      <c r="L5" s="1434">
        <v>2018</v>
      </c>
      <c r="M5" s="2266"/>
      <c r="N5" s="2267"/>
      <c r="P5" s="1430" t="s">
        <v>494</v>
      </c>
      <c r="Q5" s="1434">
        <v>2015</v>
      </c>
      <c r="R5" s="1434">
        <v>2015</v>
      </c>
      <c r="S5" s="1434">
        <v>2017</v>
      </c>
      <c r="T5" s="2266"/>
      <c r="U5" s="2267"/>
      <c r="V5" s="617"/>
    </row>
    <row r="6" spans="1:22">
      <c r="A6" s="617"/>
      <c r="B6" s="620">
        <v>0</v>
      </c>
      <c r="C6" s="620" t="s">
        <v>10</v>
      </c>
      <c r="D6" s="620" t="s">
        <v>10</v>
      </c>
      <c r="E6" s="621">
        <v>1.0000000000000001E-5</v>
      </c>
      <c r="F6" s="121">
        <f>1/3*G6</f>
        <v>1.5999999999999999E-3</v>
      </c>
      <c r="G6" s="955">
        <v>4.7999999999999996E-3</v>
      </c>
      <c r="I6" s="620">
        <v>0</v>
      </c>
      <c r="J6" s="620">
        <v>0</v>
      </c>
      <c r="K6" s="620">
        <v>0</v>
      </c>
      <c r="L6" s="621">
        <v>1.0000000000000001E-5</v>
      </c>
      <c r="M6" s="1443">
        <f>IF(0.5*(MAX(J6:L6)-MIN(J6:L6))=0,0.00001,0.5*(MAX(J6:L6)-MIN(J6:L6)))</f>
        <v>5.0000000000000004E-6</v>
      </c>
      <c r="N6" s="620">
        <v>4.7999999999999996E-3</v>
      </c>
      <c r="P6" s="620">
        <v>0</v>
      </c>
      <c r="Q6" s="620" t="s">
        <v>10</v>
      </c>
      <c r="R6" s="620" t="s">
        <v>10</v>
      </c>
      <c r="S6" s="621">
        <v>1.0000000000000001E-5</v>
      </c>
      <c r="T6" s="121">
        <f t="shared" ref="T6:T15" si="0">0.5*(MAX(Q6:S6)-MIN(Q6:S6))</f>
        <v>0</v>
      </c>
      <c r="U6" s="620">
        <v>4.7999999999999996E-3</v>
      </c>
      <c r="V6" s="617"/>
    </row>
    <row r="7" spans="1:22">
      <c r="A7" s="617"/>
      <c r="B7" s="956">
        <v>10</v>
      </c>
      <c r="C7" s="620" t="s">
        <v>10</v>
      </c>
      <c r="D7" s="620" t="s">
        <v>10</v>
      </c>
      <c r="E7" s="621">
        <v>1.0000000000000001E-5</v>
      </c>
      <c r="F7" s="121">
        <f t="shared" ref="F7:F15" si="1">1/3*G7</f>
        <v>1.5999999999999997E-2</v>
      </c>
      <c r="G7" s="957">
        <f t="shared" ref="G7:G15" si="2">$G$6*B7</f>
        <v>4.7999999999999994E-2</v>
      </c>
      <c r="I7" s="956">
        <v>10</v>
      </c>
      <c r="J7" s="620" t="s">
        <v>10</v>
      </c>
      <c r="K7" s="620" t="s">
        <v>10</v>
      </c>
      <c r="L7" s="621">
        <v>1.0000000000000001E-5</v>
      </c>
      <c r="M7" s="1443">
        <f t="shared" ref="M7:M15" si="3">IF(0.5*(MAX(J7:L7)-MIN(J7:L7))=0,0.00001,0.5*(MAX(J7:L7)-MIN(J7:L7)))</f>
        <v>1.0000000000000001E-5</v>
      </c>
      <c r="N7" s="620">
        <f>$N$6*I7</f>
        <v>4.7999999999999994E-2</v>
      </c>
      <c r="P7" s="956">
        <v>10</v>
      </c>
      <c r="Q7" s="620">
        <v>0.1</v>
      </c>
      <c r="R7" s="620">
        <v>0.1</v>
      </c>
      <c r="S7" s="621">
        <v>1.0000000000000001E-5</v>
      </c>
      <c r="T7" s="121">
        <f t="shared" si="0"/>
        <v>4.9995000000000005E-2</v>
      </c>
      <c r="U7" s="620">
        <f>$U$6*P7</f>
        <v>4.7999999999999994E-2</v>
      </c>
      <c r="V7" s="617"/>
    </row>
    <row r="8" spans="1:22">
      <c r="A8" s="617"/>
      <c r="B8" s="620">
        <v>20</v>
      </c>
      <c r="C8" s="620" t="s">
        <v>10</v>
      </c>
      <c r="D8" s="620" t="s">
        <v>10</v>
      </c>
      <c r="E8" s="621">
        <v>0.1</v>
      </c>
      <c r="F8" s="121">
        <f t="shared" si="1"/>
        <v>3.1999999999999994E-2</v>
      </c>
      <c r="G8" s="623">
        <f t="shared" si="2"/>
        <v>9.5999999999999988E-2</v>
      </c>
      <c r="I8" s="620">
        <v>20</v>
      </c>
      <c r="J8" s="620">
        <v>0</v>
      </c>
      <c r="K8" s="620">
        <v>0</v>
      </c>
      <c r="L8" s="621">
        <v>0.1</v>
      </c>
      <c r="M8" s="1443">
        <f t="shared" si="3"/>
        <v>0.05</v>
      </c>
      <c r="N8" s="620">
        <f t="shared" ref="N8:N15" si="4">$N$6*I8</f>
        <v>9.5999999999999988E-2</v>
      </c>
      <c r="P8" s="620">
        <v>20</v>
      </c>
      <c r="Q8" s="620" t="s">
        <v>10</v>
      </c>
      <c r="R8" s="620" t="s">
        <v>10</v>
      </c>
      <c r="S8" s="621">
        <v>1.0000000000000001E-5</v>
      </c>
      <c r="T8" s="121">
        <f t="shared" si="0"/>
        <v>0</v>
      </c>
      <c r="U8" s="620">
        <f t="shared" ref="U8:U15" si="5">$U$6*P8</f>
        <v>9.5999999999999988E-2</v>
      </c>
      <c r="V8" s="617"/>
    </row>
    <row r="9" spans="1:22">
      <c r="A9" s="617"/>
      <c r="B9" s="620">
        <v>30</v>
      </c>
      <c r="C9" s="620" t="s">
        <v>10</v>
      </c>
      <c r="D9" s="620" t="s">
        <v>10</v>
      </c>
      <c r="E9" s="621">
        <v>0.1</v>
      </c>
      <c r="F9" s="121">
        <f t="shared" si="1"/>
        <v>4.7999999999999994E-2</v>
      </c>
      <c r="G9" s="623">
        <f t="shared" si="2"/>
        <v>0.14399999999999999</v>
      </c>
      <c r="I9" s="956">
        <v>30</v>
      </c>
      <c r="J9" s="620" t="s">
        <v>10</v>
      </c>
      <c r="K9" s="620" t="s">
        <v>10</v>
      </c>
      <c r="L9" s="621">
        <v>0.1</v>
      </c>
      <c r="M9" s="1443">
        <f t="shared" si="3"/>
        <v>1.0000000000000001E-5</v>
      </c>
      <c r="N9" s="620">
        <f t="shared" si="4"/>
        <v>0.14399999999999999</v>
      </c>
      <c r="P9" s="956">
        <v>30</v>
      </c>
      <c r="Q9" s="620" t="s">
        <v>10</v>
      </c>
      <c r="R9" s="620" t="s">
        <v>10</v>
      </c>
      <c r="S9" s="621">
        <v>1.0000000000000001E-5</v>
      </c>
      <c r="T9" s="121">
        <f t="shared" si="0"/>
        <v>0</v>
      </c>
      <c r="U9" s="620">
        <f t="shared" si="5"/>
        <v>0.14399999999999999</v>
      </c>
      <c r="V9" s="617"/>
    </row>
    <row r="10" spans="1:22">
      <c r="A10" s="617"/>
      <c r="B10" s="620">
        <v>50</v>
      </c>
      <c r="C10" s="623" t="s">
        <v>10</v>
      </c>
      <c r="D10" s="623" t="s">
        <v>10</v>
      </c>
      <c r="E10" s="621">
        <v>0.2</v>
      </c>
      <c r="F10" s="121">
        <f t="shared" si="1"/>
        <v>7.9999999999999988E-2</v>
      </c>
      <c r="G10" s="623">
        <f t="shared" si="2"/>
        <v>0.24</v>
      </c>
      <c r="I10" s="620">
        <v>50</v>
      </c>
      <c r="J10" s="623">
        <v>0</v>
      </c>
      <c r="K10" s="623">
        <v>0</v>
      </c>
      <c r="L10" s="621">
        <v>0.2</v>
      </c>
      <c r="M10" s="1443">
        <f t="shared" si="3"/>
        <v>0.1</v>
      </c>
      <c r="N10" s="620">
        <f t="shared" si="4"/>
        <v>0.24</v>
      </c>
      <c r="P10" s="620">
        <v>50</v>
      </c>
      <c r="Q10" s="623">
        <v>0.5</v>
      </c>
      <c r="R10" s="623">
        <v>0.5</v>
      </c>
      <c r="S10" s="621">
        <v>0.1</v>
      </c>
      <c r="T10" s="121">
        <f t="shared" si="0"/>
        <v>0.2</v>
      </c>
      <c r="U10" s="620">
        <f t="shared" si="5"/>
        <v>0.24</v>
      </c>
      <c r="V10" s="617"/>
    </row>
    <row r="11" spans="1:22">
      <c r="A11" s="617"/>
      <c r="B11" s="620">
        <v>100</v>
      </c>
      <c r="C11" s="623" t="s">
        <v>10</v>
      </c>
      <c r="D11" s="623" t="s">
        <v>10</v>
      </c>
      <c r="E11" s="621">
        <v>0.3</v>
      </c>
      <c r="F11" s="121">
        <f t="shared" si="1"/>
        <v>0.15999999999999998</v>
      </c>
      <c r="G11" s="623">
        <f t="shared" si="2"/>
        <v>0.48</v>
      </c>
      <c r="I11" s="620">
        <v>100</v>
      </c>
      <c r="J11" s="623">
        <v>0</v>
      </c>
      <c r="K11" s="623">
        <v>0</v>
      </c>
      <c r="L11" s="621">
        <v>0.3</v>
      </c>
      <c r="M11" s="1443">
        <f t="shared" si="3"/>
        <v>0.15</v>
      </c>
      <c r="N11" s="620">
        <f t="shared" si="4"/>
        <v>0.48</v>
      </c>
      <c r="P11" s="620">
        <v>100</v>
      </c>
      <c r="Q11" s="623">
        <v>0.5</v>
      </c>
      <c r="R11" s="623">
        <v>0.5</v>
      </c>
      <c r="S11" s="621">
        <v>0.3</v>
      </c>
      <c r="T11" s="121">
        <f t="shared" si="0"/>
        <v>0.1</v>
      </c>
      <c r="U11" s="620">
        <f t="shared" si="5"/>
        <v>0.48</v>
      </c>
      <c r="V11" s="617"/>
    </row>
    <row r="12" spans="1:22">
      <c r="A12" s="617"/>
      <c r="B12" s="120">
        <v>150</v>
      </c>
      <c r="C12" s="623" t="s">
        <v>10</v>
      </c>
      <c r="D12" s="623" t="s">
        <v>10</v>
      </c>
      <c r="E12" s="621">
        <v>1.0000000000000001E-5</v>
      </c>
      <c r="F12" s="121">
        <f t="shared" si="1"/>
        <v>0.24</v>
      </c>
      <c r="G12" s="623">
        <f t="shared" si="2"/>
        <v>0.72</v>
      </c>
      <c r="I12" s="120">
        <v>150</v>
      </c>
      <c r="J12" s="623">
        <v>0</v>
      </c>
      <c r="K12" s="623">
        <v>0</v>
      </c>
      <c r="L12" s="621">
        <v>1.0000000000000001E-5</v>
      </c>
      <c r="M12" s="1443">
        <f t="shared" si="3"/>
        <v>5.0000000000000004E-6</v>
      </c>
      <c r="N12" s="620">
        <f t="shared" si="4"/>
        <v>0.72</v>
      </c>
      <c r="P12" s="120">
        <v>150</v>
      </c>
      <c r="Q12" s="623" t="s">
        <v>10</v>
      </c>
      <c r="R12" s="623" t="s">
        <v>10</v>
      </c>
      <c r="S12" s="621">
        <v>1.0000000000000001E-5</v>
      </c>
      <c r="T12" s="121">
        <f t="shared" si="0"/>
        <v>0</v>
      </c>
      <c r="U12" s="620">
        <f t="shared" si="5"/>
        <v>0.72</v>
      </c>
      <c r="V12" s="617"/>
    </row>
    <row r="13" spans="1:22">
      <c r="A13" s="617"/>
      <c r="B13" s="120">
        <v>200</v>
      </c>
      <c r="C13" s="623" t="s">
        <v>10</v>
      </c>
      <c r="D13" s="623" t="s">
        <v>10</v>
      </c>
      <c r="E13" s="621">
        <v>1</v>
      </c>
      <c r="F13" s="121">
        <f t="shared" si="1"/>
        <v>0.31999999999999995</v>
      </c>
      <c r="G13" s="623">
        <f t="shared" si="2"/>
        <v>0.96</v>
      </c>
      <c r="I13" s="120">
        <v>200</v>
      </c>
      <c r="J13" s="623">
        <v>0</v>
      </c>
      <c r="K13" s="623">
        <v>0</v>
      </c>
      <c r="L13" s="621">
        <v>1</v>
      </c>
      <c r="M13" s="1443">
        <f t="shared" si="3"/>
        <v>0.5</v>
      </c>
      <c r="N13" s="620">
        <f t="shared" si="4"/>
        <v>0.96</v>
      </c>
      <c r="P13" s="120">
        <v>200</v>
      </c>
      <c r="Q13" s="623" t="s">
        <v>10</v>
      </c>
      <c r="R13" s="623" t="s">
        <v>10</v>
      </c>
      <c r="S13" s="621">
        <v>1</v>
      </c>
      <c r="T13" s="121">
        <f t="shared" si="0"/>
        <v>0</v>
      </c>
      <c r="U13" s="620">
        <f t="shared" si="5"/>
        <v>0.96</v>
      </c>
      <c r="V13" s="617"/>
    </row>
    <row r="14" spans="1:22">
      <c r="A14" s="617"/>
      <c r="B14" s="120">
        <v>250</v>
      </c>
      <c r="C14" s="623" t="s">
        <v>10</v>
      </c>
      <c r="D14" s="623" t="s">
        <v>10</v>
      </c>
      <c r="E14" s="621">
        <v>1.0000000000000001E-5</v>
      </c>
      <c r="F14" s="121">
        <f>1/3*G14</f>
        <v>0.39999999999999997</v>
      </c>
      <c r="G14" s="621">
        <f t="shared" si="2"/>
        <v>1.2</v>
      </c>
      <c r="I14" s="958">
        <v>250</v>
      </c>
      <c r="J14" s="623" t="s">
        <v>10</v>
      </c>
      <c r="K14" s="623" t="s">
        <v>10</v>
      </c>
      <c r="L14" s="621">
        <v>1.0000000000000001E-5</v>
      </c>
      <c r="M14" s="1443">
        <f t="shared" si="3"/>
        <v>1.0000000000000001E-5</v>
      </c>
      <c r="N14" s="620">
        <f t="shared" si="4"/>
        <v>1.2</v>
      </c>
      <c r="P14" s="958">
        <v>250</v>
      </c>
      <c r="Q14" s="623" t="s">
        <v>10</v>
      </c>
      <c r="R14" s="623" t="s">
        <v>10</v>
      </c>
      <c r="S14" s="621">
        <v>1.0000000000000001E-5</v>
      </c>
      <c r="T14" s="121">
        <f t="shared" si="0"/>
        <v>0</v>
      </c>
      <c r="U14" s="620">
        <f t="shared" si="5"/>
        <v>1.2</v>
      </c>
      <c r="V14" s="617"/>
    </row>
    <row r="15" spans="1:22">
      <c r="A15" s="617"/>
      <c r="B15" s="120">
        <v>360</v>
      </c>
      <c r="C15" s="623" t="s">
        <v>10</v>
      </c>
      <c r="D15" s="623" t="s">
        <v>10</v>
      </c>
      <c r="E15" s="621">
        <v>-1</v>
      </c>
      <c r="F15" s="121">
        <f t="shared" si="1"/>
        <v>0.57599999999999985</v>
      </c>
      <c r="G15" s="621">
        <f t="shared" si="2"/>
        <v>1.7279999999999998</v>
      </c>
      <c r="I15" s="120">
        <v>360</v>
      </c>
      <c r="J15" s="623">
        <v>0</v>
      </c>
      <c r="K15" s="623">
        <v>0</v>
      </c>
      <c r="L15" s="621">
        <v>-1</v>
      </c>
      <c r="M15" s="1443">
        <f t="shared" si="3"/>
        <v>0.5</v>
      </c>
      <c r="N15" s="620">
        <f t="shared" si="4"/>
        <v>1.7279999999999998</v>
      </c>
      <c r="P15" s="120">
        <v>360</v>
      </c>
      <c r="Q15" s="623" t="s">
        <v>10</v>
      </c>
      <c r="R15" s="623" t="s">
        <v>10</v>
      </c>
      <c r="S15" s="621">
        <v>1</v>
      </c>
      <c r="T15" s="121">
        <f t="shared" si="0"/>
        <v>0</v>
      </c>
      <c r="U15" s="620">
        <f t="shared" si="5"/>
        <v>1.7279999999999998</v>
      </c>
      <c r="V15" s="617"/>
    </row>
    <row r="16" spans="1:22" ht="13">
      <c r="A16" s="617"/>
      <c r="B16" s="1434" t="s">
        <v>495</v>
      </c>
      <c r="C16" s="1434" t="s">
        <v>7</v>
      </c>
      <c r="D16" s="1434" t="s">
        <v>7</v>
      </c>
      <c r="E16" s="1434"/>
      <c r="F16" s="1434" t="s">
        <v>2</v>
      </c>
      <c r="G16" s="1442" t="s">
        <v>3</v>
      </c>
      <c r="I16" s="1434" t="s">
        <v>495</v>
      </c>
      <c r="J16" s="1434" t="s">
        <v>7</v>
      </c>
      <c r="K16" s="1434" t="s">
        <v>7</v>
      </c>
      <c r="L16" s="1434"/>
      <c r="M16" s="2266" t="s">
        <v>2</v>
      </c>
      <c r="N16" s="2267" t="s">
        <v>3</v>
      </c>
      <c r="P16" s="1434" t="s">
        <v>495</v>
      </c>
      <c r="Q16" s="1434" t="s">
        <v>7</v>
      </c>
      <c r="R16" s="1434" t="s">
        <v>7</v>
      </c>
      <c r="S16" s="1434"/>
      <c r="T16" s="2266" t="s">
        <v>2</v>
      </c>
      <c r="U16" s="2267" t="s">
        <v>3</v>
      </c>
      <c r="V16" s="617"/>
    </row>
    <row r="17" spans="1:22" ht="13">
      <c r="A17" s="617"/>
      <c r="B17" s="1434" t="s">
        <v>336</v>
      </c>
      <c r="C17" s="1434">
        <f>C5</f>
        <v>2017</v>
      </c>
      <c r="D17" s="1434">
        <f>D5</f>
        <v>2017</v>
      </c>
      <c r="E17" s="1434">
        <f>E5</f>
        <v>2018</v>
      </c>
      <c r="F17" s="1434"/>
      <c r="G17" s="1442"/>
      <c r="I17" s="1434" t="s">
        <v>336</v>
      </c>
      <c r="J17" s="1434">
        <v>2016</v>
      </c>
      <c r="K17" s="1434">
        <v>2016</v>
      </c>
      <c r="L17" s="1434">
        <v>2018</v>
      </c>
      <c r="M17" s="2266"/>
      <c r="N17" s="2267"/>
      <c r="P17" s="1434" t="s">
        <v>336</v>
      </c>
      <c r="Q17" s="1434">
        <v>2017</v>
      </c>
      <c r="R17" s="1434">
        <v>2017</v>
      </c>
      <c r="S17" s="1434">
        <v>2018</v>
      </c>
      <c r="T17" s="2266"/>
      <c r="U17" s="2267"/>
      <c r="V17" s="617"/>
    </row>
    <row r="18" spans="1:22">
      <c r="A18" s="617"/>
      <c r="B18" s="620">
        <v>0</v>
      </c>
      <c r="C18" s="620" t="s">
        <v>10</v>
      </c>
      <c r="D18" s="620" t="s">
        <v>10</v>
      </c>
      <c r="E18" s="621">
        <v>1.0000000000000001E-5</v>
      </c>
      <c r="F18" s="623">
        <f t="shared" ref="F18:F23" si="6">0.5*(MAX(C18:E18)-MIN(C18:E18))</f>
        <v>0</v>
      </c>
      <c r="G18" s="120">
        <v>1.1999999999999999E-3</v>
      </c>
      <c r="I18" s="620">
        <v>0</v>
      </c>
      <c r="J18" s="620">
        <v>0</v>
      </c>
      <c r="K18" s="620">
        <v>0</v>
      </c>
      <c r="L18" s="621">
        <v>1.0000000000000001E-5</v>
      </c>
      <c r="M18" s="1443">
        <f t="shared" ref="M18:M23" si="7">IF(0.5*(MAX(J18:L18)-MIN(J18:L18))=0,0.00001,0.5*(MAX(J18:L18)-MIN(J18:L18)))</f>
        <v>5.0000000000000004E-6</v>
      </c>
      <c r="N18" s="120">
        <v>1.2999999999999999E-3</v>
      </c>
      <c r="P18" s="620">
        <v>0</v>
      </c>
      <c r="Q18" s="620" t="s">
        <v>10</v>
      </c>
      <c r="R18" s="620" t="s">
        <v>10</v>
      </c>
      <c r="S18" s="621">
        <v>1.0000000000000001E-5</v>
      </c>
      <c r="T18" s="623">
        <f t="shared" ref="T18:T23" si="8">0.5*(MAX(Q18:S18)-MIN(Q18:S18))</f>
        <v>0</v>
      </c>
      <c r="U18" s="120">
        <v>5.4999999999999997E-3</v>
      </c>
      <c r="V18" s="617"/>
    </row>
    <row r="19" spans="1:22">
      <c r="A19" s="617"/>
      <c r="B19" s="620">
        <v>30</v>
      </c>
      <c r="C19" s="620" t="s">
        <v>10</v>
      </c>
      <c r="D19" s="620" t="s">
        <v>10</v>
      </c>
      <c r="E19" s="621">
        <v>1.0000000000000001E-5</v>
      </c>
      <c r="F19" s="623">
        <f t="shared" si="6"/>
        <v>0</v>
      </c>
      <c r="G19" s="120">
        <f>$G$18*B19</f>
        <v>3.5999999999999997E-2</v>
      </c>
      <c r="I19" s="620">
        <v>30</v>
      </c>
      <c r="J19" s="620">
        <v>0</v>
      </c>
      <c r="K19" s="620">
        <v>0</v>
      </c>
      <c r="L19" s="621">
        <v>1.0000000000000001E-5</v>
      </c>
      <c r="M19" s="1443">
        <f>IF(0.5*(MAX(J19:L19)-MIN(J19:L19))=0,0.00001,0.5*(MAX(J19:L19)-MIN(J19:L19)))</f>
        <v>5.0000000000000004E-6</v>
      </c>
      <c r="N19" s="120">
        <f>$N$18*I19</f>
        <v>3.9E-2</v>
      </c>
      <c r="P19" s="620">
        <v>30</v>
      </c>
      <c r="Q19" s="620">
        <v>0</v>
      </c>
      <c r="R19" s="620">
        <v>0</v>
      </c>
      <c r="S19" s="621">
        <v>1.0000000000000001E-5</v>
      </c>
      <c r="T19" s="623">
        <f t="shared" si="8"/>
        <v>5.0000000000000004E-6</v>
      </c>
      <c r="U19" s="120">
        <f>$U$18*P19</f>
        <v>0.16499999999999998</v>
      </c>
      <c r="V19" s="617"/>
    </row>
    <row r="20" spans="1:22">
      <c r="A20" s="617"/>
      <c r="B20" s="620">
        <v>60</v>
      </c>
      <c r="C20" s="620" t="s">
        <v>10</v>
      </c>
      <c r="D20" s="620" t="s">
        <v>10</v>
      </c>
      <c r="E20" s="621">
        <v>1.0000000000000001E-5</v>
      </c>
      <c r="F20" s="623">
        <f t="shared" si="6"/>
        <v>0</v>
      </c>
      <c r="G20" s="120">
        <f t="shared" ref="G20:G23" si="9">$G$18*B20</f>
        <v>7.1999999999999995E-2</v>
      </c>
      <c r="I20" s="620">
        <v>60</v>
      </c>
      <c r="J20" s="620">
        <v>0</v>
      </c>
      <c r="K20" s="620">
        <v>0</v>
      </c>
      <c r="L20" s="621">
        <v>1.0000000000000001E-5</v>
      </c>
      <c r="M20" s="1443">
        <f t="shared" si="7"/>
        <v>5.0000000000000004E-6</v>
      </c>
      <c r="N20" s="120">
        <f t="shared" ref="N20:N23" si="10">$N$18*I20</f>
        <v>7.8E-2</v>
      </c>
      <c r="P20" s="620">
        <v>60</v>
      </c>
      <c r="Q20" s="620">
        <v>0</v>
      </c>
      <c r="R20" s="620">
        <v>0</v>
      </c>
      <c r="S20" s="621">
        <v>1.0000000000000001E-5</v>
      </c>
      <c r="T20" s="623">
        <f t="shared" si="8"/>
        <v>5.0000000000000004E-6</v>
      </c>
      <c r="U20" s="120">
        <f t="shared" ref="U20:U23" si="11">$U$18*P20</f>
        <v>0.32999999999999996</v>
      </c>
      <c r="V20" s="617"/>
    </row>
    <row r="21" spans="1:22">
      <c r="A21" s="617"/>
      <c r="B21" s="956">
        <v>120</v>
      </c>
      <c r="C21" s="620" t="s">
        <v>10</v>
      </c>
      <c r="D21" s="620" t="s">
        <v>10</v>
      </c>
      <c r="E21" s="621">
        <v>1.0000000000000001E-5</v>
      </c>
      <c r="F21" s="623">
        <f t="shared" si="6"/>
        <v>0</v>
      </c>
      <c r="G21" s="120">
        <f t="shared" si="9"/>
        <v>0.14399999999999999</v>
      </c>
      <c r="I21" s="956">
        <v>120</v>
      </c>
      <c r="J21" s="620">
        <v>0</v>
      </c>
      <c r="K21" s="620">
        <v>0</v>
      </c>
      <c r="L21" s="621">
        <v>1.0000000000000001E-5</v>
      </c>
      <c r="M21" s="1443">
        <f t="shared" si="7"/>
        <v>5.0000000000000004E-6</v>
      </c>
      <c r="N21" s="120">
        <f t="shared" si="10"/>
        <v>0.156</v>
      </c>
      <c r="P21" s="956">
        <v>120</v>
      </c>
      <c r="Q21" s="620" t="s">
        <v>10</v>
      </c>
      <c r="R21" s="620" t="s">
        <v>10</v>
      </c>
      <c r="S21" s="621">
        <v>1.0000000000000001E-5</v>
      </c>
      <c r="T21" s="623">
        <f t="shared" si="8"/>
        <v>0</v>
      </c>
      <c r="U21" s="120">
        <f t="shared" si="11"/>
        <v>0.65999999999999992</v>
      </c>
      <c r="V21" s="617"/>
    </row>
    <row r="22" spans="1:22">
      <c r="A22" s="617"/>
      <c r="B22" s="956">
        <v>180</v>
      </c>
      <c r="C22" s="620" t="s">
        <v>10</v>
      </c>
      <c r="D22" s="620" t="s">
        <v>10</v>
      </c>
      <c r="E22" s="621">
        <v>1.0000000000000001E-5</v>
      </c>
      <c r="F22" s="623">
        <f t="shared" si="6"/>
        <v>0</v>
      </c>
      <c r="G22" s="120">
        <f t="shared" si="9"/>
        <v>0.21599999999999997</v>
      </c>
      <c r="I22" s="956">
        <v>180</v>
      </c>
      <c r="J22" s="620">
        <v>0</v>
      </c>
      <c r="K22" s="620">
        <v>0</v>
      </c>
      <c r="L22" s="621">
        <v>1.0000000000000001E-5</v>
      </c>
      <c r="M22" s="1443">
        <f t="shared" si="7"/>
        <v>5.0000000000000004E-6</v>
      </c>
      <c r="N22" s="120">
        <f t="shared" si="10"/>
        <v>0.23399999999999999</v>
      </c>
      <c r="P22" s="956">
        <v>180</v>
      </c>
      <c r="Q22" s="620" t="s">
        <v>10</v>
      </c>
      <c r="R22" s="620" t="s">
        <v>10</v>
      </c>
      <c r="S22" s="621">
        <v>1.0000000000000001E-5</v>
      </c>
      <c r="T22" s="623">
        <f t="shared" si="8"/>
        <v>0</v>
      </c>
      <c r="U22" s="120">
        <f t="shared" si="11"/>
        <v>0.99</v>
      </c>
      <c r="V22" s="617"/>
    </row>
    <row r="23" spans="1:22">
      <c r="A23" s="617"/>
      <c r="B23" s="956">
        <v>240</v>
      </c>
      <c r="C23" s="620" t="s">
        <v>10</v>
      </c>
      <c r="D23" s="620" t="s">
        <v>10</v>
      </c>
      <c r="E23" s="621">
        <v>1.0000000000000001E-5</v>
      </c>
      <c r="F23" s="623">
        <f t="shared" si="6"/>
        <v>0</v>
      </c>
      <c r="G23" s="120">
        <f t="shared" si="9"/>
        <v>0.28799999999999998</v>
      </c>
      <c r="I23" s="956">
        <v>240</v>
      </c>
      <c r="J23" s="620">
        <v>0</v>
      </c>
      <c r="K23" s="620">
        <v>0</v>
      </c>
      <c r="L23" s="621">
        <v>1.0000000000000001E-5</v>
      </c>
      <c r="M23" s="1443">
        <f t="shared" si="7"/>
        <v>5.0000000000000004E-6</v>
      </c>
      <c r="N23" s="120">
        <f t="shared" si="10"/>
        <v>0.312</v>
      </c>
      <c r="P23" s="956">
        <v>240</v>
      </c>
      <c r="Q23" s="620" t="s">
        <v>10</v>
      </c>
      <c r="R23" s="620" t="s">
        <v>10</v>
      </c>
      <c r="S23" s="621">
        <v>1.0000000000000001E-5</v>
      </c>
      <c r="T23" s="623">
        <f t="shared" si="8"/>
        <v>0</v>
      </c>
      <c r="U23" s="120">
        <f t="shared" si="11"/>
        <v>1.3199999999999998</v>
      </c>
      <c r="V23" s="617"/>
    </row>
    <row r="24" spans="1:22">
      <c r="A24" s="617"/>
      <c r="V24" s="617"/>
    </row>
    <row r="25" spans="1:22">
      <c r="A25" s="617"/>
      <c r="V25" s="617"/>
    </row>
    <row r="26" spans="1:22">
      <c r="A26" s="617"/>
      <c r="V26" s="617"/>
    </row>
    <row r="27" spans="1:22" ht="13" thickBot="1">
      <c r="A27" s="617"/>
      <c r="B27" s="117" t="s">
        <v>496</v>
      </c>
      <c r="I27" s="117" t="s">
        <v>497</v>
      </c>
      <c r="P27" s="117" t="s">
        <v>498</v>
      </c>
      <c r="V27" s="617"/>
    </row>
    <row r="28" spans="1:22" ht="14">
      <c r="A28" s="617"/>
      <c r="B28" s="2271" t="s">
        <v>492</v>
      </c>
      <c r="C28" s="2271"/>
      <c r="D28" s="2271"/>
      <c r="E28" s="2271"/>
      <c r="F28" s="1434" t="s">
        <v>2</v>
      </c>
      <c r="G28" s="1442" t="s">
        <v>3</v>
      </c>
      <c r="I28" s="2271" t="s">
        <v>492</v>
      </c>
      <c r="J28" s="2271"/>
      <c r="K28" s="2271"/>
      <c r="L28" s="2271"/>
      <c r="M28" s="2266" t="s">
        <v>2</v>
      </c>
      <c r="N28" s="2267" t="s">
        <v>3</v>
      </c>
      <c r="P28" s="2271" t="s">
        <v>492</v>
      </c>
      <c r="Q28" s="2271"/>
      <c r="R28" s="2271"/>
      <c r="S28" s="2271"/>
      <c r="T28" s="2268" t="s">
        <v>2</v>
      </c>
      <c r="U28" s="2272" t="s">
        <v>3</v>
      </c>
      <c r="V28" s="617"/>
    </row>
    <row r="29" spans="1:22" ht="13">
      <c r="A29" s="617"/>
      <c r="B29" s="1434" t="s">
        <v>493</v>
      </c>
      <c r="C29" s="2266" t="s">
        <v>7</v>
      </c>
      <c r="D29" s="2266"/>
      <c r="E29" s="2266"/>
      <c r="F29" s="1434"/>
      <c r="G29" s="1442"/>
      <c r="I29" s="1434" t="s">
        <v>493</v>
      </c>
      <c r="J29" s="2266" t="s">
        <v>7</v>
      </c>
      <c r="K29" s="2266"/>
      <c r="L29" s="2266"/>
      <c r="M29" s="2266"/>
      <c r="N29" s="2267"/>
      <c r="P29" s="1434" t="s">
        <v>493</v>
      </c>
      <c r="Q29" s="2266" t="s">
        <v>7</v>
      </c>
      <c r="R29" s="2266"/>
      <c r="S29" s="2266"/>
      <c r="T29" s="2269"/>
      <c r="U29" s="2273"/>
      <c r="V29" s="617"/>
    </row>
    <row r="30" spans="1:22" ht="14">
      <c r="A30" s="617"/>
      <c r="B30" s="1430" t="s">
        <v>494</v>
      </c>
      <c r="C30" s="1434">
        <v>2017</v>
      </c>
      <c r="D30" s="1434">
        <v>2017</v>
      </c>
      <c r="E30" s="1434">
        <v>2018</v>
      </c>
      <c r="F30" s="1434"/>
      <c r="G30" s="1442"/>
      <c r="I30" s="1430" t="s">
        <v>494</v>
      </c>
      <c r="J30" s="1434">
        <v>2017</v>
      </c>
      <c r="K30" s="1434">
        <v>2017</v>
      </c>
      <c r="L30" s="1434">
        <v>2018</v>
      </c>
      <c r="M30" s="2266"/>
      <c r="N30" s="2267"/>
      <c r="P30" s="1430" t="s">
        <v>494</v>
      </c>
      <c r="Q30" s="1434">
        <v>2017</v>
      </c>
      <c r="R30" s="1434">
        <v>2017</v>
      </c>
      <c r="S30" s="1434">
        <v>2018</v>
      </c>
      <c r="T30" s="2270"/>
      <c r="U30" s="2274"/>
      <c r="V30" s="617"/>
    </row>
    <row r="31" spans="1:22">
      <c r="A31" s="617"/>
      <c r="B31" s="620">
        <v>0</v>
      </c>
      <c r="C31" s="620" t="s">
        <v>10</v>
      </c>
      <c r="D31" s="620" t="s">
        <v>10</v>
      </c>
      <c r="E31" s="621">
        <v>1.0000000000000001E-5</v>
      </c>
      <c r="F31" s="1443">
        <f t="shared" ref="F31:F40" si="12">IF(0.5*(MAX(C31:E31)-MIN(C31:E31))=0,0.00001,0.5*(MAX(C31:E31)-MIN(C31:E31)))</f>
        <v>1.0000000000000001E-5</v>
      </c>
      <c r="G31" s="620">
        <v>4.7999999999999996E-3</v>
      </c>
      <c r="I31" s="620">
        <v>0</v>
      </c>
      <c r="J31" s="620" t="s">
        <v>10</v>
      </c>
      <c r="K31" s="620" t="s">
        <v>10</v>
      </c>
      <c r="L31" s="621">
        <v>1.0000000000000001E-5</v>
      </c>
      <c r="M31" s="1443">
        <f t="shared" ref="M31:M40" si="13">IF(0.5*(MAX(J31:L31)-MIN(J31:L31))=0,0.00001,0.5*(MAX(J31:L31)-MIN(J31:L31)))</f>
        <v>1.0000000000000001E-5</v>
      </c>
      <c r="N31" s="620">
        <v>4.7999999999999996E-3</v>
      </c>
      <c r="P31" s="620">
        <v>0</v>
      </c>
      <c r="Q31" s="620" t="s">
        <v>10</v>
      </c>
      <c r="R31" s="620" t="s">
        <v>10</v>
      </c>
      <c r="S31" s="621">
        <v>1.0000000000000001E-5</v>
      </c>
      <c r="T31" s="121">
        <f t="shared" ref="T31:T40" si="14">0.5*(MAX(Q31:S31)-MIN(Q31:S31))</f>
        <v>0</v>
      </c>
      <c r="U31" s="622">
        <v>4.7999999999999996E-3</v>
      </c>
      <c r="V31" s="617"/>
    </row>
    <row r="32" spans="1:22">
      <c r="A32" s="617"/>
      <c r="B32" s="620">
        <v>10</v>
      </c>
      <c r="C32" s="620" t="s">
        <v>10</v>
      </c>
      <c r="D32" s="620" t="s">
        <v>10</v>
      </c>
      <c r="E32" s="621">
        <v>1.0000000000000001E-5</v>
      </c>
      <c r="F32" s="1443">
        <f t="shared" si="12"/>
        <v>1.0000000000000001E-5</v>
      </c>
      <c r="G32" s="620">
        <f>$G$31*B32</f>
        <v>4.7999999999999994E-2</v>
      </c>
      <c r="I32" s="620">
        <v>10</v>
      </c>
      <c r="J32" s="620" t="s">
        <v>10</v>
      </c>
      <c r="K32" s="620" t="s">
        <v>10</v>
      </c>
      <c r="L32" s="621">
        <v>1.0000000000000001E-5</v>
      </c>
      <c r="M32" s="1443">
        <f t="shared" si="13"/>
        <v>1.0000000000000001E-5</v>
      </c>
      <c r="N32" s="620">
        <f>$N$31*I32</f>
        <v>4.7999999999999994E-2</v>
      </c>
      <c r="P32" s="620">
        <v>10</v>
      </c>
      <c r="Q32" s="620" t="s">
        <v>10</v>
      </c>
      <c r="R32" s="620" t="s">
        <v>10</v>
      </c>
      <c r="S32" s="621">
        <v>1.0000000000000001E-5</v>
      </c>
      <c r="T32" s="121">
        <f t="shared" si="14"/>
        <v>0</v>
      </c>
      <c r="U32" s="622">
        <f>$N$31*P32</f>
        <v>4.7999999999999994E-2</v>
      </c>
      <c r="V32" s="617"/>
    </row>
    <row r="33" spans="1:22">
      <c r="A33" s="617"/>
      <c r="B33" s="620">
        <v>20</v>
      </c>
      <c r="C33" s="620" t="s">
        <v>10</v>
      </c>
      <c r="D33" s="620" t="s">
        <v>10</v>
      </c>
      <c r="E33" s="621">
        <v>0.1</v>
      </c>
      <c r="F33" s="1443">
        <f t="shared" si="12"/>
        <v>1.0000000000000001E-5</v>
      </c>
      <c r="G33" s="620">
        <f t="shared" ref="G33:G40" si="15">$G$31*B33</f>
        <v>9.5999999999999988E-2</v>
      </c>
      <c r="I33" s="620">
        <v>20</v>
      </c>
      <c r="J33" s="620" t="s">
        <v>10</v>
      </c>
      <c r="K33" s="620" t="s">
        <v>10</v>
      </c>
      <c r="L33" s="621">
        <v>0.1</v>
      </c>
      <c r="M33" s="1443">
        <f t="shared" si="13"/>
        <v>1.0000000000000001E-5</v>
      </c>
      <c r="N33" s="620">
        <f t="shared" ref="N33:N40" si="16">$N$31*I33</f>
        <v>9.5999999999999988E-2</v>
      </c>
      <c r="P33" s="620">
        <v>20</v>
      </c>
      <c r="Q33" s="620" t="s">
        <v>10</v>
      </c>
      <c r="R33" s="620" t="s">
        <v>10</v>
      </c>
      <c r="S33" s="621">
        <v>0.1</v>
      </c>
      <c r="T33" s="121">
        <f t="shared" si="14"/>
        <v>0</v>
      </c>
      <c r="U33" s="622">
        <f t="shared" ref="U33:U40" si="17">$N$31*P33</f>
        <v>9.5999999999999988E-2</v>
      </c>
      <c r="V33" s="617"/>
    </row>
    <row r="34" spans="1:22">
      <c r="A34" s="617"/>
      <c r="B34" s="620">
        <v>30</v>
      </c>
      <c r="C34" s="620" t="s">
        <v>10</v>
      </c>
      <c r="D34" s="620" t="s">
        <v>10</v>
      </c>
      <c r="E34" s="621">
        <v>0.1</v>
      </c>
      <c r="F34" s="1443">
        <f t="shared" si="12"/>
        <v>1.0000000000000001E-5</v>
      </c>
      <c r="G34" s="620">
        <f t="shared" si="15"/>
        <v>0.14399999999999999</v>
      </c>
      <c r="I34" s="620">
        <v>30</v>
      </c>
      <c r="J34" s="620" t="s">
        <v>10</v>
      </c>
      <c r="K34" s="620" t="s">
        <v>10</v>
      </c>
      <c r="L34" s="621">
        <v>0.1</v>
      </c>
      <c r="M34" s="1443">
        <f t="shared" si="13"/>
        <v>1.0000000000000001E-5</v>
      </c>
      <c r="N34" s="620">
        <f t="shared" si="16"/>
        <v>0.14399999999999999</v>
      </c>
      <c r="P34" s="620">
        <v>30</v>
      </c>
      <c r="Q34" s="620" t="s">
        <v>10</v>
      </c>
      <c r="R34" s="620" t="s">
        <v>10</v>
      </c>
      <c r="S34" s="621">
        <v>0.1</v>
      </c>
      <c r="T34" s="121">
        <f t="shared" si="14"/>
        <v>0</v>
      </c>
      <c r="U34" s="622">
        <f t="shared" si="17"/>
        <v>0.14399999999999999</v>
      </c>
      <c r="V34" s="617"/>
    </row>
    <row r="35" spans="1:22">
      <c r="A35" s="617"/>
      <c r="B35" s="620">
        <v>50</v>
      </c>
      <c r="C35" s="623" t="s">
        <v>10</v>
      </c>
      <c r="D35" s="623" t="s">
        <v>10</v>
      </c>
      <c r="E35" s="621">
        <v>0.2</v>
      </c>
      <c r="F35" s="1443">
        <f t="shared" si="12"/>
        <v>1.0000000000000001E-5</v>
      </c>
      <c r="G35" s="620">
        <f t="shared" si="15"/>
        <v>0.24</v>
      </c>
      <c r="I35" s="620">
        <v>50</v>
      </c>
      <c r="J35" s="623" t="s">
        <v>10</v>
      </c>
      <c r="K35" s="623" t="s">
        <v>10</v>
      </c>
      <c r="L35" s="621">
        <v>0.2</v>
      </c>
      <c r="M35" s="1443">
        <f t="shared" si="13"/>
        <v>1.0000000000000001E-5</v>
      </c>
      <c r="N35" s="620">
        <f t="shared" si="16"/>
        <v>0.24</v>
      </c>
      <c r="P35" s="620">
        <v>50</v>
      </c>
      <c r="Q35" s="623" t="s">
        <v>10</v>
      </c>
      <c r="R35" s="623" t="s">
        <v>10</v>
      </c>
      <c r="S35" s="621">
        <v>0.2</v>
      </c>
      <c r="T35" s="121">
        <f t="shared" si="14"/>
        <v>0</v>
      </c>
      <c r="U35" s="622">
        <f t="shared" si="17"/>
        <v>0.24</v>
      </c>
      <c r="V35" s="617"/>
    </row>
    <row r="36" spans="1:22">
      <c r="A36" s="617"/>
      <c r="B36" s="620">
        <v>100</v>
      </c>
      <c r="C36" s="623" t="s">
        <v>10</v>
      </c>
      <c r="D36" s="623" t="s">
        <v>10</v>
      </c>
      <c r="E36" s="621">
        <v>0.3</v>
      </c>
      <c r="F36" s="1443">
        <f t="shared" si="12"/>
        <v>1.0000000000000001E-5</v>
      </c>
      <c r="G36" s="620">
        <f t="shared" si="15"/>
        <v>0.48</v>
      </c>
      <c r="I36" s="620">
        <v>100</v>
      </c>
      <c r="J36" s="623" t="s">
        <v>10</v>
      </c>
      <c r="K36" s="623" t="s">
        <v>10</v>
      </c>
      <c r="L36" s="621">
        <v>0.3</v>
      </c>
      <c r="M36" s="1443">
        <f t="shared" si="13"/>
        <v>1.0000000000000001E-5</v>
      </c>
      <c r="N36" s="620">
        <f t="shared" si="16"/>
        <v>0.48</v>
      </c>
      <c r="P36" s="620">
        <v>100</v>
      </c>
      <c r="Q36" s="623" t="s">
        <v>10</v>
      </c>
      <c r="R36" s="623" t="s">
        <v>10</v>
      </c>
      <c r="S36" s="621">
        <v>0.3</v>
      </c>
      <c r="T36" s="121">
        <f t="shared" si="14"/>
        <v>0</v>
      </c>
      <c r="U36" s="622">
        <f t="shared" si="17"/>
        <v>0.48</v>
      </c>
      <c r="V36" s="617"/>
    </row>
    <row r="37" spans="1:22">
      <c r="A37" s="617"/>
      <c r="B37" s="120">
        <v>150</v>
      </c>
      <c r="C37" s="623" t="s">
        <v>10</v>
      </c>
      <c r="D37" s="623" t="s">
        <v>10</v>
      </c>
      <c r="E37" s="621">
        <v>1.0000000000000001E-5</v>
      </c>
      <c r="F37" s="1443">
        <f t="shared" si="12"/>
        <v>1.0000000000000001E-5</v>
      </c>
      <c r="G37" s="620">
        <f t="shared" si="15"/>
        <v>0.72</v>
      </c>
      <c r="I37" s="120">
        <v>150</v>
      </c>
      <c r="J37" s="623" t="s">
        <v>10</v>
      </c>
      <c r="K37" s="623" t="s">
        <v>10</v>
      </c>
      <c r="L37" s="621">
        <v>1.0000000000000001E-5</v>
      </c>
      <c r="M37" s="1443">
        <f t="shared" si="13"/>
        <v>1.0000000000000001E-5</v>
      </c>
      <c r="N37" s="620">
        <f t="shared" si="16"/>
        <v>0.72</v>
      </c>
      <c r="P37" s="120">
        <v>150</v>
      </c>
      <c r="Q37" s="623" t="s">
        <v>10</v>
      </c>
      <c r="R37" s="623" t="s">
        <v>10</v>
      </c>
      <c r="S37" s="621">
        <v>1.0000000000000001E-5</v>
      </c>
      <c r="T37" s="121">
        <f t="shared" si="14"/>
        <v>0</v>
      </c>
      <c r="U37" s="622">
        <f t="shared" si="17"/>
        <v>0.72</v>
      </c>
      <c r="V37" s="617"/>
    </row>
    <row r="38" spans="1:22">
      <c r="A38" s="617"/>
      <c r="B38" s="120">
        <v>200</v>
      </c>
      <c r="C38" s="623" t="s">
        <v>10</v>
      </c>
      <c r="D38" s="623" t="s">
        <v>10</v>
      </c>
      <c r="E38" s="621">
        <v>1</v>
      </c>
      <c r="F38" s="1443">
        <f t="shared" si="12"/>
        <v>1.0000000000000001E-5</v>
      </c>
      <c r="G38" s="620">
        <f t="shared" si="15"/>
        <v>0.96</v>
      </c>
      <c r="I38" s="120">
        <v>200</v>
      </c>
      <c r="J38" s="623" t="s">
        <v>10</v>
      </c>
      <c r="K38" s="623" t="s">
        <v>10</v>
      </c>
      <c r="L38" s="621">
        <v>1</v>
      </c>
      <c r="M38" s="1443">
        <f t="shared" si="13"/>
        <v>1.0000000000000001E-5</v>
      </c>
      <c r="N38" s="620">
        <f t="shared" si="16"/>
        <v>0.96</v>
      </c>
      <c r="P38" s="120">
        <v>200</v>
      </c>
      <c r="Q38" s="623" t="s">
        <v>10</v>
      </c>
      <c r="R38" s="623" t="s">
        <v>10</v>
      </c>
      <c r="S38" s="621">
        <v>1</v>
      </c>
      <c r="T38" s="121">
        <f t="shared" si="14"/>
        <v>0</v>
      </c>
      <c r="U38" s="622">
        <f t="shared" si="17"/>
        <v>0.96</v>
      </c>
      <c r="V38" s="617"/>
    </row>
    <row r="39" spans="1:22">
      <c r="A39" s="617"/>
      <c r="B39" s="120">
        <v>250</v>
      </c>
      <c r="C39" s="623" t="s">
        <v>10</v>
      </c>
      <c r="D39" s="623" t="s">
        <v>10</v>
      </c>
      <c r="E39" s="621">
        <v>1.0000000000000001E-5</v>
      </c>
      <c r="F39" s="1443">
        <f t="shared" si="12"/>
        <v>1.0000000000000001E-5</v>
      </c>
      <c r="G39" s="620">
        <f t="shared" si="15"/>
        <v>1.2</v>
      </c>
      <c r="I39" s="120">
        <v>250</v>
      </c>
      <c r="J39" s="623" t="s">
        <v>10</v>
      </c>
      <c r="K39" s="623" t="s">
        <v>10</v>
      </c>
      <c r="L39" s="621">
        <v>1.0000000000000001E-5</v>
      </c>
      <c r="M39" s="1443">
        <f t="shared" si="13"/>
        <v>1.0000000000000001E-5</v>
      </c>
      <c r="N39" s="620">
        <f t="shared" si="16"/>
        <v>1.2</v>
      </c>
      <c r="P39" s="120">
        <v>250</v>
      </c>
      <c r="Q39" s="623" t="s">
        <v>10</v>
      </c>
      <c r="R39" s="623" t="s">
        <v>10</v>
      </c>
      <c r="S39" s="621">
        <v>1.0000000000000001E-5</v>
      </c>
      <c r="T39" s="121">
        <f t="shared" si="14"/>
        <v>0</v>
      </c>
      <c r="U39" s="622">
        <f t="shared" si="17"/>
        <v>1.2</v>
      </c>
      <c r="V39" s="617"/>
    </row>
    <row r="40" spans="1:22">
      <c r="A40" s="617"/>
      <c r="B40" s="120">
        <v>360</v>
      </c>
      <c r="C40" s="623" t="s">
        <v>10</v>
      </c>
      <c r="D40" s="623" t="s">
        <v>10</v>
      </c>
      <c r="E40" s="621">
        <v>-1</v>
      </c>
      <c r="F40" s="1443">
        <f t="shared" si="12"/>
        <v>1.0000000000000001E-5</v>
      </c>
      <c r="G40" s="620">
        <f t="shared" si="15"/>
        <v>1.7279999999999998</v>
      </c>
      <c r="I40" s="120">
        <v>360</v>
      </c>
      <c r="J40" s="623" t="s">
        <v>10</v>
      </c>
      <c r="K40" s="623" t="s">
        <v>10</v>
      </c>
      <c r="L40" s="621">
        <v>-1</v>
      </c>
      <c r="M40" s="1443">
        <f t="shared" si="13"/>
        <v>1.0000000000000001E-5</v>
      </c>
      <c r="N40" s="620">
        <f t="shared" si="16"/>
        <v>1.7279999999999998</v>
      </c>
      <c r="P40" s="120">
        <v>360</v>
      </c>
      <c r="Q40" s="623" t="s">
        <v>10</v>
      </c>
      <c r="R40" s="623" t="s">
        <v>10</v>
      </c>
      <c r="S40" s="621">
        <v>-1</v>
      </c>
      <c r="T40" s="121">
        <f t="shared" si="14"/>
        <v>0</v>
      </c>
      <c r="U40" s="622">
        <f t="shared" si="17"/>
        <v>1.7279999999999998</v>
      </c>
      <c r="V40" s="617"/>
    </row>
    <row r="41" spans="1:22" ht="13">
      <c r="A41" s="617"/>
      <c r="B41" s="1434" t="s">
        <v>495</v>
      </c>
      <c r="C41" s="1434" t="s">
        <v>7</v>
      </c>
      <c r="D41" s="1434" t="s">
        <v>7</v>
      </c>
      <c r="E41" s="1434"/>
      <c r="F41" s="1434" t="s">
        <v>2</v>
      </c>
      <c r="G41" s="1442" t="s">
        <v>3</v>
      </c>
      <c r="I41" s="620" t="s">
        <v>495</v>
      </c>
      <c r="J41" s="1434" t="s">
        <v>7</v>
      </c>
      <c r="K41" s="1434" t="s">
        <v>7</v>
      </c>
      <c r="L41" s="1434"/>
      <c r="M41" s="2266" t="s">
        <v>2</v>
      </c>
      <c r="N41" s="2267" t="s">
        <v>3</v>
      </c>
      <c r="P41" s="620" t="s">
        <v>495</v>
      </c>
      <c r="Q41" s="1434" t="s">
        <v>7</v>
      </c>
      <c r="R41" s="1434" t="s">
        <v>7</v>
      </c>
      <c r="S41" s="1434"/>
      <c r="T41" s="2266" t="s">
        <v>2</v>
      </c>
      <c r="U41" s="2275" t="s">
        <v>3</v>
      </c>
      <c r="V41" s="617"/>
    </row>
    <row r="42" spans="1:22" ht="13">
      <c r="A42" s="617"/>
      <c r="B42" s="1434" t="s">
        <v>336</v>
      </c>
      <c r="C42" s="1434">
        <v>2017</v>
      </c>
      <c r="D42" s="1434">
        <v>2017</v>
      </c>
      <c r="E42" s="1434">
        <v>2018</v>
      </c>
      <c r="F42" s="1434"/>
      <c r="G42" s="1442"/>
      <c r="I42" s="620" t="s">
        <v>336</v>
      </c>
      <c r="J42" s="1434">
        <v>2017</v>
      </c>
      <c r="K42" s="1434">
        <v>2017</v>
      </c>
      <c r="L42" s="1434">
        <v>2018</v>
      </c>
      <c r="M42" s="2266"/>
      <c r="N42" s="2267"/>
      <c r="P42" s="620" t="s">
        <v>336</v>
      </c>
      <c r="Q42" s="1434">
        <v>2017</v>
      </c>
      <c r="R42" s="1434">
        <v>2017</v>
      </c>
      <c r="S42" s="1434">
        <v>2018</v>
      </c>
      <c r="T42" s="2266"/>
      <c r="U42" s="2275"/>
      <c r="V42" s="617"/>
    </row>
    <row r="43" spans="1:22">
      <c r="A43" s="617"/>
      <c r="B43" s="620">
        <v>0</v>
      </c>
      <c r="C43" s="620" t="s">
        <v>10</v>
      </c>
      <c r="D43" s="620" t="s">
        <v>10</v>
      </c>
      <c r="E43" s="621">
        <v>1.0000000000000001E-5</v>
      </c>
      <c r="F43" s="1443">
        <f t="shared" ref="F43:F48" si="18">IF(0.5*(MAX(C43:E43)-MIN(C43:E43))=0,0.00001,0.5*(MAX(C43:E43)-MIN(C43:E43)))</f>
        <v>1.0000000000000001E-5</v>
      </c>
      <c r="G43" s="120">
        <v>1.1999999999999999E-3</v>
      </c>
      <c r="I43" s="620">
        <v>0</v>
      </c>
      <c r="J43" s="620" t="s">
        <v>10</v>
      </c>
      <c r="K43" s="620" t="s">
        <v>10</v>
      </c>
      <c r="L43" s="621">
        <v>1.0000000000000001E-5</v>
      </c>
      <c r="M43" s="1443">
        <f t="shared" ref="M43:M48" si="19">IF(0.5*(MAX(J43:L43)-MIN(J43:L43))=0,0.00001,0.5*(MAX(J43:L43)-MIN(J43:L43)))</f>
        <v>1.0000000000000001E-5</v>
      </c>
      <c r="N43" s="120">
        <v>1.1999999999999999E-3</v>
      </c>
      <c r="P43" s="620">
        <v>0</v>
      </c>
      <c r="Q43" s="620" t="s">
        <v>10</v>
      </c>
      <c r="R43" s="620" t="s">
        <v>10</v>
      </c>
      <c r="S43" s="621">
        <v>1.0000000000000001E-5</v>
      </c>
      <c r="T43" s="623">
        <f t="shared" ref="T43:T48" si="20">0.5*(MAX(Q43:S43)-MIN(Q43:S43))</f>
        <v>0</v>
      </c>
      <c r="U43" s="122">
        <v>1.1999999999999999E-3</v>
      </c>
      <c r="V43" s="617"/>
    </row>
    <row r="44" spans="1:22">
      <c r="A44" s="617"/>
      <c r="B44" s="620">
        <v>30</v>
      </c>
      <c r="C44" s="620" t="s">
        <v>10</v>
      </c>
      <c r="D44" s="620" t="s">
        <v>10</v>
      </c>
      <c r="E44" s="621">
        <v>1.0000000000000001E-5</v>
      </c>
      <c r="F44" s="1443">
        <f>IF(0.5*(MAX(C44:E44)-MIN(C44:E44))=0,0.00001,0.5*(MAX(C44:E44)-MIN(C44:E44)))</f>
        <v>1.0000000000000001E-5</v>
      </c>
      <c r="G44" s="120">
        <f>$G$43*B44</f>
        <v>3.5999999999999997E-2</v>
      </c>
      <c r="I44" s="620">
        <v>30</v>
      </c>
      <c r="J44" s="620" t="s">
        <v>10</v>
      </c>
      <c r="K44" s="620" t="s">
        <v>10</v>
      </c>
      <c r="L44" s="621">
        <v>1.0000000000000001E-5</v>
      </c>
      <c r="M44" s="1443">
        <f>IF(0.5*(MAX(J44:L44)-MIN(J44:L44))=0,0.00001,0.5*(MAX(J44:L44)-MIN(J44:L44)))</f>
        <v>1.0000000000000001E-5</v>
      </c>
      <c r="N44" s="120">
        <f>$N$43*I44</f>
        <v>3.5999999999999997E-2</v>
      </c>
      <c r="P44" s="620">
        <v>30</v>
      </c>
      <c r="Q44" s="620" t="s">
        <v>10</v>
      </c>
      <c r="R44" s="620" t="s">
        <v>10</v>
      </c>
      <c r="S44" s="621">
        <v>1.0000000000000001E-5</v>
      </c>
      <c r="T44" s="623">
        <f t="shared" si="20"/>
        <v>0</v>
      </c>
      <c r="U44" s="122">
        <f>$N$43*P44</f>
        <v>3.5999999999999997E-2</v>
      </c>
      <c r="V44" s="617"/>
    </row>
    <row r="45" spans="1:22">
      <c r="A45" s="617"/>
      <c r="B45" s="620">
        <v>60</v>
      </c>
      <c r="C45" s="620" t="s">
        <v>10</v>
      </c>
      <c r="D45" s="620" t="s">
        <v>10</v>
      </c>
      <c r="E45" s="621">
        <v>1.0000000000000001E-5</v>
      </c>
      <c r="F45" s="1443">
        <f t="shared" si="18"/>
        <v>1.0000000000000001E-5</v>
      </c>
      <c r="G45" s="120">
        <f t="shared" ref="G45:G48" si="21">$G$43*B45</f>
        <v>7.1999999999999995E-2</v>
      </c>
      <c r="I45" s="620">
        <v>60</v>
      </c>
      <c r="J45" s="620" t="s">
        <v>10</v>
      </c>
      <c r="K45" s="620" t="s">
        <v>10</v>
      </c>
      <c r="L45" s="621">
        <v>1.0000000000000001E-5</v>
      </c>
      <c r="M45" s="1443">
        <f t="shared" si="19"/>
        <v>1.0000000000000001E-5</v>
      </c>
      <c r="N45" s="120">
        <f t="shared" ref="N45:N48" si="22">$N$43*I45</f>
        <v>7.1999999999999995E-2</v>
      </c>
      <c r="P45" s="620">
        <v>60</v>
      </c>
      <c r="Q45" s="620" t="s">
        <v>10</v>
      </c>
      <c r="R45" s="620" t="s">
        <v>10</v>
      </c>
      <c r="S45" s="621">
        <v>1.0000000000000001E-5</v>
      </c>
      <c r="T45" s="623">
        <f t="shared" si="20"/>
        <v>0</v>
      </c>
      <c r="U45" s="122">
        <f t="shared" ref="U45:U48" si="23">$N$43*P45</f>
        <v>7.1999999999999995E-2</v>
      </c>
      <c r="V45" s="617"/>
    </row>
    <row r="46" spans="1:22">
      <c r="A46" s="617"/>
      <c r="B46" s="620">
        <v>120</v>
      </c>
      <c r="C46" s="620" t="s">
        <v>10</v>
      </c>
      <c r="D46" s="620" t="s">
        <v>10</v>
      </c>
      <c r="E46" s="621">
        <v>1.0000000000000001E-5</v>
      </c>
      <c r="F46" s="1443">
        <f t="shared" si="18"/>
        <v>1.0000000000000001E-5</v>
      </c>
      <c r="G46" s="120">
        <f t="shared" si="21"/>
        <v>0.14399999999999999</v>
      </c>
      <c r="I46" s="620">
        <v>120</v>
      </c>
      <c r="J46" s="620" t="s">
        <v>10</v>
      </c>
      <c r="K46" s="620" t="s">
        <v>10</v>
      </c>
      <c r="L46" s="621">
        <v>1.0000000000000001E-5</v>
      </c>
      <c r="M46" s="1443">
        <f t="shared" si="19"/>
        <v>1.0000000000000001E-5</v>
      </c>
      <c r="N46" s="120">
        <f t="shared" si="22"/>
        <v>0.14399999999999999</v>
      </c>
      <c r="P46" s="620">
        <v>120</v>
      </c>
      <c r="Q46" s="620" t="s">
        <v>10</v>
      </c>
      <c r="R46" s="620" t="s">
        <v>10</v>
      </c>
      <c r="S46" s="621">
        <v>1.0000000000000001E-5</v>
      </c>
      <c r="T46" s="623">
        <f t="shared" si="20"/>
        <v>0</v>
      </c>
      <c r="U46" s="122">
        <f t="shared" si="23"/>
        <v>0.14399999999999999</v>
      </c>
      <c r="V46" s="617"/>
    </row>
    <row r="47" spans="1:22">
      <c r="A47" s="617"/>
      <c r="B47" s="620">
        <v>180</v>
      </c>
      <c r="C47" s="620" t="s">
        <v>10</v>
      </c>
      <c r="D47" s="620" t="s">
        <v>10</v>
      </c>
      <c r="E47" s="621">
        <v>1.0000000000000001E-5</v>
      </c>
      <c r="F47" s="1443">
        <f t="shared" si="18"/>
        <v>1.0000000000000001E-5</v>
      </c>
      <c r="G47" s="120">
        <f t="shared" si="21"/>
        <v>0.21599999999999997</v>
      </c>
      <c r="I47" s="620">
        <v>180</v>
      </c>
      <c r="J47" s="620" t="s">
        <v>10</v>
      </c>
      <c r="K47" s="620" t="s">
        <v>10</v>
      </c>
      <c r="L47" s="621">
        <v>1.0000000000000001E-5</v>
      </c>
      <c r="M47" s="1443">
        <f t="shared" si="19"/>
        <v>1.0000000000000001E-5</v>
      </c>
      <c r="N47" s="120">
        <f t="shared" si="22"/>
        <v>0.21599999999999997</v>
      </c>
      <c r="P47" s="620">
        <v>180</v>
      </c>
      <c r="Q47" s="620" t="s">
        <v>10</v>
      </c>
      <c r="R47" s="620" t="s">
        <v>10</v>
      </c>
      <c r="S47" s="621">
        <v>1.0000000000000001E-5</v>
      </c>
      <c r="T47" s="623">
        <f t="shared" si="20"/>
        <v>0</v>
      </c>
      <c r="U47" s="122">
        <f t="shared" si="23"/>
        <v>0.21599999999999997</v>
      </c>
      <c r="V47" s="617"/>
    </row>
    <row r="48" spans="1:22" ht="13" thickBot="1">
      <c r="A48" s="617"/>
      <c r="B48" s="620">
        <v>240</v>
      </c>
      <c r="C48" s="620" t="s">
        <v>10</v>
      </c>
      <c r="D48" s="620" t="s">
        <v>10</v>
      </c>
      <c r="E48" s="621">
        <v>1.0000000000000001E-5</v>
      </c>
      <c r="F48" s="1443">
        <f t="shared" si="18"/>
        <v>1.0000000000000001E-5</v>
      </c>
      <c r="G48" s="120">
        <f t="shared" si="21"/>
        <v>0.28799999999999998</v>
      </c>
      <c r="I48" s="620">
        <v>240</v>
      </c>
      <c r="J48" s="620" t="s">
        <v>10</v>
      </c>
      <c r="K48" s="620" t="s">
        <v>10</v>
      </c>
      <c r="L48" s="621">
        <v>1.0000000000000001E-5</v>
      </c>
      <c r="M48" s="1443">
        <f t="shared" si="19"/>
        <v>1.0000000000000001E-5</v>
      </c>
      <c r="N48" s="120">
        <f t="shared" si="22"/>
        <v>0.28799999999999998</v>
      </c>
      <c r="P48" s="620">
        <v>240</v>
      </c>
      <c r="Q48" s="620" t="s">
        <v>10</v>
      </c>
      <c r="R48" s="620" t="s">
        <v>10</v>
      </c>
      <c r="S48" s="621">
        <v>1.0000000000000001E-5</v>
      </c>
      <c r="T48" s="625">
        <f t="shared" si="20"/>
        <v>0</v>
      </c>
      <c r="U48" s="123">
        <f t="shared" si="23"/>
        <v>0.28799999999999998</v>
      </c>
      <c r="V48" s="617"/>
    </row>
    <row r="49" spans="1:22">
      <c r="A49" s="617"/>
      <c r="V49" s="617"/>
    </row>
    <row r="50" spans="1:22">
      <c r="A50" s="617"/>
      <c r="V50" s="617"/>
    </row>
    <row r="51" spans="1:22">
      <c r="A51" s="617"/>
      <c r="V51" s="617"/>
    </row>
    <row r="52" spans="1:22" ht="13" thickBot="1">
      <c r="A52" s="617"/>
      <c r="B52" s="117" t="s">
        <v>499</v>
      </c>
      <c r="I52" s="117" t="s">
        <v>499</v>
      </c>
      <c r="P52" s="117" t="s">
        <v>499</v>
      </c>
      <c r="V52" s="617"/>
    </row>
    <row r="53" spans="1:22" ht="14">
      <c r="A53" s="617"/>
      <c r="B53" s="2271" t="s">
        <v>492</v>
      </c>
      <c r="C53" s="2271"/>
      <c r="D53" s="2271"/>
      <c r="E53" s="2271"/>
      <c r="F53" s="1435" t="s">
        <v>2</v>
      </c>
      <c r="G53" s="1438" t="s">
        <v>3</v>
      </c>
      <c r="I53" s="2271" t="s">
        <v>492</v>
      </c>
      <c r="J53" s="2271"/>
      <c r="K53" s="2271"/>
      <c r="L53" s="2271"/>
      <c r="M53" s="2268" t="s">
        <v>2</v>
      </c>
      <c r="N53" s="2272" t="s">
        <v>3</v>
      </c>
      <c r="P53" s="2271" t="s">
        <v>492</v>
      </c>
      <c r="Q53" s="2271"/>
      <c r="R53" s="2271"/>
      <c r="S53" s="2271"/>
      <c r="T53" s="2268" t="s">
        <v>2</v>
      </c>
      <c r="U53" s="2272" t="s">
        <v>3</v>
      </c>
      <c r="V53" s="617"/>
    </row>
    <row r="54" spans="1:22" ht="13">
      <c r="A54" s="617"/>
      <c r="B54" s="1434" t="s">
        <v>493</v>
      </c>
      <c r="C54" s="2266" t="s">
        <v>7</v>
      </c>
      <c r="D54" s="2266"/>
      <c r="E54" s="2266"/>
      <c r="F54" s="1436"/>
      <c r="G54" s="1439"/>
      <c r="I54" s="1434" t="s">
        <v>493</v>
      </c>
      <c r="J54" s="2266" t="s">
        <v>7</v>
      </c>
      <c r="K54" s="2266"/>
      <c r="L54" s="2266"/>
      <c r="M54" s="2269"/>
      <c r="N54" s="2273"/>
      <c r="P54" s="1434" t="s">
        <v>493</v>
      </c>
      <c r="Q54" s="2266" t="s">
        <v>7</v>
      </c>
      <c r="R54" s="2266"/>
      <c r="S54" s="2266"/>
      <c r="T54" s="2269"/>
      <c r="U54" s="2273"/>
      <c r="V54" s="617"/>
    </row>
    <row r="55" spans="1:22" ht="14">
      <c r="A55" s="617"/>
      <c r="B55" s="116" t="s">
        <v>494</v>
      </c>
      <c r="C55" s="1434">
        <v>2017</v>
      </c>
      <c r="D55" s="1434">
        <v>2017</v>
      </c>
      <c r="E55" s="1433">
        <v>2018</v>
      </c>
      <c r="F55" s="1437"/>
      <c r="G55" s="1440"/>
      <c r="I55" s="116" t="s">
        <v>494</v>
      </c>
      <c r="J55" s="1434">
        <v>2017</v>
      </c>
      <c r="K55" s="1434">
        <v>2017</v>
      </c>
      <c r="L55" s="1433">
        <v>2018</v>
      </c>
      <c r="M55" s="2270"/>
      <c r="N55" s="2274"/>
      <c r="P55" s="116" t="s">
        <v>494</v>
      </c>
      <c r="Q55" s="1434">
        <v>2017</v>
      </c>
      <c r="R55" s="1434">
        <v>2017</v>
      </c>
      <c r="S55" s="1433">
        <v>2018</v>
      </c>
      <c r="T55" s="2270"/>
      <c r="U55" s="2274"/>
      <c r="V55" s="617"/>
    </row>
    <row r="56" spans="1:22">
      <c r="A56" s="617"/>
      <c r="B56" s="619">
        <v>0</v>
      </c>
      <c r="C56" s="620" t="s">
        <v>10</v>
      </c>
      <c r="D56" s="620" t="s">
        <v>10</v>
      </c>
      <c r="E56" s="621">
        <v>1.0000000000000001E-5</v>
      </c>
      <c r="F56" s="1443">
        <f t="shared" ref="F56:F65" si="24">IF(0.5*(MAX(C56:E56)-MIN(C56:E56))=0,0.00001,0.5*(MAX(C56:E56)-MIN(C56:E56)))</f>
        <v>1.0000000000000001E-5</v>
      </c>
      <c r="G56" s="622">
        <v>4.7999999999999996E-3</v>
      </c>
      <c r="I56" s="619">
        <v>0</v>
      </c>
      <c r="J56" s="620" t="s">
        <v>10</v>
      </c>
      <c r="K56" s="620" t="s">
        <v>10</v>
      </c>
      <c r="L56" s="1443">
        <f t="shared" ref="L56:L65" si="25">IF(0.5*(MAX(I56:K56)-MIN(I56:K56))=0,0.00001,0.5*(MAX(I56:K56)-MIN(I56:K56)))</f>
        <v>1.0000000000000001E-5</v>
      </c>
      <c r="M56" s="121">
        <f t="shared" ref="M56:M65" si="26">0.5*(MAX(J56:L56)-MIN(J56:L56))</f>
        <v>0</v>
      </c>
      <c r="N56" s="622">
        <v>4.7999999999999996E-3</v>
      </c>
      <c r="P56" s="619">
        <v>0</v>
      </c>
      <c r="Q56" s="620" t="s">
        <v>10</v>
      </c>
      <c r="R56" s="620" t="s">
        <v>10</v>
      </c>
      <c r="S56" s="621">
        <v>1.0000000000000001E-5</v>
      </c>
      <c r="T56" s="1443">
        <f t="shared" ref="T56:T65" si="27">IF(0.5*(MAX(Q56:S56)-MIN(Q56:S56))=0,0.00001,0.5*(MAX(Q56:S56)-MIN(Q56:S56)))</f>
        <v>1.0000000000000001E-5</v>
      </c>
      <c r="U56" s="622">
        <v>4.7999999999999996E-3</v>
      </c>
      <c r="V56" s="617"/>
    </row>
    <row r="57" spans="1:22">
      <c r="A57" s="617"/>
      <c r="B57" s="619">
        <v>10</v>
      </c>
      <c r="C57" s="620" t="s">
        <v>10</v>
      </c>
      <c r="D57" s="620" t="s">
        <v>10</v>
      </c>
      <c r="E57" s="621">
        <v>1.0000000000000001E-5</v>
      </c>
      <c r="F57" s="1443">
        <f t="shared" si="24"/>
        <v>1.0000000000000001E-5</v>
      </c>
      <c r="G57" s="622">
        <f>$N$31*B57</f>
        <v>4.7999999999999994E-2</v>
      </c>
      <c r="I57" s="619">
        <v>10</v>
      </c>
      <c r="J57" s="620" t="s">
        <v>10</v>
      </c>
      <c r="K57" s="620" t="s">
        <v>10</v>
      </c>
      <c r="L57" s="1443">
        <f t="shared" si="25"/>
        <v>1.0000000000000001E-5</v>
      </c>
      <c r="M57" s="121">
        <f t="shared" si="26"/>
        <v>0</v>
      </c>
      <c r="N57" s="622">
        <f>$N$31*I57</f>
        <v>4.7999999999999994E-2</v>
      </c>
      <c r="P57" s="619">
        <v>10</v>
      </c>
      <c r="Q57" s="620" t="s">
        <v>10</v>
      </c>
      <c r="R57" s="620" t="s">
        <v>10</v>
      </c>
      <c r="S57" s="621">
        <v>1.0000000000000001E-5</v>
      </c>
      <c r="T57" s="1443">
        <f t="shared" si="27"/>
        <v>1.0000000000000001E-5</v>
      </c>
      <c r="U57" s="622">
        <f>$N$31*P57</f>
        <v>4.7999999999999994E-2</v>
      </c>
      <c r="V57" s="617"/>
    </row>
    <row r="58" spans="1:22">
      <c r="A58" s="617"/>
      <c r="B58" s="619">
        <v>20</v>
      </c>
      <c r="C58" s="620" t="s">
        <v>10</v>
      </c>
      <c r="D58" s="620" t="s">
        <v>10</v>
      </c>
      <c r="E58" s="621">
        <v>0.1</v>
      </c>
      <c r="F58" s="1443">
        <f t="shared" si="24"/>
        <v>1.0000000000000001E-5</v>
      </c>
      <c r="G58" s="622">
        <f t="shared" ref="G58:G65" si="28">$N$31*B58</f>
        <v>9.5999999999999988E-2</v>
      </c>
      <c r="I58" s="619">
        <v>20</v>
      </c>
      <c r="J58" s="620" t="s">
        <v>10</v>
      </c>
      <c r="K58" s="620" t="s">
        <v>10</v>
      </c>
      <c r="L58" s="1443">
        <f t="shared" si="25"/>
        <v>1.0000000000000001E-5</v>
      </c>
      <c r="M58" s="121">
        <f t="shared" si="26"/>
        <v>0</v>
      </c>
      <c r="N58" s="622">
        <f t="shared" ref="N58:N65" si="29">$N$31*I58</f>
        <v>9.5999999999999988E-2</v>
      </c>
      <c r="P58" s="619">
        <v>20</v>
      </c>
      <c r="Q58" s="620" t="s">
        <v>10</v>
      </c>
      <c r="R58" s="620" t="s">
        <v>10</v>
      </c>
      <c r="S58" s="621">
        <v>0.1</v>
      </c>
      <c r="T58" s="1443">
        <f t="shared" si="27"/>
        <v>1.0000000000000001E-5</v>
      </c>
      <c r="U58" s="622">
        <f t="shared" ref="U58:U65" si="30">$N$31*P58</f>
        <v>9.5999999999999988E-2</v>
      </c>
      <c r="V58" s="617"/>
    </row>
    <row r="59" spans="1:22">
      <c r="A59" s="617"/>
      <c r="B59" s="619">
        <v>30</v>
      </c>
      <c r="C59" s="620" t="s">
        <v>10</v>
      </c>
      <c r="D59" s="620" t="s">
        <v>10</v>
      </c>
      <c r="E59" s="621">
        <v>0.1</v>
      </c>
      <c r="F59" s="1443">
        <f t="shared" si="24"/>
        <v>1.0000000000000001E-5</v>
      </c>
      <c r="G59" s="622">
        <f t="shared" si="28"/>
        <v>0.14399999999999999</v>
      </c>
      <c r="I59" s="619">
        <v>30</v>
      </c>
      <c r="J59" s="620" t="s">
        <v>10</v>
      </c>
      <c r="K59" s="620" t="s">
        <v>10</v>
      </c>
      <c r="L59" s="1443">
        <f t="shared" si="25"/>
        <v>1.0000000000000001E-5</v>
      </c>
      <c r="M59" s="121">
        <f t="shared" si="26"/>
        <v>0</v>
      </c>
      <c r="N59" s="622">
        <f t="shared" si="29"/>
        <v>0.14399999999999999</v>
      </c>
      <c r="P59" s="619">
        <v>30</v>
      </c>
      <c r="Q59" s="620" t="s">
        <v>10</v>
      </c>
      <c r="R59" s="620" t="s">
        <v>10</v>
      </c>
      <c r="S59" s="621">
        <v>0.1</v>
      </c>
      <c r="T59" s="1443">
        <f t="shared" si="27"/>
        <v>1.0000000000000001E-5</v>
      </c>
      <c r="U59" s="622">
        <f t="shared" si="30"/>
        <v>0.14399999999999999</v>
      </c>
      <c r="V59" s="617"/>
    </row>
    <row r="60" spans="1:22">
      <c r="A60" s="617"/>
      <c r="B60" s="619">
        <v>50</v>
      </c>
      <c r="C60" s="623" t="s">
        <v>10</v>
      </c>
      <c r="D60" s="623" t="s">
        <v>10</v>
      </c>
      <c r="E60" s="621">
        <v>0.2</v>
      </c>
      <c r="F60" s="1443">
        <f t="shared" si="24"/>
        <v>1.0000000000000001E-5</v>
      </c>
      <c r="G60" s="622">
        <f t="shared" si="28"/>
        <v>0.24</v>
      </c>
      <c r="I60" s="619">
        <v>50</v>
      </c>
      <c r="J60" s="623" t="s">
        <v>10</v>
      </c>
      <c r="K60" s="623" t="s">
        <v>10</v>
      </c>
      <c r="L60" s="1443">
        <f t="shared" si="25"/>
        <v>1.0000000000000001E-5</v>
      </c>
      <c r="M60" s="121">
        <f>0.5*(MAX(J60:L60)-MIN(J60:L60))</f>
        <v>0</v>
      </c>
      <c r="N60" s="622">
        <f t="shared" si="29"/>
        <v>0.24</v>
      </c>
      <c r="P60" s="619">
        <v>50</v>
      </c>
      <c r="Q60" s="623" t="s">
        <v>10</v>
      </c>
      <c r="R60" s="623" t="s">
        <v>10</v>
      </c>
      <c r="S60" s="621">
        <v>0.2</v>
      </c>
      <c r="T60" s="1443">
        <f t="shared" si="27"/>
        <v>1.0000000000000001E-5</v>
      </c>
      <c r="U60" s="622">
        <f t="shared" si="30"/>
        <v>0.24</v>
      </c>
      <c r="V60" s="617"/>
    </row>
    <row r="61" spans="1:22">
      <c r="A61" s="617"/>
      <c r="B61" s="619">
        <v>100</v>
      </c>
      <c r="C61" s="623" t="s">
        <v>10</v>
      </c>
      <c r="D61" s="623" t="s">
        <v>10</v>
      </c>
      <c r="E61" s="621">
        <v>0.3</v>
      </c>
      <c r="F61" s="1443">
        <f t="shared" si="24"/>
        <v>1.0000000000000001E-5</v>
      </c>
      <c r="G61" s="622">
        <f t="shared" si="28"/>
        <v>0.48</v>
      </c>
      <c r="I61" s="619">
        <v>100</v>
      </c>
      <c r="J61" s="623" t="s">
        <v>10</v>
      </c>
      <c r="K61" s="623" t="s">
        <v>10</v>
      </c>
      <c r="L61" s="1443">
        <f t="shared" si="25"/>
        <v>1.0000000000000001E-5</v>
      </c>
      <c r="M61" s="121">
        <f t="shared" si="26"/>
        <v>0</v>
      </c>
      <c r="N61" s="622">
        <f t="shared" si="29"/>
        <v>0.48</v>
      </c>
      <c r="P61" s="619">
        <v>100</v>
      </c>
      <c r="Q61" s="623" t="s">
        <v>10</v>
      </c>
      <c r="R61" s="623" t="s">
        <v>10</v>
      </c>
      <c r="S61" s="621">
        <v>0.3</v>
      </c>
      <c r="T61" s="1443">
        <f t="shared" si="27"/>
        <v>1.0000000000000001E-5</v>
      </c>
      <c r="U61" s="622">
        <f t="shared" si="30"/>
        <v>0.48</v>
      </c>
      <c r="V61" s="617"/>
    </row>
    <row r="62" spans="1:22">
      <c r="A62" s="617"/>
      <c r="B62" s="119">
        <v>150</v>
      </c>
      <c r="C62" s="623" t="s">
        <v>10</v>
      </c>
      <c r="D62" s="623" t="s">
        <v>10</v>
      </c>
      <c r="E62" s="621">
        <v>1.0000000000000001E-5</v>
      </c>
      <c r="F62" s="1443">
        <f t="shared" si="24"/>
        <v>1.0000000000000001E-5</v>
      </c>
      <c r="G62" s="622">
        <f t="shared" si="28"/>
        <v>0.72</v>
      </c>
      <c r="I62" s="119">
        <v>150</v>
      </c>
      <c r="J62" s="623" t="s">
        <v>10</v>
      </c>
      <c r="K62" s="623" t="s">
        <v>10</v>
      </c>
      <c r="L62" s="1443">
        <f t="shared" si="25"/>
        <v>1.0000000000000001E-5</v>
      </c>
      <c r="M62" s="121">
        <f t="shared" si="26"/>
        <v>0</v>
      </c>
      <c r="N62" s="622">
        <f t="shared" si="29"/>
        <v>0.72</v>
      </c>
      <c r="P62" s="119">
        <v>150</v>
      </c>
      <c r="Q62" s="623" t="s">
        <v>10</v>
      </c>
      <c r="R62" s="623" t="s">
        <v>10</v>
      </c>
      <c r="S62" s="621">
        <v>1.0000000000000001E-5</v>
      </c>
      <c r="T62" s="1443">
        <f t="shared" si="27"/>
        <v>1.0000000000000001E-5</v>
      </c>
      <c r="U62" s="622">
        <f t="shared" si="30"/>
        <v>0.72</v>
      </c>
      <c r="V62" s="617"/>
    </row>
    <row r="63" spans="1:22">
      <c r="A63" s="617"/>
      <c r="B63" s="119">
        <v>200</v>
      </c>
      <c r="C63" s="623" t="s">
        <v>10</v>
      </c>
      <c r="D63" s="623" t="s">
        <v>10</v>
      </c>
      <c r="E63" s="621">
        <v>1</v>
      </c>
      <c r="F63" s="1443">
        <f t="shared" si="24"/>
        <v>1.0000000000000001E-5</v>
      </c>
      <c r="G63" s="622">
        <f t="shared" si="28"/>
        <v>0.96</v>
      </c>
      <c r="I63" s="119">
        <v>200</v>
      </c>
      <c r="J63" s="623" t="s">
        <v>10</v>
      </c>
      <c r="K63" s="623" t="s">
        <v>10</v>
      </c>
      <c r="L63" s="1443">
        <f t="shared" si="25"/>
        <v>1.0000000000000001E-5</v>
      </c>
      <c r="M63" s="121">
        <f t="shared" si="26"/>
        <v>0</v>
      </c>
      <c r="N63" s="622">
        <f t="shared" si="29"/>
        <v>0.96</v>
      </c>
      <c r="P63" s="119">
        <v>200</v>
      </c>
      <c r="Q63" s="623" t="s">
        <v>10</v>
      </c>
      <c r="R63" s="623" t="s">
        <v>10</v>
      </c>
      <c r="S63" s="621">
        <v>1</v>
      </c>
      <c r="T63" s="1443">
        <f t="shared" si="27"/>
        <v>1.0000000000000001E-5</v>
      </c>
      <c r="U63" s="622">
        <f t="shared" si="30"/>
        <v>0.96</v>
      </c>
      <c r="V63" s="617"/>
    </row>
    <row r="64" spans="1:22">
      <c r="A64" s="617"/>
      <c r="B64" s="119">
        <v>250</v>
      </c>
      <c r="C64" s="623" t="s">
        <v>10</v>
      </c>
      <c r="D64" s="623" t="s">
        <v>10</v>
      </c>
      <c r="E64" s="621">
        <v>1.0000000000000001E-5</v>
      </c>
      <c r="F64" s="1443">
        <f t="shared" si="24"/>
        <v>1.0000000000000001E-5</v>
      </c>
      <c r="G64" s="622">
        <f t="shared" si="28"/>
        <v>1.2</v>
      </c>
      <c r="I64" s="119">
        <v>250</v>
      </c>
      <c r="J64" s="623" t="s">
        <v>10</v>
      </c>
      <c r="K64" s="623" t="s">
        <v>10</v>
      </c>
      <c r="L64" s="1443">
        <f t="shared" si="25"/>
        <v>1.0000000000000001E-5</v>
      </c>
      <c r="M64" s="121">
        <f t="shared" si="26"/>
        <v>0</v>
      </c>
      <c r="N64" s="622">
        <f t="shared" si="29"/>
        <v>1.2</v>
      </c>
      <c r="P64" s="119">
        <v>250</v>
      </c>
      <c r="Q64" s="623" t="s">
        <v>10</v>
      </c>
      <c r="R64" s="623" t="s">
        <v>10</v>
      </c>
      <c r="S64" s="621">
        <v>1.0000000000000001E-5</v>
      </c>
      <c r="T64" s="1443">
        <f t="shared" si="27"/>
        <v>1.0000000000000001E-5</v>
      </c>
      <c r="U64" s="622">
        <f t="shared" si="30"/>
        <v>1.2</v>
      </c>
      <c r="V64" s="617"/>
    </row>
    <row r="65" spans="1:22">
      <c r="A65" s="617"/>
      <c r="B65" s="119">
        <v>360</v>
      </c>
      <c r="C65" s="623" t="s">
        <v>10</v>
      </c>
      <c r="D65" s="623" t="s">
        <v>10</v>
      </c>
      <c r="E65" s="621">
        <v>-1</v>
      </c>
      <c r="F65" s="1443">
        <f t="shared" si="24"/>
        <v>1.0000000000000001E-5</v>
      </c>
      <c r="G65" s="622">
        <f t="shared" si="28"/>
        <v>1.7279999999999998</v>
      </c>
      <c r="I65" s="119">
        <v>360</v>
      </c>
      <c r="J65" s="623" t="s">
        <v>10</v>
      </c>
      <c r="K65" s="623" t="s">
        <v>10</v>
      </c>
      <c r="L65" s="1443">
        <f t="shared" si="25"/>
        <v>1.0000000000000001E-5</v>
      </c>
      <c r="M65" s="121">
        <f t="shared" si="26"/>
        <v>0</v>
      </c>
      <c r="N65" s="622">
        <f t="shared" si="29"/>
        <v>1.7279999999999998</v>
      </c>
      <c r="P65" s="119">
        <v>360</v>
      </c>
      <c r="Q65" s="623" t="s">
        <v>10</v>
      </c>
      <c r="R65" s="623" t="s">
        <v>10</v>
      </c>
      <c r="S65" s="621">
        <v>-1</v>
      </c>
      <c r="T65" s="1443">
        <f t="shared" si="27"/>
        <v>1.0000000000000001E-5</v>
      </c>
      <c r="U65" s="622">
        <f t="shared" si="30"/>
        <v>1.7279999999999998</v>
      </c>
      <c r="V65" s="617"/>
    </row>
    <row r="66" spans="1:22" ht="13">
      <c r="A66" s="617"/>
      <c r="B66" s="619" t="s">
        <v>495</v>
      </c>
      <c r="C66" s="1434" t="s">
        <v>7</v>
      </c>
      <c r="D66" s="1434" t="s">
        <v>7</v>
      </c>
      <c r="E66" s="1434"/>
      <c r="F66" s="1434" t="s">
        <v>2</v>
      </c>
      <c r="G66" s="1441" t="s">
        <v>3</v>
      </c>
      <c r="I66" s="619" t="s">
        <v>495</v>
      </c>
      <c r="J66" s="1434" t="s">
        <v>7</v>
      </c>
      <c r="K66" s="1434" t="s">
        <v>7</v>
      </c>
      <c r="L66" s="1434" t="s">
        <v>2</v>
      </c>
      <c r="M66" s="2266" t="s">
        <v>2</v>
      </c>
      <c r="N66" s="2275" t="s">
        <v>3</v>
      </c>
      <c r="P66" s="619" t="s">
        <v>495</v>
      </c>
      <c r="Q66" s="1434" t="s">
        <v>7</v>
      </c>
      <c r="R66" s="1434" t="s">
        <v>7</v>
      </c>
      <c r="S66" s="1434"/>
      <c r="T66" s="1434" t="s">
        <v>2</v>
      </c>
      <c r="U66" s="2275" t="s">
        <v>3</v>
      </c>
      <c r="V66" s="617"/>
    </row>
    <row r="67" spans="1:22" ht="13">
      <c r="A67" s="617"/>
      <c r="B67" s="619" t="s">
        <v>336</v>
      </c>
      <c r="C67" s="1434">
        <v>2017</v>
      </c>
      <c r="D67" s="1434">
        <v>2017</v>
      </c>
      <c r="E67" s="1434">
        <v>2018</v>
      </c>
      <c r="F67" s="1434"/>
      <c r="G67" s="1441"/>
      <c r="I67" s="619" t="s">
        <v>336</v>
      </c>
      <c r="J67" s="1434">
        <v>2017</v>
      </c>
      <c r="K67" s="1434">
        <v>2017</v>
      </c>
      <c r="L67" s="1434"/>
      <c r="M67" s="2266"/>
      <c r="N67" s="2275"/>
      <c r="P67" s="619" t="s">
        <v>336</v>
      </c>
      <c r="Q67" s="1434">
        <v>2017</v>
      </c>
      <c r="R67" s="1434">
        <v>2017</v>
      </c>
      <c r="S67" s="1434">
        <v>2018</v>
      </c>
      <c r="T67" s="1434"/>
      <c r="U67" s="2275"/>
      <c r="V67" s="617"/>
    </row>
    <row r="68" spans="1:22">
      <c r="A68" s="617"/>
      <c r="B68" s="619">
        <v>0</v>
      </c>
      <c r="C68" s="620" t="s">
        <v>10</v>
      </c>
      <c r="D68" s="620" t="s">
        <v>10</v>
      </c>
      <c r="E68" s="621">
        <v>1.0000000000000001E-5</v>
      </c>
      <c r="F68" s="1443">
        <f t="shared" ref="F68:F73" si="31">IF(0.5*(MAX(C68:E68)-MIN(C68:E68))=0,0.00001,0.5*(MAX(C68:E68)-MIN(C68:E68)))</f>
        <v>1.0000000000000001E-5</v>
      </c>
      <c r="G68" s="122">
        <v>1.1999999999999999E-3</v>
      </c>
      <c r="I68" s="619">
        <v>0</v>
      </c>
      <c r="J68" s="620" t="s">
        <v>10</v>
      </c>
      <c r="K68" s="620" t="s">
        <v>10</v>
      </c>
      <c r="L68" s="1443">
        <f t="shared" ref="L68:L73" si="32">IF(0.5*(MAX(I68:K68)-MIN(I68:K68))=0,0.00001,0.5*(MAX(I68:K68)-MIN(I68:K68)))</f>
        <v>1.0000000000000001E-5</v>
      </c>
      <c r="M68" s="623">
        <f t="shared" ref="M68:M73" si="33">0.5*(MAX(J68:L68)-MIN(J68:L68))</f>
        <v>0</v>
      </c>
      <c r="N68" s="122">
        <v>1.1999999999999999E-3</v>
      </c>
      <c r="P68" s="619">
        <v>0</v>
      </c>
      <c r="Q68" s="620" t="s">
        <v>10</v>
      </c>
      <c r="R68" s="620" t="s">
        <v>10</v>
      </c>
      <c r="S68" s="621">
        <v>1.0000000000000001E-5</v>
      </c>
      <c r="T68" s="1443">
        <f t="shared" ref="T68:T73" si="34">IF(0.5*(MAX(Q68:S68)-MIN(Q68:S68))=0,0.00001,0.5*(MAX(Q68:S68)-MIN(Q68:S68)))</f>
        <v>1.0000000000000001E-5</v>
      </c>
      <c r="U68" s="122">
        <v>1.1999999999999999E-3</v>
      </c>
      <c r="V68" s="617"/>
    </row>
    <row r="69" spans="1:22">
      <c r="A69" s="617"/>
      <c r="B69" s="619">
        <v>30</v>
      </c>
      <c r="C69" s="620" t="s">
        <v>10</v>
      </c>
      <c r="D69" s="620" t="s">
        <v>10</v>
      </c>
      <c r="E69" s="621">
        <v>1.0000000000000001E-5</v>
      </c>
      <c r="F69" s="1443">
        <f>IF(0.5*(MAX(C69:E69)-MIN(C69:E69))=0,0.00001,0.5*(MAX(C69:E69)-MIN(C69:E69)))</f>
        <v>1.0000000000000001E-5</v>
      </c>
      <c r="G69" s="122">
        <f>$N$43*B69</f>
        <v>3.5999999999999997E-2</v>
      </c>
      <c r="I69" s="619">
        <v>30</v>
      </c>
      <c r="J69" s="620" t="s">
        <v>10</v>
      </c>
      <c r="K69" s="620" t="s">
        <v>10</v>
      </c>
      <c r="L69" s="1443">
        <f>IF(0.5*(MAX(I69:K69)-MIN(I69:K69))=0,0.00001,0.5*(MAX(I69:K69)-MIN(I69:K69)))</f>
        <v>1.0000000000000001E-5</v>
      </c>
      <c r="M69" s="623">
        <f t="shared" si="33"/>
        <v>0</v>
      </c>
      <c r="N69" s="122">
        <f>$N$43*I69</f>
        <v>3.5999999999999997E-2</v>
      </c>
      <c r="P69" s="619">
        <v>30</v>
      </c>
      <c r="Q69" s="620" t="s">
        <v>10</v>
      </c>
      <c r="R69" s="620" t="s">
        <v>10</v>
      </c>
      <c r="S69" s="621">
        <v>1.0000000000000001E-5</v>
      </c>
      <c r="T69" s="1443">
        <f>IF(0.5*(MAX(Q69:S69)-MIN(Q69:S69))=0,0.00001,0.5*(MAX(Q69:S69)-MIN(Q69:S69)))</f>
        <v>1.0000000000000001E-5</v>
      </c>
      <c r="U69" s="122">
        <f>$N$43*P69</f>
        <v>3.5999999999999997E-2</v>
      </c>
      <c r="V69" s="617"/>
    </row>
    <row r="70" spans="1:22">
      <c r="A70" s="617"/>
      <c r="B70" s="619">
        <v>60</v>
      </c>
      <c r="C70" s="620" t="s">
        <v>10</v>
      </c>
      <c r="D70" s="620" t="s">
        <v>10</v>
      </c>
      <c r="E70" s="621">
        <v>1.0000000000000001E-5</v>
      </c>
      <c r="F70" s="1443">
        <f t="shared" si="31"/>
        <v>1.0000000000000001E-5</v>
      </c>
      <c r="G70" s="122">
        <f t="shared" ref="G70:G73" si="35">$N$43*B70</f>
        <v>7.1999999999999995E-2</v>
      </c>
      <c r="I70" s="619">
        <v>60</v>
      </c>
      <c r="J70" s="620" t="s">
        <v>10</v>
      </c>
      <c r="K70" s="620" t="s">
        <v>10</v>
      </c>
      <c r="L70" s="1443">
        <f t="shared" si="32"/>
        <v>1.0000000000000001E-5</v>
      </c>
      <c r="M70" s="623">
        <f t="shared" si="33"/>
        <v>0</v>
      </c>
      <c r="N70" s="122">
        <f t="shared" ref="N70:N73" si="36">$N$43*I70</f>
        <v>7.1999999999999995E-2</v>
      </c>
      <c r="P70" s="619">
        <v>60</v>
      </c>
      <c r="Q70" s="620" t="s">
        <v>10</v>
      </c>
      <c r="R70" s="620" t="s">
        <v>10</v>
      </c>
      <c r="S70" s="621">
        <v>1.0000000000000001E-5</v>
      </c>
      <c r="T70" s="1443">
        <f t="shared" si="34"/>
        <v>1.0000000000000001E-5</v>
      </c>
      <c r="U70" s="122">
        <f t="shared" ref="U70:U73" si="37">$N$43*P70</f>
        <v>7.1999999999999995E-2</v>
      </c>
      <c r="V70" s="617"/>
    </row>
    <row r="71" spans="1:22">
      <c r="A71" s="617"/>
      <c r="B71" s="619">
        <v>120</v>
      </c>
      <c r="C71" s="620" t="s">
        <v>10</v>
      </c>
      <c r="D71" s="620" t="s">
        <v>10</v>
      </c>
      <c r="E71" s="621">
        <v>1.0000000000000001E-5</v>
      </c>
      <c r="F71" s="1443">
        <f t="shared" si="31"/>
        <v>1.0000000000000001E-5</v>
      </c>
      <c r="G71" s="122">
        <f t="shared" si="35"/>
        <v>0.14399999999999999</v>
      </c>
      <c r="I71" s="619">
        <v>120</v>
      </c>
      <c r="J71" s="620" t="s">
        <v>10</v>
      </c>
      <c r="K71" s="620" t="s">
        <v>10</v>
      </c>
      <c r="L71" s="1443">
        <f t="shared" si="32"/>
        <v>1.0000000000000001E-5</v>
      </c>
      <c r="M71" s="623">
        <f t="shared" si="33"/>
        <v>0</v>
      </c>
      <c r="N71" s="122">
        <f t="shared" si="36"/>
        <v>0.14399999999999999</v>
      </c>
      <c r="P71" s="619">
        <v>120</v>
      </c>
      <c r="Q71" s="620" t="s">
        <v>10</v>
      </c>
      <c r="R71" s="620" t="s">
        <v>10</v>
      </c>
      <c r="S71" s="621">
        <v>1.0000000000000001E-5</v>
      </c>
      <c r="T71" s="1443">
        <f t="shared" si="34"/>
        <v>1.0000000000000001E-5</v>
      </c>
      <c r="U71" s="122">
        <f t="shared" si="37"/>
        <v>0.14399999999999999</v>
      </c>
      <c r="V71" s="617"/>
    </row>
    <row r="72" spans="1:22">
      <c r="A72" s="617"/>
      <c r="B72" s="619">
        <v>180</v>
      </c>
      <c r="C72" s="620" t="s">
        <v>10</v>
      </c>
      <c r="D72" s="620" t="s">
        <v>10</v>
      </c>
      <c r="E72" s="621">
        <v>1.0000000000000001E-5</v>
      </c>
      <c r="F72" s="1443">
        <f t="shared" si="31"/>
        <v>1.0000000000000001E-5</v>
      </c>
      <c r="G72" s="122">
        <f t="shared" si="35"/>
        <v>0.21599999999999997</v>
      </c>
      <c r="I72" s="619">
        <v>180</v>
      </c>
      <c r="J72" s="620" t="s">
        <v>10</v>
      </c>
      <c r="K72" s="620" t="s">
        <v>10</v>
      </c>
      <c r="L72" s="1443">
        <f t="shared" si="32"/>
        <v>1.0000000000000001E-5</v>
      </c>
      <c r="M72" s="623">
        <f t="shared" si="33"/>
        <v>0</v>
      </c>
      <c r="N72" s="122">
        <f t="shared" si="36"/>
        <v>0.21599999999999997</v>
      </c>
      <c r="P72" s="619">
        <v>180</v>
      </c>
      <c r="Q72" s="620" t="s">
        <v>10</v>
      </c>
      <c r="R72" s="620" t="s">
        <v>10</v>
      </c>
      <c r="S72" s="621">
        <v>1.0000000000000001E-5</v>
      </c>
      <c r="T72" s="1443">
        <f t="shared" si="34"/>
        <v>1.0000000000000001E-5</v>
      </c>
      <c r="U72" s="122">
        <f t="shared" si="37"/>
        <v>0.21599999999999997</v>
      </c>
      <c r="V72" s="617"/>
    </row>
    <row r="73" spans="1:22" ht="13" thickBot="1">
      <c r="A73" s="617"/>
      <c r="B73" s="626">
        <v>240</v>
      </c>
      <c r="C73" s="624" t="s">
        <v>10</v>
      </c>
      <c r="D73" s="624" t="s">
        <v>10</v>
      </c>
      <c r="E73" s="621">
        <v>1.0000000000000001E-5</v>
      </c>
      <c r="F73" s="1443">
        <f t="shared" si="31"/>
        <v>1.0000000000000001E-5</v>
      </c>
      <c r="G73" s="123">
        <f t="shared" si="35"/>
        <v>0.28799999999999998</v>
      </c>
      <c r="I73" s="626">
        <v>240</v>
      </c>
      <c r="J73" s="624" t="s">
        <v>10</v>
      </c>
      <c r="K73" s="624" t="s">
        <v>10</v>
      </c>
      <c r="L73" s="1443">
        <f t="shared" si="32"/>
        <v>1.0000000000000001E-5</v>
      </c>
      <c r="M73" s="625">
        <f t="shared" si="33"/>
        <v>0</v>
      </c>
      <c r="N73" s="123">
        <f t="shared" si="36"/>
        <v>0.28799999999999998</v>
      </c>
      <c r="P73" s="626">
        <v>240</v>
      </c>
      <c r="Q73" s="624" t="s">
        <v>10</v>
      </c>
      <c r="R73" s="624" t="s">
        <v>10</v>
      </c>
      <c r="S73" s="621">
        <v>1.0000000000000001E-5</v>
      </c>
      <c r="T73" s="1443">
        <f t="shared" si="34"/>
        <v>1.0000000000000001E-5</v>
      </c>
      <c r="U73" s="123">
        <f t="shared" si="37"/>
        <v>0.28799999999999998</v>
      </c>
      <c r="V73" s="617"/>
    </row>
    <row r="74" spans="1:22">
      <c r="A74" s="617"/>
      <c r="B74" s="617"/>
      <c r="C74" s="617"/>
      <c r="E74" s="617"/>
      <c r="F74" s="617"/>
      <c r="G74" s="617"/>
      <c r="H74" s="617"/>
      <c r="I74" s="617"/>
      <c r="J74" s="617"/>
      <c r="L74" s="617"/>
      <c r="M74" s="617"/>
      <c r="N74" s="617"/>
      <c r="O74" s="617"/>
      <c r="P74" s="617"/>
      <c r="Q74" s="617"/>
      <c r="S74" s="617"/>
      <c r="T74" s="617"/>
      <c r="U74" s="617"/>
      <c r="V74" s="617"/>
    </row>
    <row r="76" spans="1:22" ht="13" thickBot="1"/>
    <row r="77" spans="1:22" ht="24.75" customHeight="1">
      <c r="B77" s="2299" t="str">
        <f t="shared" ref="B77:B98" si="38">IF($B$120=$B$121,B2,IF($B$120=$B$122,I2,IF($B$120=$B$123,P2,IF($B$120=$B$124,B27,IF($B$120=$B$125,I27,IF($B$120=$B$126,P27,IF($B$120=$B$127,B52,IF($B$120=$B$128,I52,IF($B$120=$B$129,P52,IF($B$120=$B$121,B2,IF($B$120=$B$121,B2,IF($B$120=$B$121,B2))))))))))))</f>
        <v>Defibrillator Analyzer, Merek : Fluke, Model : Impulse 7000 D, SN : 1837053</v>
      </c>
      <c r="C77" s="2300"/>
      <c r="D77" s="2300"/>
      <c r="E77" s="2300"/>
      <c r="F77" s="2300"/>
      <c r="G77" s="2301"/>
      <c r="J77" s="2276" t="s">
        <v>134</v>
      </c>
      <c r="K77" s="2279" t="s">
        <v>500</v>
      </c>
      <c r="L77" s="2279" t="s">
        <v>135</v>
      </c>
      <c r="M77" s="627" t="s">
        <v>53</v>
      </c>
      <c r="N77" s="628" t="s">
        <v>51</v>
      </c>
    </row>
    <row r="78" spans="1:22" ht="13">
      <c r="B78" s="2302" t="str">
        <f t="shared" si="38"/>
        <v>KOREKSI DEFIBRILLATOR ANALYZER</v>
      </c>
      <c r="C78" s="2303"/>
      <c r="D78" s="2303"/>
      <c r="E78" s="2304"/>
      <c r="F78" s="118" t="str">
        <f>IF($B$120=$B$121,F3,IF($B$120=$B$122,M3,IF($B$120=$B$123,T3,IF($B$120=$B$124,F28,IF($B$120=$B$125,M28,IF($B$120=$B$126,T28,IF($B$120=$B$127,F53,IF($B$120=$B$128,M53,IF($B$120=$B$129,T53,IF($B$120=$B$121,F3,IF($B$120=$B$121,F3,IF($B$120=$B$121,F3))))))))))))</f>
        <v>DRIFT</v>
      </c>
      <c r="G78" s="118" t="str">
        <f>IF($B$120=$B$121,G3,IF($B$120=$B$122,N3,IF($B$120=$B$123,U3,IF($B$120=$B$124,G28,IF($B$120=$B$125,N28,IF($B$120=$B$126,U28,IF($B$120=$B$127,G53,IF($B$120=$B$128,N53,IF($B$120=$B$129,U53,IF($B$120=$B$121,G3,IF($B$120=$B$121,G3,IF($B$120=$B$121,G3))))))))))))</f>
        <v>U95 STD</v>
      </c>
      <c r="J78" s="2277"/>
      <c r="K78" s="2280"/>
      <c r="L78" s="2280"/>
      <c r="M78" s="629"/>
      <c r="N78" s="630"/>
    </row>
    <row r="79" spans="1:22" ht="13">
      <c r="B79" s="118" t="str">
        <f t="shared" si="38"/>
        <v>Setting Energi</v>
      </c>
      <c r="C79" s="2302" t="str">
        <f t="shared" ref="C79:C98" si="39">IF($B$120=$B$121,C4,IF($B$120=$B$122,J4,IF($B$120=$B$123,Q4,IF($B$120=$B$124,C29,IF($B$120=$B$125,J29,IF($B$120=$B$126,Q29,IF($B$120=$B$127,C54,IF($B$120=$B$128,J54,IF($B$120=$B$129,Q54,IF($B$120=$B$121,C4,IF($B$120=$B$121,C4,IF($B$120=$B$121,C4))))))))))))</f>
        <v>Tahun</v>
      </c>
      <c r="D79" s="2303"/>
      <c r="E79" s="2304"/>
      <c r="F79" s="118"/>
      <c r="G79" s="118"/>
      <c r="J79" s="2278"/>
      <c r="K79" s="2280"/>
      <c r="L79" s="2280"/>
      <c r="M79" s="631"/>
      <c r="N79" s="632"/>
    </row>
    <row r="80" spans="1:22" ht="13">
      <c r="B80" s="118" t="str">
        <f t="shared" si="38"/>
        <v>( Joule )</v>
      </c>
      <c r="C80" s="118">
        <f t="shared" si="39"/>
        <v>2016</v>
      </c>
      <c r="D80" s="118">
        <f t="shared" ref="D80:D90" si="40">IF($B$120=$B$121,D5,IF($B$120=$B$122,K5,IF($B$120=$B$123,R5,IF($B$120=$B$124,D30,IF($B$120=$B$125,K30,IF($B$120=$B$126,R30,IF($B$120=$B$127,D55,IF($B$120=$B$128,K55,IF($B$120=$B$129,R55,IF($B$120=$B$121,D5,IF($B$120=$B$121,D5,IF($B$120=$B$121,D5))))))))))))</f>
        <v>2016</v>
      </c>
      <c r="E80" s="118">
        <f t="shared" ref="E80:E90" si="41">IF($B$120=$B$121,E5,IF($B$120=$B$122,L5,IF($B$120=$B$123,S5,IF($B$120=$B$124,E30,IF($B$120=$B$125,L30,IF($B$120=$B$126,S30,IF($B$120=$B$127,E55,IF($B$120=$B$128,L55,IF($B$120=$B$129,S55,IF($B$120=$B$121,E5,IF($B$120=$B$121,E5,IF($B$120=$B$121,E5))))))))))))</f>
        <v>2018</v>
      </c>
      <c r="F80" s="118">
        <f t="shared" ref="F80:F90" si="42">IF($B$120=$B$121,F5,IF($B$120=$B$122,M5,IF($B$120=$B$123,T5,IF($B$120=$B$124,F30,IF($B$120=$B$125,M30,IF($B$120=$B$126,T30,IF($B$120=$B$127,F55,IF($B$120=$B$128,M55,IF($B$120=$B$129,T55,IF($B$120=$B$121,F5,IF($B$120=$B$121,F5,IF($B$120=$B$121,F5))))))))))))</f>
        <v>0</v>
      </c>
      <c r="G80" s="118">
        <f t="shared" ref="G80:G90" si="43">IF($B$120=$B$121,G5,IF($B$120=$B$122,N5,IF($B$120=$B$123,U5,IF($B$120=$B$124,G30,IF($B$120=$B$125,N30,IF($B$120=$B$126,U30,IF($B$120=$B$127,G55,IF($B$120=$B$128,N55,IF($B$120=$B$129,U55,IF($B$120=$B$121,G5,IF($B$120=$B$121,G5,IF($B$120=$B$121,G5))))))))))))</f>
        <v>0</v>
      </c>
      <c r="J80" s="633">
        <f t="shared" ref="J80:J88" si="44">C103</f>
        <v>5</v>
      </c>
      <c r="K80" s="1444">
        <f>(FORECAST(J80,$E$81:$E$90,$B$81:$B$90))</f>
        <v>0.23756622900995367</v>
      </c>
      <c r="L80" s="1445">
        <f>J80+K80</f>
        <v>5.2375662290099534</v>
      </c>
      <c r="M80" s="1446">
        <f>(FORECAST(L80,$F$81:$F$90,$B$81:$B$90))</f>
        <v>3.5598751371960242E-3</v>
      </c>
      <c r="N80" s="1447">
        <f>(FORECAST(L80,$G$81:$G$90,$B$81:$B$90))</f>
        <v>2.6097225298425682E-2</v>
      </c>
    </row>
    <row r="81" spans="2:38" ht="13">
      <c r="B81" s="118">
        <f t="shared" si="38"/>
        <v>0</v>
      </c>
      <c r="C81" s="118">
        <f t="shared" si="39"/>
        <v>0</v>
      </c>
      <c r="D81" s="118">
        <f t="shared" si="40"/>
        <v>0</v>
      </c>
      <c r="E81" s="118">
        <f t="shared" si="41"/>
        <v>1.0000000000000001E-5</v>
      </c>
      <c r="F81" s="118">
        <f t="shared" si="42"/>
        <v>5.0000000000000004E-6</v>
      </c>
      <c r="G81" s="118">
        <f t="shared" si="43"/>
        <v>4.7999999999999996E-3</v>
      </c>
      <c r="J81" s="633">
        <f t="shared" si="44"/>
        <v>10.5</v>
      </c>
      <c r="K81" s="634">
        <f>(FORECAST(J81,$E$81:$E$90,$B$81:$B$90))</f>
        <v>0.22933772669250058</v>
      </c>
      <c r="L81" s="634">
        <f t="shared" ref="L81:L88" si="45">J81+K81</f>
        <v>10.729337726692501</v>
      </c>
      <c r="M81" s="635">
        <f t="shared" ref="M81:M87" si="46">(FORECAST(L81,$F$81:$F$90,$B$81:$B$90))</f>
        <v>9.7730741302838493E-3</v>
      </c>
      <c r="N81" s="636">
        <f t="shared" ref="N81:N87" si="47">(FORECAST(L81,$G$81:$G$90,$B$81:$B$90))</f>
        <v>5.2434294258344394E-2</v>
      </c>
      <c r="AL81" s="637"/>
    </row>
    <row r="82" spans="2:38" ht="13">
      <c r="B82" s="118">
        <f t="shared" si="38"/>
        <v>10</v>
      </c>
      <c r="C82" s="118" t="str">
        <f t="shared" si="39"/>
        <v>-</v>
      </c>
      <c r="D82" s="118" t="str">
        <f t="shared" si="40"/>
        <v>-</v>
      </c>
      <c r="E82" s="118">
        <f t="shared" si="41"/>
        <v>1.0000000000000001E-5</v>
      </c>
      <c r="F82" s="118">
        <f t="shared" si="42"/>
        <v>1.0000000000000001E-5</v>
      </c>
      <c r="G82" s="118">
        <f t="shared" si="43"/>
        <v>4.7999999999999994E-2</v>
      </c>
      <c r="J82" s="633">
        <f t="shared" si="44"/>
        <v>20</v>
      </c>
      <c r="K82" s="1445">
        <f t="shared" ref="K82:K88" si="48">(FORECAST(J82,$E$81:$E$90,$B$81:$B$90))</f>
        <v>0.21512485905326345</v>
      </c>
      <c r="L82" s="1445">
        <f t="shared" si="45"/>
        <v>20.215124859053262</v>
      </c>
      <c r="M82" s="1446">
        <f t="shared" si="46"/>
        <v>2.0504963300162819E-2</v>
      </c>
      <c r="N82" s="1447">
        <f t="shared" si="47"/>
        <v>9.7925595189113063E-2</v>
      </c>
    </row>
    <row r="83" spans="2:38" ht="13">
      <c r="B83" s="118">
        <f t="shared" si="38"/>
        <v>20</v>
      </c>
      <c r="C83" s="118">
        <f t="shared" si="39"/>
        <v>0</v>
      </c>
      <c r="D83" s="118">
        <f t="shared" si="40"/>
        <v>0</v>
      </c>
      <c r="E83" s="118">
        <f t="shared" si="41"/>
        <v>0.1</v>
      </c>
      <c r="F83" s="118">
        <f t="shared" si="42"/>
        <v>0.05</v>
      </c>
      <c r="G83" s="118">
        <f t="shared" si="43"/>
        <v>9.5999999999999988E-2</v>
      </c>
      <c r="J83" s="633">
        <f t="shared" si="44"/>
        <v>30</v>
      </c>
      <c r="K83" s="634">
        <f t="shared" si="48"/>
        <v>0.20016394574880331</v>
      </c>
      <c r="L83" s="634">
        <f t="shared" si="45"/>
        <v>30.200163945748802</v>
      </c>
      <c r="M83" s="635">
        <f t="shared" si="46"/>
        <v>3.1801688742140684E-2</v>
      </c>
      <c r="N83" s="636">
        <f t="shared" si="47"/>
        <v>0.14581117511623798</v>
      </c>
    </row>
    <row r="84" spans="2:38" ht="13">
      <c r="B84" s="118">
        <f t="shared" si="38"/>
        <v>30</v>
      </c>
      <c r="C84" s="118" t="str">
        <f t="shared" si="39"/>
        <v>-</v>
      </c>
      <c r="D84" s="118" t="str">
        <f t="shared" si="40"/>
        <v>-</v>
      </c>
      <c r="E84" s="118">
        <f t="shared" si="41"/>
        <v>0.1</v>
      </c>
      <c r="F84" s="118">
        <f t="shared" si="42"/>
        <v>1.0000000000000001E-5</v>
      </c>
      <c r="G84" s="118">
        <f t="shared" si="43"/>
        <v>0.14399999999999999</v>
      </c>
      <c r="J84" s="633">
        <f t="shared" si="44"/>
        <v>51.333333333333336</v>
      </c>
      <c r="K84" s="634">
        <f t="shared" si="48"/>
        <v>0.16824733069928832</v>
      </c>
      <c r="L84" s="634">
        <f t="shared" si="45"/>
        <v>51.501580664032623</v>
      </c>
      <c r="M84" s="635">
        <f t="shared" si="46"/>
        <v>5.5901369685026792E-2</v>
      </c>
      <c r="N84" s="636">
        <f t="shared" si="47"/>
        <v>0.24796707896077116</v>
      </c>
    </row>
    <row r="85" spans="2:38" ht="13">
      <c r="B85" s="118">
        <f t="shared" si="38"/>
        <v>50</v>
      </c>
      <c r="C85" s="118">
        <f t="shared" si="39"/>
        <v>0</v>
      </c>
      <c r="D85" s="118">
        <f t="shared" si="40"/>
        <v>0</v>
      </c>
      <c r="E85" s="118">
        <f t="shared" si="41"/>
        <v>0.2</v>
      </c>
      <c r="F85" s="118">
        <f t="shared" si="42"/>
        <v>0.1</v>
      </c>
      <c r="G85" s="118">
        <f t="shared" si="43"/>
        <v>0.24</v>
      </c>
      <c r="J85" s="633">
        <f t="shared" si="44"/>
        <v>98.666666666666671</v>
      </c>
      <c r="K85" s="634">
        <f t="shared" si="48"/>
        <v>9.7432341058176941E-2</v>
      </c>
      <c r="L85" s="634">
        <f t="shared" si="45"/>
        <v>98.764099007724852</v>
      </c>
      <c r="M85" s="635">
        <f t="shared" si="46"/>
        <v>0.10937253677705536</v>
      </c>
      <c r="N85" s="636">
        <f t="shared" si="47"/>
        <v>0.47462549061582915</v>
      </c>
    </row>
    <row r="86" spans="2:38" ht="13">
      <c r="B86" s="118">
        <f t="shared" si="38"/>
        <v>100</v>
      </c>
      <c r="C86" s="118">
        <f t="shared" si="39"/>
        <v>0</v>
      </c>
      <c r="D86" s="118">
        <f t="shared" si="40"/>
        <v>0</v>
      </c>
      <c r="E86" s="118">
        <f t="shared" si="41"/>
        <v>0.3</v>
      </c>
      <c r="F86" s="118">
        <f t="shared" si="42"/>
        <v>0.15</v>
      </c>
      <c r="G86" s="118">
        <f t="shared" si="43"/>
        <v>0.48</v>
      </c>
      <c r="J86" s="633">
        <f t="shared" si="44"/>
        <v>149.66666666666666</v>
      </c>
      <c r="K86" s="634">
        <f t="shared" si="48"/>
        <v>2.1131683205430213E-2</v>
      </c>
      <c r="L86" s="634">
        <f t="shared" si="45"/>
        <v>149.68779834987208</v>
      </c>
      <c r="M86" s="635">
        <f t="shared" si="46"/>
        <v>0.16698583653114243</v>
      </c>
      <c r="N86" s="636">
        <f t="shared" si="47"/>
        <v>0.71884194824416614</v>
      </c>
    </row>
    <row r="87" spans="2:38" ht="13">
      <c r="B87" s="118">
        <f t="shared" si="38"/>
        <v>150</v>
      </c>
      <c r="C87" s="118">
        <f t="shared" si="39"/>
        <v>0</v>
      </c>
      <c r="D87" s="118">
        <f t="shared" si="40"/>
        <v>0</v>
      </c>
      <c r="E87" s="118">
        <f t="shared" si="41"/>
        <v>1.0000000000000001E-5</v>
      </c>
      <c r="F87" s="118">
        <f t="shared" si="42"/>
        <v>5.0000000000000004E-6</v>
      </c>
      <c r="G87" s="118">
        <f t="shared" si="43"/>
        <v>0.72</v>
      </c>
      <c r="J87" s="633">
        <f t="shared" si="44"/>
        <v>202</v>
      </c>
      <c r="K87" s="634">
        <f t="shared" si="48"/>
        <v>-5.7163763087911212E-2</v>
      </c>
      <c r="L87" s="634">
        <f t="shared" si="45"/>
        <v>201.94283623691209</v>
      </c>
      <c r="M87" s="635">
        <f t="shared" si="46"/>
        <v>0.22610536634415992</v>
      </c>
      <c r="N87" s="636">
        <f t="shared" si="47"/>
        <v>0.96944314986278668</v>
      </c>
    </row>
    <row r="88" spans="2:38" ht="13">
      <c r="B88" s="118">
        <f t="shared" si="38"/>
        <v>200</v>
      </c>
      <c r="C88" s="118">
        <f t="shared" si="39"/>
        <v>0</v>
      </c>
      <c r="D88" s="118">
        <f t="shared" si="40"/>
        <v>0</v>
      </c>
      <c r="E88" s="118">
        <f t="shared" si="41"/>
        <v>1</v>
      </c>
      <c r="F88" s="118">
        <f t="shared" si="42"/>
        <v>0.5</v>
      </c>
      <c r="G88" s="118">
        <f t="shared" si="43"/>
        <v>0.96</v>
      </c>
      <c r="J88" s="633">
        <f t="shared" si="44"/>
        <v>292</v>
      </c>
      <c r="K88" s="634">
        <f t="shared" si="48"/>
        <v>-0.19181198282805256</v>
      </c>
      <c r="L88" s="634">
        <f t="shared" si="45"/>
        <v>291.80818801717197</v>
      </c>
      <c r="M88" s="635">
        <f>(FORECAST(L88,$F$81:$F$90,$B$81:$B$90))</f>
        <v>0.32777589532196072</v>
      </c>
      <c r="N88" s="636">
        <f>(FORECAST(L88,$G$81:$G$90,$B$81:$B$90))</f>
        <v>1.4004133692069112</v>
      </c>
    </row>
    <row r="89" spans="2:38" ht="13">
      <c r="B89" s="118">
        <f t="shared" si="38"/>
        <v>250</v>
      </c>
      <c r="C89" s="118" t="str">
        <f t="shared" si="39"/>
        <v>-</v>
      </c>
      <c r="D89" s="118" t="str">
        <f t="shared" si="40"/>
        <v>-</v>
      </c>
      <c r="E89" s="118">
        <f t="shared" si="41"/>
        <v>1.0000000000000001E-5</v>
      </c>
      <c r="F89" s="118">
        <f t="shared" si="42"/>
        <v>1.0000000000000001E-5</v>
      </c>
      <c r="G89" s="118">
        <f t="shared" si="43"/>
        <v>1.2</v>
      </c>
      <c r="J89" s="638"/>
      <c r="K89" s="639"/>
      <c r="L89" s="639"/>
      <c r="M89" s="639"/>
      <c r="N89" s="640"/>
    </row>
    <row r="90" spans="2:38" ht="13">
      <c r="B90" s="118">
        <f t="shared" si="38"/>
        <v>360</v>
      </c>
      <c r="C90" s="118">
        <f t="shared" si="39"/>
        <v>0</v>
      </c>
      <c r="D90" s="118">
        <f t="shared" si="40"/>
        <v>0</v>
      </c>
      <c r="E90" s="118">
        <f t="shared" si="41"/>
        <v>-1</v>
      </c>
      <c r="F90" s="118">
        <f t="shared" si="42"/>
        <v>0.5</v>
      </c>
      <c r="G90" s="118">
        <f t="shared" si="43"/>
        <v>1.7279999999999998</v>
      </c>
      <c r="J90" s="2292" t="s">
        <v>501</v>
      </c>
      <c r="K90" s="2293"/>
      <c r="L90" s="2293"/>
      <c r="M90" s="2293"/>
      <c r="N90" s="2294"/>
    </row>
    <row r="91" spans="2:38" ht="13.5" thickBot="1">
      <c r="B91" s="118" t="str">
        <f t="shared" si="38"/>
        <v>ECG Normal Wave</v>
      </c>
      <c r="C91" s="2302" t="str">
        <f t="shared" si="39"/>
        <v>Tahun</v>
      </c>
      <c r="D91" s="2303"/>
      <c r="E91" s="2304"/>
      <c r="F91" s="118" t="str">
        <f t="shared" ref="F91:G98" si="49">IF($B$120=$B$121,F16,IF($B$120=$B$122,M16,IF($B$120=$B$123,T16,IF($B$120=$B$124,F41,IF($B$120=$B$125,M41,IF($B$120=$B$126,T41,IF($B$120=$B$127,F66,IF($B$120=$B$128,M66,IF($B$120=$B$129,T66,IF($B$120=$B$121,F16,IF($B$120=$B$121,F16,IF($B$120=$B$121,F16))))))))))))</f>
        <v>DRIFT</v>
      </c>
      <c r="G91" s="118" t="str">
        <f t="shared" si="49"/>
        <v>U95 STD</v>
      </c>
      <c r="J91" s="641">
        <f>C114</f>
        <v>200</v>
      </c>
      <c r="K91" s="642">
        <f>(FORECAST(C114,$E$81:$E$90,$B$81:$B$90))</f>
        <v>-5.4171580427019195E-2</v>
      </c>
      <c r="L91" s="643">
        <f>J91+K91</f>
        <v>199.94582841957299</v>
      </c>
      <c r="M91" s="635">
        <f>(FORECAST(L91,$F$81:$F$90,$B$81:$B$90))</f>
        <v>0.22384602125576436</v>
      </c>
      <c r="N91" s="636">
        <f t="shared" ref="N91" si="50">(FORECAST(L91,$G$81:$G$90,$B$81:$B$90))</f>
        <v>0.95986603387736169</v>
      </c>
    </row>
    <row r="92" spans="2:38" ht="13">
      <c r="B92" s="118" t="str">
        <f t="shared" si="38"/>
        <v>( BPM )</v>
      </c>
      <c r="C92" s="118">
        <f t="shared" si="39"/>
        <v>2016</v>
      </c>
      <c r="D92" s="118">
        <f t="shared" ref="D92:E98" si="51">IF($B$120=$B$121,D17,IF($B$120=$B$122,K17,IF($B$120=$B$123,R17,IF($B$120=$B$124,D42,IF($B$120=$B$125,K42,IF($B$120=$B$126,R42,IF($B$120=$B$127,D67,IF($B$120=$B$128,K67,IF($B$120=$B$129,R67,IF($B$120=$B$121,D17,IF($B$120=$B$121,D17,IF($B$120=$B$121,D17))))))))))))</f>
        <v>2016</v>
      </c>
      <c r="E92" s="118">
        <f t="shared" si="51"/>
        <v>2018</v>
      </c>
      <c r="F92" s="118">
        <f t="shared" si="49"/>
        <v>0</v>
      </c>
      <c r="G92" s="118">
        <f t="shared" si="49"/>
        <v>0</v>
      </c>
    </row>
    <row r="93" spans="2:38" ht="13">
      <c r="B93" s="118">
        <f t="shared" si="38"/>
        <v>0</v>
      </c>
      <c r="C93" s="118">
        <f t="shared" si="39"/>
        <v>0</v>
      </c>
      <c r="D93" s="118">
        <f t="shared" si="51"/>
        <v>0</v>
      </c>
      <c r="E93" s="118">
        <f t="shared" si="51"/>
        <v>1.0000000000000001E-5</v>
      </c>
      <c r="F93" s="118">
        <f t="shared" si="49"/>
        <v>5.0000000000000004E-6</v>
      </c>
      <c r="G93" s="118">
        <f t="shared" si="49"/>
        <v>1.2999999999999999E-3</v>
      </c>
    </row>
    <row r="94" spans="2:38" ht="13">
      <c r="B94" s="118">
        <f t="shared" si="38"/>
        <v>30</v>
      </c>
      <c r="C94" s="118">
        <f t="shared" si="39"/>
        <v>0</v>
      </c>
      <c r="D94" s="118">
        <f t="shared" si="51"/>
        <v>0</v>
      </c>
      <c r="E94" s="118">
        <f t="shared" si="51"/>
        <v>1.0000000000000001E-5</v>
      </c>
      <c r="F94" s="118">
        <f t="shared" si="49"/>
        <v>5.0000000000000004E-6</v>
      </c>
      <c r="G94" s="118">
        <f t="shared" si="49"/>
        <v>3.9E-2</v>
      </c>
    </row>
    <row r="95" spans="2:38" ht="13">
      <c r="B95" s="118">
        <f t="shared" si="38"/>
        <v>60</v>
      </c>
      <c r="C95" s="118">
        <f t="shared" si="39"/>
        <v>0</v>
      </c>
      <c r="D95" s="118">
        <f t="shared" si="51"/>
        <v>0</v>
      </c>
      <c r="E95" s="118">
        <f t="shared" si="51"/>
        <v>1.0000000000000001E-5</v>
      </c>
      <c r="F95" s="118">
        <f t="shared" si="49"/>
        <v>5.0000000000000004E-6</v>
      </c>
      <c r="G95" s="118">
        <f t="shared" si="49"/>
        <v>7.8E-2</v>
      </c>
    </row>
    <row r="96" spans="2:38" ht="13">
      <c r="B96" s="118">
        <f t="shared" si="38"/>
        <v>120</v>
      </c>
      <c r="C96" s="118">
        <f t="shared" si="39"/>
        <v>0</v>
      </c>
      <c r="D96" s="118">
        <f t="shared" si="51"/>
        <v>0</v>
      </c>
      <c r="E96" s="118">
        <f t="shared" si="51"/>
        <v>1.0000000000000001E-5</v>
      </c>
      <c r="F96" s="118">
        <f t="shared" si="49"/>
        <v>5.0000000000000004E-6</v>
      </c>
      <c r="G96" s="118">
        <f t="shared" si="49"/>
        <v>0.156</v>
      </c>
    </row>
    <row r="97" spans="2:41" ht="13.5" thickBot="1">
      <c r="B97" s="118">
        <f t="shared" si="38"/>
        <v>180</v>
      </c>
      <c r="C97" s="118">
        <f t="shared" si="39"/>
        <v>0</v>
      </c>
      <c r="D97" s="118">
        <f t="shared" si="51"/>
        <v>0</v>
      </c>
      <c r="E97" s="118">
        <f t="shared" si="51"/>
        <v>1.0000000000000001E-5</v>
      </c>
      <c r="F97" s="118">
        <f t="shared" si="49"/>
        <v>5.0000000000000004E-6</v>
      </c>
      <c r="G97" s="118">
        <f t="shared" si="49"/>
        <v>0.23399999999999999</v>
      </c>
    </row>
    <row r="98" spans="2:41" ht="13.5" thickBot="1">
      <c r="B98" s="118">
        <f t="shared" si="38"/>
        <v>240</v>
      </c>
      <c r="C98" s="118">
        <f t="shared" si="39"/>
        <v>0</v>
      </c>
      <c r="D98" s="118">
        <f t="shared" si="51"/>
        <v>0</v>
      </c>
      <c r="E98" s="118">
        <f t="shared" si="51"/>
        <v>1.0000000000000001E-5</v>
      </c>
      <c r="F98" s="118">
        <f t="shared" si="49"/>
        <v>5.0000000000000004E-6</v>
      </c>
      <c r="G98" s="118">
        <f t="shared" si="49"/>
        <v>0.312</v>
      </c>
      <c r="AO98" s="644"/>
    </row>
    <row r="101" spans="2:41" ht="13" thickBot="1"/>
    <row r="102" spans="2:41" ht="21.5" thickBot="1">
      <c r="B102" s="645" t="s">
        <v>42</v>
      </c>
      <c r="C102" s="646" t="s">
        <v>43</v>
      </c>
      <c r="D102" s="647" t="s">
        <v>44</v>
      </c>
      <c r="E102" s="646" t="s">
        <v>45</v>
      </c>
      <c r="F102" s="646" t="s">
        <v>46</v>
      </c>
      <c r="G102" s="646" t="s">
        <v>47</v>
      </c>
      <c r="H102" s="646" t="s">
        <v>48</v>
      </c>
      <c r="I102" s="646" t="s">
        <v>49</v>
      </c>
      <c r="J102" s="648" t="s">
        <v>50</v>
      </c>
      <c r="K102" s="649"/>
      <c r="L102" s="647" t="s">
        <v>52</v>
      </c>
      <c r="M102" s="650" t="s">
        <v>502</v>
      </c>
      <c r="N102" s="651" t="s">
        <v>81</v>
      </c>
    </row>
    <row r="103" spans="2:41">
      <c r="B103" s="652">
        <f>ID!D35</f>
        <v>5</v>
      </c>
      <c r="C103" s="653">
        <f>ID!H35</f>
        <v>5</v>
      </c>
      <c r="D103" s="654">
        <f t="shared" ref="D103:D111" si="52">K80</f>
        <v>0.23756622900995367</v>
      </c>
      <c r="E103" s="653">
        <f t="shared" ref="E103:E111" si="53">L80</f>
        <v>5.2375662290099534</v>
      </c>
      <c r="F103" s="655">
        <f>ID!J35</f>
        <v>1.0000000000000001E-5</v>
      </c>
      <c r="G103" s="653">
        <f>B103-E103</f>
        <v>-0.23756622900995339</v>
      </c>
      <c r="H103" s="655">
        <f>(G103/B103)*100</f>
        <v>-4.7513245801990678</v>
      </c>
      <c r="I103" s="656">
        <f>E103-B103</f>
        <v>0.23756622900995339</v>
      </c>
      <c r="J103" s="657">
        <f>(E103-B103)/E103*100</f>
        <v>4.5358133648814993</v>
      </c>
      <c r="K103" s="658"/>
      <c r="L103" s="659">
        <f>0.5*1</f>
        <v>0.5</v>
      </c>
      <c r="M103" s="660">
        <f>M80</f>
        <v>3.5598751371960242E-3</v>
      </c>
      <c r="N103" s="661">
        <f>Budget!J165</f>
        <v>11.607472917768806</v>
      </c>
    </row>
    <row r="104" spans="2:41">
      <c r="B104" s="652">
        <f>ID!D36</f>
        <v>10</v>
      </c>
      <c r="C104" s="653">
        <f>ID!H36</f>
        <v>10.5</v>
      </c>
      <c r="D104" s="635">
        <f t="shared" si="52"/>
        <v>0.22933772669250058</v>
      </c>
      <c r="E104" s="653">
        <f t="shared" si="53"/>
        <v>10.729337726692501</v>
      </c>
      <c r="F104" s="655">
        <f>ID!J36</f>
        <v>0.5</v>
      </c>
      <c r="G104" s="662">
        <f t="shared" ref="G104:G111" si="54">B104-E104</f>
        <v>-0.72933772669250096</v>
      </c>
      <c r="H104" s="663">
        <f t="shared" ref="H104:H111" si="55">(G104/B104)*100</f>
        <v>-7.2933772669250096</v>
      </c>
      <c r="I104" s="664">
        <f t="shared" ref="I104:I111" si="56">E104-B104</f>
        <v>0.72933772669250096</v>
      </c>
      <c r="J104" s="657">
        <f t="shared" ref="J104:J111" si="57">(E104-B104)/E104*100</f>
        <v>6.7976024734318017</v>
      </c>
      <c r="K104" s="665"/>
      <c r="L104" s="666">
        <f t="shared" ref="L104:L111" si="58">0.5*1</f>
        <v>0.5</v>
      </c>
      <c r="M104" s="660">
        <f t="shared" ref="M104:M111" si="59">M81</f>
        <v>9.7730741302838493E-3</v>
      </c>
      <c r="N104" s="667">
        <f>Budget!J177</f>
        <v>9.4862631848882213</v>
      </c>
    </row>
    <row r="105" spans="2:41">
      <c r="B105" s="652">
        <f>ID!D37</f>
        <v>20</v>
      </c>
      <c r="C105" s="653">
        <f>ID!H37</f>
        <v>20</v>
      </c>
      <c r="D105" s="634">
        <f t="shared" si="52"/>
        <v>0.21512485905326345</v>
      </c>
      <c r="E105" s="653">
        <f t="shared" si="53"/>
        <v>20.215124859053262</v>
      </c>
      <c r="F105" s="655">
        <f>ID!J37</f>
        <v>1.0000000000000001E-5</v>
      </c>
      <c r="G105" s="662">
        <f t="shared" si="54"/>
        <v>-0.21512485905326173</v>
      </c>
      <c r="H105" s="663">
        <f t="shared" si="55"/>
        <v>-1.0756242952663086</v>
      </c>
      <c r="I105" s="664">
        <f t="shared" si="56"/>
        <v>0.21512485905326173</v>
      </c>
      <c r="J105" s="657">
        <f t="shared" si="57"/>
        <v>1.0641777409399424</v>
      </c>
      <c r="K105" s="665"/>
      <c r="L105" s="666">
        <f t="shared" si="58"/>
        <v>0.5</v>
      </c>
      <c r="M105" s="660">
        <f t="shared" si="59"/>
        <v>2.0504963300162819E-2</v>
      </c>
      <c r="N105" s="667">
        <f>Budget!J189</f>
        <v>2.9387581825439906</v>
      </c>
    </row>
    <row r="106" spans="2:41">
      <c r="B106" s="652">
        <f>ID!D38</f>
        <v>30</v>
      </c>
      <c r="C106" s="653">
        <f>ID!H38</f>
        <v>30</v>
      </c>
      <c r="D106" s="634">
        <f t="shared" si="52"/>
        <v>0.20016394574880331</v>
      </c>
      <c r="E106" s="653">
        <f t="shared" si="53"/>
        <v>30.200163945748802</v>
      </c>
      <c r="F106" s="655">
        <f>ID!J38</f>
        <v>1.0000000000000001E-5</v>
      </c>
      <c r="G106" s="662">
        <f t="shared" si="54"/>
        <v>-0.20016394574880181</v>
      </c>
      <c r="H106" s="663">
        <f t="shared" si="55"/>
        <v>-0.66721315249600599</v>
      </c>
      <c r="I106" s="664">
        <f t="shared" si="56"/>
        <v>0.20016394574880181</v>
      </c>
      <c r="J106" s="657">
        <f t="shared" si="57"/>
        <v>0.66279092427568875</v>
      </c>
      <c r="K106" s="665"/>
      <c r="L106" s="666">
        <f t="shared" si="58"/>
        <v>0.5</v>
      </c>
      <c r="M106" s="660">
        <f t="shared" si="59"/>
        <v>3.1801688742140684E-2</v>
      </c>
      <c r="N106" s="667">
        <f>Budget!J201</f>
        <v>1.9913332333467579</v>
      </c>
    </row>
    <row r="107" spans="2:41">
      <c r="B107" s="652">
        <f>ID!D39</f>
        <v>50</v>
      </c>
      <c r="C107" s="653">
        <f>ID!H39</f>
        <v>51.333333333333336</v>
      </c>
      <c r="D107" s="634">
        <f t="shared" si="52"/>
        <v>0.16824733069928832</v>
      </c>
      <c r="E107" s="653">
        <f t="shared" si="53"/>
        <v>51.501580664032623</v>
      </c>
      <c r="F107" s="655">
        <f>ID!J39</f>
        <v>2.3094010767585029</v>
      </c>
      <c r="G107" s="662">
        <f t="shared" si="54"/>
        <v>-1.5015806640326232</v>
      </c>
      <c r="H107" s="663">
        <f t="shared" si="55"/>
        <v>-3.0031613280652465</v>
      </c>
      <c r="I107" s="664">
        <f t="shared" si="56"/>
        <v>1.5015806640326232</v>
      </c>
      <c r="J107" s="657">
        <f t="shared" si="57"/>
        <v>2.915601122668626</v>
      </c>
      <c r="K107" s="665"/>
      <c r="L107" s="666">
        <f t="shared" si="58"/>
        <v>0.5</v>
      </c>
      <c r="M107" s="660">
        <f t="shared" si="59"/>
        <v>5.5901369685026792E-2</v>
      </c>
      <c r="N107" s="667">
        <f>Budget!J213</f>
        <v>10.698392127617335</v>
      </c>
    </row>
    <row r="108" spans="2:41">
      <c r="B108" s="652">
        <f>ID!D40</f>
        <v>100</v>
      </c>
      <c r="C108" s="653">
        <f>ID!H40</f>
        <v>98.666666666666671</v>
      </c>
      <c r="D108" s="634">
        <f t="shared" si="52"/>
        <v>9.7432341058176941E-2</v>
      </c>
      <c r="E108" s="653">
        <f t="shared" si="53"/>
        <v>98.764099007724852</v>
      </c>
      <c r="F108" s="655">
        <f>ID!J40</f>
        <v>2.3094010767585034</v>
      </c>
      <c r="G108" s="662">
        <f t="shared" si="54"/>
        <v>1.2359009922751483</v>
      </c>
      <c r="H108" s="663">
        <f t="shared" si="55"/>
        <v>1.2359009922751483</v>
      </c>
      <c r="I108" s="664">
        <f t="shared" si="56"/>
        <v>-1.2359009922751483</v>
      </c>
      <c r="J108" s="657">
        <f t="shared" si="57"/>
        <v>-1.2513666450584255</v>
      </c>
      <c r="K108" s="665"/>
      <c r="L108" s="666">
        <f t="shared" si="58"/>
        <v>0.5</v>
      </c>
      <c r="M108" s="660">
        <f t="shared" si="59"/>
        <v>0.10937253677705536</v>
      </c>
      <c r="N108" s="667">
        <f>Budget!V165</f>
        <v>5.2137210979759336</v>
      </c>
    </row>
    <row r="109" spans="2:41">
      <c r="B109" s="652">
        <f>ID!D41</f>
        <v>150</v>
      </c>
      <c r="C109" s="653">
        <f>ID!H41</f>
        <v>149.66666666666666</v>
      </c>
      <c r="D109" s="634">
        <f t="shared" si="52"/>
        <v>2.1131683205430213E-2</v>
      </c>
      <c r="E109" s="653">
        <f t="shared" si="53"/>
        <v>149.68779834987208</v>
      </c>
      <c r="F109" s="655">
        <f>ID!J41</f>
        <v>1.5275252316519465</v>
      </c>
      <c r="G109" s="662">
        <f t="shared" si="54"/>
        <v>0.31220165012791767</v>
      </c>
      <c r="H109" s="663">
        <f t="shared" si="55"/>
        <v>0.20813443341861176</v>
      </c>
      <c r="I109" s="664">
        <f t="shared" si="56"/>
        <v>-0.31220165012791767</v>
      </c>
      <c r="J109" s="657">
        <f t="shared" si="57"/>
        <v>-0.20856853636005429</v>
      </c>
      <c r="K109" s="665"/>
      <c r="L109" s="666">
        <f t="shared" si="58"/>
        <v>0.5</v>
      </c>
      <c r="M109" s="660">
        <f t="shared" si="59"/>
        <v>0.16698583653114243</v>
      </c>
      <c r="N109" s="667">
        <f>Budget!V177</f>
        <v>2.0169147119234996</v>
      </c>
    </row>
    <row r="110" spans="2:41">
      <c r="B110" s="652">
        <f>ID!D42</f>
        <v>200</v>
      </c>
      <c r="C110" s="653">
        <f>ID!H42</f>
        <v>202</v>
      </c>
      <c r="D110" s="634">
        <f t="shared" si="52"/>
        <v>-5.7163763087911212E-2</v>
      </c>
      <c r="E110" s="653">
        <f t="shared" si="53"/>
        <v>201.94283623691209</v>
      </c>
      <c r="F110" s="655">
        <f>ID!J42</f>
        <v>3.4641016151377544</v>
      </c>
      <c r="G110" s="662">
        <f t="shared" si="54"/>
        <v>-1.9428362369120862</v>
      </c>
      <c r="H110" s="663">
        <f t="shared" si="55"/>
        <v>-0.9714181184560432</v>
      </c>
      <c r="I110" s="664">
        <f t="shared" si="56"/>
        <v>1.9428362369120862</v>
      </c>
      <c r="J110" s="657">
        <f t="shared" si="57"/>
        <v>0.96207237311098304</v>
      </c>
      <c r="K110" s="665"/>
      <c r="L110" s="666">
        <f t="shared" si="58"/>
        <v>0.5</v>
      </c>
      <c r="M110" s="660">
        <f t="shared" si="59"/>
        <v>0.22610536634415992</v>
      </c>
      <c r="N110" s="667">
        <f>Budget!V189</f>
        <v>3.8987925874589338</v>
      </c>
    </row>
    <row r="111" spans="2:41">
      <c r="B111" s="652">
        <f>ID!D43</f>
        <v>300</v>
      </c>
      <c r="C111" s="653">
        <f>ID!H43</f>
        <v>292</v>
      </c>
      <c r="D111" s="634">
        <f t="shared" si="52"/>
        <v>-0.19181198282805256</v>
      </c>
      <c r="E111" s="653">
        <f t="shared" si="53"/>
        <v>291.80818801717197</v>
      </c>
      <c r="F111" s="655">
        <f>ID!J43</f>
        <v>7.2111025509279782</v>
      </c>
      <c r="G111" s="662">
        <f t="shared" si="54"/>
        <v>8.1918119828280282</v>
      </c>
      <c r="H111" s="663">
        <f t="shared" si="55"/>
        <v>2.7306039942760094</v>
      </c>
      <c r="I111" s="664">
        <f t="shared" si="56"/>
        <v>-8.1918119828280282</v>
      </c>
      <c r="J111" s="657">
        <f t="shared" si="57"/>
        <v>-2.807259124046912</v>
      </c>
      <c r="K111" s="665"/>
      <c r="L111" s="666">
        <f t="shared" si="58"/>
        <v>0.5</v>
      </c>
      <c r="M111" s="660">
        <f t="shared" si="59"/>
        <v>0.32777589532196072</v>
      </c>
      <c r="N111" s="667">
        <f>Budget!V201</f>
        <v>5.7033768424757421</v>
      </c>
    </row>
    <row r="112" spans="2:41">
      <c r="B112" s="668"/>
      <c r="C112" s="669"/>
      <c r="N112" s="322"/>
    </row>
    <row r="113" spans="2:25">
      <c r="B113" s="2295" t="str">
        <f>J90</f>
        <v>10 X Pengisian</v>
      </c>
      <c r="C113" s="2296"/>
      <c r="D113" s="2296"/>
      <c r="E113" s="2296"/>
      <c r="F113" s="2296"/>
      <c r="G113" s="2296"/>
      <c r="H113" s="2296"/>
      <c r="I113" s="2296"/>
      <c r="J113" s="2296"/>
      <c r="K113" s="2296"/>
      <c r="L113" s="2296"/>
      <c r="M113" s="2296"/>
      <c r="N113" s="2297"/>
    </row>
    <row r="114" spans="2:25" ht="13" thickBot="1">
      <c r="B114" s="670">
        <v>200</v>
      </c>
      <c r="C114" s="671">
        <f>ID!J48</f>
        <v>200</v>
      </c>
      <c r="D114" s="642">
        <f>K91</f>
        <v>-5.4171580427019195E-2</v>
      </c>
      <c r="E114" s="671">
        <f>L91</f>
        <v>199.94582841957299</v>
      </c>
      <c r="F114" s="672">
        <f>ID!L48</f>
        <v>1.0000000000000001E-5</v>
      </c>
      <c r="G114" s="671">
        <f>B114-E114</f>
        <v>5.4171580427009758E-2</v>
      </c>
      <c r="H114" s="672">
        <f>(G114/B114)*100</f>
        <v>2.7085790213504879E-2</v>
      </c>
      <c r="I114" s="673">
        <f t="shared" ref="I114" si="60">E114-B114</f>
        <v>-5.4171580427009758E-2</v>
      </c>
      <c r="J114" s="674">
        <f>(E114-B114)/E114*100</f>
        <v>-2.7093128601480148E-2</v>
      </c>
      <c r="K114" s="675"/>
      <c r="L114" s="676">
        <f t="shared" ref="L114" si="61">0.5*1</f>
        <v>0.5</v>
      </c>
      <c r="M114" s="677">
        <f>M91</f>
        <v>0.22384602125576436</v>
      </c>
      <c r="N114" s="678">
        <f>Budget!V213</f>
        <v>0.57090667120547522</v>
      </c>
    </row>
    <row r="119" spans="2:25" ht="13" thickBot="1"/>
    <row r="120" spans="2:25" ht="15" thickBot="1">
      <c r="B120" s="679" t="str">
        <f>ID!B91</f>
        <v>Defibrillator Analyzer, Merek : Fluke, Model : Impulse 7000 D, SN : 1837053</v>
      </c>
      <c r="C120" s="680"/>
      <c r="D120" s="680"/>
      <c r="E120" s="680"/>
      <c r="F120" s="680"/>
      <c r="G120" s="680"/>
      <c r="H120" s="680"/>
      <c r="I120" s="680"/>
      <c r="J120" s="2281" t="s">
        <v>54</v>
      </c>
      <c r="K120" s="2282"/>
      <c r="L120" s="681"/>
      <c r="N120" s="2283">
        <f>B130</f>
        <v>2</v>
      </c>
      <c r="O120" s="2284"/>
      <c r="P120" s="2284"/>
      <c r="Q120" s="2284"/>
      <c r="R120" s="2284"/>
      <c r="S120" s="2284"/>
      <c r="T120" s="2284"/>
      <c r="U120" s="2284"/>
      <c r="V120" s="2284"/>
      <c r="W120" s="2284"/>
      <c r="X120" s="2284"/>
      <c r="Y120" s="2285"/>
    </row>
    <row r="121" spans="2:25" ht="14">
      <c r="B121" s="331" t="s">
        <v>490</v>
      </c>
      <c r="C121" s="682"/>
      <c r="D121" s="682"/>
      <c r="E121" s="682"/>
      <c r="F121" s="682"/>
      <c r="G121" s="682"/>
      <c r="H121" s="682"/>
      <c r="I121" s="682"/>
      <c r="J121" s="620">
        <v>2017</v>
      </c>
      <c r="K121" s="683">
        <v>2018</v>
      </c>
      <c r="L121" s="684">
        <v>1</v>
      </c>
      <c r="N121" s="685">
        <v>1</v>
      </c>
      <c r="O121" s="686" t="s">
        <v>503</v>
      </c>
      <c r="P121" s="687"/>
      <c r="Q121" s="687"/>
      <c r="R121" s="687"/>
      <c r="S121" s="687"/>
      <c r="T121" s="687"/>
      <c r="U121" s="687"/>
      <c r="V121" s="687"/>
      <c r="W121" s="687"/>
      <c r="X121" s="687"/>
      <c r="Y121" s="688"/>
    </row>
    <row r="122" spans="2:25" ht="14">
      <c r="B122" s="331" t="s">
        <v>316</v>
      </c>
      <c r="C122" s="689"/>
      <c r="D122" s="689"/>
      <c r="E122" s="689"/>
      <c r="F122" s="689"/>
      <c r="G122" s="689"/>
      <c r="H122" s="689"/>
      <c r="I122" s="689"/>
      <c r="J122" s="620">
        <v>2016</v>
      </c>
      <c r="K122" s="683">
        <v>2018</v>
      </c>
      <c r="L122" s="690">
        <v>2</v>
      </c>
      <c r="N122" s="685">
        <v>2</v>
      </c>
      <c r="O122" s="686" t="s">
        <v>503</v>
      </c>
      <c r="P122" s="687"/>
      <c r="Q122" s="687"/>
      <c r="R122" s="687"/>
      <c r="S122" s="687"/>
      <c r="T122" s="687"/>
      <c r="U122" s="687"/>
      <c r="V122" s="687"/>
      <c r="W122" s="687"/>
      <c r="X122" s="687"/>
      <c r="Y122" s="688"/>
    </row>
    <row r="123" spans="2:25" ht="14">
      <c r="B123" s="331" t="s">
        <v>491</v>
      </c>
      <c r="C123" s="691"/>
      <c r="D123" s="691"/>
      <c r="E123" s="691"/>
      <c r="F123" s="691"/>
      <c r="G123" s="691"/>
      <c r="H123" s="691"/>
      <c r="I123" s="691"/>
      <c r="J123" s="620">
        <v>2015</v>
      </c>
      <c r="K123" s="683">
        <v>2017</v>
      </c>
      <c r="L123" s="684">
        <v>3</v>
      </c>
      <c r="N123" s="685">
        <v>3</v>
      </c>
      <c r="O123" s="686" t="s">
        <v>503</v>
      </c>
      <c r="P123" s="687"/>
      <c r="Q123" s="687"/>
      <c r="R123" s="687"/>
      <c r="S123" s="687"/>
      <c r="T123" s="687"/>
      <c r="U123" s="687"/>
      <c r="V123" s="687"/>
      <c r="W123" s="687"/>
      <c r="X123" s="687"/>
      <c r="Y123" s="688"/>
    </row>
    <row r="124" spans="2:25" ht="14">
      <c r="B124" s="321" t="s">
        <v>496</v>
      </c>
      <c r="C124" s="691"/>
      <c r="D124" s="691"/>
      <c r="E124" s="691"/>
      <c r="F124" s="691"/>
      <c r="G124" s="691"/>
      <c r="H124" s="691"/>
      <c r="I124" s="691"/>
      <c r="J124" s="620">
        <v>2017</v>
      </c>
      <c r="K124" s="683">
        <v>2018</v>
      </c>
      <c r="L124" s="690">
        <v>4</v>
      </c>
      <c r="N124" s="685">
        <v>4</v>
      </c>
      <c r="O124" s="686" t="s">
        <v>503</v>
      </c>
      <c r="P124" s="687"/>
      <c r="Q124" s="687"/>
      <c r="R124" s="687"/>
      <c r="S124" s="687"/>
      <c r="T124" s="687"/>
      <c r="U124" s="687"/>
      <c r="V124" s="687"/>
      <c r="W124" s="687"/>
      <c r="X124" s="687"/>
      <c r="Y124" s="688"/>
    </row>
    <row r="125" spans="2:25" ht="14">
      <c r="B125" s="321" t="s">
        <v>497</v>
      </c>
      <c r="C125" s="691"/>
      <c r="D125" s="691"/>
      <c r="E125" s="691"/>
      <c r="F125" s="691"/>
      <c r="G125" s="691"/>
      <c r="H125" s="691"/>
      <c r="I125" s="691"/>
      <c r="J125" s="620">
        <v>2017</v>
      </c>
      <c r="K125" s="683">
        <v>2018</v>
      </c>
      <c r="L125" s="684">
        <v>5</v>
      </c>
      <c r="N125" s="685">
        <v>5</v>
      </c>
      <c r="O125" s="686" t="s">
        <v>503</v>
      </c>
      <c r="P125" s="687"/>
      <c r="Q125" s="687"/>
      <c r="R125" s="687"/>
      <c r="S125" s="687"/>
      <c r="T125" s="687"/>
      <c r="U125" s="687"/>
      <c r="V125" s="687"/>
      <c r="W125" s="687"/>
      <c r="X125" s="687"/>
      <c r="Y125" s="688"/>
    </row>
    <row r="126" spans="2:25" ht="14">
      <c r="B126" s="321" t="s">
        <v>504</v>
      </c>
      <c r="C126" s="691"/>
      <c r="D126" s="691"/>
      <c r="E126" s="691"/>
      <c r="F126" s="691"/>
      <c r="G126" s="691"/>
      <c r="H126" s="691"/>
      <c r="I126" s="691"/>
      <c r="J126" s="620">
        <v>2017</v>
      </c>
      <c r="K126" s="683">
        <v>2018</v>
      </c>
      <c r="L126" s="690">
        <v>6</v>
      </c>
      <c r="N126" s="685">
        <v>6</v>
      </c>
      <c r="O126" s="686" t="s">
        <v>503</v>
      </c>
      <c r="P126" s="687"/>
      <c r="Q126" s="687"/>
      <c r="R126" s="687"/>
      <c r="S126" s="687"/>
      <c r="T126" s="687"/>
      <c r="U126" s="687"/>
      <c r="V126" s="687"/>
      <c r="W126" s="687"/>
      <c r="X126" s="687"/>
      <c r="Y126" s="688"/>
    </row>
    <row r="127" spans="2:25" ht="14">
      <c r="B127" s="321" t="s">
        <v>499</v>
      </c>
      <c r="C127" s="691"/>
      <c r="D127" s="691"/>
      <c r="E127" s="691"/>
      <c r="F127" s="691"/>
      <c r="G127" s="691"/>
      <c r="H127" s="691"/>
      <c r="I127" s="691"/>
      <c r="J127" s="620">
        <v>2017</v>
      </c>
      <c r="K127" s="683">
        <v>2018</v>
      </c>
      <c r="L127" s="684">
        <v>7</v>
      </c>
      <c r="N127" s="685">
        <v>7</v>
      </c>
      <c r="O127" s="686" t="s">
        <v>503</v>
      </c>
      <c r="P127" s="687"/>
      <c r="Q127" s="687"/>
      <c r="R127" s="687"/>
      <c r="S127" s="687"/>
      <c r="T127" s="687"/>
      <c r="U127" s="687"/>
      <c r="V127" s="687"/>
      <c r="W127" s="687"/>
      <c r="X127" s="687"/>
      <c r="Y127" s="688"/>
    </row>
    <row r="128" spans="2:25" ht="14">
      <c r="B128" s="321" t="s">
        <v>499</v>
      </c>
      <c r="C128" s="691"/>
      <c r="D128" s="691"/>
      <c r="E128" s="691"/>
      <c r="F128" s="691"/>
      <c r="G128" s="691"/>
      <c r="H128" s="691"/>
      <c r="I128" s="691"/>
      <c r="J128" s="620">
        <v>2017</v>
      </c>
      <c r="K128" s="683">
        <v>2018</v>
      </c>
      <c r="L128" s="690">
        <v>8</v>
      </c>
      <c r="N128" s="685">
        <v>8</v>
      </c>
      <c r="O128" s="686" t="s">
        <v>503</v>
      </c>
      <c r="P128" s="687"/>
      <c r="Q128" s="687"/>
      <c r="R128" s="687"/>
      <c r="S128" s="687"/>
      <c r="T128" s="687"/>
      <c r="U128" s="687"/>
      <c r="V128" s="687"/>
      <c r="W128" s="687"/>
      <c r="X128" s="687"/>
      <c r="Y128" s="688"/>
    </row>
    <row r="129" spans="2:25" ht="14.5" thickBot="1">
      <c r="B129" s="321" t="s">
        <v>499</v>
      </c>
      <c r="C129" s="691"/>
      <c r="D129" s="691"/>
      <c r="E129" s="691"/>
      <c r="F129" s="691"/>
      <c r="G129" s="691"/>
      <c r="H129" s="691"/>
      <c r="I129" s="691"/>
      <c r="J129" s="620">
        <v>2017</v>
      </c>
      <c r="K129" s="683">
        <v>2018</v>
      </c>
      <c r="L129" s="684">
        <v>9</v>
      </c>
      <c r="N129" s="685">
        <v>9</v>
      </c>
      <c r="O129" s="686" t="s">
        <v>503</v>
      </c>
      <c r="P129" s="687"/>
      <c r="Q129" s="687"/>
      <c r="R129" s="687"/>
      <c r="S129" s="687"/>
      <c r="T129" s="687"/>
      <c r="U129" s="687"/>
      <c r="V129" s="687"/>
      <c r="W129" s="687"/>
      <c r="X129" s="687"/>
      <c r="Y129" s="688"/>
    </row>
    <row r="130" spans="2:25" ht="13.5" thickBot="1">
      <c r="B130" s="2286">
        <f>VLOOKUP(B120,B121:L129,11,(FALSE))</f>
        <v>2</v>
      </c>
      <c r="C130" s="2287"/>
      <c r="D130" s="2287"/>
      <c r="E130" s="2287"/>
      <c r="F130" s="2287"/>
      <c r="G130" s="2287"/>
      <c r="H130" s="2287"/>
      <c r="I130" s="2287"/>
      <c r="J130" s="2287"/>
      <c r="K130" s="2287"/>
      <c r="L130" s="2288"/>
      <c r="N130" s="2289" t="str">
        <f>VLOOKUP(N120,N121:Y130,2,FALSE)</f>
        <v>Hasil kalibrasi Akurasi dan Energi Maksimum tertelusurke Satuan Internasional melalui CALTEK PTE LTD</v>
      </c>
      <c r="O130" s="2290"/>
      <c r="P130" s="2290"/>
      <c r="Q130" s="2290"/>
      <c r="R130" s="2290"/>
      <c r="S130" s="2290"/>
      <c r="T130" s="2290"/>
      <c r="U130" s="2290"/>
      <c r="V130" s="2290"/>
      <c r="W130" s="2290"/>
      <c r="X130" s="2290"/>
      <c r="Y130" s="2291"/>
    </row>
    <row r="145" spans="2:10" ht="15">
      <c r="B145" s="953"/>
      <c r="C145" s="953"/>
      <c r="E145" s="953"/>
      <c r="F145" s="953"/>
      <c r="G145" s="953"/>
      <c r="H145" s="953"/>
      <c r="I145" s="953"/>
      <c r="J145" s="953"/>
    </row>
    <row r="146" spans="2:10">
      <c r="B146" s="782"/>
      <c r="C146" s="782"/>
      <c r="E146" s="782"/>
      <c r="F146" s="782"/>
      <c r="G146" s="782"/>
      <c r="H146" s="782"/>
      <c r="I146" s="782"/>
      <c r="J146" s="782"/>
    </row>
    <row r="147" spans="2:10">
      <c r="B147" s="783"/>
      <c r="C147" s="782"/>
      <c r="E147" s="783"/>
      <c r="F147" s="783"/>
      <c r="G147" s="783"/>
      <c r="H147" s="782"/>
      <c r="I147" s="783"/>
      <c r="J147" s="783"/>
    </row>
    <row r="148" spans="2:10">
      <c r="B148" s="782"/>
      <c r="C148" s="782"/>
      <c r="E148" s="782"/>
      <c r="F148" s="782"/>
      <c r="G148" s="782"/>
      <c r="H148" s="782"/>
      <c r="I148" s="782"/>
      <c r="J148" s="782"/>
    </row>
    <row r="149" spans="2:10">
      <c r="B149" s="782"/>
      <c r="C149" s="782"/>
      <c r="E149" s="782"/>
      <c r="F149" s="782"/>
      <c r="G149" s="782"/>
      <c r="H149" s="782"/>
      <c r="I149" s="782"/>
      <c r="J149" s="782"/>
    </row>
    <row r="150" spans="2:10">
      <c r="B150" s="783"/>
      <c r="C150" s="782"/>
      <c r="E150" s="783"/>
      <c r="F150" s="783"/>
      <c r="G150" s="783"/>
      <c r="H150" s="782"/>
      <c r="I150" s="783"/>
      <c r="J150" s="783"/>
    </row>
    <row r="151" spans="2:10">
      <c r="B151" s="782"/>
      <c r="C151" s="782"/>
      <c r="E151" s="782"/>
      <c r="F151" s="782"/>
      <c r="G151" s="782"/>
      <c r="H151" s="782"/>
      <c r="I151" s="782"/>
      <c r="J151" s="782"/>
    </row>
    <row r="152" spans="2:10">
      <c r="B152" s="782"/>
      <c r="C152" s="782"/>
      <c r="E152" s="782"/>
      <c r="F152" s="782"/>
      <c r="G152" s="782"/>
      <c r="H152" s="782"/>
      <c r="I152" s="782"/>
      <c r="J152" s="782"/>
    </row>
    <row r="153" spans="2:10">
      <c r="B153" s="783"/>
      <c r="C153" s="782"/>
      <c r="E153" s="783"/>
      <c r="F153" s="783"/>
      <c r="G153" s="783"/>
      <c r="H153" s="782"/>
      <c r="I153" s="783"/>
      <c r="J153" s="783"/>
    </row>
    <row r="154" spans="2:10">
      <c r="B154" s="782"/>
      <c r="C154" s="782"/>
      <c r="E154" s="782"/>
      <c r="F154" s="782"/>
      <c r="G154" s="782"/>
      <c r="H154" s="782"/>
      <c r="I154" s="782"/>
      <c r="J154" s="782"/>
    </row>
    <row r="155" spans="2:10">
      <c r="B155" s="782"/>
      <c r="C155" s="782"/>
      <c r="E155" s="782"/>
      <c r="F155" s="782"/>
      <c r="G155" s="782"/>
      <c r="H155" s="782"/>
      <c r="I155" s="782"/>
      <c r="J155" s="782"/>
    </row>
    <row r="156" spans="2:10">
      <c r="B156" s="783"/>
      <c r="C156" s="782"/>
      <c r="E156" s="783"/>
      <c r="F156" s="783"/>
      <c r="G156" s="783"/>
      <c r="H156" s="782"/>
      <c r="I156" s="783"/>
      <c r="J156" s="783"/>
    </row>
    <row r="157" spans="2:10">
      <c r="B157" s="782"/>
      <c r="C157" s="782"/>
      <c r="E157" s="782"/>
      <c r="F157" s="782"/>
      <c r="G157" s="782"/>
      <c r="H157" s="782"/>
      <c r="I157" s="782"/>
      <c r="J157" s="782"/>
    </row>
    <row r="158" spans="2:10">
      <c r="B158" s="782"/>
      <c r="C158" s="782"/>
      <c r="E158" s="782"/>
      <c r="F158" s="782"/>
      <c r="G158" s="782"/>
      <c r="H158" s="782"/>
      <c r="I158" s="782"/>
      <c r="J158" s="782"/>
    </row>
    <row r="159" spans="2:10">
      <c r="B159" s="783"/>
      <c r="C159" s="782"/>
      <c r="E159" s="783"/>
      <c r="F159" s="783"/>
      <c r="G159" s="783"/>
      <c r="H159" s="782"/>
      <c r="I159" s="783"/>
      <c r="J159" s="783"/>
    </row>
    <row r="160" spans="2:10">
      <c r="B160" s="782"/>
      <c r="C160" s="782"/>
      <c r="E160" s="782"/>
      <c r="F160" s="782"/>
      <c r="G160" s="782"/>
      <c r="H160" s="782"/>
      <c r="I160" s="782"/>
      <c r="J160" s="782"/>
    </row>
    <row r="161" spans="2:10">
      <c r="B161" s="782"/>
      <c r="C161" s="782"/>
      <c r="E161" s="782"/>
      <c r="F161" s="782"/>
      <c r="G161" s="782"/>
      <c r="H161" s="782"/>
      <c r="I161" s="782"/>
      <c r="J161" s="782"/>
    </row>
    <row r="162" spans="2:10">
      <c r="B162" s="783"/>
      <c r="C162" s="782"/>
      <c r="E162" s="783"/>
      <c r="F162" s="783"/>
      <c r="G162" s="783"/>
      <c r="H162" s="782"/>
      <c r="I162" s="783"/>
      <c r="J162" s="783"/>
    </row>
    <row r="163" spans="2:10">
      <c r="B163" s="782"/>
      <c r="C163" s="782"/>
      <c r="E163" s="782"/>
      <c r="F163" s="782"/>
      <c r="G163" s="782"/>
      <c r="H163" s="782"/>
      <c r="I163" s="782"/>
      <c r="J163" s="782"/>
    </row>
    <row r="164" spans="2:10">
      <c r="B164" s="782"/>
      <c r="C164" s="782"/>
      <c r="E164" s="782"/>
      <c r="F164" s="782"/>
      <c r="G164" s="782"/>
      <c r="H164" s="782"/>
      <c r="I164" s="782"/>
      <c r="J164" s="782"/>
    </row>
    <row r="165" spans="2:10">
      <c r="B165" s="783"/>
      <c r="C165" s="782"/>
      <c r="E165" s="783"/>
      <c r="F165" s="783"/>
      <c r="G165" s="783"/>
      <c r="H165" s="782"/>
      <c r="I165" s="783"/>
      <c r="J165" s="783"/>
    </row>
    <row r="166" spans="2:10">
      <c r="B166" s="782"/>
      <c r="C166" s="782"/>
      <c r="E166" s="782"/>
      <c r="F166" s="782"/>
      <c r="G166" s="782"/>
      <c r="H166" s="782"/>
      <c r="I166" s="782"/>
      <c r="J166" s="782"/>
    </row>
    <row r="167" spans="2:10">
      <c r="B167" s="782"/>
      <c r="C167" s="782"/>
      <c r="E167" s="782"/>
      <c r="F167" s="782"/>
      <c r="G167" s="782"/>
      <c r="H167" s="782"/>
      <c r="I167" s="782"/>
      <c r="J167" s="782"/>
    </row>
    <row r="168" spans="2:10">
      <c r="B168" s="783"/>
      <c r="C168" s="782"/>
      <c r="E168" s="783"/>
      <c r="F168" s="783"/>
      <c r="G168" s="783"/>
      <c r="H168" s="782"/>
      <c r="I168" s="783"/>
      <c r="J168" s="783"/>
    </row>
    <row r="169" spans="2:10">
      <c r="B169" s="782"/>
      <c r="C169" s="782"/>
      <c r="E169" s="782"/>
      <c r="F169" s="782"/>
      <c r="G169" s="782"/>
      <c r="H169" s="782"/>
      <c r="I169" s="782"/>
      <c r="J169" s="782"/>
    </row>
    <row r="170" spans="2:10">
      <c r="B170" s="782"/>
      <c r="C170" s="782"/>
      <c r="E170" s="782"/>
      <c r="F170" s="782"/>
      <c r="G170" s="782"/>
      <c r="H170" s="782"/>
      <c r="I170" s="782"/>
      <c r="J170" s="782"/>
    </row>
    <row r="171" spans="2:10">
      <c r="B171" s="783"/>
      <c r="C171" s="782"/>
      <c r="E171" s="783"/>
      <c r="F171" s="783"/>
      <c r="G171" s="783"/>
      <c r="H171" s="782"/>
      <c r="I171" s="783"/>
      <c r="J171" s="783"/>
    </row>
    <row r="172" spans="2:10">
      <c r="B172" s="782"/>
      <c r="C172" s="782"/>
      <c r="E172" s="782"/>
      <c r="F172" s="782"/>
      <c r="G172" s="782"/>
      <c r="H172" s="782"/>
      <c r="I172" s="782"/>
      <c r="J172" s="782"/>
    </row>
    <row r="173" spans="2:10" ht="15.5">
      <c r="B173" s="952"/>
      <c r="C173" s="952"/>
      <c r="E173" s="952"/>
      <c r="F173" s="952"/>
      <c r="G173" s="952"/>
      <c r="H173" s="952"/>
      <c r="I173" s="952"/>
      <c r="J173" s="952"/>
    </row>
    <row r="174" spans="2:10">
      <c r="B174" s="782"/>
      <c r="C174" s="782"/>
      <c r="E174" s="782"/>
      <c r="F174" s="782"/>
      <c r="G174" s="782"/>
      <c r="H174" s="782"/>
      <c r="I174" s="782"/>
      <c r="J174" s="782"/>
    </row>
    <row r="175" spans="2:10">
      <c r="B175" s="783"/>
      <c r="C175" s="782"/>
      <c r="E175" s="783"/>
      <c r="F175" s="783"/>
      <c r="G175" s="783"/>
      <c r="H175" s="782"/>
      <c r="I175" s="783"/>
      <c r="J175" s="783"/>
    </row>
    <row r="176" spans="2:10">
      <c r="B176" s="782"/>
      <c r="C176" s="782"/>
      <c r="E176" s="782"/>
      <c r="F176" s="782"/>
      <c r="G176" s="782"/>
      <c r="H176" s="782"/>
      <c r="I176" s="782"/>
      <c r="J176" s="782"/>
    </row>
  </sheetData>
  <mergeCells count="57">
    <mergeCell ref="B77:G77"/>
    <mergeCell ref="B78:E78"/>
    <mergeCell ref="C79:E79"/>
    <mergeCell ref="C91:E91"/>
    <mergeCell ref="B28:E28"/>
    <mergeCell ref="C29:E29"/>
    <mergeCell ref="B53:E53"/>
    <mergeCell ref="C54:E54"/>
    <mergeCell ref="I53:L53"/>
    <mergeCell ref="J54:L54"/>
    <mergeCell ref="P28:S28"/>
    <mergeCell ref="Q29:S29"/>
    <mergeCell ref="I28:L28"/>
    <mergeCell ref="J29:L29"/>
    <mergeCell ref="M53:M55"/>
    <mergeCell ref="M41:M42"/>
    <mergeCell ref="B2:G2"/>
    <mergeCell ref="B3:E3"/>
    <mergeCell ref="C4:E4"/>
    <mergeCell ref="I3:L3"/>
    <mergeCell ref="J4:L4"/>
    <mergeCell ref="G3:G5"/>
    <mergeCell ref="J120:K120"/>
    <mergeCell ref="N120:Y120"/>
    <mergeCell ref="B130:L130"/>
    <mergeCell ref="N130:Y130"/>
    <mergeCell ref="J90:N90"/>
    <mergeCell ref="B113:N113"/>
    <mergeCell ref="U66:U67"/>
    <mergeCell ref="J77:J79"/>
    <mergeCell ref="K77:K79"/>
    <mergeCell ref="L77:L79"/>
    <mergeCell ref="M66:M67"/>
    <mergeCell ref="N66:N67"/>
    <mergeCell ref="T53:T55"/>
    <mergeCell ref="U53:U55"/>
    <mergeCell ref="P53:S53"/>
    <mergeCell ref="Q54:S54"/>
    <mergeCell ref="N41:N42"/>
    <mergeCell ref="T41:T42"/>
    <mergeCell ref="U41:U42"/>
    <mergeCell ref="N53:N55"/>
    <mergeCell ref="T28:T30"/>
    <mergeCell ref="U28:U30"/>
    <mergeCell ref="T16:T17"/>
    <mergeCell ref="U16:U17"/>
    <mergeCell ref="M28:M30"/>
    <mergeCell ref="N28:N30"/>
    <mergeCell ref="M16:M17"/>
    <mergeCell ref="N16:N17"/>
    <mergeCell ref="T3:T5"/>
    <mergeCell ref="U3:U5"/>
    <mergeCell ref="F3:F5"/>
    <mergeCell ref="M3:M5"/>
    <mergeCell ref="N3:N5"/>
    <mergeCell ref="P3:S3"/>
    <mergeCell ref="Q4:S4"/>
  </mergeCells>
  <pageMargins left="0.7" right="0.7" top="0.75" bottom="0.75" header="0.3" footer="0.3"/>
  <pageSetup scale="4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AB121"/>
  <sheetViews>
    <sheetView showGridLines="0" view="pageBreakPreview" topLeftCell="A13" zoomScale="58" zoomScaleNormal="100" zoomScaleSheetLayoutView="58" workbookViewId="0">
      <selection activeCell="I72" sqref="I72"/>
    </sheetView>
  </sheetViews>
  <sheetFormatPr defaultColWidth="9.1796875" defaultRowHeight="13"/>
  <cols>
    <col min="1" max="1" width="3.1796875" style="1261" customWidth="1"/>
    <col min="2" max="2" width="4.1796875" style="1261" customWidth="1"/>
    <col min="3" max="3" width="21.453125" style="1261" customWidth="1"/>
    <col min="4" max="7" width="14.1796875" style="1261" customWidth="1"/>
    <col min="8" max="8" width="8" style="1261" customWidth="1"/>
    <col min="9" max="9" width="9.1796875" style="1261" customWidth="1"/>
    <col min="10" max="10" width="6.26953125" style="1261" customWidth="1"/>
    <col min="11" max="11" width="10.81640625" style="1261" customWidth="1"/>
    <col min="12" max="12" width="6.26953125" style="1261" customWidth="1"/>
    <col min="13" max="13" width="13.1796875" style="1261" customWidth="1"/>
    <col min="14" max="14" width="7.26953125" style="1261" customWidth="1"/>
    <col min="15" max="15" width="7.7265625" style="1261" customWidth="1"/>
    <col min="16" max="16" width="9.54296875" style="1261" customWidth="1"/>
    <col min="17" max="17" width="15" style="1261" customWidth="1"/>
    <col min="18" max="16384" width="9.1796875" style="1261"/>
  </cols>
  <sheetData>
    <row r="1" spans="1:17" ht="18.5">
      <c r="A1" s="1914" t="str">
        <f>Penyelia!A1</f>
        <v>HASIL KALIBRASI DEFIBRILLATOR WITH ECG</v>
      </c>
      <c r="B1" s="1914"/>
      <c r="C1" s="1914"/>
      <c r="D1" s="1914"/>
      <c r="E1" s="1914"/>
      <c r="F1" s="1914"/>
      <c r="G1" s="1914"/>
      <c r="H1" s="1914"/>
      <c r="I1" s="1914"/>
      <c r="J1" s="1914"/>
      <c r="K1" s="1914"/>
      <c r="L1" s="1914"/>
      <c r="M1" s="1357"/>
      <c r="N1" s="1357"/>
      <c r="O1" s="1357"/>
      <c r="P1" s="1358"/>
      <c r="Q1" s="1358"/>
    </row>
    <row r="2" spans="1:17" ht="17">
      <c r="A2" s="2322" t="str">
        <f>Penyelia!A2</f>
        <v>Nomor Sertifikat : 16 / 23 / XI - 34 / E  - 001.34 DL</v>
      </c>
      <c r="B2" s="2322"/>
      <c r="C2" s="2322"/>
      <c r="D2" s="2322"/>
      <c r="E2" s="2322"/>
      <c r="F2" s="2322"/>
      <c r="G2" s="2322"/>
      <c r="H2" s="2322"/>
      <c r="I2" s="2322"/>
      <c r="J2" s="2322"/>
      <c r="K2" s="2322"/>
      <c r="L2" s="2322"/>
      <c r="M2" s="1359"/>
      <c r="N2" s="1359"/>
      <c r="O2" s="1359"/>
      <c r="P2" s="1360"/>
      <c r="Q2" s="1360"/>
    </row>
    <row r="3" spans="1:17">
      <c r="A3" s="1264"/>
      <c r="B3" s="1264"/>
      <c r="C3" s="1264"/>
      <c r="D3" s="1264"/>
      <c r="E3" s="1264"/>
      <c r="F3" s="1264"/>
      <c r="G3" s="1264"/>
      <c r="H3" s="1264"/>
      <c r="I3" s="1264"/>
      <c r="J3" s="1264"/>
      <c r="K3" s="1264"/>
      <c r="L3" s="1264"/>
      <c r="M3" s="1361"/>
      <c r="N3" s="1361"/>
      <c r="O3" s="1361"/>
    </row>
    <row r="4" spans="1:17" ht="14">
      <c r="A4" s="2321" t="str">
        <f>Penyelia!A4</f>
        <v>Merek</v>
      </c>
      <c r="B4" s="2321"/>
      <c r="C4" s="2321"/>
      <c r="D4" s="1335" t="str">
        <f>Penyelia!D4</f>
        <v>Philips</v>
      </c>
      <c r="E4" s="1264"/>
      <c r="F4" s="1265"/>
      <c r="G4" s="1265"/>
      <c r="H4" s="1265"/>
      <c r="I4" s="1265"/>
      <c r="J4" s="1264"/>
      <c r="K4" s="1264"/>
      <c r="L4" s="1264"/>
      <c r="M4" s="1361"/>
      <c r="N4" s="1361"/>
      <c r="O4" s="1361"/>
    </row>
    <row r="5" spans="1:17" ht="14">
      <c r="A5" s="2321" t="str">
        <f>Penyelia!A5</f>
        <v>Model/Tipe</v>
      </c>
      <c r="B5" s="2321"/>
      <c r="C5" s="2321"/>
      <c r="D5" s="1335" t="str">
        <f>Penyelia!D5</f>
        <v>xxx</v>
      </c>
      <c r="E5" s="1264"/>
      <c r="F5" s="1265"/>
      <c r="G5" s="1265"/>
      <c r="H5" s="1265"/>
      <c r="I5" s="1265"/>
      <c r="J5" s="1264"/>
      <c r="K5" s="1264"/>
      <c r="L5" s="1264"/>
      <c r="M5" s="1361"/>
      <c r="N5" s="1361"/>
      <c r="O5" s="1361"/>
    </row>
    <row r="6" spans="1:17" ht="14">
      <c r="A6" s="2321" t="str">
        <f>Penyelia!A6</f>
        <v>No. Seri</v>
      </c>
      <c r="B6" s="2321"/>
      <c r="C6" s="2321"/>
      <c r="D6" s="1335" t="str">
        <f>Penyelia!D6</f>
        <v>123456</v>
      </c>
      <c r="E6" s="1264"/>
      <c r="F6" s="1265"/>
      <c r="G6" s="1265"/>
      <c r="H6" s="1265"/>
      <c r="I6" s="1265"/>
      <c r="J6" s="1264"/>
      <c r="K6" s="1264"/>
      <c r="L6" s="1264"/>
      <c r="M6" s="1361"/>
      <c r="N6" s="1361"/>
      <c r="O6" s="1361"/>
    </row>
    <row r="7" spans="1:17" ht="14">
      <c r="A7" s="2321" t="str">
        <f>Penyelia!A7</f>
        <v>Tanggal Penerimaan Alat</v>
      </c>
      <c r="B7" s="2321"/>
      <c r="C7" s="2321"/>
      <c r="D7" s="1335" t="str">
        <f>Penyelia!D7</f>
        <v>2210</v>
      </c>
      <c r="E7" s="1264"/>
      <c r="F7" s="1265"/>
      <c r="G7" s="1265"/>
      <c r="H7" s="1265"/>
      <c r="I7" s="1265"/>
      <c r="J7" s="1264"/>
      <c r="K7" s="1264"/>
      <c r="L7" s="1264"/>
      <c r="M7" s="1361"/>
      <c r="N7" s="1361"/>
      <c r="O7" s="1361"/>
    </row>
    <row r="8" spans="1:17" ht="14">
      <c r="A8" s="2321" t="str">
        <f>Penyelia!A8</f>
        <v>Tanggal Kalibrasi</v>
      </c>
      <c r="B8" s="2321"/>
      <c r="C8" s="2321"/>
      <c r="D8" s="1335" t="str">
        <f>Penyelia!D8</f>
        <v>x1</v>
      </c>
      <c r="E8" s="1264"/>
      <c r="F8" s="1265"/>
      <c r="G8" s="1265"/>
      <c r="H8" s="1265"/>
      <c r="I8" s="1265"/>
      <c r="J8" s="1264"/>
      <c r="K8" s="1264"/>
      <c r="L8" s="1264"/>
      <c r="M8" s="1361"/>
      <c r="N8" s="1361"/>
      <c r="O8" s="1361"/>
    </row>
    <row r="9" spans="1:17" ht="14">
      <c r="A9" s="2321" t="str">
        <f>Penyelia!A9</f>
        <v>Tempat Kalibrasi</v>
      </c>
      <c r="B9" s="2321"/>
      <c r="C9" s="2321"/>
      <c r="D9" s="1335" t="str">
        <f>Penyelia!D9</f>
        <v>x2</v>
      </c>
      <c r="E9" s="1264"/>
      <c r="F9" s="1265"/>
      <c r="G9" s="1265"/>
      <c r="H9" s="1265"/>
      <c r="I9" s="1265"/>
      <c r="J9" s="1264"/>
      <c r="K9" s="1362"/>
      <c r="L9" s="1264"/>
      <c r="M9" s="1361"/>
      <c r="N9" s="1361"/>
      <c r="O9" s="1361"/>
    </row>
    <row r="10" spans="1:17" ht="14">
      <c r="A10" s="2321" t="str">
        <f>Penyelia!A10</f>
        <v>Nama Ruang</v>
      </c>
      <c r="B10" s="2321"/>
      <c r="C10" s="2321"/>
      <c r="D10" s="1335" t="str">
        <f>Penyelia!D10</f>
        <v>x3</v>
      </c>
      <c r="E10" s="1264"/>
      <c r="F10" s="1265"/>
      <c r="G10" s="1265"/>
      <c r="H10" s="1265"/>
      <c r="I10" s="1265"/>
      <c r="J10" s="1264"/>
      <c r="K10" s="1362"/>
      <c r="L10" s="1264"/>
      <c r="M10" s="1361"/>
      <c r="N10" s="1361"/>
      <c r="O10" s="1361"/>
    </row>
    <row r="11" spans="1:17" ht="14">
      <c r="A11" s="2321" t="str">
        <f>Penyelia!A11</f>
        <v>Metode Kerja</v>
      </c>
      <c r="B11" s="2321"/>
      <c r="C11" s="2321"/>
      <c r="D11" s="1335" t="str">
        <f>Penyelia!D11</f>
        <v>MK.087-19</v>
      </c>
      <c r="E11" s="1264"/>
      <c r="F11" s="1265"/>
      <c r="G11" s="1265"/>
      <c r="H11" s="1265"/>
      <c r="I11" s="1265"/>
      <c r="J11" s="1264"/>
      <c r="K11" s="1264"/>
      <c r="L11" s="1264"/>
      <c r="M11" s="1361"/>
      <c r="N11" s="1361"/>
      <c r="O11" s="1361"/>
      <c r="Q11" s="1363"/>
    </row>
    <row r="12" spans="1:17" ht="15" customHeight="1">
      <c r="A12" s="1265"/>
      <c r="B12" s="1265"/>
      <c r="C12" s="1265"/>
      <c r="D12" s="1264"/>
      <c r="E12" s="1265"/>
      <c r="F12" s="1265"/>
      <c r="G12" s="1265"/>
      <c r="H12" s="1265"/>
      <c r="I12" s="1265"/>
      <c r="J12" s="1264"/>
      <c r="K12" s="1264"/>
      <c r="L12" s="1264"/>
      <c r="M12" s="1361"/>
      <c r="N12" s="1361"/>
      <c r="O12" s="1361"/>
      <c r="Q12" s="1364"/>
    </row>
    <row r="13" spans="1:17" ht="14">
      <c r="A13" s="1268" t="s">
        <v>198</v>
      </c>
      <c r="B13" s="1268" t="s">
        <v>199</v>
      </c>
      <c r="C13" s="1268"/>
      <c r="D13" s="1264"/>
      <c r="E13" s="1268"/>
      <c r="F13" s="1268"/>
      <c r="G13" s="1265"/>
      <c r="H13" s="1264"/>
      <c r="I13" s="1264"/>
      <c r="J13" s="1264"/>
      <c r="K13" s="1264"/>
      <c r="L13" s="1264"/>
      <c r="M13" s="1361"/>
      <c r="N13" s="1361"/>
      <c r="O13" s="1361"/>
    </row>
    <row r="14" spans="1:17" ht="14">
      <c r="A14" s="1265"/>
      <c r="B14" s="2321" t="s">
        <v>505</v>
      </c>
      <c r="C14" s="2321"/>
      <c r="D14" s="1346">
        <f>'DB Thermohygro'!R377</f>
        <v>23.295999999999999</v>
      </c>
      <c r="E14" s="1347">
        <f>'DB Thermohygro'!T377</f>
        <v>0.1</v>
      </c>
      <c r="F14" s="1366"/>
      <c r="G14" s="1264"/>
      <c r="H14" s="1264"/>
      <c r="I14" s="1264"/>
      <c r="J14" s="1264"/>
      <c r="K14" s="1264"/>
      <c r="L14" s="1264"/>
      <c r="M14" s="1361"/>
      <c r="N14" s="1361"/>
      <c r="O14" s="1361"/>
    </row>
    <row r="15" spans="1:17" ht="14">
      <c r="A15" s="1265"/>
      <c r="B15" s="2321" t="s">
        <v>205</v>
      </c>
      <c r="C15" s="2321"/>
      <c r="D15" s="1346">
        <f>'DB Thermohygro'!R378</f>
        <v>66.585499999999996</v>
      </c>
      <c r="E15" s="1347">
        <f>'DB Thermohygro'!T378</f>
        <v>1.5</v>
      </c>
      <c r="F15" s="1367"/>
      <c r="G15" s="1264"/>
      <c r="H15" s="1264"/>
      <c r="I15" s="1264"/>
      <c r="J15" s="1264"/>
      <c r="K15" s="1264"/>
      <c r="L15" s="1264"/>
      <c r="M15" s="1361"/>
      <c r="N15" s="1361"/>
      <c r="O15" s="1361"/>
    </row>
    <row r="16" spans="1:17" ht="15.5">
      <c r="A16" s="1265"/>
      <c r="B16" s="2321" t="s">
        <v>206</v>
      </c>
      <c r="C16" s="2321"/>
      <c r="D16" s="1346" t="str">
        <f>ESA!Q137</f>
        <v>219.9</v>
      </c>
      <c r="E16" s="1623" t="str">
        <f>ESA!Q143</f>
        <v>2.6</v>
      </c>
      <c r="F16" s="1287"/>
      <c r="G16" s="1362"/>
      <c r="H16" s="1264"/>
      <c r="I16" s="1264"/>
      <c r="J16" s="1264"/>
      <c r="K16" s="1264"/>
      <c r="L16" s="1264"/>
      <c r="M16" s="1361"/>
      <c r="N16" s="1368"/>
      <c r="O16" s="1361"/>
    </row>
    <row r="17" spans="1:17" ht="15.75" customHeight="1">
      <c r="A17" s="1265"/>
      <c r="B17" s="1265"/>
      <c r="C17" s="1265"/>
      <c r="D17" s="1264"/>
      <c r="E17" s="1265"/>
      <c r="F17" s="1265"/>
      <c r="G17" s="1265"/>
      <c r="H17" s="1264"/>
      <c r="I17" s="1264"/>
      <c r="J17" s="1264"/>
      <c r="K17" s="1264"/>
      <c r="L17" s="1264"/>
      <c r="M17" s="1361"/>
      <c r="N17" s="1361"/>
      <c r="O17" s="1361"/>
    </row>
    <row r="18" spans="1:17" ht="14">
      <c r="A18" s="1268" t="s">
        <v>207</v>
      </c>
      <c r="B18" s="1268" t="s">
        <v>208</v>
      </c>
      <c r="C18" s="1268"/>
      <c r="D18" s="1264"/>
      <c r="E18" s="1268"/>
      <c r="F18" s="1268"/>
      <c r="G18" s="1268"/>
      <c r="H18" s="1272"/>
      <c r="I18" s="1264"/>
      <c r="J18" s="1264"/>
      <c r="K18" s="1264"/>
      <c r="L18" s="1264"/>
      <c r="M18" s="1361"/>
      <c r="O18" s="1361"/>
      <c r="Q18" s="1363"/>
    </row>
    <row r="19" spans="1:17" ht="14">
      <c r="A19" s="1265"/>
      <c r="B19" s="2321" t="s">
        <v>210</v>
      </c>
      <c r="C19" s="2321"/>
      <c r="D19" s="1345" t="str">
        <f>Penyelia!D19</f>
        <v>Baik</v>
      </c>
      <c r="E19" s="1264"/>
      <c r="F19" s="1265"/>
      <c r="G19" s="1265"/>
      <c r="H19" s="1264"/>
      <c r="I19" s="1264"/>
      <c r="J19" s="1264"/>
      <c r="K19" s="1264"/>
      <c r="L19" s="1264"/>
      <c r="M19" s="1361"/>
      <c r="N19" s="1640"/>
      <c r="O19" s="1361"/>
    </row>
    <row r="20" spans="1:17" ht="14">
      <c r="A20" s="1265"/>
      <c r="B20" s="2321" t="s">
        <v>213</v>
      </c>
      <c r="C20" s="2321"/>
      <c r="D20" s="1345" t="str">
        <f>Penyelia!D20</f>
        <v>Baik</v>
      </c>
      <c r="E20" s="1264"/>
      <c r="F20" s="1265"/>
      <c r="G20" s="1265"/>
      <c r="H20" s="1264"/>
      <c r="I20" s="1264"/>
      <c r="J20" s="1264"/>
      <c r="K20" s="1264"/>
      <c r="L20" s="1264"/>
      <c r="M20" s="1361"/>
      <c r="N20" s="1640"/>
      <c r="O20" s="1361"/>
    </row>
    <row r="21" spans="1:17" ht="15.75" customHeight="1">
      <c r="A21" s="1268"/>
      <c r="B21" s="1268"/>
      <c r="C21" s="1265"/>
      <c r="D21" s="1265"/>
      <c r="E21" s="1265"/>
      <c r="F21" s="1265"/>
      <c r="G21" s="1265"/>
      <c r="H21" s="1264"/>
      <c r="I21" s="1264"/>
      <c r="J21" s="1264"/>
      <c r="K21" s="1264"/>
      <c r="L21" s="1264"/>
      <c r="M21" s="1361"/>
      <c r="N21" s="1361"/>
      <c r="O21" s="1361"/>
    </row>
    <row r="22" spans="1:17" ht="14">
      <c r="A22" s="1268" t="s">
        <v>133</v>
      </c>
      <c r="B22" s="1268" t="s">
        <v>214</v>
      </c>
      <c r="C22" s="1265"/>
      <c r="D22" s="1265"/>
      <c r="E22" s="1265"/>
      <c r="F22" s="1265"/>
      <c r="G22" s="1265"/>
      <c r="H22" s="1264"/>
      <c r="I22" s="1264"/>
      <c r="J22" s="1264"/>
      <c r="K22" s="1264"/>
      <c r="L22" s="1264"/>
      <c r="M22" s="1361"/>
      <c r="N22" s="1361"/>
      <c r="O22" s="1361"/>
    </row>
    <row r="23" spans="1:17" s="1369" customFormat="1" ht="12.75" customHeight="1">
      <c r="B23" s="2323" t="s">
        <v>99</v>
      </c>
      <c r="C23" s="2325" t="s">
        <v>139</v>
      </c>
      <c r="D23" s="2326"/>
      <c r="E23" s="2326"/>
      <c r="F23" s="2326"/>
      <c r="G23" s="2326"/>
      <c r="H23" s="2326"/>
      <c r="I23" s="2329" t="s">
        <v>140</v>
      </c>
      <c r="J23" s="2330"/>
      <c r="K23" s="2329" t="s">
        <v>215</v>
      </c>
      <c r="L23" s="2330"/>
    </row>
    <row r="24" spans="1:17" s="1369" customFormat="1" ht="20.25" customHeight="1">
      <c r="B24" s="2324"/>
      <c r="C24" s="2327"/>
      <c r="D24" s="2328"/>
      <c r="E24" s="2328"/>
      <c r="F24" s="2328"/>
      <c r="G24" s="2328"/>
      <c r="H24" s="2328"/>
      <c r="I24" s="2331"/>
      <c r="J24" s="2332"/>
      <c r="K24" s="2331"/>
      <c r="L24" s="2332"/>
    </row>
    <row r="25" spans="1:17" ht="15" customHeight="1">
      <c r="B25" s="1370">
        <v>1</v>
      </c>
      <c r="C25" s="1973" t="str">
        <f>Penyelia!C25</f>
        <v>Resistansi Isolasi</v>
      </c>
      <c r="D25" s="1974"/>
      <c r="E25" s="1974"/>
      <c r="F25" s="1974"/>
      <c r="G25" s="1974"/>
      <c r="H25" s="1974"/>
      <c r="I25" s="1348" t="str">
        <f>Penyelia!I25</f>
        <v>OL</v>
      </c>
      <c r="J25" s="1371" t="str">
        <f>Penyelia!J25</f>
        <v/>
      </c>
      <c r="K25" s="2335" t="str">
        <f>ID!L25</f>
        <v>≥ 2</v>
      </c>
      <c r="L25" s="2336"/>
    </row>
    <row r="26" spans="1:17" ht="14">
      <c r="B26" s="1370">
        <v>2</v>
      </c>
      <c r="C26" s="1973" t="str">
        <f>Penyelia!C26</f>
        <v>Resistansi Pembumian Protektif (kabel tidak dapat dilepas)</v>
      </c>
      <c r="D26" s="1974"/>
      <c r="E26" s="1974"/>
      <c r="F26" s="1974"/>
      <c r="G26" s="1974"/>
      <c r="H26" s="1974"/>
      <c r="I26" s="1349">
        <f>Penyelia!I26</f>
        <v>9.8954375461743974E-2</v>
      </c>
      <c r="J26" s="1372" t="str">
        <f>Penyelia!J26</f>
        <v>Ω</v>
      </c>
      <c r="K26" s="2337" t="str">
        <f>ID!L26</f>
        <v>≤ 0.3</v>
      </c>
      <c r="L26" s="2338"/>
    </row>
    <row r="27" spans="1:17" ht="14">
      <c r="B27" s="1370">
        <v>3</v>
      </c>
      <c r="C27" s="1973" t="str">
        <f>Penyelia!C27</f>
        <v>Arus bocor peralatan untuk peralatan elektromedik kelas I</v>
      </c>
      <c r="D27" s="1974"/>
      <c r="E27" s="1974"/>
      <c r="F27" s="1974"/>
      <c r="G27" s="1974"/>
      <c r="H27" s="1974"/>
      <c r="I27" s="1348" t="str">
        <f>Penyelia!I27</f>
        <v>-</v>
      </c>
      <c r="J27" s="1373" t="str">
        <f>Penyelia!J27</f>
        <v/>
      </c>
      <c r="K27" s="2335" t="str">
        <f>ID!L27</f>
        <v>≤ 500</v>
      </c>
      <c r="L27" s="2336"/>
    </row>
    <row r="28" spans="1:17" ht="14">
      <c r="B28" s="1370">
        <v>4</v>
      </c>
      <c r="C28" s="1973" t="str">
        <f>Penyelia!C28</f>
        <v>Arus bocor bagian yang diaplikasikan</v>
      </c>
      <c r="D28" s="1974"/>
      <c r="E28" s="1974"/>
      <c r="F28" s="1974"/>
      <c r="G28" s="1974"/>
      <c r="H28" s="1974"/>
      <c r="I28" s="1348" t="str">
        <f>Penyelia!I28</f>
        <v>-</v>
      </c>
      <c r="J28" s="1373" t="str">
        <f>Penyelia!J28</f>
        <v/>
      </c>
      <c r="K28" s="2335" t="str">
        <f>ID!L28</f>
        <v>≤ 50</v>
      </c>
      <c r="L28" s="2336"/>
    </row>
    <row r="29" spans="1:17" ht="15.75" customHeight="1">
      <c r="C29" s="1264"/>
      <c r="D29" s="1264"/>
      <c r="E29" s="1264"/>
      <c r="F29" s="1264"/>
      <c r="G29" s="1264"/>
      <c r="H29" s="1285"/>
      <c r="I29" s="1286"/>
      <c r="J29" s="1264"/>
      <c r="K29" s="1264"/>
      <c r="L29" s="1264"/>
      <c r="M29" s="1361"/>
      <c r="N29" s="1374"/>
      <c r="O29" s="1374"/>
    </row>
    <row r="30" spans="1:17" ht="15.75" customHeight="1">
      <c r="A30" s="1287" t="s">
        <v>233</v>
      </c>
      <c r="B30" s="1287" t="str">
        <f>Penyelia!B30</f>
        <v xml:space="preserve">Pengujian Kinerja </v>
      </c>
      <c r="C30" s="1264"/>
      <c r="D30" s="1264"/>
      <c r="E30" s="1264"/>
      <c r="F30" s="1264"/>
      <c r="G30" s="1264"/>
      <c r="H30" s="1285"/>
      <c r="I30" s="1286"/>
      <c r="J30" s="1264"/>
      <c r="K30" s="1264"/>
      <c r="L30" s="1264"/>
      <c r="M30" s="1361"/>
      <c r="N30" s="1374"/>
      <c r="O30" s="1374"/>
    </row>
    <row r="31" spans="1:17" ht="6" hidden="1" customHeight="1">
      <c r="A31" s="1287"/>
      <c r="B31" s="1287"/>
      <c r="C31" s="1288"/>
      <c r="D31" s="1288"/>
      <c r="E31" s="1287"/>
      <c r="F31" s="1287"/>
      <c r="G31" s="1267"/>
      <c r="H31" s="1267"/>
      <c r="I31" s="1267"/>
      <c r="J31" s="1267"/>
      <c r="K31" s="1267"/>
      <c r="L31" s="1264"/>
      <c r="M31" s="1361"/>
      <c r="N31" s="1374"/>
      <c r="O31" s="1374"/>
    </row>
    <row r="32" spans="1:17" ht="15" customHeight="1">
      <c r="A32" s="1287"/>
      <c r="B32" s="1288" t="str">
        <f>Penyelia!B32</f>
        <v>a. Kalibrasi Akurasi Energi</v>
      </c>
      <c r="C32" s="1288"/>
      <c r="D32" s="1288"/>
      <c r="E32" s="1287"/>
      <c r="F32" s="1287"/>
      <c r="G32" s="1267"/>
      <c r="H32" s="1267"/>
      <c r="I32" s="1267"/>
      <c r="J32" s="1267"/>
      <c r="K32" s="1267"/>
      <c r="L32" s="1264"/>
      <c r="M32" s="1361"/>
      <c r="N32" s="1374"/>
      <c r="O32" s="1374"/>
    </row>
    <row r="33" spans="1:15" ht="15.75" customHeight="1">
      <c r="A33" s="1287"/>
      <c r="B33" s="2318" t="s">
        <v>99</v>
      </c>
      <c r="C33" s="1978" t="s">
        <v>139</v>
      </c>
      <c r="D33" s="2318" t="s">
        <v>472</v>
      </c>
      <c r="E33" s="2318" t="s">
        <v>134</v>
      </c>
      <c r="F33" s="2318" t="s">
        <v>473</v>
      </c>
      <c r="G33" s="2318" t="s">
        <v>474</v>
      </c>
      <c r="H33" s="1976" t="s">
        <v>475</v>
      </c>
      <c r="I33" s="1976"/>
      <c r="J33" s="1976" t="s">
        <v>476</v>
      </c>
      <c r="K33" s="1976"/>
      <c r="L33" s="1264"/>
      <c r="M33" s="1361"/>
      <c r="N33" s="1374"/>
      <c r="O33" s="1374"/>
    </row>
    <row r="34" spans="1:15" ht="15.75" customHeight="1">
      <c r="A34" s="1287"/>
      <c r="B34" s="2318"/>
      <c r="C34" s="1979"/>
      <c r="D34" s="2318"/>
      <c r="E34" s="2318"/>
      <c r="F34" s="2318"/>
      <c r="G34" s="2318"/>
      <c r="H34" s="1977"/>
      <c r="I34" s="1977"/>
      <c r="J34" s="1977"/>
      <c r="K34" s="1977"/>
      <c r="L34" s="1264"/>
      <c r="M34" s="1361"/>
      <c r="N34" s="1374"/>
      <c r="O34" s="1374"/>
    </row>
    <row r="35" spans="1:15" ht="15.75" customHeight="1">
      <c r="A35" s="1287"/>
      <c r="B35" s="2318"/>
      <c r="C35" s="2316"/>
      <c r="D35" s="2318"/>
      <c r="E35" s="2318"/>
      <c r="F35" s="2318"/>
      <c r="G35" s="2318"/>
      <c r="H35" s="2317"/>
      <c r="I35" s="2317"/>
      <c r="J35" s="2317"/>
      <c r="K35" s="2317"/>
      <c r="L35" s="1264"/>
      <c r="M35" s="1361"/>
      <c r="N35" s="1374"/>
      <c r="O35" s="1374"/>
    </row>
    <row r="36" spans="1:15" ht="15.75" customHeight="1">
      <c r="A36" s="1287"/>
      <c r="B36" s="1636">
        <v>1</v>
      </c>
      <c r="C36" s="2307" t="str">
        <f>Penyelia!C36</f>
        <v>Energi ( J )</v>
      </c>
      <c r="D36" s="1375">
        <f>Penyelia!D36</f>
        <v>5</v>
      </c>
      <c r="E36" s="1350">
        <f>Penyelia!E36</f>
        <v>5.2375662290099534</v>
      </c>
      <c r="F36" s="1350">
        <f>Penyelia!F36</f>
        <v>0.23756622900995339</v>
      </c>
      <c r="G36" s="1350">
        <f>Penyelia!G36</f>
        <v>4.5358133648814993</v>
      </c>
      <c r="H36" s="2350">
        <v>15</v>
      </c>
      <c r="I36" s="2351"/>
      <c r="J36" s="2333">
        <f>Penyelia!I36</f>
        <v>11.607472917768806</v>
      </c>
      <c r="K36" s="2334"/>
      <c r="L36" s="1264"/>
      <c r="M36" s="1361"/>
      <c r="N36" s="1374"/>
      <c r="O36" s="1374"/>
    </row>
    <row r="37" spans="1:15" ht="15.75" customHeight="1">
      <c r="A37" s="1287"/>
      <c r="B37" s="1636">
        <v>2</v>
      </c>
      <c r="C37" s="2308"/>
      <c r="D37" s="1375">
        <f>Penyelia!D37</f>
        <v>10</v>
      </c>
      <c r="E37" s="1350">
        <f>Penyelia!E37</f>
        <v>10.729337726692501</v>
      </c>
      <c r="F37" s="1350">
        <f>Penyelia!F37</f>
        <v>0.72933772669250096</v>
      </c>
      <c r="G37" s="1350">
        <f>Penyelia!G37</f>
        <v>6.7976024734318017</v>
      </c>
      <c r="H37" s="2352"/>
      <c r="I37" s="2353"/>
      <c r="J37" s="2333">
        <f>Penyelia!I37</f>
        <v>9.4862631848882213</v>
      </c>
      <c r="K37" s="2334"/>
      <c r="L37" s="1264"/>
      <c r="M37" s="1361"/>
      <c r="N37" s="1374"/>
      <c r="O37" s="1374"/>
    </row>
    <row r="38" spans="1:15" ht="15.75" customHeight="1">
      <c r="A38" s="1287"/>
      <c r="B38" s="1636">
        <v>3</v>
      </c>
      <c r="C38" s="2308"/>
      <c r="D38" s="1375">
        <f>Penyelia!D38</f>
        <v>20</v>
      </c>
      <c r="E38" s="1350">
        <f>Penyelia!E38</f>
        <v>20.215124859053262</v>
      </c>
      <c r="F38" s="1350">
        <f>Penyelia!F38</f>
        <v>0.21512485905326173</v>
      </c>
      <c r="G38" s="1350">
        <f>Penyelia!G38</f>
        <v>1.0641777409399424</v>
      </c>
      <c r="H38" s="2352"/>
      <c r="I38" s="2353"/>
      <c r="J38" s="2333">
        <f>Penyelia!I38</f>
        <v>2.9387581825439906</v>
      </c>
      <c r="K38" s="2334"/>
      <c r="L38" s="1264"/>
      <c r="M38" s="1361"/>
      <c r="N38" s="1374"/>
      <c r="O38" s="1374"/>
    </row>
    <row r="39" spans="1:15" ht="15.75" customHeight="1">
      <c r="A39" s="1287"/>
      <c r="B39" s="1636">
        <v>4</v>
      </c>
      <c r="C39" s="2308"/>
      <c r="D39" s="1375">
        <f>Penyelia!D39</f>
        <v>30</v>
      </c>
      <c r="E39" s="1350">
        <f>Penyelia!E39</f>
        <v>30.200163945748802</v>
      </c>
      <c r="F39" s="1350">
        <f>Penyelia!F39</f>
        <v>0.20016394574880181</v>
      </c>
      <c r="G39" s="1350">
        <f>Penyelia!G39</f>
        <v>0.66279092427568875</v>
      </c>
      <c r="H39" s="2352"/>
      <c r="I39" s="2353"/>
      <c r="J39" s="2333">
        <f>Penyelia!I39</f>
        <v>1.9913332333467579</v>
      </c>
      <c r="K39" s="2334"/>
      <c r="L39" s="1264"/>
      <c r="M39" s="1361"/>
      <c r="N39" s="1374"/>
      <c r="O39" s="1374"/>
    </row>
    <row r="40" spans="1:15" ht="15.75" customHeight="1">
      <c r="A40" s="1287"/>
      <c r="B40" s="1636">
        <v>5</v>
      </c>
      <c r="C40" s="2308"/>
      <c r="D40" s="1375">
        <f>Penyelia!D40</f>
        <v>50</v>
      </c>
      <c r="E40" s="1350">
        <f>Penyelia!E40</f>
        <v>51.501580664032623</v>
      </c>
      <c r="F40" s="1350">
        <f>Penyelia!F40</f>
        <v>1.5015806640326232</v>
      </c>
      <c r="G40" s="1350">
        <f>Penyelia!G40</f>
        <v>2.915601122668626</v>
      </c>
      <c r="H40" s="2352"/>
      <c r="I40" s="2353"/>
      <c r="J40" s="2333">
        <f>Penyelia!I40</f>
        <v>10.698392127617335</v>
      </c>
      <c r="K40" s="2334"/>
      <c r="L40" s="1264"/>
      <c r="M40" s="1361"/>
      <c r="N40" s="1374"/>
      <c r="O40" s="1374"/>
    </row>
    <row r="41" spans="1:15" ht="15.75" customHeight="1">
      <c r="A41" s="1287"/>
      <c r="B41" s="1636">
        <v>6</v>
      </c>
      <c r="C41" s="2308"/>
      <c r="D41" s="1375">
        <f>Penyelia!D41</f>
        <v>100</v>
      </c>
      <c r="E41" s="1350">
        <f>Penyelia!E41</f>
        <v>98.764099007724852</v>
      </c>
      <c r="F41" s="1350">
        <f>Penyelia!F41</f>
        <v>-1.2359009922751483</v>
      </c>
      <c r="G41" s="1350">
        <f>Penyelia!G41</f>
        <v>-1.2513666450584255</v>
      </c>
      <c r="H41" s="2352"/>
      <c r="I41" s="2353"/>
      <c r="J41" s="2333">
        <f>Penyelia!I41</f>
        <v>5.2137210979759336</v>
      </c>
      <c r="K41" s="2334"/>
      <c r="L41" s="1264"/>
      <c r="M41" s="1361"/>
      <c r="N41" s="1374"/>
      <c r="O41" s="1374"/>
    </row>
    <row r="42" spans="1:15" ht="15.75" customHeight="1">
      <c r="A42" s="1287"/>
      <c r="B42" s="1636">
        <v>7</v>
      </c>
      <c r="C42" s="2308"/>
      <c r="D42" s="1375">
        <f>Penyelia!D42</f>
        <v>150</v>
      </c>
      <c r="E42" s="1350">
        <f>Penyelia!E42</f>
        <v>149.68779834987208</v>
      </c>
      <c r="F42" s="1350">
        <f>Penyelia!F42</f>
        <v>-0.31220165012791767</v>
      </c>
      <c r="G42" s="1350">
        <f>Penyelia!G42</f>
        <v>-0.20856853636005429</v>
      </c>
      <c r="H42" s="2352"/>
      <c r="I42" s="2353"/>
      <c r="J42" s="2333">
        <f>Penyelia!I42</f>
        <v>2.0169147119234996</v>
      </c>
      <c r="K42" s="2334"/>
      <c r="L42" s="1264"/>
      <c r="M42" s="1361"/>
      <c r="N42" s="1374"/>
      <c r="O42" s="1374"/>
    </row>
    <row r="43" spans="1:15" ht="15.75" customHeight="1">
      <c r="A43" s="1287"/>
      <c r="B43" s="1636">
        <v>8</v>
      </c>
      <c r="C43" s="2308"/>
      <c r="D43" s="1375">
        <f>Penyelia!D43</f>
        <v>200</v>
      </c>
      <c r="E43" s="1350">
        <f>Penyelia!E43</f>
        <v>201.94283623691209</v>
      </c>
      <c r="F43" s="1350">
        <f>Penyelia!F43</f>
        <v>1.9428362369120862</v>
      </c>
      <c r="G43" s="1350">
        <f>Penyelia!G43</f>
        <v>0.96207237311098304</v>
      </c>
      <c r="H43" s="2352"/>
      <c r="I43" s="2353"/>
      <c r="J43" s="2333">
        <f>Penyelia!I43</f>
        <v>3.8987925874589338</v>
      </c>
      <c r="K43" s="2334"/>
      <c r="L43" s="1264"/>
      <c r="M43" s="1361"/>
      <c r="N43" s="1374"/>
      <c r="O43" s="1374"/>
    </row>
    <row r="44" spans="1:15" ht="15.75" customHeight="1">
      <c r="A44" s="1287"/>
      <c r="B44" s="1636">
        <v>9</v>
      </c>
      <c r="C44" s="2309"/>
      <c r="D44" s="1375">
        <f>Penyelia!D44</f>
        <v>300</v>
      </c>
      <c r="E44" s="1350">
        <f>Penyelia!E44</f>
        <v>291.80818801717197</v>
      </c>
      <c r="F44" s="1350">
        <f>Penyelia!F44</f>
        <v>-8.1918119828280282</v>
      </c>
      <c r="G44" s="1350">
        <f>Penyelia!G44</f>
        <v>-2.807259124046912</v>
      </c>
      <c r="H44" s="2354"/>
      <c r="I44" s="2355"/>
      <c r="J44" s="2333">
        <f>Penyelia!I44</f>
        <v>5.7033768424757421</v>
      </c>
      <c r="K44" s="2334"/>
      <c r="L44" s="1264"/>
      <c r="M44" s="1361"/>
      <c r="N44" s="1374"/>
      <c r="O44" s="1374"/>
    </row>
    <row r="45" spans="1:15" ht="5.25" customHeight="1">
      <c r="A45" s="1287"/>
      <c r="B45" s="1376"/>
      <c r="C45" s="1376"/>
      <c r="D45" s="1264"/>
      <c r="E45" s="1295"/>
      <c r="F45" s="1377"/>
      <c r="G45" s="1378"/>
      <c r="H45" s="1267"/>
      <c r="I45" s="1379"/>
      <c r="J45" s="1267"/>
      <c r="K45" s="1380"/>
      <c r="L45" s="1264"/>
      <c r="M45" s="1361"/>
      <c r="N45" s="1374"/>
      <c r="O45" s="1374"/>
    </row>
    <row r="46" spans="1:15" ht="15.75" customHeight="1">
      <c r="A46" s="1287"/>
      <c r="B46" s="1288" t="str">
        <f>Penyelia!B46</f>
        <v>b. Kalibrasi Energi Maksimum 10 kali Pengisian</v>
      </c>
      <c r="C46" s="1288"/>
      <c r="D46" s="1288"/>
      <c r="E46" s="1296"/>
      <c r="F46" s="1267"/>
      <c r="G46" s="1267"/>
      <c r="H46" s="1267"/>
      <c r="I46" s="1267"/>
      <c r="J46" s="1267"/>
      <c r="K46" s="1380"/>
      <c r="L46" s="1264"/>
      <c r="M46" s="1361"/>
      <c r="N46" s="1374"/>
      <c r="O46" s="1374"/>
    </row>
    <row r="47" spans="1:15" ht="15.75" customHeight="1">
      <c r="A47" s="1287"/>
      <c r="B47" s="1976" t="s">
        <v>99</v>
      </c>
      <c r="C47" s="2347" t="s">
        <v>139</v>
      </c>
      <c r="D47" s="1976" t="s">
        <v>472</v>
      </c>
      <c r="E47" s="1976" t="s">
        <v>134</v>
      </c>
      <c r="F47" s="1976" t="s">
        <v>473</v>
      </c>
      <c r="G47" s="1976" t="s">
        <v>474</v>
      </c>
      <c r="H47" s="2356" t="s">
        <v>475</v>
      </c>
      <c r="I47" s="2357"/>
      <c r="J47" s="2339" t="s">
        <v>476</v>
      </c>
      <c r="K47" s="2340"/>
      <c r="L47" s="1264"/>
      <c r="M47" s="1361"/>
      <c r="N47" s="1374"/>
      <c r="O47" s="1374"/>
    </row>
    <row r="48" spans="1:15" ht="15.75" customHeight="1">
      <c r="A48" s="1287"/>
      <c r="B48" s="1977"/>
      <c r="C48" s="2348"/>
      <c r="D48" s="1977"/>
      <c r="E48" s="1977"/>
      <c r="F48" s="1977"/>
      <c r="G48" s="1977"/>
      <c r="H48" s="2356"/>
      <c r="I48" s="2357"/>
      <c r="J48" s="2341"/>
      <c r="K48" s="2342"/>
      <c r="L48" s="1264"/>
      <c r="M48" s="1361"/>
      <c r="N48" s="1374"/>
      <c r="O48" s="1374"/>
    </row>
    <row r="49" spans="1:27" ht="15.75" customHeight="1">
      <c r="A49" s="1287"/>
      <c r="B49" s="2317"/>
      <c r="C49" s="1639"/>
      <c r="D49" s="2317"/>
      <c r="E49" s="2317"/>
      <c r="F49" s="2317"/>
      <c r="G49" s="2317"/>
      <c r="H49" s="2356"/>
      <c r="I49" s="2357"/>
      <c r="J49" s="2343"/>
      <c r="K49" s="2344"/>
      <c r="L49" s="1264"/>
      <c r="M49" s="1361"/>
      <c r="N49" s="1374"/>
      <c r="O49" s="1374"/>
    </row>
    <row r="50" spans="1:27" ht="15.75" customHeight="1">
      <c r="A50" s="1287"/>
      <c r="B50" s="1636">
        <v>1</v>
      </c>
      <c r="C50" s="1381" t="str">
        <f>Penyelia!C50</f>
        <v>Energi ( J )</v>
      </c>
      <c r="D50" s="1634">
        <f>Penyelia!D50</f>
        <v>200</v>
      </c>
      <c r="E50" s="1351">
        <f>Penyelia!E50</f>
        <v>199.94582841957299</v>
      </c>
      <c r="F50" s="1351">
        <f>Penyelia!F50</f>
        <v>-5.4171580427009758E-2</v>
      </c>
      <c r="G50" s="1351">
        <f>Penyelia!G50</f>
        <v>-2.7093128601480148E-2</v>
      </c>
      <c r="H50" s="2319">
        <f>Penyelia!H50</f>
        <v>15</v>
      </c>
      <c r="I50" s="2320"/>
      <c r="J50" s="2345">
        <f>Penyelia!I50</f>
        <v>0.57090667120547522</v>
      </c>
      <c r="K50" s="2346"/>
      <c r="L50" s="1264"/>
      <c r="M50" s="1361"/>
      <c r="N50" s="1374"/>
      <c r="O50" s="1374"/>
    </row>
    <row r="51" spans="1:27" ht="5.25" customHeight="1">
      <c r="A51" s="1287"/>
      <c r="B51" s="1382"/>
      <c r="C51" s="1265"/>
      <c r="D51" s="1265"/>
      <c r="E51" s="1265"/>
      <c r="F51" s="1265"/>
      <c r="G51" s="1265"/>
      <c r="H51" s="1265"/>
      <c r="I51" s="1265"/>
      <c r="J51" s="1265"/>
      <c r="K51" s="1265"/>
      <c r="L51" s="1264"/>
      <c r="M51" s="1361"/>
      <c r="N51" s="1374"/>
      <c r="O51" s="1374"/>
    </row>
    <row r="52" spans="1:27" ht="15.75" customHeight="1">
      <c r="A52" s="1287"/>
      <c r="B52" s="2349" t="str">
        <f>Penyelia!B52</f>
        <v>c. Waktu Pengisian</v>
      </c>
      <c r="C52" s="2349"/>
      <c r="D52" s="1265"/>
      <c r="E52" s="1265"/>
      <c r="F52" s="1265"/>
      <c r="G52" s="1265"/>
      <c r="H52" s="1265"/>
      <c r="I52" s="1265"/>
      <c r="J52" s="1265"/>
      <c r="K52" s="1265"/>
      <c r="L52" s="1264"/>
      <c r="M52" s="1361"/>
      <c r="N52" s="1374"/>
      <c r="O52" s="1374"/>
    </row>
    <row r="53" spans="1:27" ht="30" customHeight="1">
      <c r="A53" s="1287"/>
      <c r="B53" s="1383" t="s">
        <v>99</v>
      </c>
      <c r="C53" s="1384" t="str">
        <f>Penyelia!C53</f>
        <v>Parameter</v>
      </c>
      <c r="D53" s="1384" t="str">
        <f>Penyelia!D53</f>
        <v>Setting Alat 
( Joule )</v>
      </c>
      <c r="E53" s="1384" t="str">
        <f>Penyelia!E53</f>
        <v xml:space="preserve"> Pembacaan Standar</v>
      </c>
      <c r="F53" s="1385" t="str">
        <f>Penyelia!G53</f>
        <v xml:space="preserve">Toleransi
</v>
      </c>
      <c r="G53" s="1386"/>
      <c r="H53" s="1153"/>
      <c r="I53" s="1387"/>
      <c r="J53" s="1388"/>
      <c r="K53" s="1389"/>
      <c r="L53" s="1264"/>
      <c r="M53" s="1361"/>
      <c r="N53" s="1374"/>
      <c r="O53" s="1374"/>
    </row>
    <row r="54" spans="1:27" ht="15" customHeight="1">
      <c r="A54" s="1287"/>
      <c r="B54" s="1299">
        <v>1</v>
      </c>
      <c r="C54" s="1390" t="str">
        <f>Penyelia!C54</f>
        <v>Waktu Charging (s)</v>
      </c>
      <c r="D54" s="1391">
        <f>Penyelia!D54</f>
        <v>300</v>
      </c>
      <c r="E54" s="1352">
        <f>Penyelia!E54</f>
        <v>6.9894495495495494</v>
      </c>
      <c r="F54" s="1392" t="str">
        <f>Penyelia!G54</f>
        <v xml:space="preserve">≤ 15 </v>
      </c>
      <c r="G54" s="1393"/>
      <c r="H54" s="1154"/>
      <c r="J54" s="1303"/>
      <c r="K54" s="1264"/>
      <c r="L54" s="1264"/>
      <c r="M54" s="1361"/>
      <c r="N54" s="1374"/>
      <c r="O54" s="1374"/>
    </row>
    <row r="55" spans="1:27" ht="5.25" customHeight="1">
      <c r="A55" s="1287"/>
      <c r="B55" s="1287"/>
      <c r="C55" s="1264"/>
      <c r="D55" s="1264"/>
      <c r="E55" s="1264"/>
      <c r="F55" s="1264"/>
      <c r="G55" s="1264"/>
      <c r="H55" s="1285"/>
      <c r="I55" s="1286"/>
      <c r="J55" s="1264"/>
      <c r="K55" s="1264"/>
      <c r="L55" s="1264"/>
      <c r="M55" s="1361"/>
      <c r="N55" s="1374"/>
      <c r="O55" s="1374"/>
    </row>
    <row r="56" spans="1:27" ht="17.25" customHeight="1">
      <c r="B56" s="1287" t="str">
        <f>Penyelia!B56</f>
        <v>d. Kalibrasi Heart Rate</v>
      </c>
      <c r="C56" s="1267"/>
      <c r="D56" s="1287"/>
      <c r="E56" s="1267"/>
      <c r="F56" s="1267"/>
      <c r="G56" s="1267"/>
      <c r="H56" s="1267"/>
      <c r="I56" s="1267"/>
      <c r="J56" s="1267"/>
      <c r="K56" s="1267"/>
      <c r="L56" s="1267"/>
      <c r="M56" s="1394"/>
      <c r="N56" s="1641"/>
      <c r="O56" s="1361"/>
    </row>
    <row r="57" spans="1:27" s="1369" customFormat="1" ht="9.75" customHeight="1">
      <c r="B57" s="1978" t="s">
        <v>99</v>
      </c>
      <c r="C57" s="1978" t="s">
        <v>139</v>
      </c>
      <c r="D57" s="1976" t="s">
        <v>304</v>
      </c>
      <c r="E57" s="2318" t="s">
        <v>305</v>
      </c>
      <c r="F57" s="2318" t="s">
        <v>49</v>
      </c>
      <c r="G57" s="2318" t="s">
        <v>238</v>
      </c>
      <c r="H57" s="2318" t="s">
        <v>481</v>
      </c>
      <c r="I57" s="2318"/>
      <c r="K57" s="1395"/>
    </row>
    <row r="58" spans="1:27" s="1369" customFormat="1" ht="9.75" customHeight="1">
      <c r="B58" s="1979"/>
      <c r="C58" s="1979"/>
      <c r="D58" s="1977"/>
      <c r="E58" s="2318"/>
      <c r="F58" s="2318"/>
      <c r="G58" s="2318"/>
      <c r="H58" s="2318"/>
      <c r="I58" s="2318"/>
    </row>
    <row r="59" spans="1:27" s="1369" customFormat="1" ht="9.75" customHeight="1">
      <c r="B59" s="2316"/>
      <c r="C59" s="2316"/>
      <c r="D59" s="2317"/>
      <c r="E59" s="2318"/>
      <c r="F59" s="2318"/>
      <c r="G59" s="1976"/>
      <c r="H59" s="2318"/>
      <c r="I59" s="2318"/>
    </row>
    <row r="60" spans="1:27" ht="14.25" customHeight="1">
      <c r="B60" s="1396">
        <v>1</v>
      </c>
      <c r="C60" s="2307" t="str">
        <f>ID!C59</f>
        <v>Heart Rate (BPM)</v>
      </c>
      <c r="D60" s="1635">
        <f>Penyelia!D60</f>
        <v>30</v>
      </c>
      <c r="E60" s="1638">
        <f>IFERROR(Penyelia!E60,"-")</f>
        <v>30.0001</v>
      </c>
      <c r="F60" s="1638">
        <f>IFERROR(Penyelia!F60,"-")</f>
        <v>-9.9999999999766942E-5</v>
      </c>
      <c r="G60" s="2310" t="str">
        <f>Penyelia!G60</f>
        <v>± 5 bpm</v>
      </c>
      <c r="H60" s="1397" t="str">
        <f>IF(I60="-","","±")</f>
        <v>±</v>
      </c>
      <c r="I60" s="1353">
        <f>IFERROR(Penyelia!I60,"-")</f>
        <v>0.60096103731784867</v>
      </c>
      <c r="V60" s="1398"/>
      <c r="W60" s="1398"/>
      <c r="X60" s="1399"/>
      <c r="Y60" s="1398"/>
      <c r="Z60" s="1398"/>
      <c r="AA60" s="1399"/>
    </row>
    <row r="61" spans="1:27" ht="14.25" customHeight="1">
      <c r="B61" s="1634">
        <v>2</v>
      </c>
      <c r="C61" s="2308"/>
      <c r="D61" s="1635">
        <f>Penyelia!D61</f>
        <v>60</v>
      </c>
      <c r="E61" s="1638">
        <f>IFERROR(Penyelia!E61,"-")</f>
        <v>60.000100000000003</v>
      </c>
      <c r="F61" s="1638">
        <f>IFERROR(Penyelia!F61,"-")</f>
        <v>-1.0000000000331966E-4</v>
      </c>
      <c r="G61" s="2311"/>
      <c r="H61" s="1397" t="str">
        <f t="shared" ref="H61:H63" si="0">IF(I61="-","","±")</f>
        <v>±</v>
      </c>
      <c r="I61" s="1353">
        <f>IFERROR(Penyelia!I61,"-")</f>
        <v>0.66176759408785857</v>
      </c>
      <c r="V61" s="1398"/>
      <c r="W61" s="1398"/>
      <c r="X61" s="1399"/>
      <c r="Y61" s="1398"/>
      <c r="Z61" s="1398"/>
      <c r="AA61" s="1399"/>
    </row>
    <row r="62" spans="1:27" ht="14.25" customHeight="1">
      <c r="B62" s="1634">
        <v>3</v>
      </c>
      <c r="C62" s="2308"/>
      <c r="D62" s="1635">
        <f>Penyelia!D62</f>
        <v>120</v>
      </c>
      <c r="E62" s="1638">
        <f>IFERROR(Penyelia!E62,"-")</f>
        <v>120.0001</v>
      </c>
      <c r="F62" s="1638">
        <f>IFERROR(Penyelia!F62,"-")</f>
        <v>-1.0000000000331966E-4</v>
      </c>
      <c r="G62" s="2311"/>
      <c r="H62" s="1397" t="str">
        <f t="shared" si="0"/>
        <v>±</v>
      </c>
      <c r="I62" s="1353">
        <f>IFERROR(Penyelia!I62,"-")</f>
        <v>0.87005313014937868</v>
      </c>
      <c r="V62" s="1398"/>
      <c r="W62" s="1398"/>
      <c r="X62" s="1399"/>
      <c r="Y62" s="1398"/>
      <c r="Z62" s="1398"/>
      <c r="AA62" s="1399"/>
    </row>
    <row r="63" spans="1:27" ht="14.25" customHeight="1">
      <c r="B63" s="1634">
        <v>4</v>
      </c>
      <c r="C63" s="2309"/>
      <c r="D63" s="1635">
        <f>Penyelia!D63</f>
        <v>180</v>
      </c>
      <c r="E63" s="1638">
        <f>IFERROR(Penyelia!E63,"-")</f>
        <v>180.0001</v>
      </c>
      <c r="F63" s="1638">
        <f>IFERROR(Penyelia!F63,"-")</f>
        <v>-1.0000000000331966E-4</v>
      </c>
      <c r="G63" s="2312"/>
      <c r="H63" s="1397" t="str">
        <f t="shared" si="0"/>
        <v>±</v>
      </c>
      <c r="I63" s="1353">
        <f>IFERROR(Penyelia!I63,"-")</f>
        <v>1.1402585474714042</v>
      </c>
      <c r="V63" s="1398"/>
      <c r="W63" s="1398"/>
      <c r="X63" s="1399"/>
      <c r="Y63" s="1398"/>
      <c r="Z63" s="1398"/>
      <c r="AA63" s="1399"/>
    </row>
    <row r="64" spans="1:27" ht="6" customHeight="1">
      <c r="A64" s="1308"/>
      <c r="B64" s="1309"/>
      <c r="C64" s="1296"/>
      <c r="D64" s="1400"/>
      <c r="E64" s="1400"/>
      <c r="F64" s="1400"/>
      <c r="G64" s="1400"/>
      <c r="H64" s="1400"/>
      <c r="I64" s="1380"/>
      <c r="N64" s="1401"/>
      <c r="R64" s="1402"/>
      <c r="S64" s="1402"/>
      <c r="T64" s="1402"/>
      <c r="V64" s="1398"/>
      <c r="W64" s="1398"/>
      <c r="X64" s="1399"/>
      <c r="Y64" s="1398"/>
      <c r="Z64" s="1398"/>
      <c r="AA64" s="1399"/>
    </row>
    <row r="65" spans="1:28" ht="15.75" customHeight="1">
      <c r="A65" s="1287"/>
      <c r="B65" s="1287" t="str">
        <f>Penyelia!B65</f>
        <v>e. Kalibrasi Respirasi</v>
      </c>
      <c r="C65" s="1267"/>
      <c r="D65" s="1409"/>
      <c r="E65" s="1318"/>
      <c r="F65" s="1319"/>
      <c r="G65" s="1410"/>
      <c r="H65" s="1365"/>
      <c r="I65" s="1380"/>
      <c r="J65" s="1264"/>
      <c r="K65" s="1411"/>
      <c r="L65" s="1411"/>
      <c r="M65" s="1401"/>
      <c r="N65" s="1298"/>
      <c r="P65" s="1401"/>
      <c r="S65" s="1412"/>
      <c r="T65" s="1413"/>
      <c r="W65" s="1398"/>
      <c r="X65" s="1398"/>
      <c r="Y65" s="1399"/>
      <c r="Z65" s="1398"/>
      <c r="AA65" s="1398"/>
      <c r="AB65" s="1399"/>
    </row>
    <row r="66" spans="1:28" s="1369" customFormat="1" ht="9.75" customHeight="1">
      <c r="B66" s="1978" t="s">
        <v>99</v>
      </c>
      <c r="C66" s="1978" t="s">
        <v>139</v>
      </c>
      <c r="D66" s="1976" t="s">
        <v>304</v>
      </c>
      <c r="E66" s="2318" t="s">
        <v>305</v>
      </c>
      <c r="F66" s="2318" t="s">
        <v>49</v>
      </c>
      <c r="G66" s="2318" t="s">
        <v>238</v>
      </c>
      <c r="H66" s="2318" t="s">
        <v>481</v>
      </c>
      <c r="I66" s="2318"/>
      <c r="J66" s="1407"/>
      <c r="K66" s="1408"/>
      <c r="U66" s="1403"/>
      <c r="V66" s="1403"/>
      <c r="W66" s="1404"/>
      <c r="X66" s="1403"/>
      <c r="Y66" s="1403"/>
      <c r="Z66" s="1404"/>
    </row>
    <row r="67" spans="1:28" s="1369" customFormat="1" ht="9.75" customHeight="1">
      <c r="B67" s="1979"/>
      <c r="C67" s="1979"/>
      <c r="D67" s="1977"/>
      <c r="E67" s="2318"/>
      <c r="F67" s="2318"/>
      <c r="G67" s="2318"/>
      <c r="H67" s="2318"/>
      <c r="I67" s="2318"/>
      <c r="J67" s="1407"/>
      <c r="K67" s="1408"/>
      <c r="U67" s="1403"/>
      <c r="V67" s="1403"/>
      <c r="W67" s="1404"/>
      <c r="X67" s="1403"/>
      <c r="Y67" s="1403"/>
      <c r="Z67" s="1404"/>
    </row>
    <row r="68" spans="1:28" s="1369" customFormat="1" ht="9.75" customHeight="1">
      <c r="B68" s="2316"/>
      <c r="C68" s="2316"/>
      <c r="D68" s="2317"/>
      <c r="E68" s="2318"/>
      <c r="F68" s="1976"/>
      <c r="G68" s="1976"/>
      <c r="H68" s="1976"/>
      <c r="I68" s="1976"/>
      <c r="J68" s="1407"/>
      <c r="K68" s="1408"/>
      <c r="U68" s="1403"/>
      <c r="V68" s="1403"/>
      <c r="W68" s="1404"/>
      <c r="X68" s="1403"/>
      <c r="Y68" s="1403"/>
      <c r="Z68" s="1404"/>
    </row>
    <row r="69" spans="1:28" ht="14">
      <c r="B69" s="1396">
        <v>1</v>
      </c>
      <c r="C69" s="2307" t="str">
        <f>IF(B78="-","-","Respirasi (BrPM)")</f>
        <v>Respirasi (BrPM)</v>
      </c>
      <c r="D69" s="1405">
        <f>IF($C$69="-","-",Penyelia!D68)</f>
        <v>20</v>
      </c>
      <c r="E69" s="1638">
        <f>IFERROR(Penyelia!E68,"-")</f>
        <v>20.0001</v>
      </c>
      <c r="F69" s="1355">
        <f>IFERROR(Penyelia!F68,"-")</f>
        <v>-9.9999999999766942E-5</v>
      </c>
      <c r="G69" s="2310" t="str">
        <f>IF(D70="-","-","±  5 BrPM")</f>
        <v>±  5 BrPM</v>
      </c>
      <c r="H69" s="1406" t="str">
        <f t="shared" ref="H69:H72" si="1">IF(I69="-","","±")</f>
        <v>±</v>
      </c>
      <c r="I69" s="1354">
        <f>IFERROR(Penyelia!I68,"-")</f>
        <v>0.58027813280182117</v>
      </c>
      <c r="J69" s="1264"/>
      <c r="K69" s="1401"/>
      <c r="L69" s="1298"/>
      <c r="U69" s="1398"/>
      <c r="V69" s="1398"/>
      <c r="W69" s="1399"/>
      <c r="X69" s="1398"/>
      <c r="Y69" s="1398"/>
      <c r="Z69" s="1399"/>
    </row>
    <row r="70" spans="1:28" ht="14">
      <c r="B70" s="1634">
        <v>2</v>
      </c>
      <c r="C70" s="2308"/>
      <c r="D70" s="1405">
        <f>IF($C$69="-","-",Penyelia!D69)</f>
        <v>30</v>
      </c>
      <c r="E70" s="1638">
        <f>IFERROR(Penyelia!E69,"-")</f>
        <v>30.0001</v>
      </c>
      <c r="F70" s="1355">
        <f>IFERROR(Penyelia!F69,"-")</f>
        <v>-9.9999999999766942E-5</v>
      </c>
      <c r="G70" s="2311"/>
      <c r="H70" s="1406" t="str">
        <f t="shared" si="1"/>
        <v>±</v>
      </c>
      <c r="I70" s="1354">
        <f>IFERROR(Penyelia!I69,"-")</f>
        <v>0.58084191518126949</v>
      </c>
      <c r="J70" s="1264"/>
      <c r="L70" s="1298"/>
      <c r="U70" s="1398"/>
      <c r="V70" s="1398"/>
      <c r="W70" s="1399"/>
      <c r="X70" s="1398"/>
      <c r="Y70" s="1398"/>
      <c r="Z70" s="1399"/>
    </row>
    <row r="71" spans="1:28" ht="14">
      <c r="B71" s="1634">
        <v>3</v>
      </c>
      <c r="C71" s="2308"/>
      <c r="D71" s="1405">
        <f>IF($C$69="-","-",Penyelia!D70)</f>
        <v>40</v>
      </c>
      <c r="E71" s="1638">
        <f>IFERROR(Penyelia!E70,"-")</f>
        <v>40.000100000000003</v>
      </c>
      <c r="F71" s="1355">
        <f>IFERROR(Penyelia!F70,"-")</f>
        <v>-1.0000000000331966E-4</v>
      </c>
      <c r="G71" s="2311"/>
      <c r="H71" s="1406" t="str">
        <f t="shared" si="1"/>
        <v>±</v>
      </c>
      <c r="I71" s="1354">
        <f>IFERROR(Penyelia!I70,"-")</f>
        <v>0.58163076746086828</v>
      </c>
      <c r="J71" s="1264"/>
      <c r="K71" s="1401"/>
      <c r="L71" s="1298"/>
      <c r="U71" s="1398"/>
      <c r="V71" s="1398"/>
      <c r="W71" s="1399"/>
      <c r="X71" s="1398"/>
      <c r="Y71" s="1398"/>
      <c r="Z71" s="1399"/>
    </row>
    <row r="72" spans="1:28" ht="14">
      <c r="B72" s="1634">
        <v>4</v>
      </c>
      <c r="C72" s="2309"/>
      <c r="D72" s="1405">
        <f>IF($C$69="-","-",Penyelia!D71)</f>
        <v>60</v>
      </c>
      <c r="E72" s="1638">
        <f>IFERROR(Penyelia!E71,"-")</f>
        <v>60.000100000000003</v>
      </c>
      <c r="F72" s="1355">
        <f>IFERROR(Penyelia!F71,"-")</f>
        <v>-1.0000000000331966E-4</v>
      </c>
      <c r="G72" s="2312"/>
      <c r="H72" s="1406" t="str">
        <f t="shared" si="1"/>
        <v>±</v>
      </c>
      <c r="I72" s="1354">
        <f>IFERROR(Penyelia!I71,"-")</f>
        <v>0.58388175350764715</v>
      </c>
      <c r="J72" s="1264"/>
      <c r="K72" s="1401"/>
      <c r="L72" s="1298"/>
      <c r="U72" s="1398"/>
      <c r="V72" s="1398"/>
      <c r="W72" s="1399"/>
      <c r="X72" s="1398"/>
      <c r="Y72" s="1398"/>
      <c r="Z72" s="1399"/>
    </row>
    <row r="73" spans="1:28" ht="15.75" customHeight="1">
      <c r="A73" s="1295"/>
      <c r="B73" s="1295"/>
      <c r="C73" s="1296"/>
      <c r="D73" s="1409"/>
      <c r="E73" s="1318"/>
      <c r="F73" s="1319"/>
      <c r="G73" s="1410"/>
      <c r="H73" s="1365"/>
      <c r="I73" s="1380"/>
      <c r="J73" s="1264"/>
      <c r="K73" s="1411"/>
      <c r="L73" s="1411"/>
      <c r="M73" s="1401"/>
      <c r="N73" s="1298"/>
      <c r="P73" s="1401"/>
      <c r="Q73" s="1298"/>
      <c r="R73" s="1412"/>
      <c r="S73" s="1412"/>
      <c r="T73" s="1413"/>
      <c r="W73" s="1398"/>
      <c r="X73" s="1398"/>
      <c r="Y73" s="1399"/>
      <c r="Z73" s="1398"/>
      <c r="AA73" s="1398"/>
      <c r="AB73" s="1399"/>
    </row>
    <row r="74" spans="1:28" ht="13.5" customHeight="1">
      <c r="A74" s="1414" t="s">
        <v>261</v>
      </c>
      <c r="B74" s="1414" t="s">
        <v>308</v>
      </c>
      <c r="C74" s="1415"/>
      <c r="D74" s="1416"/>
      <c r="E74" s="1416"/>
      <c r="F74" s="1416"/>
      <c r="G74" s="1416"/>
      <c r="H74" s="1416"/>
      <c r="I74" s="1328"/>
      <c r="J74" s="1328"/>
      <c r="K74" s="1328"/>
      <c r="L74" s="1328"/>
      <c r="M74" s="1642"/>
      <c r="N74" s="1643"/>
      <c r="O74" s="1644"/>
      <c r="P74" s="1417"/>
    </row>
    <row r="75" spans="1:28" ht="13.5" customHeight="1">
      <c r="A75" s="1414"/>
      <c r="B75" s="1356" t="str">
        <f>Penyelia!B74</f>
        <v>Ketidakpastian Pengukuran Energi dilaporkan pada tingkat kepercayaan 95 % dengan faktor cakupan k = 2</v>
      </c>
      <c r="C75" s="1415"/>
      <c r="D75" s="1416"/>
      <c r="E75" s="1416"/>
      <c r="F75" s="1416"/>
      <c r="G75" s="1416"/>
      <c r="H75" s="1416"/>
      <c r="I75" s="1328"/>
      <c r="J75" s="1328"/>
      <c r="K75" s="1328"/>
      <c r="L75" s="1328"/>
      <c r="M75" s="1645"/>
      <c r="N75" s="1645"/>
      <c r="O75" s="1646"/>
      <c r="P75" s="1327"/>
      <c r="Q75" s="1327"/>
    </row>
    <row r="76" spans="1:28" ht="13.5" customHeight="1">
      <c r="A76" s="1414"/>
      <c r="B76" s="1356" t="str">
        <f>Penyelia!B75</f>
        <v>Ketidakpastian Waktu Pengisian dilaporkan pada tingkat kepercayaan 95 % dengan faktor cakupan k = 2</v>
      </c>
      <c r="C76" s="1415"/>
      <c r="D76" s="1416"/>
      <c r="E76" s="1416"/>
      <c r="F76" s="1416"/>
      <c r="G76" s="1416"/>
      <c r="H76" s="1416"/>
      <c r="I76" s="1328"/>
      <c r="J76" s="1328"/>
      <c r="K76" s="1328"/>
      <c r="L76" s="1328"/>
      <c r="M76" s="1645"/>
      <c r="N76" s="1645"/>
      <c r="O76" s="1646"/>
      <c r="P76" s="1327"/>
      <c r="Q76" s="1327"/>
    </row>
    <row r="77" spans="1:28" ht="13.5" customHeight="1">
      <c r="A77" s="1414"/>
      <c r="B77" s="1356" t="str">
        <f>Penyelia!B76</f>
        <v>Ketidakpastian Pengukuran Kinerja Heart Rate dilaporkan pada tingkat kepercayaan 95 % dengan faktor cakupan k = 2</v>
      </c>
      <c r="C77" s="1415"/>
      <c r="D77" s="1416"/>
      <c r="E77" s="1416"/>
      <c r="F77" s="1416"/>
      <c r="G77" s="1416"/>
      <c r="H77" s="1416"/>
      <c r="I77" s="1328"/>
      <c r="J77" s="1328"/>
      <c r="K77" s="1328"/>
      <c r="L77" s="1328"/>
      <c r="M77" s="1645"/>
      <c r="N77" s="2314"/>
      <c r="O77" s="2314"/>
      <c r="P77" s="1327"/>
      <c r="Q77" s="1327"/>
    </row>
    <row r="78" spans="1:28" ht="14.5">
      <c r="A78" s="1418"/>
      <c r="B78" s="1356" t="str">
        <f>Penyelia!B77</f>
        <v>Ketidakpastian Pengukuran Kinerja Respirasi dilaporkan pada tingkat kepercayaan 95 % dengan faktor cakupan k = 2</v>
      </c>
      <c r="C78" s="1273"/>
      <c r="D78" s="1273"/>
      <c r="E78" s="1273"/>
      <c r="F78" s="1273"/>
      <c r="G78" s="1273"/>
      <c r="H78" s="1273"/>
      <c r="I78" s="1273"/>
      <c r="J78" s="1328"/>
      <c r="K78" s="1328"/>
      <c r="L78" s="1328"/>
      <c r="M78" s="1647"/>
      <c r="N78" s="1645"/>
      <c r="O78" s="1645"/>
      <c r="P78" s="1327"/>
      <c r="Q78" s="1327"/>
    </row>
    <row r="79" spans="1:28" ht="14.5">
      <c r="A79" s="1418"/>
      <c r="B79" s="1356" t="str">
        <f>Penyelia!B78</f>
        <v>Hasil pengukuran keselamatan listrik tertelusur ke Satuan Internasional ( SI ) melalui PT. Kaliman</v>
      </c>
      <c r="C79" s="1273"/>
      <c r="D79" s="1273"/>
      <c r="E79" s="1273"/>
      <c r="F79" s="1273"/>
      <c r="G79" s="1273"/>
      <c r="H79" s="1273"/>
      <c r="I79" s="1273"/>
      <c r="J79" s="1328"/>
      <c r="K79" s="1328"/>
      <c r="L79" s="1328"/>
      <c r="M79" s="1647"/>
      <c r="N79" s="1645"/>
      <c r="O79" s="1645"/>
      <c r="P79" s="1327"/>
      <c r="Q79" s="1327"/>
    </row>
    <row r="80" spans="1:28" ht="14.5">
      <c r="A80" s="1418"/>
      <c r="B80" s="1356" t="str">
        <f>Penyelia!B79</f>
        <v>Hasil kalibrasi Heart Rate tertelusur ke Satuan Internasional ( SI ) melalui Caltek PTE LTD</v>
      </c>
      <c r="C80" s="1273"/>
      <c r="D80" s="1273"/>
      <c r="E80" s="1273"/>
      <c r="F80" s="1273"/>
      <c r="G80" s="1273"/>
      <c r="H80" s="1273"/>
      <c r="I80" s="1273"/>
      <c r="J80" s="1328"/>
      <c r="K80" s="1328"/>
      <c r="L80" s="1328"/>
      <c r="M80" s="1647"/>
      <c r="N80" s="1645"/>
      <c r="O80" s="1645"/>
      <c r="P80" s="1327"/>
      <c r="Q80" s="1327"/>
    </row>
    <row r="81" spans="1:17" ht="14.5">
      <c r="A81" s="1418"/>
      <c r="B81" s="1356" t="str">
        <f>Penyelia!B80</f>
        <v>Hasil kalibrasi Respirasi tertelusur ke Satuan Internasional ( SI ) melalui Caltek PTE LTD</v>
      </c>
      <c r="C81" s="1273"/>
      <c r="D81" s="1273"/>
      <c r="E81" s="1273"/>
      <c r="F81" s="1273"/>
      <c r="G81" s="1273"/>
      <c r="H81" s="1273"/>
      <c r="I81" s="1273"/>
      <c r="J81" s="1328"/>
      <c r="K81" s="1328"/>
      <c r="L81" s="1328"/>
      <c r="M81" s="1647"/>
      <c r="N81" s="1645"/>
      <c r="O81" s="1645"/>
      <c r="P81" s="1327"/>
      <c r="Q81" s="1327"/>
    </row>
    <row r="82" spans="1:17" ht="14.5">
      <c r="A82" s="1418"/>
      <c r="B82" s="1356" t="str">
        <f>Penyelia!B81</f>
        <v>Hasil kalibrasi Akurasi dan Energi Maksimum tertelusurke Satuan Internasional melalui CALTEK PTE LTD</v>
      </c>
      <c r="C82" s="1273"/>
      <c r="D82" s="1273"/>
      <c r="E82" s="1273"/>
      <c r="F82" s="1273"/>
      <c r="G82" s="1273"/>
      <c r="H82" s="1273"/>
      <c r="I82" s="1273"/>
      <c r="J82" s="1328"/>
      <c r="K82" s="1328"/>
      <c r="L82" s="1328"/>
      <c r="M82" s="1647"/>
      <c r="N82" s="1645"/>
      <c r="O82" s="1645"/>
      <c r="P82" s="1327"/>
      <c r="Q82" s="1327"/>
    </row>
    <row r="83" spans="1:17" ht="14.5">
      <c r="A83" s="1418"/>
      <c r="B83" s="1356" t="str">
        <f>Penyelia!B82</f>
        <v>Hasil pengujian waktu Pengisian tertelusur ke Satuan Internasional ( SI ) melalui PT KALIMAN</v>
      </c>
      <c r="C83" s="1273"/>
      <c r="D83" s="1273"/>
      <c r="E83" s="1273"/>
      <c r="F83" s="1273"/>
      <c r="G83" s="1273"/>
      <c r="H83" s="1273"/>
      <c r="I83" s="1273"/>
      <c r="J83" s="1328"/>
      <c r="K83" s="1328"/>
      <c r="L83" s="1328"/>
      <c r="M83" s="1647"/>
      <c r="N83" s="1645"/>
      <c r="O83" s="1645"/>
      <c r="P83" s="1327"/>
      <c r="Q83" s="1327"/>
    </row>
    <row r="84" spans="1:17" ht="14.5">
      <c r="A84" s="1418"/>
      <c r="B84" s="1356" t="str">
        <f>Penyelia!B83</f>
        <v>Tidak terdapat grounding di ruangan</v>
      </c>
      <c r="C84" s="1273"/>
      <c r="D84" s="1273"/>
      <c r="E84" s="1273"/>
      <c r="F84" s="1273"/>
      <c r="G84" s="1273"/>
      <c r="H84" s="1273"/>
      <c r="I84" s="1273"/>
      <c r="J84" s="1328"/>
      <c r="K84" s="1328"/>
      <c r="L84" s="1328"/>
      <c r="M84" s="1647"/>
      <c r="N84" s="1645"/>
      <c r="O84" s="1645"/>
      <c r="P84" s="1327"/>
      <c r="Q84" s="1327"/>
    </row>
    <row r="85" spans="1:17" ht="14.5">
      <c r="A85" s="1418"/>
      <c r="B85" s="1337"/>
      <c r="C85" s="1273"/>
      <c r="D85" s="1273"/>
      <c r="E85" s="1273"/>
      <c r="F85" s="1273"/>
      <c r="G85" s="1273"/>
      <c r="H85" s="1273"/>
      <c r="I85" s="1273"/>
      <c r="J85" s="1328"/>
      <c r="K85" s="1328"/>
      <c r="L85" s="1328"/>
      <c r="M85" s="1647"/>
      <c r="N85" s="1645"/>
      <c r="O85" s="1645"/>
      <c r="P85" s="1327"/>
      <c r="Q85" s="1327"/>
    </row>
    <row r="86" spans="1:17" ht="14">
      <c r="A86" s="1418" t="s">
        <v>266</v>
      </c>
      <c r="B86" s="1418" t="s">
        <v>314</v>
      </c>
      <c r="C86" s="1273"/>
      <c r="D86" s="1419"/>
      <c r="E86" s="1419"/>
      <c r="F86" s="1419"/>
      <c r="G86" s="1419"/>
      <c r="H86" s="1419"/>
      <c r="I86" s="1419"/>
      <c r="J86" s="1419"/>
      <c r="K86" s="1419"/>
      <c r="L86" s="1419"/>
      <c r="M86" s="1361"/>
    </row>
    <row r="87" spans="1:17" ht="14">
      <c r="A87" s="1418"/>
      <c r="B87" s="496" t="str">
        <f>Penyelia!B87</f>
        <v>Defibrillator Analyzer, Merek : Fluke, Model : Impulse 7000 D, SN : 1837053</v>
      </c>
      <c r="C87" s="1273"/>
      <c r="D87" s="1419"/>
      <c r="E87" s="1419"/>
      <c r="F87" s="1419"/>
      <c r="G87" s="1419"/>
      <c r="H87" s="1419"/>
      <c r="I87" s="1419"/>
      <c r="J87" s="1419"/>
      <c r="K87" s="1419"/>
      <c r="L87" s="1419"/>
      <c r="M87" s="1361"/>
    </row>
    <row r="88" spans="1:17" ht="14">
      <c r="A88" s="1418"/>
      <c r="B88" s="496" t="str">
        <f>Penyelia!B88</f>
        <v>Stopwatch, Merek : EXTECH, Model : 365535, SN :005018</v>
      </c>
      <c r="C88" s="1273"/>
      <c r="D88" s="1419"/>
      <c r="E88" s="1419"/>
      <c r="F88" s="1419"/>
      <c r="G88" s="1419"/>
      <c r="H88" s="1419"/>
      <c r="I88" s="1419"/>
      <c r="J88" s="1419"/>
      <c r="K88" s="1419"/>
      <c r="L88" s="1419"/>
      <c r="M88" s="1361"/>
    </row>
    <row r="89" spans="1:17" ht="14">
      <c r="A89" s="1273"/>
      <c r="B89" s="1637" t="str">
        <f>Penyelia!B89</f>
        <v>Multiparameter Simulator, Merek : RIGEL , Model : PatSim200, SN : 11L-0293</v>
      </c>
      <c r="C89" s="1325"/>
      <c r="D89" s="1325"/>
      <c r="E89" s="1325"/>
      <c r="F89" s="1273"/>
      <c r="G89" s="1273"/>
      <c r="H89" s="1273"/>
      <c r="I89" s="1273"/>
      <c r="J89" s="1273"/>
      <c r="K89" s="1273"/>
      <c r="L89" s="1273"/>
      <c r="M89" s="1361"/>
    </row>
    <row r="90" spans="1:17" ht="14">
      <c r="A90" s="1273"/>
      <c r="B90" s="1637" t="str">
        <f>Penyelia!B90</f>
        <v>Electrical Safety Analyzer, Merek : Fluke, Model : ESA 615, SN : 3148908</v>
      </c>
      <c r="C90" s="1273"/>
      <c r="D90" s="1273"/>
      <c r="E90" s="1273"/>
      <c r="F90" s="1273"/>
      <c r="G90" s="1273"/>
      <c r="H90" s="1273"/>
      <c r="I90" s="1273"/>
      <c r="J90" s="1273"/>
      <c r="K90" s="1273"/>
      <c r="L90" s="1273"/>
      <c r="M90" s="1361"/>
    </row>
    <row r="91" spans="1:17" ht="15.75" customHeight="1">
      <c r="A91" s="1273"/>
      <c r="B91" s="1325"/>
      <c r="C91" s="1273"/>
      <c r="D91" s="1273"/>
      <c r="E91" s="1273"/>
      <c r="F91" s="1273"/>
      <c r="G91" s="1273"/>
      <c r="H91" s="1273"/>
      <c r="I91" s="1273"/>
      <c r="J91" s="1273"/>
      <c r="K91" s="1273"/>
      <c r="L91" s="1273"/>
      <c r="M91" s="1361"/>
    </row>
    <row r="92" spans="1:17" ht="12.75" customHeight="1">
      <c r="A92" s="1418" t="s">
        <v>279</v>
      </c>
      <c r="B92" s="1420" t="s">
        <v>320</v>
      </c>
      <c r="C92" s="1273"/>
      <c r="D92" s="1273"/>
      <c r="E92" s="1273"/>
      <c r="F92" s="1273"/>
      <c r="G92" s="1273"/>
      <c r="H92" s="1273"/>
      <c r="I92" s="1273"/>
      <c r="J92" s="1273"/>
      <c r="K92" s="1273"/>
      <c r="L92" s="1273"/>
      <c r="M92" s="1361"/>
      <c r="O92" s="2315"/>
      <c r="P92" s="2315"/>
    </row>
    <row r="93" spans="1:17" ht="29.25" customHeight="1">
      <c r="A93" s="1418"/>
      <c r="B93" s="2313" t="str">
        <f>ID!B102</f>
        <v>Alat yang dikalibrasi dalam batas toleransi dan dinyatakan LAIK PAKAI, dimana hasil atau skor akhir sama dengan atau melampaui 70 % berdasarkan Keputusan Direktur Jenderal Pelayanan Kesehatan No : HK.02.02/V/0412/2020</v>
      </c>
      <c r="C93" s="2313"/>
      <c r="D93" s="2313"/>
      <c r="E93" s="2313"/>
      <c r="F93" s="2313"/>
      <c r="G93" s="2313"/>
      <c r="H93" s="2313"/>
      <c r="I93" s="2313"/>
      <c r="J93" s="2313"/>
      <c r="K93" s="2313"/>
      <c r="L93" s="2313"/>
      <c r="M93" s="1361"/>
      <c r="N93" s="1361"/>
      <c r="O93" s="2305"/>
      <c r="P93" s="2306"/>
    </row>
    <row r="94" spans="1:17" ht="15" customHeight="1">
      <c r="A94" s="1418"/>
      <c r="B94" s="1420"/>
      <c r="C94" s="1273"/>
      <c r="D94" s="1273"/>
      <c r="E94" s="1273"/>
      <c r="F94" s="1273"/>
      <c r="G94" s="1273"/>
      <c r="H94" s="1273"/>
      <c r="I94" s="1273"/>
      <c r="J94" s="1273"/>
      <c r="K94" s="1273"/>
      <c r="L94" s="1273"/>
      <c r="M94" s="1361"/>
      <c r="N94" s="1361"/>
      <c r="O94" s="2306"/>
      <c r="P94" s="2306"/>
    </row>
    <row r="95" spans="1:17" ht="14">
      <c r="A95" s="1418" t="s">
        <v>321</v>
      </c>
      <c r="B95" s="1418" t="str">
        <f>ID!B104</f>
        <v>Petugas Kalibrasi</v>
      </c>
      <c r="C95" s="1418"/>
      <c r="D95" s="1273"/>
      <c r="E95" s="1273"/>
      <c r="F95" s="1273"/>
      <c r="G95" s="1273"/>
      <c r="H95" s="1273"/>
      <c r="I95" s="1273"/>
      <c r="J95" s="1421"/>
      <c r="K95" s="1421"/>
      <c r="L95" s="1273"/>
      <c r="M95" s="1361"/>
      <c r="N95" s="1361"/>
      <c r="O95" s="2306"/>
      <c r="P95" s="2306"/>
    </row>
    <row r="96" spans="1:17" ht="14">
      <c r="A96" s="1273"/>
      <c r="B96" s="1337" t="str">
        <f>ID!B105</f>
        <v>Muhammad Iqbal Saiful Rahman</v>
      </c>
      <c r="C96" s="1273"/>
      <c r="D96" s="1273"/>
      <c r="E96" s="1273"/>
      <c r="F96" s="1273"/>
      <c r="G96" s="1273"/>
      <c r="H96" s="1273"/>
      <c r="I96" s="1273"/>
      <c r="J96" s="1421"/>
      <c r="K96" s="1421"/>
      <c r="L96" s="1273"/>
      <c r="M96" s="1361"/>
      <c r="N96" s="1361"/>
      <c r="O96" s="2306"/>
      <c r="P96" s="2306"/>
    </row>
    <row r="97" spans="1:12" ht="14">
      <c r="A97" s="1419"/>
      <c r="B97" s="1273"/>
      <c r="C97" s="1273"/>
      <c r="D97" s="1273"/>
      <c r="E97" s="1273"/>
      <c r="F97" s="1273"/>
      <c r="G97" s="1273"/>
      <c r="H97" s="1273"/>
      <c r="I97" s="1273"/>
      <c r="J97" s="1421"/>
      <c r="K97" s="1421"/>
      <c r="L97" s="1273"/>
    </row>
    <row r="98" spans="1:12" ht="14">
      <c r="A98" s="1419"/>
      <c r="B98" s="1273"/>
      <c r="C98" s="1273"/>
      <c r="D98" s="1273"/>
      <c r="E98" s="1273"/>
      <c r="F98" s="1273"/>
      <c r="G98" s="1273"/>
      <c r="H98" s="1273"/>
      <c r="I98" s="1273"/>
      <c r="J98" s="1421"/>
      <c r="K98" s="1421"/>
      <c r="L98" s="1273"/>
    </row>
    <row r="99" spans="1:12" ht="14">
      <c r="A99" s="1419"/>
      <c r="B99" s="1421"/>
      <c r="C99" s="1421"/>
      <c r="D99" s="1421"/>
      <c r="E99" s="1421"/>
      <c r="F99" s="1421"/>
      <c r="G99" s="1421"/>
      <c r="H99" s="1421"/>
      <c r="I99" s="1273"/>
      <c r="J99" s="1421"/>
      <c r="K99" s="1421"/>
      <c r="L99" s="1273"/>
    </row>
    <row r="100" spans="1:12" ht="14">
      <c r="A100" s="1419"/>
      <c r="B100" s="1421"/>
      <c r="C100" s="1421"/>
      <c r="D100" s="1421"/>
      <c r="E100" s="1421"/>
      <c r="F100" s="1421"/>
      <c r="G100" s="1421"/>
      <c r="H100" s="1421"/>
      <c r="I100" s="1422" t="s">
        <v>506</v>
      </c>
      <c r="J100" s="1421"/>
      <c r="K100" s="1421"/>
      <c r="L100" s="1273"/>
    </row>
    <row r="101" spans="1:12" ht="14">
      <c r="A101" s="1419"/>
      <c r="B101" s="1421"/>
      <c r="C101" s="1421"/>
      <c r="D101" s="1421"/>
      <c r="E101" s="1421"/>
      <c r="F101" s="1421"/>
      <c r="G101" s="1421"/>
      <c r="H101" s="1421"/>
      <c r="I101" s="1422" t="s">
        <v>507</v>
      </c>
      <c r="J101" s="1421"/>
      <c r="K101" s="1421"/>
      <c r="L101" s="1273"/>
    </row>
    <row r="102" spans="1:12" ht="14">
      <c r="A102" s="1327"/>
      <c r="B102" s="1421"/>
      <c r="C102" s="1421"/>
      <c r="D102" s="1421"/>
      <c r="E102" s="1421"/>
      <c r="F102" s="1421"/>
      <c r="G102" s="1421"/>
      <c r="H102" s="1421"/>
      <c r="I102" s="1422" t="s">
        <v>508</v>
      </c>
      <c r="J102" s="1421"/>
      <c r="K102" s="1421"/>
      <c r="L102" s="1421"/>
    </row>
    <row r="103" spans="1:12" ht="14">
      <c r="A103" s="1327"/>
      <c r="B103" s="1421"/>
      <c r="C103" s="1421"/>
      <c r="D103" s="1421"/>
      <c r="E103" s="1421"/>
      <c r="F103" s="1421"/>
      <c r="G103" s="1421"/>
      <c r="H103" s="1421"/>
      <c r="I103" s="1422"/>
      <c r="J103" s="1421"/>
      <c r="K103" s="1421"/>
      <c r="L103" s="1421"/>
    </row>
    <row r="104" spans="1:12" ht="14">
      <c r="A104" s="1327"/>
      <c r="B104" s="1421"/>
      <c r="C104" s="1421"/>
      <c r="D104" s="1421"/>
      <c r="E104" s="1421"/>
      <c r="F104" s="1421"/>
      <c r="G104" s="1421"/>
      <c r="H104" s="1421"/>
      <c r="I104" s="1422"/>
      <c r="J104" s="1421"/>
      <c r="K104" s="1421"/>
      <c r="L104" s="1421"/>
    </row>
    <row r="105" spans="1:12" ht="14">
      <c r="A105" s="1327"/>
      <c r="B105" s="1421"/>
      <c r="C105" s="1421"/>
      <c r="D105" s="1421"/>
      <c r="E105" s="1421"/>
      <c r="F105" s="1421"/>
      <c r="G105" s="1421"/>
      <c r="H105" s="1421"/>
      <c r="I105" s="1422"/>
      <c r="J105" s="1421"/>
      <c r="K105" s="1421"/>
      <c r="L105" s="1421"/>
    </row>
    <row r="106" spans="1:12" ht="14">
      <c r="A106" s="1327"/>
      <c r="B106" s="1421"/>
      <c r="C106" s="1421"/>
      <c r="D106" s="1421"/>
      <c r="E106" s="1421"/>
      <c r="F106" s="1421"/>
      <c r="G106" s="1421"/>
      <c r="H106" s="1421"/>
      <c r="I106" s="1423"/>
      <c r="J106" s="1421"/>
      <c r="K106" s="1421"/>
      <c r="L106" s="1421"/>
    </row>
    <row r="107" spans="1:12" ht="14">
      <c r="A107" s="1327"/>
      <c r="B107" s="1421"/>
      <c r="C107" s="1421"/>
      <c r="D107" s="1421"/>
      <c r="E107" s="1421"/>
      <c r="F107" s="1421"/>
      <c r="G107" s="1421"/>
      <c r="H107" s="1421"/>
      <c r="I107" s="1424" t="s">
        <v>509</v>
      </c>
      <c r="J107" s="1421"/>
      <c r="K107" s="1421"/>
      <c r="L107" s="1421"/>
    </row>
    <row r="108" spans="1:12" ht="14">
      <c r="A108" s="1327"/>
      <c r="B108" s="1421"/>
      <c r="C108" s="1421"/>
      <c r="D108" s="1421"/>
      <c r="E108" s="1421"/>
      <c r="F108" s="1421"/>
      <c r="G108" s="1421"/>
      <c r="H108" s="1421"/>
      <c r="I108" s="1425" t="s">
        <v>510</v>
      </c>
      <c r="J108" s="1421"/>
      <c r="K108" s="1421"/>
      <c r="L108" s="1421"/>
    </row>
    <row r="109" spans="1:12" ht="14">
      <c r="A109" s="1327"/>
      <c r="B109" s="1421"/>
      <c r="C109" s="1421"/>
      <c r="D109" s="1421"/>
      <c r="E109" s="1421"/>
      <c r="F109" s="1421"/>
      <c r="G109" s="1421"/>
      <c r="H109" s="1421"/>
      <c r="I109" s="1421"/>
      <c r="J109" s="1421"/>
      <c r="K109" s="1421"/>
      <c r="L109" s="1421"/>
    </row>
    <row r="110" spans="1:12" ht="14">
      <c r="A110" s="1327"/>
      <c r="B110" s="1421"/>
      <c r="C110" s="1421"/>
      <c r="D110" s="1421"/>
      <c r="E110" s="1421"/>
      <c r="F110" s="1421"/>
      <c r="G110" s="1421"/>
      <c r="H110" s="1421"/>
      <c r="I110" s="1421"/>
      <c r="J110" s="1421"/>
      <c r="K110" s="1421"/>
      <c r="L110" s="1421"/>
    </row>
    <row r="111" spans="1:12" ht="14">
      <c r="A111" s="1327"/>
      <c r="B111" s="1421"/>
      <c r="C111" s="1421"/>
      <c r="D111" s="1421"/>
      <c r="E111" s="1421"/>
      <c r="F111" s="1421"/>
      <c r="G111" s="1421"/>
      <c r="H111" s="1421"/>
      <c r="I111" s="1421"/>
      <c r="J111" s="1421"/>
      <c r="K111" s="1421"/>
      <c r="L111" s="1421"/>
    </row>
    <row r="112" spans="1:12">
      <c r="A112" s="1327"/>
      <c r="B112" s="1327"/>
      <c r="C112" s="1327"/>
      <c r="D112" s="1327"/>
      <c r="E112" s="1327"/>
      <c r="F112" s="1327"/>
      <c r="G112" s="1327"/>
      <c r="H112" s="1327"/>
      <c r="I112" s="1327"/>
      <c r="J112" s="1327"/>
      <c r="K112" s="1327"/>
      <c r="L112" s="1327"/>
    </row>
    <row r="113" spans="1:12">
      <c r="A113" s="1327"/>
      <c r="B113" s="1327"/>
      <c r="C113" s="1327"/>
      <c r="D113" s="1327"/>
      <c r="E113" s="1327"/>
      <c r="F113" s="1327"/>
      <c r="G113" s="1327"/>
      <c r="H113" s="1327"/>
      <c r="I113" s="1327"/>
      <c r="J113" s="1327"/>
      <c r="K113" s="1327"/>
      <c r="L113" s="1327"/>
    </row>
    <row r="114" spans="1:12">
      <c r="A114" s="1327"/>
      <c r="B114" s="1327"/>
      <c r="C114" s="1327"/>
      <c r="D114" s="1327"/>
      <c r="E114" s="1327"/>
      <c r="F114" s="1327"/>
      <c r="G114" s="1327"/>
      <c r="H114" s="1327"/>
      <c r="I114" s="1327"/>
      <c r="J114" s="1327"/>
      <c r="K114" s="1327"/>
      <c r="L114" s="1327"/>
    </row>
    <row r="115" spans="1:12">
      <c r="A115" s="1327"/>
      <c r="B115" s="1327"/>
      <c r="C115" s="1327"/>
      <c r="D115" s="1327"/>
      <c r="E115" s="1327"/>
      <c r="F115" s="1327"/>
      <c r="G115" s="1327"/>
      <c r="H115" s="1327"/>
      <c r="I115" s="1327"/>
      <c r="J115" s="1327"/>
      <c r="K115" s="1327"/>
      <c r="L115" s="1327"/>
    </row>
    <row r="116" spans="1:12">
      <c r="A116" s="1327"/>
      <c r="B116" s="1327"/>
      <c r="C116" s="1327"/>
      <c r="D116" s="1327"/>
      <c r="E116" s="1327"/>
      <c r="F116" s="1327"/>
      <c r="G116" s="1327"/>
      <c r="H116" s="1327"/>
      <c r="I116" s="1327"/>
      <c r="J116" s="1327"/>
      <c r="K116" s="1327"/>
      <c r="L116" s="1327"/>
    </row>
    <row r="117" spans="1:12">
      <c r="A117" s="1327"/>
      <c r="B117" s="1327"/>
      <c r="C117" s="1327"/>
      <c r="D117" s="1327"/>
      <c r="E117" s="1327"/>
      <c r="F117" s="1327"/>
      <c r="G117" s="1327"/>
      <c r="H117" s="1327"/>
      <c r="I117" s="1327"/>
      <c r="J117" s="1327"/>
      <c r="K117" s="1327"/>
      <c r="L117" s="1327"/>
    </row>
    <row r="118" spans="1:12">
      <c r="A118" s="1327"/>
      <c r="B118" s="1327"/>
      <c r="C118" s="1327"/>
      <c r="D118" s="1327"/>
      <c r="E118" s="1327"/>
      <c r="F118" s="1327"/>
      <c r="G118" s="1327"/>
      <c r="H118" s="1327"/>
      <c r="I118" s="1327"/>
      <c r="J118" s="1327"/>
      <c r="K118" s="1327"/>
      <c r="L118" s="1327"/>
    </row>
    <row r="119" spans="1:12" ht="15.75" customHeight="1">
      <c r="A119" s="1327"/>
      <c r="B119" s="1327"/>
      <c r="C119" s="1327"/>
      <c r="D119" s="1327"/>
      <c r="E119" s="1327"/>
      <c r="F119" s="1327"/>
      <c r="G119" s="1327"/>
      <c r="H119" s="1327"/>
      <c r="I119" s="1327"/>
      <c r="J119" s="1327"/>
      <c r="K119" s="1327"/>
      <c r="L119" s="1327"/>
    </row>
    <row r="120" spans="1:12" ht="12.75" customHeight="1">
      <c r="A120" s="1327"/>
      <c r="B120" s="1327"/>
      <c r="C120" s="1327"/>
      <c r="D120" s="1327"/>
      <c r="E120" s="1327"/>
      <c r="F120" s="1327"/>
      <c r="G120" s="1327"/>
      <c r="H120" s="1327"/>
      <c r="I120" s="1327"/>
      <c r="J120" s="1327"/>
      <c r="K120" s="1327"/>
      <c r="L120" s="1327"/>
    </row>
    <row r="121" spans="1:12" ht="15.75" customHeight="1">
      <c r="A121" s="1327"/>
      <c r="B121" s="1327"/>
      <c r="C121" s="1327"/>
      <c r="D121" s="1327"/>
      <c r="E121" s="1327"/>
      <c r="F121" s="1327"/>
      <c r="G121" s="1327"/>
      <c r="H121" s="1327"/>
      <c r="I121" s="1327"/>
      <c r="J121" s="1327"/>
      <c r="K121" s="1327"/>
      <c r="L121" s="1426" t="s">
        <v>511</v>
      </c>
    </row>
  </sheetData>
  <sheetProtection formatCells="0" formatColumns="0" formatRows="0" insertColumns="0" insertRows="0" deleteColumns="0" deleteRows="0"/>
  <mergeCells count="79">
    <mergeCell ref="J47:K49"/>
    <mergeCell ref="J50:K50"/>
    <mergeCell ref="C47:C48"/>
    <mergeCell ref="B52:C52"/>
    <mergeCell ref="C33:C35"/>
    <mergeCell ref="C36:C44"/>
    <mergeCell ref="H33:I35"/>
    <mergeCell ref="H36:I44"/>
    <mergeCell ref="B47:B49"/>
    <mergeCell ref="D47:D49"/>
    <mergeCell ref="H47:I49"/>
    <mergeCell ref="B33:B35"/>
    <mergeCell ref="J44:K44"/>
    <mergeCell ref="J36:K36"/>
    <mergeCell ref="J37:K37"/>
    <mergeCell ref="J38:K38"/>
    <mergeCell ref="K25:L25"/>
    <mergeCell ref="K26:L26"/>
    <mergeCell ref="K27:L27"/>
    <mergeCell ref="K28:L28"/>
    <mergeCell ref="J33:K35"/>
    <mergeCell ref="J39:K39"/>
    <mergeCell ref="J40:K40"/>
    <mergeCell ref="J41:K41"/>
    <mergeCell ref="J42:K42"/>
    <mergeCell ref="J43:K43"/>
    <mergeCell ref="A1:L1"/>
    <mergeCell ref="A2:L2"/>
    <mergeCell ref="B23:B24"/>
    <mergeCell ref="C23:H24"/>
    <mergeCell ref="I23:J24"/>
    <mergeCell ref="K23:L24"/>
    <mergeCell ref="A4:C4"/>
    <mergeCell ref="A5:C5"/>
    <mergeCell ref="A6:C6"/>
    <mergeCell ref="A8:C8"/>
    <mergeCell ref="A9:C9"/>
    <mergeCell ref="A10:C10"/>
    <mergeCell ref="A11:C11"/>
    <mergeCell ref="B14:C14"/>
    <mergeCell ref="A7:C7"/>
    <mergeCell ref="B15:C15"/>
    <mergeCell ref="B16:C16"/>
    <mergeCell ref="B19:C19"/>
    <mergeCell ref="B20:C20"/>
    <mergeCell ref="C28:H28"/>
    <mergeCell ref="C27:H27"/>
    <mergeCell ref="C26:H26"/>
    <mergeCell ref="C25:H25"/>
    <mergeCell ref="B57:B59"/>
    <mergeCell ref="C57:C59"/>
    <mergeCell ref="D57:D59"/>
    <mergeCell ref="E57:E59"/>
    <mergeCell ref="F57:F59"/>
    <mergeCell ref="G57:G59"/>
    <mergeCell ref="H57:I59"/>
    <mergeCell ref="D33:D35"/>
    <mergeCell ref="E33:E35"/>
    <mergeCell ref="F33:F35"/>
    <mergeCell ref="G33:G35"/>
    <mergeCell ref="E47:E49"/>
    <mergeCell ref="F47:F49"/>
    <mergeCell ref="G47:G49"/>
    <mergeCell ref="H50:I50"/>
    <mergeCell ref="O93:P96"/>
    <mergeCell ref="C69:C72"/>
    <mergeCell ref="G69:G72"/>
    <mergeCell ref="B93:L93"/>
    <mergeCell ref="C60:C63"/>
    <mergeCell ref="G60:G63"/>
    <mergeCell ref="N77:O77"/>
    <mergeCell ref="O92:P92"/>
    <mergeCell ref="B66:B68"/>
    <mergeCell ref="C66:C68"/>
    <mergeCell ref="D66:D68"/>
    <mergeCell ref="F66:F68"/>
    <mergeCell ref="G66:G68"/>
    <mergeCell ref="H66:I68"/>
    <mergeCell ref="E66:E68"/>
  </mergeCells>
  <dataValidations count="1">
    <dataValidation type="list" allowBlank="1" showInputMessage="1" showErrorMessage="1" sqref="E46" xr:uid="{5C4D5B82-2FDC-4EA9-BEA4-CE0352428C2E}">
      <formula1>$V$26:$V$27</formula1>
    </dataValidation>
  </dataValidations>
  <printOptions horizontalCentered="1"/>
  <pageMargins left="0.31496062992126" right="0.23622047244094499" top="0.35433070866141703" bottom="0.1" header="0.196850393700787" footer="0.15748031496063"/>
  <pageSetup paperSize="9" scale="75" orientation="portrait" horizontalDpi="4294967294" verticalDpi="4294967294" r:id="rId1"/>
  <headerFooter>
    <oddHeader>&amp;R&amp;8KL.LHK.012-18 / REV : 0</oddHeader>
    <oddFooter>&amp;C&amp;8
Dilarang keras mengutip/memperbanyak dan atau mempublikasikan sebagian isi sertifikat ini tanpa seijin LPFK Banjarbaru
Sertifikat ini sah apabila dibubuhi cap LPFK Banjarbaru dan ditandatangani oleh pejabat yang berwenang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DB Stopwatch (2)</vt:lpstr>
      <vt:lpstr>SERTIFIKAT</vt:lpstr>
      <vt:lpstr>ESA</vt:lpstr>
      <vt:lpstr>LK</vt:lpstr>
      <vt:lpstr>Riwayat Revisi</vt:lpstr>
      <vt:lpstr>ID</vt:lpstr>
      <vt:lpstr>Input Data ECG Sim</vt:lpstr>
      <vt:lpstr>Budget</vt:lpstr>
      <vt:lpstr>kata-kata</vt:lpstr>
      <vt:lpstr>DB Suhu</vt:lpstr>
      <vt:lpstr>DB Thermohygro</vt:lpstr>
      <vt:lpstr>Penyelia</vt:lpstr>
      <vt:lpstr>Input Data Sertifikat Defib</vt:lpstr>
      <vt:lpstr>LH</vt:lpstr>
      <vt:lpstr>Budget!Print_Area</vt:lpstr>
      <vt:lpstr>'DB Stopwatch (2)'!Print_Area</vt:lpstr>
      <vt:lpstr>'DB Suhu'!Print_Area</vt:lpstr>
      <vt:lpstr>ESA!Print_Area</vt:lpstr>
      <vt:lpstr>ID!Print_Area</vt:lpstr>
      <vt:lpstr>'Input Data ECG Sim'!Print_Area</vt:lpstr>
      <vt:lpstr>'Input Data Sertifikat Defib'!Print_Area</vt:lpstr>
      <vt:lpstr>LH!Print_Area</vt:lpstr>
      <vt:lpstr>LK!Print_Area</vt:lpstr>
      <vt:lpstr>Penyelia!Print_Area</vt:lpstr>
      <vt:lpstr>SERTIFIKAT!Print_Area</vt:lpstr>
    </vt:vector>
  </TitlesOfParts>
  <Manager/>
  <Company>BPFK Surabaya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Calibration Laboratory</dc:creator>
  <cp:keywords/>
  <dc:description/>
  <cp:lastModifiedBy>MyBook PRO K5</cp:lastModifiedBy>
  <cp:revision/>
  <dcterms:created xsi:type="dcterms:W3CDTF">2003-07-23T01:21:42Z</dcterms:created>
  <dcterms:modified xsi:type="dcterms:W3CDTF">2023-09-27T03:00:11Z</dcterms:modified>
  <cp:category/>
  <cp:contentStatus/>
</cp:coreProperties>
</file>